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5" yWindow="60" windowWidth="12120" windowHeight="8085" tabRatio="869"/>
  </bookViews>
  <sheets>
    <sheet name="St of Net Assets - GA" sheetId="16" r:id="rId1"/>
    <sheet name="St of Activites - GA Rev" sheetId="15" r:id="rId2"/>
    <sheet name="St of Activities - GA Exp" sheetId="17" r:id="rId3"/>
    <sheet name="Gen Fd BS" sheetId="14" r:id="rId4"/>
    <sheet name="GenRev" sheetId="1" r:id="rId5"/>
    <sheet name="GenExp" sheetId="2" r:id="rId6"/>
    <sheet name="Gov Fd BS" sheetId="26" r:id="rId7"/>
    <sheet name="Gov Fd Rv" sheetId="22" r:id="rId8"/>
    <sheet name="Gov Fnd Exp" sheetId="25" r:id="rId9"/>
    <sheet name="LT _Lia - GA" sheetId="10" r:id="rId10"/>
    <sheet name="Sheet1" sheetId="27" r:id="rId11"/>
    <sheet name="Sheet2" sheetId="28" r:id="rId12"/>
  </sheets>
  <definedNames>
    <definedName name="_xlnm.Print_Area" localSheetId="1">'St of Activites - GA Rev'!$A$1:$AI$636</definedName>
    <definedName name="_xlnm.Print_Area" localSheetId="2">'St of Activities - GA Exp'!$A$1:$BC$634</definedName>
    <definedName name="_xlnm.Print_Area" localSheetId="0">'St of Net Assets - GA'!$A$1:$AA$634</definedName>
    <definedName name="_xlnm.Print_Titles" localSheetId="3">'Gen Fd BS'!$1:$10</definedName>
    <definedName name="_xlnm.Print_Titles" localSheetId="5">GenExp!$1:$10</definedName>
    <definedName name="_xlnm.Print_Titles" localSheetId="4">GenRev!$1:$10</definedName>
    <definedName name="_xlnm.Print_Titles" localSheetId="6">'Gov Fd BS'!$1:$9</definedName>
    <definedName name="_xlnm.Print_Titles" localSheetId="7">'Gov Fd Rv'!$1:$9</definedName>
    <definedName name="_xlnm.Print_Titles" localSheetId="8">'Gov Fnd Exp'!$1:$9</definedName>
    <definedName name="_xlnm.Print_Titles" localSheetId="9">'LT _Lia - GA'!$1:$9</definedName>
    <definedName name="_xlnm.Print_Titles" localSheetId="1">'St of Activites - GA Rev'!$1:$10</definedName>
    <definedName name="_xlnm.Print_Titles" localSheetId="2">'St of Activities - GA Exp'!$1:$10</definedName>
    <definedName name="_xlnm.Print_Titles" localSheetId="0">'St of Net Assets - GA'!$1:$10</definedName>
  </definedNames>
  <calcPr calcId="125725"/>
</workbook>
</file>

<file path=xl/calcChain.xml><?xml version="1.0" encoding="utf-8"?>
<calcChain xmlns="http://schemas.openxmlformats.org/spreadsheetml/2006/main">
  <c r="W10" i="10"/>
  <c r="S11"/>
  <c r="X11"/>
  <c r="G12"/>
  <c r="S12"/>
  <c r="X12"/>
  <c r="S13"/>
  <c r="X13"/>
  <c r="S14"/>
  <c r="X14"/>
  <c r="G15"/>
  <c r="S15" s="1"/>
  <c r="X15"/>
  <c r="G16"/>
  <c r="S16"/>
  <c r="X16"/>
  <c r="S17"/>
  <c r="X17"/>
  <c r="S18"/>
  <c r="X18"/>
  <c r="S19"/>
  <c r="X19"/>
  <c r="Q20"/>
  <c r="S20"/>
  <c r="X20"/>
  <c r="S21"/>
  <c r="X21"/>
  <c r="S22"/>
  <c r="X22"/>
  <c r="S23"/>
  <c r="X23"/>
  <c r="S24"/>
  <c r="X24"/>
  <c r="S25"/>
  <c r="X25"/>
  <c r="G26"/>
  <c r="S26"/>
  <c r="X26"/>
  <c r="G27"/>
  <c r="S27" s="1"/>
  <c r="X27"/>
  <c r="S28"/>
  <c r="X28"/>
  <c r="O29"/>
  <c r="S29"/>
  <c r="U29"/>
  <c r="X29"/>
  <c r="S30"/>
  <c r="X30"/>
  <c r="G31"/>
  <c r="S31"/>
  <c r="X31"/>
  <c r="M32"/>
  <c r="S32" s="1"/>
  <c r="X32"/>
  <c r="Q33"/>
  <c r="S33"/>
  <c r="X33"/>
  <c r="G34"/>
  <c r="S34" s="1"/>
  <c r="X34"/>
  <c r="G35"/>
  <c r="S35"/>
  <c r="X35"/>
  <c r="S36"/>
  <c r="X36"/>
  <c r="S37"/>
  <c r="X37"/>
  <c r="S38"/>
  <c r="X38"/>
  <c r="S39"/>
  <c r="X39"/>
  <c r="G40"/>
  <c r="K40"/>
  <c r="S40"/>
  <c r="X40"/>
  <c r="S41"/>
  <c r="X41"/>
  <c r="S42"/>
  <c r="X42"/>
  <c r="S43"/>
  <c r="X43"/>
  <c r="S44"/>
  <c r="X44"/>
  <c r="S45"/>
  <c r="X45"/>
  <c r="S46"/>
  <c r="X46"/>
  <c r="S47"/>
  <c r="X47"/>
  <c r="S48"/>
  <c r="X48"/>
  <c r="G49"/>
  <c r="S49" s="1"/>
  <c r="X49"/>
  <c r="S50"/>
  <c r="X50"/>
  <c r="S51"/>
  <c r="X51"/>
  <c r="S52"/>
  <c r="X52"/>
  <c r="S53"/>
  <c r="X53"/>
  <c r="S54"/>
  <c r="X54"/>
  <c r="G55"/>
  <c r="S55"/>
  <c r="X55"/>
  <c r="S56"/>
  <c r="X56"/>
  <c r="S57"/>
  <c r="X57"/>
  <c r="S58"/>
  <c r="X58"/>
  <c r="S59"/>
  <c r="X59"/>
  <c r="S60"/>
  <c r="X60"/>
  <c r="S61"/>
  <c r="X61"/>
  <c r="G62"/>
  <c r="S62" s="1"/>
  <c r="X62"/>
  <c r="Q63"/>
  <c r="S63"/>
  <c r="X63"/>
  <c r="S64"/>
  <c r="X64"/>
  <c r="S65"/>
  <c r="X65"/>
  <c r="G66"/>
  <c r="O66"/>
  <c r="S66"/>
  <c r="X66"/>
  <c r="S67"/>
  <c r="X67"/>
  <c r="S68"/>
  <c r="X68"/>
  <c r="G69"/>
  <c r="O69"/>
  <c r="S69"/>
  <c r="X69"/>
  <c r="S70"/>
  <c r="X70"/>
  <c r="S71"/>
  <c r="X71"/>
  <c r="S72"/>
  <c r="X72"/>
  <c r="S73"/>
  <c r="X73"/>
  <c r="S74"/>
  <c r="X74"/>
  <c r="S75"/>
  <c r="X75"/>
  <c r="S76"/>
  <c r="X76"/>
  <c r="M11" i="25"/>
  <c r="U11"/>
  <c r="AZ11"/>
  <c r="BJ11" s="1"/>
  <c r="BL11" s="1"/>
  <c r="BT11" s="1"/>
  <c r="BV11" s="1"/>
  <c r="AZ12"/>
  <c r="BJ12"/>
  <c r="BL12" s="1"/>
  <c r="BT12" s="1"/>
  <c r="BV12" s="1"/>
  <c r="M13"/>
  <c r="AZ13" s="1"/>
  <c r="BJ13" s="1"/>
  <c r="BL13" s="1"/>
  <c r="BT13" s="1"/>
  <c r="BV13" s="1"/>
  <c r="M14"/>
  <c r="AZ14"/>
  <c r="BH14"/>
  <c r="BJ14"/>
  <c r="BL14" s="1"/>
  <c r="BT14" s="1"/>
  <c r="BV14" s="1"/>
  <c r="M15"/>
  <c r="AZ15" s="1"/>
  <c r="BJ15" s="1"/>
  <c r="BL15" s="1"/>
  <c r="BT15" s="1"/>
  <c r="BV15" s="1"/>
  <c r="M16"/>
  <c r="AZ16" s="1"/>
  <c r="BJ16" s="1"/>
  <c r="BL16" s="1"/>
  <c r="BT16" s="1"/>
  <c r="BV16" s="1"/>
  <c r="AZ17"/>
  <c r="BJ17" s="1"/>
  <c r="BL17" s="1"/>
  <c r="BT17" s="1"/>
  <c r="BV17" s="1"/>
  <c r="AZ18"/>
  <c r="BJ18"/>
  <c r="BL18" s="1"/>
  <c r="BT18" s="1"/>
  <c r="BV18" s="1"/>
  <c r="AZ19"/>
  <c r="BJ19" s="1"/>
  <c r="BL19" s="1"/>
  <c r="BT19" s="1"/>
  <c r="BV19" s="1"/>
  <c r="AZ20"/>
  <c r="BJ20"/>
  <c r="BL20" s="1"/>
  <c r="BT20" s="1"/>
  <c r="BV20" s="1"/>
  <c r="AZ21"/>
  <c r="BJ21" s="1"/>
  <c r="BL21" s="1"/>
  <c r="BT21" s="1"/>
  <c r="BV21" s="1"/>
  <c r="AZ22"/>
  <c r="BH22"/>
  <c r="BJ22" s="1"/>
  <c r="BL22" s="1"/>
  <c r="BT22" s="1"/>
  <c r="BV22" s="1"/>
  <c r="M23"/>
  <c r="AZ23"/>
  <c r="BJ23" s="1"/>
  <c r="BL23" s="1"/>
  <c r="BT23" s="1"/>
  <c r="BV23" s="1"/>
  <c r="AV24"/>
  <c r="AZ24"/>
  <c r="BJ24" s="1"/>
  <c r="BL24" s="1"/>
  <c r="BT24" s="1"/>
  <c r="BV24" s="1"/>
  <c r="M25"/>
  <c r="AZ25"/>
  <c r="BJ25" s="1"/>
  <c r="BL25" s="1"/>
  <c r="BT25" s="1"/>
  <c r="BV25" s="1"/>
  <c r="AZ26"/>
  <c r="BJ26"/>
  <c r="BL26" s="1"/>
  <c r="BT26" s="1"/>
  <c r="BV26" s="1"/>
  <c r="AZ27"/>
  <c r="BJ27" s="1"/>
  <c r="BL27" s="1"/>
  <c r="BT27" s="1"/>
  <c r="BV27" s="1"/>
  <c r="AZ28"/>
  <c r="BJ28"/>
  <c r="BL28" s="1"/>
  <c r="BT28" s="1"/>
  <c r="BV28" s="1"/>
  <c r="AZ29"/>
  <c r="BJ29" s="1"/>
  <c r="BL29" s="1"/>
  <c r="BT29" s="1"/>
  <c r="BV29" s="1"/>
  <c r="M30"/>
  <c r="AZ30"/>
  <c r="BJ30" s="1"/>
  <c r="BL30" s="1"/>
  <c r="BT30" s="1"/>
  <c r="BV30" s="1"/>
  <c r="AI31"/>
  <c r="AZ31"/>
  <c r="BJ31" s="1"/>
  <c r="BL31" s="1"/>
  <c r="BT31" s="1"/>
  <c r="BV31" s="1"/>
  <c r="AZ32"/>
  <c r="BJ32"/>
  <c r="BL32" s="1"/>
  <c r="BT32" s="1"/>
  <c r="BV32" s="1"/>
  <c r="AZ33"/>
  <c r="BJ33" s="1"/>
  <c r="BL33" s="1"/>
  <c r="BT33" s="1"/>
  <c r="BV33" s="1"/>
  <c r="AZ34"/>
  <c r="BJ34"/>
  <c r="BL34" s="1"/>
  <c r="BT34" s="1"/>
  <c r="BV34" s="1"/>
  <c r="AZ35"/>
  <c r="BJ35" s="1"/>
  <c r="BL35" s="1"/>
  <c r="BT35" s="1"/>
  <c r="BV35" s="1"/>
  <c r="AZ36"/>
  <c r="BB36"/>
  <c r="BH36"/>
  <c r="BJ36"/>
  <c r="BL36" s="1"/>
  <c r="BT36" s="1"/>
  <c r="BV36" s="1"/>
  <c r="AI37"/>
  <c r="AZ37" s="1"/>
  <c r="BJ37" s="1"/>
  <c r="BL37" s="1"/>
  <c r="BT37" s="1"/>
  <c r="BV37" s="1"/>
  <c r="AN37"/>
  <c r="AT37"/>
  <c r="M38"/>
  <c r="AP38"/>
  <c r="AZ38"/>
  <c r="BJ38" s="1"/>
  <c r="BL38" s="1"/>
  <c r="BT38" s="1"/>
  <c r="BV38" s="1"/>
  <c r="M39"/>
  <c r="AZ39"/>
  <c r="BJ39" s="1"/>
  <c r="BL39" s="1"/>
  <c r="BT39" s="1"/>
  <c r="BV39" s="1"/>
  <c r="M40"/>
  <c r="AN40"/>
  <c r="AP40"/>
  <c r="AZ40"/>
  <c r="BJ40" s="1"/>
  <c r="BL40" s="1"/>
  <c r="BT40" s="1"/>
  <c r="BV40" s="1"/>
  <c r="AZ41"/>
  <c r="BJ41"/>
  <c r="BL41" s="1"/>
  <c r="BT41" s="1"/>
  <c r="BV41" s="1"/>
  <c r="AZ42"/>
  <c r="BJ42" s="1"/>
  <c r="BL42" s="1"/>
  <c r="BT42" s="1"/>
  <c r="BV42" s="1"/>
  <c r="M43"/>
  <c r="AZ43"/>
  <c r="BJ43" s="1"/>
  <c r="BL43" s="1"/>
  <c r="BT43" s="1"/>
  <c r="BV43" s="1"/>
  <c r="AZ44"/>
  <c r="BJ44"/>
  <c r="BL44" s="1"/>
  <c r="BT44" s="1"/>
  <c r="BV44" s="1"/>
  <c r="M45"/>
  <c r="AZ45" s="1"/>
  <c r="BJ45" s="1"/>
  <c r="BL45" s="1"/>
  <c r="BT45" s="1"/>
  <c r="BV45" s="1"/>
  <c r="AZ46"/>
  <c r="BJ46" s="1"/>
  <c r="BL46" s="1"/>
  <c r="BT46" s="1"/>
  <c r="BV46" s="1"/>
  <c r="AZ47"/>
  <c r="BJ47"/>
  <c r="BL47" s="1"/>
  <c r="BT47" s="1"/>
  <c r="BV47" s="1"/>
  <c r="AZ48"/>
  <c r="BJ48" s="1"/>
  <c r="BL48" s="1"/>
  <c r="BT48" s="1"/>
  <c r="BV48" s="1"/>
  <c r="AZ49"/>
  <c r="BJ49"/>
  <c r="BL49" s="1"/>
  <c r="BT49" s="1"/>
  <c r="BV49" s="1"/>
  <c r="AZ50"/>
  <c r="BJ50" s="1"/>
  <c r="BL50" s="1"/>
  <c r="BT50" s="1"/>
  <c r="BV50" s="1"/>
  <c r="AZ51"/>
  <c r="BJ51"/>
  <c r="BL51" s="1"/>
  <c r="BT51" s="1"/>
  <c r="BV51" s="1"/>
  <c r="AZ52"/>
  <c r="BJ52" s="1"/>
  <c r="BL52" s="1"/>
  <c r="BT52" s="1"/>
  <c r="BV52" s="1"/>
  <c r="AZ53"/>
  <c r="BJ53"/>
  <c r="BL53" s="1"/>
  <c r="BT53" s="1"/>
  <c r="BV53" s="1"/>
  <c r="AV54"/>
  <c r="AZ54" s="1"/>
  <c r="BJ54" s="1"/>
  <c r="BL54" s="1"/>
  <c r="BT54" s="1"/>
  <c r="BV54" s="1"/>
  <c r="BH54"/>
  <c r="AZ55"/>
  <c r="BJ55"/>
  <c r="BL55" s="1"/>
  <c r="BT55" s="1"/>
  <c r="BV55" s="1"/>
  <c r="AZ56"/>
  <c r="BJ56" s="1"/>
  <c r="BL56" s="1"/>
  <c r="BT56" s="1"/>
  <c r="BV56" s="1"/>
  <c r="M57"/>
  <c r="AZ57"/>
  <c r="BJ57" s="1"/>
  <c r="BL57" s="1"/>
  <c r="BT57" s="1"/>
  <c r="BV57" s="1"/>
  <c r="AZ58"/>
  <c r="BJ58"/>
  <c r="BL58" s="1"/>
  <c r="BT58" s="1"/>
  <c r="BV58" s="1"/>
  <c r="AZ59"/>
  <c r="BJ59" s="1"/>
  <c r="BL59" s="1"/>
  <c r="BT59" s="1"/>
  <c r="BV59" s="1"/>
  <c r="AZ60"/>
  <c r="BJ60"/>
  <c r="BL60" s="1"/>
  <c r="BT60" s="1"/>
  <c r="BV60" s="1"/>
  <c r="AZ61"/>
  <c r="BJ61" s="1"/>
  <c r="BL61" s="1"/>
  <c r="BT61" s="1"/>
  <c r="BV61" s="1"/>
  <c r="M62"/>
  <c r="AZ62"/>
  <c r="BJ62" s="1"/>
  <c r="BL62" s="1"/>
  <c r="BT62" s="1"/>
  <c r="BV62" s="1"/>
  <c r="AZ63"/>
  <c r="BJ63"/>
  <c r="BL63" s="1"/>
  <c r="BT63" s="1"/>
  <c r="BV63" s="1"/>
  <c r="AZ64"/>
  <c r="BJ64" s="1"/>
  <c r="BL64" s="1"/>
  <c r="BT64" s="1"/>
  <c r="BV64" s="1"/>
  <c r="M65"/>
  <c r="AZ65"/>
  <c r="BJ65" s="1"/>
  <c r="BL65" s="1"/>
  <c r="BT65" s="1"/>
  <c r="BV65" s="1"/>
  <c r="AZ66"/>
  <c r="BJ66"/>
  <c r="BL66" s="1"/>
  <c r="BT66" s="1"/>
  <c r="BV66" s="1"/>
  <c r="AZ67"/>
  <c r="BJ67" s="1"/>
  <c r="BL67" s="1"/>
  <c r="BT67" s="1"/>
  <c r="BV67" s="1"/>
  <c r="AZ68"/>
  <c r="BJ68"/>
  <c r="BL68" s="1"/>
  <c r="BT68" s="1"/>
  <c r="BV68" s="1"/>
  <c r="AP69"/>
  <c r="AZ69" s="1"/>
  <c r="BJ69" s="1"/>
  <c r="BL69" s="1"/>
  <c r="BT69" s="1"/>
  <c r="BV69" s="1"/>
  <c r="AZ70"/>
  <c r="BJ70" s="1"/>
  <c r="BL70" s="1"/>
  <c r="BT70" s="1"/>
  <c r="BV70" s="1"/>
  <c r="AZ71"/>
  <c r="BJ71"/>
  <c r="BL71" s="1"/>
  <c r="BT71" s="1"/>
  <c r="BV71" s="1"/>
  <c r="AZ72"/>
  <c r="BJ72" s="1"/>
  <c r="BL72" s="1"/>
  <c r="BT72" s="1"/>
  <c r="BV72" s="1"/>
  <c r="AZ73"/>
  <c r="BJ73"/>
  <c r="BL73" s="1"/>
  <c r="BT73" s="1"/>
  <c r="BV73" s="1"/>
  <c r="AZ74"/>
  <c r="BH74"/>
  <c r="BJ74"/>
  <c r="BL74" s="1"/>
  <c r="BT74" s="1"/>
  <c r="BV74" s="1"/>
  <c r="AZ75"/>
  <c r="BJ75" s="1"/>
  <c r="BL75" s="1"/>
  <c r="BT75" s="1"/>
  <c r="BV75" s="1"/>
  <c r="AZ76"/>
  <c r="BJ76"/>
  <c r="BL76" s="1"/>
  <c r="BT76" s="1"/>
  <c r="BV76" s="1"/>
  <c r="AV77"/>
  <c r="AZ77" s="1"/>
  <c r="BJ77" s="1"/>
  <c r="BL77" s="1"/>
  <c r="BT77" s="1"/>
  <c r="BV77" s="1"/>
  <c r="AZ78"/>
  <c r="BJ78" s="1"/>
  <c r="BL78" s="1"/>
  <c r="BT78" s="1"/>
  <c r="BV78" s="1"/>
  <c r="AZ79"/>
  <c r="BJ79"/>
  <c r="BL79" s="1"/>
  <c r="BT79" s="1"/>
  <c r="BV79" s="1"/>
  <c r="AX80"/>
  <c r="AZ80" s="1"/>
  <c r="BJ80" s="1"/>
  <c r="BL80" s="1"/>
  <c r="BT80" s="1"/>
  <c r="BV80" s="1"/>
  <c r="AZ81"/>
  <c r="BJ81" s="1"/>
  <c r="BL81" s="1"/>
  <c r="BT81" s="1"/>
  <c r="BV81" s="1"/>
  <c r="M82"/>
  <c r="AZ82"/>
  <c r="BJ82" s="1"/>
  <c r="BL82" s="1"/>
  <c r="BT82" s="1"/>
  <c r="BV82" s="1"/>
  <c r="M83"/>
  <c r="AZ83"/>
  <c r="BJ83" s="1"/>
  <c r="BL83" s="1"/>
  <c r="BT83" s="1"/>
  <c r="BV83" s="1"/>
  <c r="AZ84"/>
  <c r="BJ84"/>
  <c r="BL84" s="1"/>
  <c r="BT84" s="1"/>
  <c r="BV84" s="1"/>
  <c r="AZ85"/>
  <c r="BJ85" s="1"/>
  <c r="BL85" s="1"/>
  <c r="BT85" s="1"/>
  <c r="BV85" s="1"/>
  <c r="AZ86"/>
  <c r="BJ86"/>
  <c r="BL86" s="1"/>
  <c r="BT86" s="1"/>
  <c r="BV86" s="1"/>
  <c r="M87"/>
  <c r="AZ87" s="1"/>
  <c r="BJ87" s="1"/>
  <c r="BL87" s="1"/>
  <c r="BT87" s="1"/>
  <c r="BV87" s="1"/>
  <c r="M88"/>
  <c r="AZ88" s="1"/>
  <c r="BJ88" s="1"/>
  <c r="BL88" s="1"/>
  <c r="BT88" s="1"/>
  <c r="BV88" s="1"/>
  <c r="AZ89"/>
  <c r="BJ89" s="1"/>
  <c r="BL89" s="1"/>
  <c r="BT89" s="1"/>
  <c r="BV89" s="1"/>
  <c r="AZ90"/>
  <c r="BJ90"/>
  <c r="BL90" s="1"/>
  <c r="BT90" s="1"/>
  <c r="BV90" s="1"/>
  <c r="AZ91"/>
  <c r="BJ91" s="1"/>
  <c r="BL91" s="1"/>
  <c r="BT91" s="1"/>
  <c r="BV91" s="1"/>
  <c r="W11" i="22"/>
  <c r="Y11"/>
  <c r="AO11"/>
  <c r="AQ11"/>
  <c r="W12"/>
  <c r="Y12"/>
  <c r="AO12"/>
  <c r="AQ12"/>
  <c r="W13"/>
  <c r="Y13"/>
  <c r="AO13"/>
  <c r="AQ13"/>
  <c r="W14"/>
  <c r="Y14"/>
  <c r="AO14"/>
  <c r="AQ14"/>
  <c r="W15"/>
  <c r="Y15"/>
  <c r="AO15"/>
  <c r="AQ15"/>
  <c r="W16"/>
  <c r="Y16"/>
  <c r="AO16"/>
  <c r="AQ16"/>
  <c r="W17"/>
  <c r="Y17"/>
  <c r="AQ17" s="1"/>
  <c r="W18"/>
  <c r="Y18" s="1"/>
  <c r="AQ18" s="1"/>
  <c r="AO18"/>
  <c r="Y19"/>
  <c r="AQ19" s="1"/>
  <c r="K20"/>
  <c r="W20"/>
  <c r="Y20"/>
  <c r="AQ20" s="1"/>
  <c r="AK20"/>
  <c r="AO20"/>
  <c r="W21"/>
  <c r="Y21" s="1"/>
  <c r="AQ21" s="1"/>
  <c r="AO21"/>
  <c r="W22"/>
  <c r="Y22" s="1"/>
  <c r="AQ22" s="1"/>
  <c r="AO22"/>
  <c r="W23"/>
  <c r="Y23" s="1"/>
  <c r="AQ23" s="1"/>
  <c r="AO23"/>
  <c r="W24"/>
  <c r="Y24" s="1"/>
  <c r="AQ24" s="1"/>
  <c r="AO24"/>
  <c r="W25"/>
  <c r="Y25" s="1"/>
  <c r="AQ25" s="1"/>
  <c r="AK25"/>
  <c r="AO25" s="1"/>
  <c r="W26"/>
  <c r="Y26"/>
  <c r="AO26"/>
  <c r="AQ26"/>
  <c r="W27"/>
  <c r="Y27"/>
  <c r="AO27"/>
  <c r="AQ27"/>
  <c r="W28"/>
  <c r="Y28"/>
  <c r="AO28"/>
  <c r="AQ28"/>
  <c r="K29"/>
  <c r="W29"/>
  <c r="Y29" s="1"/>
  <c r="AQ29" s="1"/>
  <c r="AO29"/>
  <c r="W30"/>
  <c r="Y30" s="1"/>
  <c r="AQ30" s="1"/>
  <c r="AO30"/>
  <c r="W31"/>
  <c r="Y31" s="1"/>
  <c r="AQ31" s="1"/>
  <c r="AO31"/>
  <c r="K32"/>
  <c r="W32"/>
  <c r="Y32"/>
  <c r="AO32"/>
  <c r="AQ32"/>
  <c r="K33"/>
  <c r="O33"/>
  <c r="W33"/>
  <c r="Y33"/>
  <c r="AO33"/>
  <c r="AQ33"/>
  <c r="W34"/>
  <c r="Y34"/>
  <c r="AO34"/>
  <c r="AQ34"/>
  <c r="Y35"/>
  <c r="AO35"/>
  <c r="AQ35" s="1"/>
  <c r="W36"/>
  <c r="Y36" s="1"/>
  <c r="AQ36" s="1"/>
  <c r="AO36"/>
  <c r="W37"/>
  <c r="Y37" s="1"/>
  <c r="AQ37" s="1"/>
  <c r="AO37"/>
  <c r="W38"/>
  <c r="Y38" s="1"/>
  <c r="AQ38" s="1"/>
  <c r="AO38"/>
  <c r="W39"/>
  <c r="Y39" s="1"/>
  <c r="AQ39" s="1"/>
  <c r="AO39"/>
  <c r="W40"/>
  <c r="Y40" s="1"/>
  <c r="AQ40" s="1"/>
  <c r="AO40"/>
  <c r="W41"/>
  <c r="Y41" s="1"/>
  <c r="AQ41" s="1"/>
  <c r="AO41"/>
  <c r="W42"/>
  <c r="Y42" s="1"/>
  <c r="AQ42" s="1"/>
  <c r="AE42"/>
  <c r="AO42" s="1"/>
  <c r="K43"/>
  <c r="W43"/>
  <c r="Y43" s="1"/>
  <c r="AQ43" s="1"/>
  <c r="AO43"/>
  <c r="Y44"/>
  <c r="AO44"/>
  <c r="AQ44"/>
  <c r="K45"/>
  <c r="W45"/>
  <c r="Y45" s="1"/>
  <c r="AQ45" s="1"/>
  <c r="AO45"/>
  <c r="W46"/>
  <c r="Y46" s="1"/>
  <c r="AQ46" s="1"/>
  <c r="AO46"/>
  <c r="W47"/>
  <c r="Y47" s="1"/>
  <c r="AQ47" s="1"/>
  <c r="AO47"/>
  <c r="K48"/>
  <c r="W48"/>
  <c r="Y48"/>
  <c r="AO48"/>
  <c r="AQ48"/>
  <c r="W49"/>
  <c r="Y49"/>
  <c r="AO49"/>
  <c r="AQ49"/>
  <c r="W50"/>
  <c r="Y50"/>
  <c r="AO50"/>
  <c r="AQ50"/>
  <c r="W51"/>
  <c r="Y51"/>
  <c r="AO51"/>
  <c r="AQ51"/>
  <c r="W52"/>
  <c r="Y52"/>
  <c r="AO52"/>
  <c r="AQ52"/>
  <c r="K53"/>
  <c r="W53"/>
  <c r="Y53" s="1"/>
  <c r="AQ53" s="1"/>
  <c r="AO53"/>
  <c r="W54"/>
  <c r="Y54" s="1"/>
  <c r="AE54"/>
  <c r="AO54" s="1"/>
  <c r="W55"/>
  <c r="Y55"/>
  <c r="AO55"/>
  <c r="AQ55"/>
  <c r="W56"/>
  <c r="Y56"/>
  <c r="AO56"/>
  <c r="AQ56"/>
  <c r="W57"/>
  <c r="Y57"/>
  <c r="AO57"/>
  <c r="AQ57"/>
  <c r="K58"/>
  <c r="W58"/>
  <c r="Y58" s="1"/>
  <c r="AQ58" s="1"/>
  <c r="AO58"/>
  <c r="W59"/>
  <c r="Y59" s="1"/>
  <c r="AQ59" s="1"/>
  <c r="AO59"/>
  <c r="W60"/>
  <c r="Y60" s="1"/>
  <c r="AQ60" s="1"/>
  <c r="AO60"/>
  <c r="W61"/>
  <c r="Y61" s="1"/>
  <c r="AQ61" s="1"/>
  <c r="AO61"/>
  <c r="W62"/>
  <c r="Y62" s="1"/>
  <c r="AQ62" s="1"/>
  <c r="AK62"/>
  <c r="AO62" s="1"/>
  <c r="Y63"/>
  <c r="AO63"/>
  <c r="AQ63" s="1"/>
  <c r="Y64"/>
  <c r="AO64"/>
  <c r="AQ64"/>
  <c r="W65"/>
  <c r="Y65"/>
  <c r="AO65"/>
  <c r="AQ65"/>
  <c r="K66"/>
  <c r="W66"/>
  <c r="Y66" s="1"/>
  <c r="AQ66" s="1"/>
  <c r="AO66"/>
  <c r="W67"/>
  <c r="Y67" s="1"/>
  <c r="AQ67" s="1"/>
  <c r="AO67"/>
  <c r="K68"/>
  <c r="W68"/>
  <c r="Y68"/>
  <c r="AO68"/>
  <c r="AQ68"/>
  <c r="K69"/>
  <c r="W69"/>
  <c r="Y69" s="1"/>
  <c r="AQ69" s="1"/>
  <c r="AO69"/>
  <c r="W70"/>
  <c r="Y70" s="1"/>
  <c r="AQ70" s="1"/>
  <c r="AO70"/>
  <c r="W71"/>
  <c r="Y71" s="1"/>
  <c r="AQ71" s="1"/>
  <c r="AO71"/>
  <c r="W72"/>
  <c r="Y72" s="1"/>
  <c r="AQ72" s="1"/>
  <c r="AO72"/>
  <c r="W73"/>
  <c r="Y73" s="1"/>
  <c r="AQ73" s="1"/>
  <c r="AE73"/>
  <c r="AO73" s="1"/>
  <c r="W74"/>
  <c r="Y74"/>
  <c r="AO74"/>
  <c r="AQ74"/>
  <c r="K75"/>
  <c r="W75"/>
  <c r="Y75" s="1"/>
  <c r="AQ75" s="1"/>
  <c r="AO75"/>
  <c r="W76"/>
  <c r="Y76" s="1"/>
  <c r="AQ76" s="1"/>
  <c r="AO76"/>
  <c r="W77"/>
  <c r="Y77" s="1"/>
  <c r="AQ77" s="1"/>
  <c r="AO77"/>
  <c r="W78"/>
  <c r="Y78" s="1"/>
  <c r="AQ78" s="1"/>
  <c r="AO78"/>
  <c r="Y79"/>
  <c r="AO79"/>
  <c r="AQ79"/>
  <c r="K80"/>
  <c r="W80"/>
  <c r="Y80" s="1"/>
  <c r="AQ80" s="1"/>
  <c r="AO80"/>
  <c r="W81"/>
  <c r="Y81" s="1"/>
  <c r="AQ81" s="1"/>
  <c r="AO81"/>
  <c r="W82"/>
  <c r="Y82" s="1"/>
  <c r="AQ82" s="1"/>
  <c r="AO82"/>
  <c r="W83"/>
  <c r="Y83" s="1"/>
  <c r="AQ83" s="1"/>
  <c r="AO83"/>
  <c r="W84"/>
  <c r="Y84" s="1"/>
  <c r="AQ84" s="1"/>
  <c r="AO84"/>
  <c r="K85"/>
  <c r="W85"/>
  <c r="Y85"/>
  <c r="AO85"/>
  <c r="AQ85"/>
  <c r="W86"/>
  <c r="Y86"/>
  <c r="AQ86" s="1"/>
  <c r="AE86"/>
  <c r="AO86"/>
  <c r="K87"/>
  <c r="W87"/>
  <c r="Y87"/>
  <c r="AO87"/>
  <c r="AQ87"/>
  <c r="K88"/>
  <c r="W88"/>
  <c r="Y88" s="1"/>
  <c r="AQ88" s="1"/>
  <c r="AO88"/>
  <c r="W89"/>
  <c r="Y89" s="1"/>
  <c r="AQ89" s="1"/>
  <c r="AO89"/>
  <c r="K90"/>
  <c r="W90"/>
  <c r="Y90"/>
  <c r="AO90"/>
  <c r="AQ90"/>
  <c r="K91"/>
  <c r="W91"/>
  <c r="Y91" s="1"/>
  <c r="AQ91" s="1"/>
  <c r="AO91"/>
  <c r="AQ54" l="1"/>
  <c r="K11" i="26" l="1"/>
  <c r="O11"/>
  <c r="U11"/>
  <c r="Y11"/>
  <c r="AA11" s="1"/>
  <c r="AC11"/>
  <c r="K12"/>
  <c r="O12"/>
  <c r="U12"/>
  <c r="Y12"/>
  <c r="AA12" s="1"/>
  <c r="AC12"/>
  <c r="K13"/>
  <c r="O13"/>
  <c r="U13"/>
  <c r="Y13"/>
  <c r="AA13" s="1"/>
  <c r="AC13"/>
  <c r="K14"/>
  <c r="O14"/>
  <c r="U14"/>
  <c r="Y14"/>
  <c r="AA14" s="1"/>
  <c r="AC14"/>
  <c r="K15"/>
  <c r="O15"/>
  <c r="U15"/>
  <c r="Y15"/>
  <c r="AA15" s="1"/>
  <c r="AC15"/>
  <c r="K16"/>
  <c r="O16"/>
  <c r="U16"/>
  <c r="Y16"/>
  <c r="AA16" s="1"/>
  <c r="AC16"/>
  <c r="K17"/>
  <c r="O17"/>
  <c r="U17"/>
  <c r="Y17"/>
  <c r="AA17" s="1"/>
  <c r="AC17"/>
  <c r="K18"/>
  <c r="O18"/>
  <c r="U18"/>
  <c r="Y18"/>
  <c r="AA18" s="1"/>
  <c r="AC18"/>
  <c r="K19"/>
  <c r="U19"/>
  <c r="AC19" s="1"/>
  <c r="Y19"/>
  <c r="AA19"/>
  <c r="K20"/>
  <c r="AC20" s="1"/>
  <c r="O20"/>
  <c r="U20"/>
  <c r="Y20"/>
  <c r="AA20"/>
  <c r="K21"/>
  <c r="AC21" s="1"/>
  <c r="O21"/>
  <c r="U21"/>
  <c r="Y21"/>
  <c r="AA21"/>
  <c r="K22"/>
  <c r="AC22" s="1"/>
  <c r="O22"/>
  <c r="U22"/>
  <c r="Y22"/>
  <c r="AA22"/>
  <c r="K23"/>
  <c r="AC23" s="1"/>
  <c r="O23"/>
  <c r="U23"/>
  <c r="Y23"/>
  <c r="AA23"/>
  <c r="K24"/>
  <c r="AC24" s="1"/>
  <c r="O24"/>
  <c r="U24"/>
  <c r="Y24"/>
  <c r="AA24"/>
  <c r="K25"/>
  <c r="AC25" s="1"/>
  <c r="O25"/>
  <c r="U25"/>
  <c r="Y25"/>
  <c r="AA25"/>
  <c r="K26"/>
  <c r="AC26" s="1"/>
  <c r="O26"/>
  <c r="U26"/>
  <c r="Y26"/>
  <c r="AA26"/>
  <c r="K27"/>
  <c r="AC27" s="1"/>
  <c r="O27"/>
  <c r="U27"/>
  <c r="Y27"/>
  <c r="AA27"/>
  <c r="K28"/>
  <c r="AC28" s="1"/>
  <c r="O28"/>
  <c r="U28"/>
  <c r="Y28"/>
  <c r="AA28"/>
  <c r="K29"/>
  <c r="AC29" s="1"/>
  <c r="O29"/>
  <c r="U29"/>
  <c r="Y29"/>
  <c r="AA29"/>
  <c r="K30"/>
  <c r="AC30" s="1"/>
  <c r="O30"/>
  <c r="U30"/>
  <c r="Y30"/>
  <c r="AA30"/>
  <c r="K31"/>
  <c r="AC31" s="1"/>
  <c r="O31"/>
  <c r="U31"/>
  <c r="Y31"/>
  <c r="AA31"/>
  <c r="K32"/>
  <c r="AC32" s="1"/>
  <c r="O32"/>
  <c r="U32"/>
  <c r="Y32"/>
  <c r="AA32"/>
  <c r="K33"/>
  <c r="AC33" s="1"/>
  <c r="O33"/>
  <c r="U33"/>
  <c r="Y33"/>
  <c r="AA33"/>
  <c r="I34"/>
  <c r="K34" s="1"/>
  <c r="AC34" s="1"/>
  <c r="O34"/>
  <c r="U34"/>
  <c r="Y34"/>
  <c r="AA34" s="1"/>
  <c r="K35"/>
  <c r="O35"/>
  <c r="U35"/>
  <c r="Y35"/>
  <c r="AA35" s="1"/>
  <c r="AC35"/>
  <c r="K36"/>
  <c r="O36"/>
  <c r="U36"/>
  <c r="Y36"/>
  <c r="AA36" s="1"/>
  <c r="AC36"/>
  <c r="K37"/>
  <c r="O37"/>
  <c r="U37"/>
  <c r="Y37"/>
  <c r="AA37" s="1"/>
  <c r="AC37"/>
  <c r="G38"/>
  <c r="K38"/>
  <c r="AC38" s="1"/>
  <c r="O38"/>
  <c r="U38"/>
  <c r="Y38"/>
  <c r="AA38"/>
  <c r="K39"/>
  <c r="AC39" s="1"/>
  <c r="O39"/>
  <c r="U39"/>
  <c r="Y39"/>
  <c r="AA39"/>
  <c r="K40"/>
  <c r="AC40" s="1"/>
  <c r="O40"/>
  <c r="U40"/>
  <c r="Y40"/>
  <c r="AA40"/>
  <c r="K41"/>
  <c r="AC41" s="1"/>
  <c r="O41"/>
  <c r="U41"/>
  <c r="Y41"/>
  <c r="AA41"/>
  <c r="K42"/>
  <c r="AC42" s="1"/>
  <c r="O42"/>
  <c r="U42"/>
  <c r="Y42"/>
  <c r="AA42"/>
  <c r="K43"/>
  <c r="AC43" s="1"/>
  <c r="O43"/>
  <c r="U43"/>
  <c r="Y43"/>
  <c r="AA43"/>
  <c r="K44"/>
  <c r="AC44" s="1"/>
  <c r="O44"/>
  <c r="U44"/>
  <c r="Y44"/>
  <c r="AA44"/>
  <c r="K45"/>
  <c r="O45"/>
  <c r="U45"/>
  <c r="AA45" s="1"/>
  <c r="W45"/>
  <c r="Y45"/>
  <c r="AC45"/>
  <c r="I46"/>
  <c r="K46"/>
  <c r="AC46" s="1"/>
  <c r="O46"/>
  <c r="U46"/>
  <c r="Y46"/>
  <c r="AA46"/>
  <c r="K47"/>
  <c r="AC47" s="1"/>
  <c r="O47"/>
  <c r="U47"/>
  <c r="Y47"/>
  <c r="AA47"/>
  <c r="K48"/>
  <c r="AC48" s="1"/>
  <c r="O48"/>
  <c r="U48"/>
  <c r="Y48"/>
  <c r="AA48"/>
  <c r="K49"/>
  <c r="AC49" s="1"/>
  <c r="O49"/>
  <c r="U49"/>
  <c r="Y49"/>
  <c r="AA49"/>
  <c r="K50"/>
  <c r="AC50" s="1"/>
  <c r="O50"/>
  <c r="U50"/>
  <c r="Y50"/>
  <c r="AA50"/>
  <c r="K51"/>
  <c r="AC51" s="1"/>
  <c r="O51"/>
  <c r="U51"/>
  <c r="Y51"/>
  <c r="AA51"/>
  <c r="G52"/>
  <c r="K52" s="1"/>
  <c r="AC52" s="1"/>
  <c r="O52"/>
  <c r="U52"/>
  <c r="Y52"/>
  <c r="AA52" s="1"/>
  <c r="K53"/>
  <c r="O53"/>
  <c r="U53"/>
  <c r="Y53"/>
  <c r="AA53" s="1"/>
  <c r="AC53"/>
  <c r="K54"/>
  <c r="O54"/>
  <c r="U54"/>
  <c r="Y54"/>
  <c r="AA54" s="1"/>
  <c r="AC54"/>
  <c r="K55"/>
  <c r="O55"/>
  <c r="U55"/>
  <c r="Y55"/>
  <c r="AA55" s="1"/>
  <c r="AC55"/>
  <c r="K56"/>
  <c r="O56"/>
  <c r="U56"/>
  <c r="Y56"/>
  <c r="AA56" s="1"/>
  <c r="AC56"/>
  <c r="K57"/>
  <c r="O57"/>
  <c r="U57"/>
  <c r="Y57"/>
  <c r="AA57" s="1"/>
  <c r="AC57"/>
  <c r="K58"/>
  <c r="O58"/>
  <c r="U58"/>
  <c r="Y58"/>
  <c r="AA58" s="1"/>
  <c r="AC58"/>
  <c r="K59"/>
  <c r="O59"/>
  <c r="U59"/>
  <c r="Y59"/>
  <c r="AA59" s="1"/>
  <c r="AC59"/>
  <c r="K60"/>
  <c r="O60"/>
  <c r="U60"/>
  <c r="Y60"/>
  <c r="AA60" s="1"/>
  <c r="AC60"/>
  <c r="K61"/>
  <c r="O61"/>
  <c r="U61"/>
  <c r="Y61"/>
  <c r="AA61" s="1"/>
  <c r="AC61"/>
  <c r="K62"/>
  <c r="O62"/>
  <c r="U62"/>
  <c r="Y62"/>
  <c r="AA62" s="1"/>
  <c r="AC62"/>
  <c r="K63"/>
  <c r="O63"/>
  <c r="U63"/>
  <c r="Y63"/>
  <c r="AA63" s="1"/>
  <c r="AC63"/>
  <c r="K64"/>
  <c r="O64"/>
  <c r="AA64"/>
  <c r="AC64"/>
  <c r="K65"/>
  <c r="O65"/>
  <c r="U65"/>
  <c r="Y65"/>
  <c r="AA65" s="1"/>
  <c r="AC65"/>
  <c r="K66"/>
  <c r="O66"/>
  <c r="U66"/>
  <c r="Y66"/>
  <c r="AA66" s="1"/>
  <c r="AC66"/>
  <c r="K67"/>
  <c r="O67"/>
  <c r="U67"/>
  <c r="Y67"/>
  <c r="AA67" s="1"/>
  <c r="AC67"/>
  <c r="K68"/>
  <c r="O68"/>
  <c r="U68"/>
  <c r="Y68"/>
  <c r="AA68" s="1"/>
  <c r="AC68"/>
  <c r="K69"/>
  <c r="O69"/>
  <c r="U69"/>
  <c r="Y69"/>
  <c r="AA69" s="1"/>
  <c r="AC69"/>
  <c r="K70"/>
  <c r="O70"/>
  <c r="U70"/>
  <c r="Y70"/>
  <c r="AA70" s="1"/>
  <c r="AC70"/>
  <c r="K71"/>
  <c r="O71"/>
  <c r="U71"/>
  <c r="Y71"/>
  <c r="AA71" s="1"/>
  <c r="AC71"/>
  <c r="K72"/>
  <c r="O72"/>
  <c r="U72"/>
  <c r="Y72"/>
  <c r="AA72" s="1"/>
  <c r="AC72"/>
  <c r="I73"/>
  <c r="K73"/>
  <c r="AC73" s="1"/>
  <c r="O73"/>
  <c r="U73"/>
  <c r="Y73"/>
  <c r="AA73"/>
  <c r="K74"/>
  <c r="O74"/>
  <c r="Y74"/>
  <c r="AA74" s="1"/>
  <c r="AC74"/>
  <c r="K75"/>
  <c r="O75"/>
  <c r="U75"/>
  <c r="Y75"/>
  <c r="AA75" s="1"/>
  <c r="AC75"/>
  <c r="K76"/>
  <c r="O76"/>
  <c r="U76"/>
  <c r="Y76"/>
  <c r="AA76" s="1"/>
  <c r="AC76"/>
  <c r="M11" i="2"/>
  <c r="U11"/>
  <c r="AZ11"/>
  <c r="BJ11" s="1"/>
  <c r="BL11" s="1"/>
  <c r="BS11" s="1"/>
  <c r="BU11" s="1"/>
  <c r="AZ12"/>
  <c r="BJ12"/>
  <c r="BL12" s="1"/>
  <c r="BS12" s="1"/>
  <c r="BU12" s="1"/>
  <c r="M13"/>
  <c r="AZ13" s="1"/>
  <c r="BJ13" s="1"/>
  <c r="BL13" s="1"/>
  <c r="BS13" s="1"/>
  <c r="BU13" s="1"/>
  <c r="AZ14"/>
  <c r="BH14"/>
  <c r="BJ14"/>
  <c r="BL14" s="1"/>
  <c r="BS14" s="1"/>
  <c r="BU14" s="1"/>
  <c r="AZ15"/>
  <c r="BJ15" s="1"/>
  <c r="BL15" s="1"/>
  <c r="BS15" s="1"/>
  <c r="BU15" s="1"/>
  <c r="M16"/>
  <c r="AZ16"/>
  <c r="BJ16" s="1"/>
  <c r="BL16" s="1"/>
  <c r="BS16" s="1"/>
  <c r="BU16" s="1"/>
  <c r="AZ17"/>
  <c r="BJ17"/>
  <c r="BL17" s="1"/>
  <c r="BS17" s="1"/>
  <c r="BU17" s="1"/>
  <c r="AZ18"/>
  <c r="BJ18" s="1"/>
  <c r="BL18" s="1"/>
  <c r="BS18" s="1"/>
  <c r="BU18" s="1"/>
  <c r="AZ19"/>
  <c r="BJ19"/>
  <c r="BL19" s="1"/>
  <c r="BS19" s="1"/>
  <c r="BU19" s="1"/>
  <c r="AZ20"/>
  <c r="BJ20" s="1"/>
  <c r="BL20" s="1"/>
  <c r="BS20" s="1"/>
  <c r="BU20" s="1"/>
  <c r="AZ21"/>
  <c r="BJ21"/>
  <c r="BL21" s="1"/>
  <c r="BS21" s="1"/>
  <c r="BU21" s="1"/>
  <c r="AZ22"/>
  <c r="BH22"/>
  <c r="BJ22"/>
  <c r="BL22" s="1"/>
  <c r="BS22" s="1"/>
  <c r="BU22" s="1"/>
  <c r="M23"/>
  <c r="AZ23" s="1"/>
  <c r="BJ23" s="1"/>
  <c r="BL23" s="1"/>
  <c r="BS23" s="1"/>
  <c r="BU23" s="1"/>
  <c r="AZ24"/>
  <c r="BJ24" s="1"/>
  <c r="BL24" s="1"/>
  <c r="BS24" s="1"/>
  <c r="BU24" s="1"/>
  <c r="M25"/>
  <c r="AZ25"/>
  <c r="BJ25" s="1"/>
  <c r="BL25" s="1"/>
  <c r="BS25" s="1"/>
  <c r="BU25" s="1"/>
  <c r="AZ26"/>
  <c r="BJ26"/>
  <c r="BL26" s="1"/>
  <c r="BS26" s="1"/>
  <c r="BU26" s="1"/>
  <c r="AZ27"/>
  <c r="BJ27" s="1"/>
  <c r="BL27" s="1"/>
  <c r="BS27" s="1"/>
  <c r="BU27" s="1"/>
  <c r="AZ28"/>
  <c r="BJ28"/>
  <c r="BL28" s="1"/>
  <c r="BS28" s="1"/>
  <c r="BU28" s="1"/>
  <c r="AZ29"/>
  <c r="BJ29" s="1"/>
  <c r="BL29" s="1"/>
  <c r="BS29" s="1"/>
  <c r="BU29" s="1"/>
  <c r="M30"/>
  <c r="AZ30"/>
  <c r="BJ30" s="1"/>
  <c r="BL30" s="1"/>
  <c r="BS30" s="1"/>
  <c r="BU30" s="1"/>
  <c r="AZ31"/>
  <c r="BJ31"/>
  <c r="BL31" s="1"/>
  <c r="BS31" s="1"/>
  <c r="BU31" s="1"/>
  <c r="AZ32"/>
  <c r="BJ32" s="1"/>
  <c r="BL32" s="1"/>
  <c r="BS32" s="1"/>
  <c r="BU32" s="1"/>
  <c r="AZ33"/>
  <c r="BJ33"/>
  <c r="BL33" s="1"/>
  <c r="BS33" s="1"/>
  <c r="BU33" s="1"/>
  <c r="AZ34"/>
  <c r="BJ34" s="1"/>
  <c r="BL34" s="1"/>
  <c r="BS34" s="1"/>
  <c r="BU34" s="1"/>
  <c r="AZ35"/>
  <c r="BJ35"/>
  <c r="BL35" s="1"/>
  <c r="BS35" s="1"/>
  <c r="BU35" s="1"/>
  <c r="AZ36"/>
  <c r="BD36"/>
  <c r="BJ36"/>
  <c r="BL36" s="1"/>
  <c r="BS36" s="1"/>
  <c r="BU36" s="1"/>
  <c r="AN37"/>
  <c r="AZ37" s="1"/>
  <c r="BJ37" s="1"/>
  <c r="BL37" s="1"/>
  <c r="BS37" s="1"/>
  <c r="BU37" s="1"/>
  <c r="M38"/>
  <c r="AP38"/>
  <c r="AZ38"/>
  <c r="BJ38" s="1"/>
  <c r="BL38" s="1"/>
  <c r="BS38" s="1"/>
  <c r="BU38" s="1"/>
  <c r="M39"/>
  <c r="AZ39"/>
  <c r="BJ39" s="1"/>
  <c r="BL39" s="1"/>
  <c r="BS39" s="1"/>
  <c r="BU39" s="1"/>
  <c r="M40"/>
  <c r="AN40"/>
  <c r="AP40"/>
  <c r="AZ40"/>
  <c r="BJ40" s="1"/>
  <c r="BL40" s="1"/>
  <c r="BS40" s="1"/>
  <c r="BU40" s="1"/>
  <c r="AZ41"/>
  <c r="BJ41"/>
  <c r="BL41" s="1"/>
  <c r="BS41" s="1"/>
  <c r="BU41" s="1"/>
  <c r="AZ42"/>
  <c r="BJ42" s="1"/>
  <c r="BL42" s="1"/>
  <c r="BS42" s="1"/>
  <c r="BU42" s="1"/>
  <c r="M43"/>
  <c r="AZ43"/>
  <c r="BJ43" s="1"/>
  <c r="BL43" s="1"/>
  <c r="BS43" s="1"/>
  <c r="BU43" s="1"/>
  <c r="AZ44"/>
  <c r="BJ44"/>
  <c r="BL44" s="1"/>
  <c r="BS44" s="1"/>
  <c r="BU44" s="1"/>
  <c r="AZ45"/>
  <c r="BJ45" s="1"/>
  <c r="BL45" s="1"/>
  <c r="BS45" s="1"/>
  <c r="BU45" s="1"/>
  <c r="AZ46"/>
  <c r="BJ46"/>
  <c r="BL46" s="1"/>
  <c r="BS46" s="1"/>
  <c r="BU46" s="1"/>
  <c r="AZ47"/>
  <c r="BJ47" s="1"/>
  <c r="BL47" s="1"/>
  <c r="BS47" s="1"/>
  <c r="BU47" s="1"/>
  <c r="AZ48"/>
  <c r="BJ48"/>
  <c r="BL48" s="1"/>
  <c r="BS48" s="1"/>
  <c r="BU48" s="1"/>
  <c r="AZ49"/>
  <c r="BJ49" s="1"/>
  <c r="BL49" s="1"/>
  <c r="BS49" s="1"/>
  <c r="BU49" s="1"/>
  <c r="AZ50"/>
  <c r="BJ50"/>
  <c r="BL50" s="1"/>
  <c r="BS50" s="1"/>
  <c r="BU50" s="1"/>
  <c r="AZ51"/>
  <c r="BJ51" s="1"/>
  <c r="BL51" s="1"/>
  <c r="BS51" s="1"/>
  <c r="BU51" s="1"/>
  <c r="AZ52"/>
  <c r="BB52"/>
  <c r="BD52"/>
  <c r="BJ52"/>
  <c r="BL52" s="1"/>
  <c r="BS52" s="1"/>
  <c r="BU52" s="1"/>
  <c r="AZ53"/>
  <c r="BJ53" s="1"/>
  <c r="BL53" s="1"/>
  <c r="BS53" s="1"/>
  <c r="BU53" s="1"/>
  <c r="AZ54"/>
  <c r="BB54"/>
  <c r="BJ54" s="1"/>
  <c r="BL54" s="1"/>
  <c r="BS54" s="1"/>
  <c r="BU54" s="1"/>
  <c r="AZ55"/>
  <c r="BB55"/>
  <c r="BJ55" s="1"/>
  <c r="BL55" s="1"/>
  <c r="BS55" s="1"/>
  <c r="BU55" s="1"/>
  <c r="AZ56"/>
  <c r="BJ56"/>
  <c r="BL56" s="1"/>
  <c r="BS56" s="1"/>
  <c r="BU56" s="1"/>
  <c r="M57"/>
  <c r="AZ57" s="1"/>
  <c r="BJ57" s="1"/>
  <c r="BL57" s="1"/>
  <c r="BS57" s="1"/>
  <c r="BU57" s="1"/>
  <c r="AZ58"/>
  <c r="BJ58" s="1"/>
  <c r="BL58" s="1"/>
  <c r="BS58" s="1"/>
  <c r="BU58" s="1"/>
  <c r="AZ59"/>
  <c r="BJ59"/>
  <c r="BL59" s="1"/>
  <c r="BS59" s="1"/>
  <c r="BU59" s="1"/>
  <c r="AZ60"/>
  <c r="BB60"/>
  <c r="BJ60"/>
  <c r="BL60" s="1"/>
  <c r="BS60" s="1"/>
  <c r="BU60" s="1"/>
  <c r="AZ61"/>
  <c r="BJ61" s="1"/>
  <c r="BL61" s="1"/>
  <c r="BS61" s="1"/>
  <c r="BU61" s="1"/>
  <c r="M62"/>
  <c r="AZ62"/>
  <c r="BB62"/>
  <c r="BJ62"/>
  <c r="BL62" s="1"/>
  <c r="BS62" s="1"/>
  <c r="BU62" s="1"/>
  <c r="AZ63"/>
  <c r="BB63"/>
  <c r="BJ63"/>
  <c r="BL63" s="1"/>
  <c r="BS63" s="1"/>
  <c r="BU63" s="1"/>
  <c r="AZ64"/>
  <c r="BJ64" s="1"/>
  <c r="BL64" s="1"/>
  <c r="BS64" s="1"/>
  <c r="BU64" s="1"/>
  <c r="AZ65"/>
  <c r="BJ65"/>
  <c r="BL65" s="1"/>
  <c r="BS65" s="1"/>
  <c r="BU65" s="1"/>
  <c r="AZ66"/>
  <c r="BJ66" s="1"/>
  <c r="BL66" s="1"/>
  <c r="BS66" s="1"/>
  <c r="BU66" s="1"/>
  <c r="AZ67"/>
  <c r="BJ67"/>
  <c r="BL67" s="1"/>
  <c r="BS67" s="1"/>
  <c r="BU67" s="1"/>
  <c r="AZ68"/>
  <c r="BJ68" s="1"/>
  <c r="BL68" s="1"/>
  <c r="BS68" s="1"/>
  <c r="BU68" s="1"/>
  <c r="AP69"/>
  <c r="AZ69"/>
  <c r="BJ69" s="1"/>
  <c r="BL69" s="1"/>
  <c r="BS69" s="1"/>
  <c r="BU69" s="1"/>
  <c r="AZ70"/>
  <c r="BJ70"/>
  <c r="BL70" s="1"/>
  <c r="BS70" s="1"/>
  <c r="BU70" s="1"/>
  <c r="AZ71"/>
  <c r="BJ71" s="1"/>
  <c r="BL71" s="1"/>
  <c r="BS71" s="1"/>
  <c r="BU71" s="1"/>
  <c r="AZ72"/>
  <c r="BJ72"/>
  <c r="BL72" s="1"/>
  <c r="BS72" s="1"/>
  <c r="BU72" s="1"/>
  <c r="AZ73"/>
  <c r="BH73"/>
  <c r="BJ73"/>
  <c r="BL73" s="1"/>
  <c r="BS73" s="1"/>
  <c r="BU73" s="1"/>
  <c r="AZ74"/>
  <c r="BH74"/>
  <c r="BJ74"/>
  <c r="BL74" s="1"/>
  <c r="BS74" s="1"/>
  <c r="BU74" s="1"/>
  <c r="AZ75"/>
  <c r="BJ75" s="1"/>
  <c r="BL75" s="1"/>
  <c r="BS75" s="1"/>
  <c r="BU75" s="1"/>
  <c r="AZ76"/>
  <c r="BJ76"/>
  <c r="BL76" s="1"/>
  <c r="BS76" s="1"/>
  <c r="BU76" s="1"/>
  <c r="AZ77"/>
  <c r="BJ77" s="1"/>
  <c r="BL77" s="1"/>
  <c r="BS77" s="1"/>
  <c r="BU77" s="1"/>
  <c r="AZ78"/>
  <c r="BJ78"/>
  <c r="BL78" s="1"/>
  <c r="BS78" s="1"/>
  <c r="BU78" s="1"/>
  <c r="AZ79"/>
  <c r="BJ79" s="1"/>
  <c r="BL79" s="1"/>
  <c r="BS79" s="1"/>
  <c r="BU79" s="1"/>
  <c r="AZ80"/>
  <c r="BJ80"/>
  <c r="BL80" s="1"/>
  <c r="BS80" s="1"/>
  <c r="BU80" s="1"/>
  <c r="AZ81"/>
  <c r="BJ81" s="1"/>
  <c r="BL81" s="1"/>
  <c r="BS81" s="1"/>
  <c r="BU81" s="1"/>
  <c r="M82"/>
  <c r="AZ82"/>
  <c r="BJ82" s="1"/>
  <c r="BL82" s="1"/>
  <c r="BS82" s="1"/>
  <c r="BU82" s="1"/>
  <c r="M83"/>
  <c r="AZ83"/>
  <c r="BJ83" s="1"/>
  <c r="BL83" s="1"/>
  <c r="BS83" s="1"/>
  <c r="BU83" s="1"/>
  <c r="AZ84"/>
  <c r="BJ84"/>
  <c r="BL84" s="1"/>
  <c r="BS84" s="1"/>
  <c r="BU84" s="1"/>
  <c r="AZ85"/>
  <c r="BJ85" s="1"/>
  <c r="BL85" s="1"/>
  <c r="BS85" s="1"/>
  <c r="BU85" s="1"/>
  <c r="AZ86"/>
  <c r="BJ86"/>
  <c r="BL86" s="1"/>
  <c r="BS86" s="1"/>
  <c r="BU86" s="1"/>
  <c r="AZ87"/>
  <c r="BJ87" s="1"/>
  <c r="BL87" s="1"/>
  <c r="BS87" s="1"/>
  <c r="BU87" s="1"/>
  <c r="AZ88"/>
  <c r="BB88"/>
  <c r="BJ88" s="1"/>
  <c r="BL88" s="1"/>
  <c r="BS88" s="1"/>
  <c r="BU88" s="1"/>
  <c r="AZ89"/>
  <c r="BJ89"/>
  <c r="BL89" s="1"/>
  <c r="BS89" s="1"/>
  <c r="BU89" s="1"/>
  <c r="AZ90"/>
  <c r="BJ90" s="1"/>
  <c r="BL90" s="1"/>
  <c r="BS90" s="1"/>
  <c r="BU90" s="1"/>
  <c r="AZ91"/>
  <c r="BJ91"/>
  <c r="BL91" s="1"/>
  <c r="BS91" s="1"/>
  <c r="BU91" s="1"/>
  <c r="AZ92"/>
  <c r="BJ92" s="1"/>
  <c r="BL92" s="1"/>
  <c r="BS92" s="1"/>
  <c r="BU92" s="1"/>
  <c r="M93"/>
  <c r="AZ93"/>
  <c r="BJ93" s="1"/>
  <c r="BL93" s="1"/>
  <c r="BS93" s="1"/>
  <c r="BU93" s="1"/>
  <c r="W11" i="1"/>
  <c r="Y11"/>
  <c r="AK11"/>
  <c r="AM11"/>
  <c r="W12"/>
  <c r="Y12"/>
  <c r="AK12"/>
  <c r="AM12"/>
  <c r="W13"/>
  <c r="Y13"/>
  <c r="AK13"/>
  <c r="AM13"/>
  <c r="Y14"/>
  <c r="AK14"/>
  <c r="AM14" s="1"/>
  <c r="W15"/>
  <c r="Y15" s="1"/>
  <c r="AK15"/>
  <c r="AM15" s="1"/>
  <c r="W16"/>
  <c r="Y16"/>
  <c r="AK16"/>
  <c r="AM16"/>
  <c r="W17"/>
  <c r="Y17"/>
  <c r="AK17"/>
  <c r="AM17"/>
  <c r="W18"/>
  <c r="Y18"/>
  <c r="AK18"/>
  <c r="AM18"/>
  <c r="Y19"/>
  <c r="AM19"/>
  <c r="K20"/>
  <c r="Y20"/>
  <c r="AK20"/>
  <c r="AM20"/>
  <c r="Y21"/>
  <c r="AK21"/>
  <c r="AM21" s="1"/>
  <c r="Y22"/>
  <c r="AK22"/>
  <c r="AM22"/>
  <c r="W23"/>
  <c r="Y23"/>
  <c r="AK23"/>
  <c r="AM23"/>
  <c r="Y24"/>
  <c r="AK24"/>
  <c r="AM24" s="1"/>
  <c r="W25"/>
  <c r="Y25" s="1"/>
  <c r="AK25"/>
  <c r="W26"/>
  <c r="Y26" s="1"/>
  <c r="AK26"/>
  <c r="W27"/>
  <c r="Y27"/>
  <c r="AK27"/>
  <c r="AM27"/>
  <c r="W28"/>
  <c r="Y28"/>
  <c r="AK28"/>
  <c r="AM28"/>
  <c r="W29"/>
  <c r="Y29"/>
  <c r="AK29"/>
  <c r="AM29"/>
  <c r="Y30"/>
  <c r="AK30"/>
  <c r="AM30" s="1"/>
  <c r="Y31"/>
  <c r="AK31"/>
  <c r="AM31"/>
  <c r="K32"/>
  <c r="W32"/>
  <c r="Y32" s="1"/>
  <c r="AK32"/>
  <c r="K33"/>
  <c r="Y33"/>
  <c r="AK33"/>
  <c r="AM33"/>
  <c r="W34"/>
  <c r="Y34"/>
  <c r="AK34"/>
  <c r="AM34"/>
  <c r="Y35"/>
  <c r="AK35"/>
  <c r="AM35" s="1"/>
  <c r="W36"/>
  <c r="Y36" s="1"/>
  <c r="AK36"/>
  <c r="Y37"/>
  <c r="AK37"/>
  <c r="AM37"/>
  <c r="W38"/>
  <c r="Y38"/>
  <c r="AK38"/>
  <c r="AM38"/>
  <c r="W39"/>
  <c r="Y39"/>
  <c r="AK39"/>
  <c r="AM39"/>
  <c r="W40"/>
  <c r="Y40"/>
  <c r="AK40"/>
  <c r="AM40"/>
  <c r="W41"/>
  <c r="Y41"/>
  <c r="AK41"/>
  <c r="AM41"/>
  <c r="W42"/>
  <c r="Y42"/>
  <c r="AK42"/>
  <c r="AM42"/>
  <c r="W43"/>
  <c r="Y43"/>
  <c r="AK43"/>
  <c r="AM43"/>
  <c r="Y44"/>
  <c r="AK44"/>
  <c r="AM44" s="1"/>
  <c r="K45"/>
  <c r="W45"/>
  <c r="Y45"/>
  <c r="AK45"/>
  <c r="AM45"/>
  <c r="W46"/>
  <c r="Y46"/>
  <c r="AK46"/>
  <c r="AM46"/>
  <c r="W47"/>
  <c r="Y47"/>
  <c r="AK47"/>
  <c r="AM47"/>
  <c r="W48"/>
  <c r="Y48"/>
  <c r="AK48"/>
  <c r="AM48"/>
  <c r="W49"/>
  <c r="Y49"/>
  <c r="AK49"/>
  <c r="AM49"/>
  <c r="Y50"/>
  <c r="AK50"/>
  <c r="AM50" s="1"/>
  <c r="W51"/>
  <c r="Y51" s="1"/>
  <c r="AK51"/>
  <c r="W52"/>
  <c r="Y52" s="1"/>
  <c r="AK52"/>
  <c r="K53"/>
  <c r="Y53" s="1"/>
  <c r="AK53"/>
  <c r="W54"/>
  <c r="Y54" s="1"/>
  <c r="AK54"/>
  <c r="W55"/>
  <c r="Y55" s="1"/>
  <c r="AK55"/>
  <c r="Y56"/>
  <c r="AK56"/>
  <c r="AM56"/>
  <c r="W57"/>
  <c r="Y57"/>
  <c r="AK57"/>
  <c r="AM57"/>
  <c r="W58"/>
  <c r="Y58"/>
  <c r="AK58"/>
  <c r="AM58"/>
  <c r="W59"/>
  <c r="Y59"/>
  <c r="AK59"/>
  <c r="AM59"/>
  <c r="W60"/>
  <c r="Y60"/>
  <c r="AK60"/>
  <c r="AM60"/>
  <c r="W61"/>
  <c r="Y61"/>
  <c r="AK61"/>
  <c r="AM61"/>
  <c r="W62"/>
  <c r="Y62"/>
  <c r="AK62"/>
  <c r="AM62"/>
  <c r="Y63"/>
  <c r="AK63"/>
  <c r="AM63" s="1"/>
  <c r="Y64"/>
  <c r="AK64"/>
  <c r="AM64"/>
  <c r="W65"/>
  <c r="Y65"/>
  <c r="AK65"/>
  <c r="AM65"/>
  <c r="K66"/>
  <c r="W66"/>
  <c r="Y66" s="1"/>
  <c r="AK66"/>
  <c r="AM66" s="1"/>
  <c r="W67"/>
  <c r="Y67" s="1"/>
  <c r="AK67"/>
  <c r="AM67" s="1"/>
  <c r="Y68"/>
  <c r="AK68"/>
  <c r="AM68"/>
  <c r="K69"/>
  <c r="W69"/>
  <c r="Y69" s="1"/>
  <c r="AK69"/>
  <c r="AM69" s="1"/>
  <c r="W70"/>
  <c r="Y70" s="1"/>
  <c r="AK70"/>
  <c r="AM70" s="1"/>
  <c r="W71"/>
  <c r="Y71" s="1"/>
  <c r="AK71"/>
  <c r="AM71" s="1"/>
  <c r="W72"/>
  <c r="Y72" s="1"/>
  <c r="AK72"/>
  <c r="AM72" s="1"/>
  <c r="W73"/>
  <c r="Y73" s="1"/>
  <c r="AK73"/>
  <c r="AM73" s="1"/>
  <c r="W74"/>
  <c r="Y74" s="1"/>
  <c r="AK74"/>
  <c r="AM74" s="1"/>
  <c r="W75"/>
  <c r="Y75" s="1"/>
  <c r="AK75"/>
  <c r="AM75" s="1"/>
  <c r="W76"/>
  <c r="Y76" s="1"/>
  <c r="AK76"/>
  <c r="AM76" s="1"/>
  <c r="Y77"/>
  <c r="AK77"/>
  <c r="AM77"/>
  <c r="Y78"/>
  <c r="AK78"/>
  <c r="AM78" s="1"/>
  <c r="Y79"/>
  <c r="AK79"/>
  <c r="AM79"/>
  <c r="W80"/>
  <c r="Y80"/>
  <c r="AK80"/>
  <c r="AM80"/>
  <c r="Y81"/>
  <c r="AK81"/>
  <c r="AM81" s="1"/>
  <c r="W82"/>
  <c r="Y82"/>
  <c r="AK82"/>
  <c r="AM82"/>
  <c r="W83"/>
  <c r="Y83"/>
  <c r="AK83"/>
  <c r="AM83"/>
  <c r="Y84"/>
  <c r="AK84"/>
  <c r="AM84" s="1"/>
  <c r="K85"/>
  <c r="W85"/>
  <c r="Y85"/>
  <c r="AK85"/>
  <c r="AM85"/>
  <c r="K11" i="14"/>
  <c r="O11"/>
  <c r="U11"/>
  <c r="AA11"/>
  <c r="AC11"/>
  <c r="K12"/>
  <c r="O12"/>
  <c r="U12"/>
  <c r="AA12"/>
  <c r="AC12"/>
  <c r="K13"/>
  <c r="O13"/>
  <c r="AC13" s="1"/>
  <c r="U13"/>
  <c r="AA13"/>
  <c r="K14"/>
  <c r="O14"/>
  <c r="AC14" s="1"/>
  <c r="U14"/>
  <c r="AA14"/>
  <c r="K15"/>
  <c r="O15"/>
  <c r="U15"/>
  <c r="AA15" s="1"/>
  <c r="AC15"/>
  <c r="K16"/>
  <c r="O16"/>
  <c r="AC16" s="1"/>
  <c r="U16"/>
  <c r="AA16"/>
  <c r="K17"/>
  <c r="O17"/>
  <c r="U17"/>
  <c r="AA17" s="1"/>
  <c r="AC17"/>
  <c r="K18"/>
  <c r="O18"/>
  <c r="AC18" s="1"/>
  <c r="U18"/>
  <c r="AA18"/>
  <c r="K19"/>
  <c r="AC19" s="1"/>
  <c r="U19"/>
  <c r="AA19"/>
  <c r="K20"/>
  <c r="O20"/>
  <c r="U20"/>
  <c r="AA20" s="1"/>
  <c r="AC20"/>
  <c r="K21"/>
  <c r="O21"/>
  <c r="AC21" s="1"/>
  <c r="U21"/>
  <c r="AA21"/>
  <c r="K22"/>
  <c r="O22"/>
  <c r="U22"/>
  <c r="AA22" s="1"/>
  <c r="AC22"/>
  <c r="K23"/>
  <c r="O23"/>
  <c r="AC23" s="1"/>
  <c r="U23"/>
  <c r="AA23"/>
  <c r="K24"/>
  <c r="O24"/>
  <c r="U24"/>
  <c r="AA24" s="1"/>
  <c r="AC24"/>
  <c r="K25"/>
  <c r="O25"/>
  <c r="AC25" s="1"/>
  <c r="U25"/>
  <c r="AA25"/>
  <c r="K26"/>
  <c r="O26"/>
  <c r="U26"/>
  <c r="AA26" s="1"/>
  <c r="AC26"/>
  <c r="K27"/>
  <c r="O27"/>
  <c r="AC27" s="1"/>
  <c r="U27"/>
  <c r="AA27"/>
  <c r="K28"/>
  <c r="O28"/>
  <c r="U28"/>
  <c r="AA28" s="1"/>
  <c r="AC28"/>
  <c r="K29"/>
  <c r="O29"/>
  <c r="AC29" s="1"/>
  <c r="U29"/>
  <c r="AA29"/>
  <c r="K30"/>
  <c r="O30"/>
  <c r="U30"/>
  <c r="AA30" s="1"/>
  <c r="AC30"/>
  <c r="K31"/>
  <c r="O31"/>
  <c r="AC31" s="1"/>
  <c r="U31"/>
  <c r="AA31"/>
  <c r="K32"/>
  <c r="O32"/>
  <c r="U32"/>
  <c r="AA32" s="1"/>
  <c r="AC32"/>
  <c r="K33"/>
  <c r="O33"/>
  <c r="AC33" s="1"/>
  <c r="U33"/>
  <c r="AA33"/>
  <c r="K34"/>
  <c r="O34"/>
  <c r="U34"/>
  <c r="AA34" s="1"/>
  <c r="AC34"/>
  <c r="K35"/>
  <c r="O35"/>
  <c r="AC35" s="1"/>
  <c r="U35"/>
  <c r="AA35"/>
  <c r="K36"/>
  <c r="O36"/>
  <c r="U36"/>
  <c r="AA36" s="1"/>
  <c r="AC36"/>
  <c r="K37"/>
  <c r="O37"/>
  <c r="AC37" s="1"/>
  <c r="U37"/>
  <c r="AA37"/>
  <c r="G38"/>
  <c r="K38" s="1"/>
  <c r="O38"/>
  <c r="U38"/>
  <c r="AA38"/>
  <c r="K39"/>
  <c r="AC39" s="1"/>
  <c r="O39"/>
  <c r="AA39"/>
  <c r="K40"/>
  <c r="O40"/>
  <c r="U40"/>
  <c r="AA40" s="1"/>
  <c r="AC40"/>
  <c r="K41"/>
  <c r="O41"/>
  <c r="AC41" s="1"/>
  <c r="U41"/>
  <c r="AA41"/>
  <c r="K42"/>
  <c r="O42"/>
  <c r="U42"/>
  <c r="AA42" s="1"/>
  <c r="AC42"/>
  <c r="K43"/>
  <c r="O43"/>
  <c r="AC43" s="1"/>
  <c r="U43"/>
  <c r="AA43"/>
  <c r="K44"/>
  <c r="O44"/>
  <c r="U44"/>
  <c r="AA44" s="1"/>
  <c r="AC44"/>
  <c r="K45"/>
  <c r="O45"/>
  <c r="AC45" s="1"/>
  <c r="U45"/>
  <c r="AA45"/>
  <c r="K46"/>
  <c r="O46"/>
  <c r="U46"/>
  <c r="AA46" s="1"/>
  <c r="AC46"/>
  <c r="K47"/>
  <c r="O47"/>
  <c r="AC47" s="1"/>
  <c r="U47"/>
  <c r="AA47"/>
  <c r="K48"/>
  <c r="O48"/>
  <c r="U48"/>
  <c r="AA48" s="1"/>
  <c r="AC48"/>
  <c r="K49"/>
  <c r="O49"/>
  <c r="AC49" s="1"/>
  <c r="U49"/>
  <c r="AA49"/>
  <c r="K50"/>
  <c r="O50"/>
  <c r="U50"/>
  <c r="AA50" s="1"/>
  <c r="AC50"/>
  <c r="K51"/>
  <c r="O51"/>
  <c r="AC51" s="1"/>
  <c r="U51"/>
  <c r="AA51"/>
  <c r="G52"/>
  <c r="K52" s="1"/>
  <c r="O52"/>
  <c r="U52"/>
  <c r="AA52"/>
  <c r="K53"/>
  <c r="O53"/>
  <c r="U53"/>
  <c r="AA53" s="1"/>
  <c r="AC53"/>
  <c r="K54"/>
  <c r="O54"/>
  <c r="AC54" s="1"/>
  <c r="U54"/>
  <c r="AA54"/>
  <c r="K55"/>
  <c r="O55"/>
  <c r="U55"/>
  <c r="AA55" s="1"/>
  <c r="AC55"/>
  <c r="K56"/>
  <c r="O56"/>
  <c r="AC56" s="1"/>
  <c r="U56"/>
  <c r="AA56"/>
  <c r="K57"/>
  <c r="O57"/>
  <c r="U57"/>
  <c r="AA57" s="1"/>
  <c r="AC57"/>
  <c r="K58"/>
  <c r="O58"/>
  <c r="AC58" s="1"/>
  <c r="U58"/>
  <c r="AA58"/>
  <c r="K59"/>
  <c r="O59"/>
  <c r="U59"/>
  <c r="AA59" s="1"/>
  <c r="AC59"/>
  <c r="K60"/>
  <c r="O60"/>
  <c r="AC60" s="1"/>
  <c r="U60"/>
  <c r="AA60"/>
  <c r="K61"/>
  <c r="O61"/>
  <c r="U61"/>
  <c r="AA61" s="1"/>
  <c r="AC61"/>
  <c r="K62"/>
  <c r="O62"/>
  <c r="AC62" s="1"/>
  <c r="U62"/>
  <c r="AA62"/>
  <c r="K63"/>
  <c r="O63"/>
  <c r="U63"/>
  <c r="AA63" s="1"/>
  <c r="AC63"/>
  <c r="K64"/>
  <c r="O64"/>
  <c r="AA64"/>
  <c r="AC64"/>
  <c r="K65"/>
  <c r="O65"/>
  <c r="AC65" s="1"/>
  <c r="U65"/>
  <c r="AA65"/>
  <c r="K66"/>
  <c r="O66"/>
  <c r="U66"/>
  <c r="AA66" s="1"/>
  <c r="AC66"/>
  <c r="K67"/>
  <c r="O67"/>
  <c r="AC67" s="1"/>
  <c r="U67"/>
  <c r="AA67"/>
  <c r="K68"/>
  <c r="O68"/>
  <c r="U68"/>
  <c r="AA68" s="1"/>
  <c r="AC68"/>
  <c r="K69"/>
  <c r="O69"/>
  <c r="AC69" s="1"/>
  <c r="U69"/>
  <c r="AA69"/>
  <c r="K70"/>
  <c r="O70"/>
  <c r="U70"/>
  <c r="AA70" s="1"/>
  <c r="AC70"/>
  <c r="K71"/>
  <c r="O71"/>
  <c r="AC71" s="1"/>
  <c r="U71"/>
  <c r="AA71"/>
  <c r="K72"/>
  <c r="O72"/>
  <c r="U72"/>
  <c r="AA72" s="1"/>
  <c r="AC72"/>
  <c r="K73"/>
  <c r="O73"/>
  <c r="AC73" s="1"/>
  <c r="U73"/>
  <c r="AA73"/>
  <c r="K74"/>
  <c r="AC74" s="1"/>
  <c r="O74"/>
  <c r="AA74"/>
  <c r="K75"/>
  <c r="O75"/>
  <c r="U75"/>
  <c r="AA75" s="1"/>
  <c r="AC75"/>
  <c r="K76"/>
  <c r="O76"/>
  <c r="AC76" s="1"/>
  <c r="U76"/>
  <c r="AA76"/>
  <c r="K77"/>
  <c r="O77"/>
  <c r="U77"/>
  <c r="AA77" s="1"/>
  <c r="AC77"/>
  <c r="K78"/>
  <c r="O78"/>
  <c r="AC78" s="1"/>
  <c r="U78"/>
  <c r="AA78"/>
  <c r="K79"/>
  <c r="AC79" s="1"/>
  <c r="O79"/>
  <c r="AA79"/>
  <c r="K80"/>
  <c r="O80"/>
  <c r="U80"/>
  <c r="AA80" s="1"/>
  <c r="AC80"/>
  <c r="K81"/>
  <c r="O81"/>
  <c r="AC81" s="1"/>
  <c r="U81"/>
  <c r="AA81"/>
  <c r="M11" i="17"/>
  <c r="U11"/>
  <c r="AW11"/>
  <c r="AY11" s="1"/>
  <c r="BC11" s="1"/>
  <c r="BE11" s="1"/>
  <c r="M12"/>
  <c r="AW12"/>
  <c r="AY12" s="1"/>
  <c r="BC12" s="1"/>
  <c r="BE12" s="1"/>
  <c r="M13"/>
  <c r="AW13" s="1"/>
  <c r="AY13" s="1"/>
  <c r="BC13" s="1"/>
  <c r="BE13" s="1"/>
  <c r="M14"/>
  <c r="AU14"/>
  <c r="AW14" s="1"/>
  <c r="AY14" s="1"/>
  <c r="BC14" s="1"/>
  <c r="BE14" s="1"/>
  <c r="M15"/>
  <c r="AW15"/>
  <c r="AY15" s="1"/>
  <c r="BC15" s="1"/>
  <c r="BE15" s="1"/>
  <c r="M16"/>
  <c r="AW16" s="1"/>
  <c r="AY16" s="1"/>
  <c r="BC16" s="1"/>
  <c r="BE16" s="1"/>
  <c r="AW17"/>
  <c r="AY17"/>
  <c r="BC17" s="1"/>
  <c r="BE17" s="1"/>
  <c r="AW18"/>
  <c r="AY18"/>
  <c r="BC18" s="1"/>
  <c r="BE18" s="1"/>
  <c r="AW19"/>
  <c r="AY19"/>
  <c r="BC19" s="1"/>
  <c r="BE19" s="1"/>
  <c r="AW20"/>
  <c r="AY20"/>
  <c r="BC20" s="1"/>
  <c r="BE20" s="1"/>
  <c r="AW21"/>
  <c r="AY21"/>
  <c r="BC21" s="1"/>
  <c r="BE21" s="1"/>
  <c r="AU22"/>
  <c r="AW22"/>
  <c r="AY22" s="1"/>
  <c r="BC22" s="1"/>
  <c r="BE22" s="1"/>
  <c r="M23"/>
  <c r="AW23" s="1"/>
  <c r="AY23" s="1"/>
  <c r="BC23" s="1"/>
  <c r="BE23" s="1"/>
  <c r="AW24"/>
  <c r="AY24"/>
  <c r="BC24" s="1"/>
  <c r="BE24" s="1"/>
  <c r="M25"/>
  <c r="AW25"/>
  <c r="AY25" s="1"/>
  <c r="BC25" s="1"/>
  <c r="BE25" s="1"/>
  <c r="AW26"/>
  <c r="AY26" s="1"/>
  <c r="BC26" s="1"/>
  <c r="BE26" s="1"/>
  <c r="AW27"/>
  <c r="AY27" s="1"/>
  <c r="BC27" s="1"/>
  <c r="BE27" s="1"/>
  <c r="AW28"/>
  <c r="AY28" s="1"/>
  <c r="BC28" s="1"/>
  <c r="BE28" s="1"/>
  <c r="AW29"/>
  <c r="AY29" s="1"/>
  <c r="BC29" s="1"/>
  <c r="BE29" s="1"/>
  <c r="M30"/>
  <c r="AW30" s="1"/>
  <c r="AY30" s="1"/>
  <c r="BC30" s="1"/>
  <c r="BE30" s="1"/>
  <c r="AM31"/>
  <c r="AO31"/>
  <c r="AW31" s="1"/>
  <c r="AY31" s="1"/>
  <c r="BC31" s="1"/>
  <c r="BE31" s="1"/>
  <c r="AW32"/>
  <c r="AY32"/>
  <c r="BC32" s="1"/>
  <c r="BE32" s="1"/>
  <c r="AW33"/>
  <c r="AY33"/>
  <c r="BC33" s="1"/>
  <c r="BE33" s="1"/>
  <c r="AW34"/>
  <c r="AY34"/>
  <c r="BC34" s="1"/>
  <c r="BE34" s="1"/>
  <c r="AW35"/>
  <c r="AY35"/>
  <c r="BC35" s="1"/>
  <c r="BE35" s="1"/>
  <c r="AU36"/>
  <c r="AW36"/>
  <c r="AY36" s="1"/>
  <c r="BC36" s="1"/>
  <c r="BE36" s="1"/>
  <c r="AM37"/>
  <c r="AO37"/>
  <c r="AW37"/>
  <c r="AY37" s="1"/>
  <c r="BC37" s="1"/>
  <c r="BE37" s="1"/>
  <c r="M38"/>
  <c r="AW38" s="1"/>
  <c r="AY38" s="1"/>
  <c r="BC38" s="1"/>
  <c r="BE38" s="1"/>
  <c r="M39"/>
  <c r="AW39"/>
  <c r="AY39" s="1"/>
  <c r="BC39" s="1"/>
  <c r="BE39" s="1"/>
  <c r="M40"/>
  <c r="AO40"/>
  <c r="AW40"/>
  <c r="AY40" s="1"/>
  <c r="BC40" s="1"/>
  <c r="BE40" s="1"/>
  <c r="AW41"/>
  <c r="AY41" s="1"/>
  <c r="BC41" s="1"/>
  <c r="BE41" s="1"/>
  <c r="AW42"/>
  <c r="AY42" s="1"/>
  <c r="BC42" s="1"/>
  <c r="BE42" s="1"/>
  <c r="M43"/>
  <c r="AW43" s="1"/>
  <c r="AY43" s="1"/>
  <c r="BC43" s="1"/>
  <c r="BE43" s="1"/>
  <c r="AW44"/>
  <c r="AY44"/>
  <c r="BC44" s="1"/>
  <c r="BE44" s="1"/>
  <c r="M45"/>
  <c r="AW45"/>
  <c r="AY45" s="1"/>
  <c r="BC45" s="1"/>
  <c r="BE45" s="1"/>
  <c r="AW46"/>
  <c r="AY46" s="1"/>
  <c r="BC46" s="1"/>
  <c r="BE46" s="1"/>
  <c r="AW47"/>
  <c r="AY47" s="1"/>
  <c r="BC47" s="1"/>
  <c r="BE47" s="1"/>
  <c r="AW48"/>
  <c r="AY48" s="1"/>
  <c r="BC48" s="1"/>
  <c r="BE48" s="1"/>
  <c r="AW49"/>
  <c r="AY49" s="1"/>
  <c r="BC49" s="1"/>
  <c r="BE49" s="1"/>
  <c r="AW50"/>
  <c r="AY50" s="1"/>
  <c r="BC50" s="1"/>
  <c r="BE50" s="1"/>
  <c r="AW51"/>
  <c r="AY51" s="1"/>
  <c r="BC51" s="1"/>
  <c r="BE51" s="1"/>
  <c r="AU52"/>
  <c r="AW52" s="1"/>
  <c r="AY52" s="1"/>
  <c r="BC52" s="1"/>
  <c r="BE52" s="1"/>
  <c r="AU53"/>
  <c r="AW53"/>
  <c r="AY53" s="1"/>
  <c r="BC53" s="1"/>
  <c r="BE53" s="1"/>
  <c r="AW54"/>
  <c r="AY54" s="1"/>
  <c r="BC54" s="1"/>
  <c r="BE54" s="1"/>
  <c r="AW55"/>
  <c r="AY55" s="1"/>
  <c r="BC55" s="1"/>
  <c r="BE55" s="1"/>
  <c r="AW56"/>
  <c r="AY56" s="1"/>
  <c r="BC56" s="1"/>
  <c r="BE56" s="1"/>
  <c r="M57"/>
  <c r="AW57" s="1"/>
  <c r="AY57" s="1"/>
  <c r="BC57" s="1"/>
  <c r="BE57" s="1"/>
  <c r="AW58"/>
  <c r="AY58"/>
  <c r="BC58" s="1"/>
  <c r="BE58" s="1"/>
  <c r="AW59"/>
  <c r="AY59"/>
  <c r="BC59" s="1"/>
  <c r="BE59" s="1"/>
  <c r="AU60"/>
  <c r="AW60"/>
  <c r="AY60" s="1"/>
  <c r="BC60" s="1"/>
  <c r="BE60" s="1"/>
  <c r="AW61"/>
  <c r="AY61" s="1"/>
  <c r="BC61" s="1"/>
  <c r="BE61" s="1"/>
  <c r="M62"/>
  <c r="AW62" s="1"/>
  <c r="AY62" s="1"/>
  <c r="BC62" s="1"/>
  <c r="BE62" s="1"/>
  <c r="AM63"/>
  <c r="AU63"/>
  <c r="AW63" s="1"/>
  <c r="AY63" s="1"/>
  <c r="BC63" s="1"/>
  <c r="BE63" s="1"/>
  <c r="AW64"/>
  <c r="AY64"/>
  <c r="BC64" s="1"/>
  <c r="BE64" s="1"/>
  <c r="M65"/>
  <c r="AW65"/>
  <c r="AY65" s="1"/>
  <c r="BC65" s="1"/>
  <c r="BE65" s="1"/>
  <c r="AW66"/>
  <c r="AY66" s="1"/>
  <c r="BC66" s="1"/>
  <c r="BE66" s="1"/>
  <c r="AW67"/>
  <c r="AY67" s="1"/>
  <c r="BC67" s="1"/>
  <c r="BE67" s="1"/>
  <c r="AW68"/>
  <c r="AY68" s="1"/>
  <c r="BC68" s="1"/>
  <c r="BE68" s="1"/>
  <c r="AW69"/>
  <c r="AY69" s="1"/>
  <c r="BC69" s="1"/>
  <c r="BE69" s="1"/>
  <c r="AW70"/>
  <c r="AY70" s="1"/>
  <c r="BC70" s="1"/>
  <c r="BE70" s="1"/>
  <c r="AW71"/>
  <c r="AY71" s="1"/>
  <c r="BC71" s="1"/>
  <c r="BE71" s="1"/>
  <c r="AW72"/>
  <c r="AY72" s="1"/>
  <c r="BC72" s="1"/>
  <c r="BE72" s="1"/>
  <c r="AW73"/>
  <c r="AY73" s="1"/>
  <c r="BC73" s="1"/>
  <c r="BE73" s="1"/>
  <c r="AU74"/>
  <c r="AW74" s="1"/>
  <c r="AY74" s="1"/>
  <c r="BC74" s="1"/>
  <c r="BE74" s="1"/>
  <c r="AW75"/>
  <c r="AY75"/>
  <c r="BC75" s="1"/>
  <c r="BE75" s="1"/>
  <c r="AW76"/>
  <c r="AY76"/>
  <c r="BC76" s="1"/>
  <c r="BE76" s="1"/>
  <c r="AW77"/>
  <c r="AY77"/>
  <c r="BC77" s="1"/>
  <c r="BE77" s="1"/>
  <c r="AW78"/>
  <c r="AY78"/>
  <c r="BC78" s="1"/>
  <c r="BE78" s="1"/>
  <c r="AW79"/>
  <c r="AY79"/>
  <c r="BC79" s="1"/>
  <c r="BE79" s="1"/>
  <c r="AW80"/>
  <c r="AY80"/>
  <c r="BC80" s="1"/>
  <c r="BE80" s="1"/>
  <c r="AW81"/>
  <c r="AY81"/>
  <c r="BC81" s="1"/>
  <c r="BE81" s="1"/>
  <c r="M82"/>
  <c r="AW82"/>
  <c r="AY82" s="1"/>
  <c r="BC82" s="1"/>
  <c r="BE82" s="1"/>
  <c r="M11" i="15"/>
  <c r="O11"/>
  <c r="AG11"/>
  <c r="AI11" s="1"/>
  <c r="M12"/>
  <c r="O12"/>
  <c r="AG12"/>
  <c r="AI12" s="1"/>
  <c r="M13"/>
  <c r="O13"/>
  <c r="AA13"/>
  <c r="AG13" s="1"/>
  <c r="AI13" s="1"/>
  <c r="M14"/>
  <c r="AA14"/>
  <c r="AG14" s="1"/>
  <c r="AI14" s="1"/>
  <c r="M15"/>
  <c r="O15"/>
  <c r="AG15" s="1"/>
  <c r="AI15" s="1"/>
  <c r="M16"/>
  <c r="O16"/>
  <c r="AG16" s="1"/>
  <c r="AI16" s="1"/>
  <c r="M17"/>
  <c r="O17"/>
  <c r="AG17" s="1"/>
  <c r="AI17" s="1"/>
  <c r="M18"/>
  <c r="O18"/>
  <c r="AA18"/>
  <c r="AG18"/>
  <c r="AI18" s="1"/>
  <c r="M19"/>
  <c r="AG19"/>
  <c r="AI19"/>
  <c r="M20"/>
  <c r="O20"/>
  <c r="AG20" s="1"/>
  <c r="AI20" s="1"/>
  <c r="M21"/>
  <c r="AG21"/>
  <c r="AI21" s="1"/>
  <c r="M22"/>
  <c r="AG22"/>
  <c r="AI22"/>
  <c r="M23"/>
  <c r="O23"/>
  <c r="AG23" s="1"/>
  <c r="AI23" s="1"/>
  <c r="M24"/>
  <c r="O24"/>
  <c r="AG24" s="1"/>
  <c r="AI24" s="1"/>
  <c r="M25"/>
  <c r="O25"/>
  <c r="AG25" s="1"/>
  <c r="AI25" s="1"/>
  <c r="M26"/>
  <c r="AA26"/>
  <c r="AG26" s="1"/>
  <c r="AI26" s="1"/>
  <c r="M27"/>
  <c r="AG27"/>
  <c r="AI27" s="1"/>
  <c r="M28"/>
  <c r="O28"/>
  <c r="AG28"/>
  <c r="AI28" s="1"/>
  <c r="M29"/>
  <c r="AG29"/>
  <c r="AI29"/>
  <c r="M30"/>
  <c r="AG30"/>
  <c r="AI30" s="1"/>
  <c r="M31"/>
  <c r="O31"/>
  <c r="AG31"/>
  <c r="AI31" s="1"/>
  <c r="M32"/>
  <c r="AG32"/>
  <c r="AI32"/>
  <c r="M33"/>
  <c r="O33"/>
  <c r="AG33" s="1"/>
  <c r="AI33" s="1"/>
  <c r="M34"/>
  <c r="O34"/>
  <c r="AG34" s="1"/>
  <c r="AI34" s="1"/>
  <c r="M35"/>
  <c r="O35"/>
  <c r="AG35" s="1"/>
  <c r="AI35" s="1"/>
  <c r="M36"/>
  <c r="O36"/>
  <c r="AG36" s="1"/>
  <c r="AI36" s="1"/>
  <c r="M37"/>
  <c r="O37"/>
  <c r="AG37"/>
  <c r="AI37" s="1"/>
  <c r="M38"/>
  <c r="AG38"/>
  <c r="AI38"/>
  <c r="M39"/>
  <c r="O39"/>
  <c r="AA39"/>
  <c r="AG39"/>
  <c r="AI39" s="1"/>
  <c r="M40"/>
  <c r="AG40"/>
  <c r="AI40"/>
  <c r="M41"/>
  <c r="AG41"/>
  <c r="AI41" s="1"/>
  <c r="M42"/>
  <c r="AA42"/>
  <c r="AG42"/>
  <c r="AI42" s="1"/>
  <c r="M43"/>
  <c r="AG43"/>
  <c r="AI43"/>
  <c r="M44"/>
  <c r="AG44"/>
  <c r="AI44" s="1"/>
  <c r="M45"/>
  <c r="AG45"/>
  <c r="AI45"/>
  <c r="M46"/>
  <c r="AG46"/>
  <c r="AI46" s="1"/>
  <c r="M47"/>
  <c r="AG47"/>
  <c r="AI47"/>
  <c r="M48"/>
  <c r="AG48"/>
  <c r="AI48" s="1"/>
  <c r="M49"/>
  <c r="AG49"/>
  <c r="AI49"/>
  <c r="M50"/>
  <c r="AG50"/>
  <c r="AI50" s="1"/>
  <c r="M51"/>
  <c r="AG51"/>
  <c r="AI51"/>
  <c r="M52"/>
  <c r="AA52"/>
  <c r="AG52" s="1"/>
  <c r="AI52" s="1"/>
  <c r="M53"/>
  <c r="AG53"/>
  <c r="AI53" s="1"/>
  <c r="M54"/>
  <c r="O54"/>
  <c r="AG54"/>
  <c r="AI54" s="1"/>
  <c r="M55"/>
  <c r="O55"/>
  <c r="AA55"/>
  <c r="AG55" s="1"/>
  <c r="AI55" s="1"/>
  <c r="M56"/>
  <c r="AG56"/>
  <c r="AI56" s="1"/>
  <c r="M57"/>
  <c r="AG57"/>
  <c r="AI57"/>
  <c r="M58"/>
  <c r="AG58"/>
  <c r="AI58" s="1"/>
  <c r="M59"/>
  <c r="AG59"/>
  <c r="AI59"/>
  <c r="M60"/>
  <c r="AG60"/>
  <c r="AI60" s="1"/>
  <c r="M61"/>
  <c r="AG61"/>
  <c r="AI61"/>
  <c r="M62"/>
  <c r="AG62"/>
  <c r="AI62" s="1"/>
  <c r="M63"/>
  <c r="AG63"/>
  <c r="AI63"/>
  <c r="M64"/>
  <c r="AG64"/>
  <c r="AI64" s="1"/>
  <c r="M65"/>
  <c r="AG65"/>
  <c r="AI65"/>
  <c r="M66"/>
  <c r="AG66"/>
  <c r="AI66" s="1"/>
  <c r="M67"/>
  <c r="AG67"/>
  <c r="AI67"/>
  <c r="M68"/>
  <c r="AG68"/>
  <c r="AI68" s="1"/>
  <c r="M69"/>
  <c r="AG69"/>
  <c r="AI69"/>
  <c r="M70"/>
  <c r="AG70"/>
  <c r="AI70" s="1"/>
  <c r="M71"/>
  <c r="AG71"/>
  <c r="AI71"/>
  <c r="M72"/>
  <c r="AG72"/>
  <c r="AI72" s="1"/>
  <c r="M73"/>
  <c r="AA73"/>
  <c r="AG73"/>
  <c r="AI73" s="1"/>
  <c r="M74"/>
  <c r="AA74"/>
  <c r="AG74"/>
  <c r="AI74" s="1"/>
  <c r="M75"/>
  <c r="AG75"/>
  <c r="AI75"/>
  <c r="M76"/>
  <c r="AG76"/>
  <c r="AI76" s="1"/>
  <c r="M77"/>
  <c r="AG77"/>
  <c r="AI77"/>
  <c r="M78"/>
  <c r="AG78"/>
  <c r="AI78" s="1"/>
  <c r="M79"/>
  <c r="AG79"/>
  <c r="AI79"/>
  <c r="M80"/>
  <c r="AG80"/>
  <c r="AI80" s="1"/>
  <c r="M81"/>
  <c r="O81"/>
  <c r="AG81"/>
  <c r="AI81" s="1"/>
  <c r="G11" i="16"/>
  <c r="I11"/>
  <c r="M11"/>
  <c r="AF11" s="1"/>
  <c r="W11"/>
  <c r="AD11"/>
  <c r="I12"/>
  <c r="G12" s="1"/>
  <c r="AF12" s="1"/>
  <c r="M12"/>
  <c r="W12"/>
  <c r="AD12"/>
  <c r="G13"/>
  <c r="I13"/>
  <c r="M13"/>
  <c r="AA13"/>
  <c r="AD13"/>
  <c r="AF13"/>
  <c r="G14"/>
  <c r="M14"/>
  <c r="W14"/>
  <c r="AD14"/>
  <c r="AF14"/>
  <c r="I15"/>
  <c r="G15" s="1"/>
  <c r="AF15" s="1"/>
  <c r="M15"/>
  <c r="W15"/>
  <c r="AD15"/>
  <c r="I16"/>
  <c r="G16" s="1"/>
  <c r="AF16" s="1"/>
  <c r="M16"/>
  <c r="W16"/>
  <c r="AD16"/>
  <c r="I17"/>
  <c r="G17" s="1"/>
  <c r="AF17" s="1"/>
  <c r="M17"/>
  <c r="W17"/>
  <c r="AD17"/>
  <c r="I18"/>
  <c r="G18" s="1"/>
  <c r="AF18" s="1"/>
  <c r="M18"/>
  <c r="W18"/>
  <c r="AD18"/>
  <c r="G19"/>
  <c r="W19"/>
  <c r="AD19"/>
  <c r="AF19"/>
  <c r="I20"/>
  <c r="G20" s="1"/>
  <c r="AF20" s="1"/>
  <c r="M20"/>
  <c r="W20"/>
  <c r="AD20"/>
  <c r="I21"/>
  <c r="G21" s="1"/>
  <c r="AF21" s="1"/>
  <c r="M21"/>
  <c r="W21"/>
  <c r="AD21"/>
  <c r="G22"/>
  <c r="M22"/>
  <c r="W22"/>
  <c r="AD22"/>
  <c r="AF22"/>
  <c r="I23"/>
  <c r="G23" s="1"/>
  <c r="AF23" s="1"/>
  <c r="M23"/>
  <c r="W23"/>
  <c r="AD23"/>
  <c r="I24"/>
  <c r="G24" s="1"/>
  <c r="AF24" s="1"/>
  <c r="M24"/>
  <c r="W24"/>
  <c r="AD24"/>
  <c r="G25"/>
  <c r="I25"/>
  <c r="M25"/>
  <c r="W25"/>
  <c r="AD25"/>
  <c r="AF25"/>
  <c r="G26"/>
  <c r="M26"/>
  <c r="W26"/>
  <c r="AD26"/>
  <c r="AF26"/>
  <c r="G27"/>
  <c r="M27"/>
  <c r="W27"/>
  <c r="AD27"/>
  <c r="AF27"/>
  <c r="I28"/>
  <c r="G28" s="1"/>
  <c r="AF28" s="1"/>
  <c r="M28"/>
  <c r="W28"/>
  <c r="AD28"/>
  <c r="G29"/>
  <c r="O29"/>
  <c r="M29" s="1"/>
  <c r="AF29" s="1"/>
  <c r="Q29"/>
  <c r="W29"/>
  <c r="AD29"/>
  <c r="G30"/>
  <c r="M30"/>
  <c r="W30"/>
  <c r="AD30"/>
  <c r="AF30"/>
  <c r="G31"/>
  <c r="M31"/>
  <c r="W31"/>
  <c r="AD31"/>
  <c r="AF31"/>
  <c r="G32"/>
  <c r="M32"/>
  <c r="W32"/>
  <c r="AD32"/>
  <c r="AF32"/>
  <c r="I33"/>
  <c r="G33" s="1"/>
  <c r="AF33" s="1"/>
  <c r="M33"/>
  <c r="W33"/>
  <c r="AD33"/>
  <c r="I34"/>
  <c r="G34" s="1"/>
  <c r="AF34" s="1"/>
  <c r="M34"/>
  <c r="W34"/>
  <c r="AD34"/>
  <c r="G35"/>
  <c r="I35"/>
  <c r="Q35"/>
  <c r="M35" s="1"/>
  <c r="AF35" s="1"/>
  <c r="W35"/>
  <c r="AD35"/>
  <c r="G36"/>
  <c r="M36"/>
  <c r="W36"/>
  <c r="AD36"/>
  <c r="AF36"/>
  <c r="I37"/>
  <c r="G37" s="1"/>
  <c r="AF37" s="1"/>
  <c r="M37"/>
  <c r="W37"/>
  <c r="AD37"/>
  <c r="G38"/>
  <c r="I38"/>
  <c r="M38"/>
  <c r="AF38" s="1"/>
  <c r="W38"/>
  <c r="AD38"/>
  <c r="Q39"/>
  <c r="W39"/>
  <c r="AD39"/>
  <c r="AF39"/>
  <c r="I40"/>
  <c r="G40" s="1"/>
  <c r="AF40" s="1"/>
  <c r="M40"/>
  <c r="Q40"/>
  <c r="W40"/>
  <c r="AD40"/>
  <c r="G41"/>
  <c r="M41"/>
  <c r="Q41"/>
  <c r="W41"/>
  <c r="AD41"/>
  <c r="AF41"/>
  <c r="G42"/>
  <c r="M42"/>
  <c r="Q42"/>
  <c r="W42"/>
  <c r="AD42"/>
  <c r="AF42"/>
  <c r="G43"/>
  <c r="M43"/>
  <c r="Q43"/>
  <c r="W43"/>
  <c r="AD43"/>
  <c r="AF43"/>
  <c r="G44"/>
  <c r="M44"/>
  <c r="AF44" s="1"/>
  <c r="W44"/>
  <c r="AD44"/>
  <c r="G45"/>
  <c r="AF45" s="1"/>
  <c r="Q45"/>
  <c r="M45" s="1"/>
  <c r="W45"/>
  <c r="AD45"/>
  <c r="G46"/>
  <c r="AF46" s="1"/>
  <c r="Q46"/>
  <c r="M46" s="1"/>
  <c r="W46"/>
  <c r="AD46"/>
  <c r="G47"/>
  <c r="AF47" s="1"/>
  <c r="Q47"/>
  <c r="M47" s="1"/>
  <c r="W47"/>
  <c r="AD47"/>
  <c r="G48"/>
  <c r="AF48" s="1"/>
  <c r="Q48"/>
  <c r="M48" s="1"/>
  <c r="W48"/>
  <c r="AD48"/>
  <c r="G49"/>
  <c r="AF49" s="1"/>
  <c r="Q49"/>
  <c r="M49" s="1"/>
  <c r="W49"/>
  <c r="AD49"/>
  <c r="G50"/>
  <c r="AF50" s="1"/>
  <c r="Q50"/>
  <c r="M50" s="1"/>
  <c r="W50"/>
  <c r="AD50"/>
  <c r="G51"/>
  <c r="AF51" s="1"/>
  <c r="Q51"/>
  <c r="M51" s="1"/>
  <c r="W51"/>
  <c r="AD51"/>
  <c r="G52"/>
  <c r="M52"/>
  <c r="W52"/>
  <c r="AD52"/>
  <c r="AF52"/>
  <c r="G53"/>
  <c r="M53"/>
  <c r="Q53"/>
  <c r="W53"/>
  <c r="AD53"/>
  <c r="AF53"/>
  <c r="G54"/>
  <c r="M54"/>
  <c r="Q54"/>
  <c r="W54"/>
  <c r="AD54"/>
  <c r="AF54"/>
  <c r="G55"/>
  <c r="M55"/>
  <c r="Q55"/>
  <c r="W55"/>
  <c r="AD55"/>
  <c r="AF55"/>
  <c r="G56"/>
  <c r="M56"/>
  <c r="Q56"/>
  <c r="W56"/>
  <c r="AD56"/>
  <c r="AF56"/>
  <c r="G57"/>
  <c r="M57"/>
  <c r="Q57"/>
  <c r="W57"/>
  <c r="AD57"/>
  <c r="AF57"/>
  <c r="G58"/>
  <c r="M58"/>
  <c r="Q58"/>
  <c r="W58"/>
  <c r="AD58"/>
  <c r="AF58"/>
  <c r="G59"/>
  <c r="M59"/>
  <c r="Q59"/>
  <c r="W59"/>
  <c r="AD59"/>
  <c r="AF59"/>
  <c r="G60"/>
  <c r="M60"/>
  <c r="AF60" s="1"/>
  <c r="W60"/>
  <c r="AD60"/>
  <c r="G61"/>
  <c r="M61"/>
  <c r="W61"/>
  <c r="AD61"/>
  <c r="AF61"/>
  <c r="G62"/>
  <c r="M62"/>
  <c r="Q62"/>
  <c r="W62"/>
  <c r="AD62"/>
  <c r="AF62"/>
  <c r="G63"/>
  <c r="M63"/>
  <c r="Q63"/>
  <c r="W63"/>
  <c r="AD63"/>
  <c r="AF63"/>
  <c r="G64"/>
  <c r="M64"/>
  <c r="AF64" s="1"/>
  <c r="W64"/>
  <c r="AD64"/>
  <c r="G65"/>
  <c r="M65"/>
  <c r="W65"/>
  <c r="AD65"/>
  <c r="AF65"/>
  <c r="G66"/>
  <c r="M66"/>
  <c r="AF66" s="1"/>
  <c r="W66"/>
  <c r="AD66"/>
  <c r="G67"/>
  <c r="Q67"/>
  <c r="M67" s="1"/>
  <c r="W67"/>
  <c r="AD67"/>
  <c r="G68"/>
  <c r="Q68"/>
  <c r="M68" s="1"/>
  <c r="W68"/>
  <c r="AD68"/>
  <c r="G69"/>
  <c r="M69"/>
  <c r="W69"/>
  <c r="AD69"/>
  <c r="AF69"/>
  <c r="G70"/>
  <c r="M70"/>
  <c r="Q70"/>
  <c r="W70"/>
  <c r="AD70"/>
  <c r="AF70"/>
  <c r="G71"/>
  <c r="M71"/>
  <c r="AF71" s="1"/>
  <c r="W71"/>
  <c r="AD71"/>
  <c r="G72"/>
  <c r="AF72" s="1"/>
  <c r="Q72"/>
  <c r="M72" s="1"/>
  <c r="W72"/>
  <c r="AD72"/>
  <c r="G73"/>
  <c r="M73"/>
  <c r="W73"/>
  <c r="AD73"/>
  <c r="AF73"/>
  <c r="G74"/>
  <c r="M74"/>
  <c r="AF74" s="1"/>
  <c r="W74"/>
  <c r="AD74"/>
  <c r="G75"/>
  <c r="Q75"/>
  <c r="M75" s="1"/>
  <c r="W75"/>
  <c r="AD75"/>
  <c r="G76"/>
  <c r="M76"/>
  <c r="W76"/>
  <c r="AD76"/>
  <c r="AF76"/>
  <c r="AP538" i="25"/>
  <c r="AA226" i="15"/>
  <c r="AM55" i="1" l="1"/>
  <c r="AM54"/>
  <c r="AM53"/>
  <c r="AM52"/>
  <c r="AM51"/>
  <c r="AM36"/>
  <c r="AM32"/>
  <c r="AM26"/>
  <c r="AM25"/>
  <c r="AC52" i="14"/>
  <c r="AC38"/>
  <c r="AF75" i="16"/>
  <c r="AF68"/>
  <c r="AF67"/>
  <c r="AE625" i="22"/>
  <c r="AE613"/>
  <c r="AE605"/>
  <c r="AO596"/>
  <c r="AK595"/>
  <c r="AK586"/>
  <c r="AE578"/>
  <c r="AE575"/>
  <c r="AE573"/>
  <c r="AQ576"/>
  <c r="AO548"/>
  <c r="AE547"/>
  <c r="AK546"/>
  <c r="AE538"/>
  <c r="AK517"/>
  <c r="AE516"/>
  <c r="AE499"/>
  <c r="AI497" i="25"/>
  <c r="W497" i="22"/>
  <c r="AE497"/>
  <c r="Y496" i="26"/>
  <c r="U496"/>
  <c r="AV493" i="25"/>
  <c r="W493" i="22"/>
  <c r="AE493"/>
  <c r="AE468"/>
  <c r="AE467"/>
  <c r="AV452" i="25"/>
  <c r="AE452" i="22"/>
  <c r="AE450"/>
  <c r="W434"/>
  <c r="AP399" i="25"/>
  <c r="M399"/>
  <c r="W399" i="22"/>
  <c r="AI408" i="25"/>
  <c r="AN407"/>
  <c r="AK369" i="22"/>
  <c r="AE360"/>
  <c r="AE357"/>
  <c r="AK355"/>
  <c r="AE354"/>
  <c r="AE353"/>
  <c r="AE349"/>
  <c r="AE346"/>
  <c r="AK345"/>
  <c r="AK342"/>
  <c r="AE338"/>
  <c r="AE326"/>
  <c r="AK323"/>
  <c r="AO323" s="1"/>
  <c r="AE313"/>
  <c r="AK303"/>
  <c r="AK301"/>
  <c r="AE298"/>
  <c r="AN289" i="25"/>
  <c r="AV289"/>
  <c r="AE289" i="22"/>
  <c r="AK280"/>
  <c r="AE255"/>
  <c r="AE253"/>
  <c r="AE250"/>
  <c r="AK244"/>
  <c r="AE243"/>
  <c r="BH243" i="25"/>
  <c r="AP238"/>
  <c r="W238" i="22"/>
  <c r="W239"/>
  <c r="M238" i="25"/>
  <c r="AV238"/>
  <c r="AE238" i="22"/>
  <c r="AK235"/>
  <c r="AV228" i="25"/>
  <c r="AE228" i="22"/>
  <c r="AE217"/>
  <c r="AX210" i="25"/>
  <c r="AE210" i="22"/>
  <c r="Y208" i="26"/>
  <c r="U208"/>
  <c r="G208"/>
  <c r="W208" i="22"/>
  <c r="AV208" i="25"/>
  <c r="AE208" i="22"/>
  <c r="AK204"/>
  <c r="G201"/>
  <c r="AP201" i="25"/>
  <c r="AV201"/>
  <c r="W201" i="22"/>
  <c r="AE193"/>
  <c r="AO193" s="1"/>
  <c r="W192"/>
  <c r="AO191"/>
  <c r="AK185"/>
  <c r="AO170"/>
  <c r="AE169"/>
  <c r="AK169"/>
  <c r="AE154"/>
  <c r="AO150"/>
  <c r="AO151"/>
  <c r="AQ173"/>
  <c r="Y126" i="26"/>
  <c r="G126"/>
  <c r="AE126" i="22"/>
  <c r="AV126" i="25"/>
  <c r="AO126" i="22"/>
  <c r="AE120"/>
  <c r="BT119" i="25"/>
  <c r="AO118" i="22"/>
  <c r="AO115"/>
  <c r="AE111"/>
  <c r="AK405"/>
  <c r="Q462" i="26"/>
  <c r="BH202" i="2" l="1"/>
  <c r="BB280"/>
  <c r="AK599" i="1"/>
  <c r="AK115"/>
  <c r="BH360" i="2"/>
  <c r="AK323" i="1"/>
  <c r="AE235"/>
  <c r="BH235" i="2"/>
  <c r="BB479"/>
  <c r="BB420"/>
  <c r="BB341"/>
  <c r="BB309"/>
  <c r="BB233"/>
  <c r="AK191" i="1"/>
  <c r="AK192"/>
  <c r="AK193"/>
  <c r="AK194"/>
  <c r="BB191" i="2"/>
  <c r="BB170"/>
  <c r="BB129"/>
  <c r="W176" i="14"/>
  <c r="K90"/>
  <c r="AA245" i="15" l="1"/>
  <c r="AA301"/>
  <c r="AE139"/>
  <c r="AE162"/>
  <c r="I471" i="10"/>
  <c r="G471"/>
  <c r="G186" l="1"/>
  <c r="S186" s="1"/>
  <c r="X186"/>
  <c r="S187"/>
  <c r="X187"/>
  <c r="S188"/>
  <c r="X188"/>
  <c r="S189"/>
  <c r="X189"/>
  <c r="M525" l="1"/>
  <c r="M412" i="25"/>
  <c r="W412" i="22"/>
  <c r="Y415" i="26"/>
  <c r="U415"/>
  <c r="W415" i="1"/>
  <c r="G416" i="10"/>
  <c r="M416" i="25"/>
  <c r="W416" i="22"/>
  <c r="Y419" i="26"/>
  <c r="U419"/>
  <c r="M417" i="25"/>
  <c r="W417" i="22"/>
  <c r="Y420" i="26"/>
  <c r="U420"/>
  <c r="M417" i="2"/>
  <c r="W420" i="1"/>
  <c r="U420" i="14"/>
  <c r="M420" i="17"/>
  <c r="Q420" i="16"/>
  <c r="W418" i="22"/>
  <c r="Y421" i="26"/>
  <c r="U421"/>
  <c r="W421" i="1"/>
  <c r="U421" i="14"/>
  <c r="Q421" i="16"/>
  <c r="W419" i="22"/>
  <c r="Y422" i="26"/>
  <c r="U422"/>
  <c r="U422" i="14"/>
  <c r="Q422" i="16"/>
  <c r="W420" i="22"/>
  <c r="Y423" i="26"/>
  <c r="U423"/>
  <c r="U423" i="14"/>
  <c r="AM423" i="17"/>
  <c r="Q423" i="16"/>
  <c r="G424" i="10"/>
  <c r="W421" i="22"/>
  <c r="Y424" i="26"/>
  <c r="U424"/>
  <c r="U424" i="14"/>
  <c r="Q424" i="16"/>
  <c r="M428" i="25"/>
  <c r="W428" i="22"/>
  <c r="Y434" i="26"/>
  <c r="U434"/>
  <c r="M428" i="2"/>
  <c r="W431" i="1"/>
  <c r="U431" i="14"/>
  <c r="M431" i="17"/>
  <c r="Q434" i="16"/>
  <c r="G435" i="10"/>
  <c r="W429" i="22"/>
  <c r="K429"/>
  <c r="Y435" i="26"/>
  <c r="U435"/>
  <c r="Q435"/>
  <c r="Q432" i="14"/>
  <c r="W432" i="1"/>
  <c r="U432" i="14"/>
  <c r="Q435" i="16"/>
  <c r="W430" i="22"/>
  <c r="Y436" i="26"/>
  <c r="U436"/>
  <c r="U433" i="14"/>
  <c r="Q436" i="16"/>
  <c r="W631" i="22"/>
  <c r="Y634" i="26"/>
  <c r="U634"/>
  <c r="W631" i="1"/>
  <c r="U634" i="14"/>
  <c r="AA633" i="15"/>
  <c r="Q634" i="16"/>
  <c r="O635" i="10"/>
  <c r="W630" i="22"/>
  <c r="Y633" i="26"/>
  <c r="U633"/>
  <c r="W630" i="1"/>
  <c r="U633" i="14"/>
  <c r="Q633" i="16"/>
  <c r="G634" i="10"/>
  <c r="M629" i="25"/>
  <c r="W629" i="22"/>
  <c r="Y632" i="26"/>
  <c r="U632"/>
  <c r="W629" i="1"/>
  <c r="U632" i="14"/>
  <c r="M632" i="17"/>
  <c r="Q632" i="16"/>
  <c r="O633" i="10"/>
  <c r="M628" i="25"/>
  <c r="W628" i="22"/>
  <c r="Y631" i="26"/>
  <c r="U631"/>
  <c r="M628" i="2"/>
  <c r="W628" i="1"/>
  <c r="U631" i="14"/>
  <c r="M631" i="17"/>
  <c r="Q631" i="16"/>
  <c r="W627" i="22"/>
  <c r="Y630" i="26"/>
  <c r="U630"/>
  <c r="U630" i="14"/>
  <c r="Q630" i="16"/>
  <c r="W626" i="22"/>
  <c r="K626"/>
  <c r="Y629" i="26"/>
  <c r="U629"/>
  <c r="Q629"/>
  <c r="W626" i="1"/>
  <c r="U629" i="14"/>
  <c r="Q629"/>
  <c r="Q629" i="16"/>
  <c r="AV625" i="25"/>
  <c r="W625" i="22"/>
  <c r="Y628" i="26"/>
  <c r="U628"/>
  <c r="U628" i="14"/>
  <c r="Q628" i="16"/>
  <c r="G629" i="10"/>
  <c r="M624" i="25"/>
  <c r="W624" i="22"/>
  <c r="Y627" i="26"/>
  <c r="U627"/>
  <c r="W624" i="1"/>
  <c r="U627" i="14"/>
  <c r="AM627" i="17"/>
  <c r="M627"/>
  <c r="Q627" i="16"/>
  <c r="O627"/>
  <c r="O628" i="10"/>
  <c r="U628"/>
  <c r="W623" i="22"/>
  <c r="Y626" i="26"/>
  <c r="U626"/>
  <c r="W623" i="1"/>
  <c r="U626" i="14"/>
  <c r="Q626" i="16"/>
  <c r="M627" i="10"/>
  <c r="W622" i="22"/>
  <c r="K622"/>
  <c r="Y625" i="26"/>
  <c r="U625"/>
  <c r="Q625"/>
  <c r="W622" i="1"/>
  <c r="U625" i="14"/>
  <c r="Q625"/>
  <c r="Q625" i="16"/>
  <c r="W621" i="22"/>
  <c r="Y624" i="26"/>
  <c r="U624"/>
  <c r="U624" i="14"/>
  <c r="Q624" i="16"/>
  <c r="W620" i="22"/>
  <c r="Y623" i="26"/>
  <c r="U623"/>
  <c r="U623" i="14"/>
  <c r="Q623" i="16"/>
  <c r="M619" i="25"/>
  <c r="W619" i="22"/>
  <c r="K619"/>
  <c r="Y622" i="26"/>
  <c r="U622"/>
  <c r="Q622"/>
  <c r="W619" i="1"/>
  <c r="K619"/>
  <c r="U622" i="14"/>
  <c r="Q622"/>
  <c r="M622" i="17"/>
  <c r="Q622" i="16"/>
  <c r="O623" i="10"/>
  <c r="W618" i="22"/>
  <c r="Y621" i="26"/>
  <c r="U621"/>
  <c r="U621" i="14"/>
  <c r="Q621" i="16"/>
  <c r="W617" i="22"/>
  <c r="Y620" i="26"/>
  <c r="U620"/>
  <c r="W617" i="1"/>
  <c r="U620" i="14"/>
  <c r="Q620" i="16"/>
  <c r="G621" i="10"/>
  <c r="O621"/>
  <c r="W616" i="22"/>
  <c r="Y619" i="26"/>
  <c r="U619"/>
  <c r="W616" i="1"/>
  <c r="U619" i="14"/>
  <c r="Q619" i="16"/>
  <c r="O620" i="10"/>
  <c r="W615" i="22" l="1"/>
  <c r="K615"/>
  <c r="Y618" i="26"/>
  <c r="U618"/>
  <c r="W615" i="1"/>
  <c r="K615"/>
  <c r="U618" i="14"/>
  <c r="Q618" i="16"/>
  <c r="K613" i="22"/>
  <c r="Y616" i="26"/>
  <c r="U616"/>
  <c r="Q616"/>
  <c r="K613" i="1"/>
  <c r="U616" i="14"/>
  <c r="AM616" i="17"/>
  <c r="I615" i="15"/>
  <c r="AA616" i="16"/>
  <c r="Q616"/>
  <c r="O616"/>
  <c r="O617" i="10"/>
  <c r="U617"/>
  <c r="W612" i="22"/>
  <c r="M612"/>
  <c r="Y615" i="26"/>
  <c r="U615"/>
  <c r="I615"/>
  <c r="W612" i="1"/>
  <c r="M612"/>
  <c r="U615" i="14"/>
  <c r="Q615" i="16"/>
  <c r="G616" i="10"/>
  <c r="AP608" i="25"/>
  <c r="M608"/>
  <c r="W608" i="22"/>
  <c r="K608"/>
  <c r="Y614" i="26"/>
  <c r="U614"/>
  <c r="Q614"/>
  <c r="AP608" i="2"/>
  <c r="M608"/>
  <c r="W611" i="1"/>
  <c r="U614" i="14"/>
  <c r="Q614"/>
  <c r="M611" i="17"/>
  <c r="Q614" i="16"/>
  <c r="O615" i="10"/>
  <c r="W607" i="22"/>
  <c r="Y613" i="26"/>
  <c r="U613"/>
  <c r="BB607" i="2"/>
  <c r="U613" i="14"/>
  <c r="Q613" i="16"/>
  <c r="G614" i="10"/>
  <c r="K606" i="22"/>
  <c r="Y612" i="26"/>
  <c r="U612"/>
  <c r="U612" i="14"/>
  <c r="AM609" i="17"/>
  <c r="Q612" i="16"/>
  <c r="O612"/>
  <c r="O613" i="10"/>
  <c r="U613"/>
  <c r="M605" i="25"/>
  <c r="W605" i="22"/>
  <c r="Y611" i="26"/>
  <c r="U611"/>
  <c r="W608" i="1"/>
  <c r="U611" i="14"/>
  <c r="M608" i="17"/>
  <c r="Q611" i="16"/>
  <c r="O612" i="10"/>
  <c r="W604" i="22"/>
  <c r="K604"/>
  <c r="Y610" i="26"/>
  <c r="U610"/>
  <c r="Q610"/>
  <c r="W607" i="1"/>
  <c r="K607"/>
  <c r="U610" i="14"/>
  <c r="Q610"/>
  <c r="M607" i="17"/>
  <c r="Q610" i="16"/>
  <c r="W603" i="22"/>
  <c r="Y609" i="26"/>
  <c r="U609"/>
  <c r="W606" i="1"/>
  <c r="U609" i="14"/>
  <c r="AA608" i="15"/>
  <c r="Q609" i="16"/>
  <c r="W602" i="22" l="1"/>
  <c r="Y608" i="26"/>
  <c r="U608"/>
  <c r="W605" i="1"/>
  <c r="U608" i="14"/>
  <c r="Q608" i="16"/>
  <c r="O609" i="10"/>
  <c r="W601" i="22"/>
  <c r="Y607" i="26"/>
  <c r="U607"/>
  <c r="W604" i="1"/>
  <c r="U607" i="14"/>
  <c r="AA606" i="15"/>
  <c r="Q607" i="16"/>
  <c r="W600" i="22"/>
  <c r="K600"/>
  <c r="Y606" i="26"/>
  <c r="W606"/>
  <c r="U606"/>
  <c r="Q606"/>
  <c r="W603" i="1"/>
  <c r="U603" i="14"/>
  <c r="Q603"/>
  <c r="Q606" i="16"/>
  <c r="W599" i="22"/>
  <c r="Y605" i="26"/>
  <c r="U605"/>
  <c r="W602" i="1"/>
  <c r="U602" i="14"/>
  <c r="Q605" i="16"/>
  <c r="G606" i="10"/>
  <c r="AI598" i="25"/>
  <c r="M598"/>
  <c r="W598" i="22"/>
  <c r="Y604" i="26"/>
  <c r="U604"/>
  <c r="W601" i="1"/>
  <c r="U601" i="14"/>
  <c r="AM601" i="17"/>
  <c r="M601"/>
  <c r="I600" i="15"/>
  <c r="G600"/>
  <c r="Q604" i="16"/>
  <c r="O604"/>
  <c r="O605" i="10"/>
  <c r="M605"/>
  <c r="U605"/>
  <c r="W431" i="22"/>
  <c r="K431"/>
  <c r="Y437" i="26"/>
  <c r="U437"/>
  <c r="Q437"/>
  <c r="W434" i="1"/>
  <c r="U434" i="14"/>
  <c r="Q434"/>
  <c r="Q437" i="16"/>
  <c r="Y402" i="26"/>
  <c r="U402"/>
  <c r="U403"/>
  <c r="K402" i="14"/>
  <c r="AC401"/>
  <c r="AA401"/>
  <c r="Y398" i="1"/>
  <c r="M399" i="2"/>
  <c r="W399" i="1"/>
  <c r="Y399" s="1"/>
  <c r="U402" i="14"/>
  <c r="AA402" s="1"/>
  <c r="M402" i="17"/>
  <c r="Q402" i="16"/>
  <c r="S414" i="10" l="1"/>
  <c r="S413"/>
  <c r="S412"/>
  <c r="S411"/>
  <c r="AZ415" i="25"/>
  <c r="BJ415" s="1"/>
  <c r="AZ414"/>
  <c r="BJ414" s="1"/>
  <c r="AZ413"/>
  <c r="BJ413" s="1"/>
  <c r="AZ410"/>
  <c r="BJ410" s="1"/>
  <c r="AV409"/>
  <c r="AZ409" s="1"/>
  <c r="BJ409" s="1"/>
  <c r="AZ408"/>
  <c r="BJ408" s="1"/>
  <c r="AZ407"/>
  <c r="BJ407" s="1"/>
  <c r="AO415" i="22"/>
  <c r="Y415"/>
  <c r="AQ415" s="1"/>
  <c r="W415"/>
  <c r="AO414"/>
  <c r="W414"/>
  <c r="Y414" s="1"/>
  <c r="AO413"/>
  <c r="W413"/>
  <c r="K413"/>
  <c r="Y413" s="1"/>
  <c r="AQ413" s="1"/>
  <c r="AO410"/>
  <c r="W410"/>
  <c r="Y410" s="1"/>
  <c r="AQ410" s="1"/>
  <c r="AO409"/>
  <c r="Y409"/>
  <c r="AQ409" s="1"/>
  <c r="W409"/>
  <c r="AO408"/>
  <c r="W408"/>
  <c r="K408"/>
  <c r="Y408" s="1"/>
  <c r="AQ408" s="1"/>
  <c r="AO407"/>
  <c r="W407"/>
  <c r="Y407" s="1"/>
  <c r="AQ407" s="1"/>
  <c r="Y418" i="26"/>
  <c r="U418"/>
  <c r="O418"/>
  <c r="K418"/>
  <c r="Y417"/>
  <c r="U417"/>
  <c r="O417"/>
  <c r="M417"/>
  <c r="K417" s="1"/>
  <c r="Y416"/>
  <c r="U416"/>
  <c r="Q416"/>
  <c r="O416" s="1"/>
  <c r="K416"/>
  <c r="G416"/>
  <c r="Y413"/>
  <c r="U413"/>
  <c r="O413"/>
  <c r="G413"/>
  <c r="K413" s="1"/>
  <c r="Y412"/>
  <c r="U412"/>
  <c r="O412"/>
  <c r="I412"/>
  <c r="G412"/>
  <c r="K412" s="1"/>
  <c r="Y411"/>
  <c r="U411"/>
  <c r="Q411"/>
  <c r="O411"/>
  <c r="G411"/>
  <c r="K411" s="1"/>
  <c r="Y410"/>
  <c r="U410"/>
  <c r="O410"/>
  <c r="K410"/>
  <c r="M412" i="2"/>
  <c r="AZ412" s="1"/>
  <c r="BJ412" s="1"/>
  <c r="M416"/>
  <c r="AZ416" s="1"/>
  <c r="BJ416" s="1"/>
  <c r="AZ415"/>
  <c r="BJ415" s="1"/>
  <c r="AZ414"/>
  <c r="BJ414" s="1"/>
  <c r="AZ413"/>
  <c r="BJ413" s="1"/>
  <c r="AZ410"/>
  <c r="BJ410" s="1"/>
  <c r="AZ409"/>
  <c r="BJ409" s="1"/>
  <c r="AZ408"/>
  <c r="BJ408" s="1"/>
  <c r="AZ407"/>
  <c r="BJ407" s="1"/>
  <c r="AK419" i="1"/>
  <c r="W419"/>
  <c r="Y419" s="1"/>
  <c r="AK418"/>
  <c r="Y418"/>
  <c r="AK417"/>
  <c r="W417"/>
  <c r="Y417" s="1"/>
  <c r="AK416"/>
  <c r="W416"/>
  <c r="Y416" s="1"/>
  <c r="AK413"/>
  <c r="W413"/>
  <c r="Y413" s="1"/>
  <c r="AK412"/>
  <c r="W412"/>
  <c r="Y412" s="1"/>
  <c r="AK411"/>
  <c r="W411"/>
  <c r="Y411" s="1"/>
  <c r="AK410"/>
  <c r="Y410"/>
  <c r="U419" i="14"/>
  <c r="O419"/>
  <c r="K419"/>
  <c r="U418"/>
  <c r="O418"/>
  <c r="K418"/>
  <c r="Y417"/>
  <c r="U417"/>
  <c r="O417"/>
  <c r="M417"/>
  <c r="K417" s="1"/>
  <c r="U416"/>
  <c r="Q416"/>
  <c r="O416" s="1"/>
  <c r="K416"/>
  <c r="U413"/>
  <c r="O413"/>
  <c r="K413"/>
  <c r="U412"/>
  <c r="O412"/>
  <c r="I412"/>
  <c r="K412" s="1"/>
  <c r="U411"/>
  <c r="Q411"/>
  <c r="O411" s="1"/>
  <c r="K411"/>
  <c r="K410"/>
  <c r="M419" i="17"/>
  <c r="AW419" s="1"/>
  <c r="AW418"/>
  <c r="AM417"/>
  <c r="AW417" s="1"/>
  <c r="AW416"/>
  <c r="AW413"/>
  <c r="AW412"/>
  <c r="AW411"/>
  <c r="AW410"/>
  <c r="AW409"/>
  <c r="O418" i="15"/>
  <c r="AG418" s="1"/>
  <c r="M418"/>
  <c r="O417"/>
  <c r="AG417" s="1"/>
  <c r="M417"/>
  <c r="AG416"/>
  <c r="M416"/>
  <c r="O415"/>
  <c r="AG415" s="1"/>
  <c r="M415"/>
  <c r="O412"/>
  <c r="AG412" s="1"/>
  <c r="M412"/>
  <c r="O411"/>
  <c r="AG411" s="1"/>
  <c r="M411"/>
  <c r="S410"/>
  <c r="O410"/>
  <c r="M410"/>
  <c r="O409"/>
  <c r="AG409" s="1"/>
  <c r="M409"/>
  <c r="W419" i="16"/>
  <c r="M419"/>
  <c r="G419"/>
  <c r="W418"/>
  <c r="M418"/>
  <c r="I418"/>
  <c r="G418" s="1"/>
  <c r="W417"/>
  <c r="M417"/>
  <c r="I417"/>
  <c r="G417" s="1"/>
  <c r="W416"/>
  <c r="M416"/>
  <c r="G416"/>
  <c r="W413"/>
  <c r="M413"/>
  <c r="I413"/>
  <c r="G413" s="1"/>
  <c r="W412"/>
  <c r="M412"/>
  <c r="I412"/>
  <c r="G412" s="1"/>
  <c r="W411"/>
  <c r="M411"/>
  <c r="G411"/>
  <c r="W410"/>
  <c r="M410"/>
  <c r="G410"/>
  <c r="Q431" i="10"/>
  <c r="G431"/>
  <c r="G430"/>
  <c r="G429"/>
  <c r="G415"/>
  <c r="G407"/>
  <c r="G406"/>
  <c r="AZ427" i="25"/>
  <c r="BJ427" s="1"/>
  <c r="AZ426"/>
  <c r="BJ426" s="1"/>
  <c r="AZ425"/>
  <c r="BJ425" s="1"/>
  <c r="AZ424"/>
  <c r="BJ424" s="1"/>
  <c r="AA423"/>
  <c r="AZ423" s="1"/>
  <c r="BJ423" s="1"/>
  <c r="AZ411"/>
  <c r="BJ411" s="1"/>
  <c r="M405"/>
  <c r="AZ405" s="1"/>
  <c r="BJ405" s="1"/>
  <c r="AV404"/>
  <c r="AZ404" s="1"/>
  <c r="BJ404" s="1"/>
  <c r="AZ403"/>
  <c r="BJ403" s="1"/>
  <c r="AZ402"/>
  <c r="BJ402" s="1"/>
  <c r="AZ401"/>
  <c r="BJ401" s="1"/>
  <c r="AO427" i="22"/>
  <c r="W427"/>
  <c r="K427"/>
  <c r="AO426"/>
  <c r="W426"/>
  <c r="Y426" s="1"/>
  <c r="AO425"/>
  <c r="W425"/>
  <c r="K425"/>
  <c r="AO424"/>
  <c r="W424"/>
  <c r="Y424" s="1"/>
  <c r="AE423"/>
  <c r="AO423" s="1"/>
  <c r="W423"/>
  <c r="K423"/>
  <c r="AO411"/>
  <c r="Y411"/>
  <c r="AO405"/>
  <c r="W405"/>
  <c r="Y405" s="1"/>
  <c r="AO404"/>
  <c r="W404"/>
  <c r="Y404" s="1"/>
  <c r="AO403"/>
  <c r="W403"/>
  <c r="Y403" s="1"/>
  <c r="AO402"/>
  <c r="W402"/>
  <c r="Y402" s="1"/>
  <c r="AO401"/>
  <c r="W401"/>
  <c r="Y401" s="1"/>
  <c r="Y430" i="26"/>
  <c r="U430"/>
  <c r="Q430"/>
  <c r="O430" s="1"/>
  <c r="K430"/>
  <c r="Y429"/>
  <c r="U429"/>
  <c r="Q429"/>
  <c r="O429" s="1"/>
  <c r="K429"/>
  <c r="Y428"/>
  <c r="U428"/>
  <c r="O428"/>
  <c r="K428"/>
  <c r="Y427"/>
  <c r="U427"/>
  <c r="O427"/>
  <c r="K427"/>
  <c r="Y426"/>
  <c r="U426"/>
  <c r="O426"/>
  <c r="K426"/>
  <c r="O415"/>
  <c r="K415"/>
  <c r="Y414"/>
  <c r="U414"/>
  <c r="O414"/>
  <c r="K414"/>
  <c r="Y408"/>
  <c r="U408"/>
  <c r="O408"/>
  <c r="G408"/>
  <c r="K408" s="1"/>
  <c r="Y407"/>
  <c r="U407"/>
  <c r="O407"/>
  <c r="G407"/>
  <c r="K407" s="1"/>
  <c r="Y406"/>
  <c r="U406"/>
  <c r="O406"/>
  <c r="K406"/>
  <c r="Y405"/>
  <c r="U405"/>
  <c r="O405"/>
  <c r="K405"/>
  <c r="Y404"/>
  <c r="U404"/>
  <c r="Q404"/>
  <c r="O404" s="1"/>
  <c r="K404"/>
  <c r="M427" i="2"/>
  <c r="AZ427" s="1"/>
  <c r="BJ427" s="1"/>
  <c r="AZ426"/>
  <c r="BJ426" s="1"/>
  <c r="AZ425"/>
  <c r="BJ425" s="1"/>
  <c r="AZ424"/>
  <c r="BJ424" s="1"/>
  <c r="AA423"/>
  <c r="AZ423" s="1"/>
  <c r="BJ423" s="1"/>
  <c r="AZ411"/>
  <c r="BJ411" s="1"/>
  <c r="M405"/>
  <c r="AZ405" s="1"/>
  <c r="BJ405" s="1"/>
  <c r="AZ404"/>
  <c r="BJ404" s="1"/>
  <c r="AZ403"/>
  <c r="BJ403" s="1"/>
  <c r="AZ402"/>
  <c r="BJ402" s="1"/>
  <c r="AZ401"/>
  <c r="BJ401" s="1"/>
  <c r="AK430" i="1"/>
  <c r="W430"/>
  <c r="K430"/>
  <c r="AK429"/>
  <c r="W429"/>
  <c r="Y429" s="1"/>
  <c r="AK428"/>
  <c r="W428"/>
  <c r="K428"/>
  <c r="AK427"/>
  <c r="W427"/>
  <c r="Y427" s="1"/>
  <c r="AK426"/>
  <c r="K426"/>
  <c r="Y426" s="1"/>
  <c r="AK415"/>
  <c r="Y415"/>
  <c r="AK414"/>
  <c r="W414"/>
  <c r="Y414" s="1"/>
  <c r="AG408"/>
  <c r="AK408" s="1"/>
  <c r="W408"/>
  <c r="Y408" s="1"/>
  <c r="AK407"/>
  <c r="Y407"/>
  <c r="AK403"/>
  <c r="W403"/>
  <c r="Y403" s="1"/>
  <c r="AK402"/>
  <c r="Y402"/>
  <c r="AK401"/>
  <c r="Y401"/>
  <c r="U430" i="14"/>
  <c r="Q430"/>
  <c r="O430" s="1"/>
  <c r="K430"/>
  <c r="U429"/>
  <c r="Q429"/>
  <c r="O429" s="1"/>
  <c r="K429"/>
  <c r="U428"/>
  <c r="O428"/>
  <c r="K428"/>
  <c r="U427"/>
  <c r="O427"/>
  <c r="K427"/>
  <c r="U426"/>
  <c r="O426"/>
  <c r="K426"/>
  <c r="U415"/>
  <c r="O415"/>
  <c r="K415"/>
  <c r="U414"/>
  <c r="O414"/>
  <c r="K414"/>
  <c r="U408"/>
  <c r="O408"/>
  <c r="K408"/>
  <c r="U407"/>
  <c r="O407"/>
  <c r="K407"/>
  <c r="U406"/>
  <c r="O406"/>
  <c r="K406"/>
  <c r="U405"/>
  <c r="O405"/>
  <c r="K405"/>
  <c r="U404"/>
  <c r="Q404"/>
  <c r="O404" s="1"/>
  <c r="K404"/>
  <c r="M430" i="17"/>
  <c r="AW430" s="1"/>
  <c r="AW429"/>
  <c r="AW428"/>
  <c r="AW427"/>
  <c r="AW426"/>
  <c r="M415"/>
  <c r="AW415" s="1"/>
  <c r="AW414"/>
  <c r="M408"/>
  <c r="AW408" s="1"/>
  <c r="AW407"/>
  <c r="AW406"/>
  <c r="AW405"/>
  <c r="M404"/>
  <c r="AW404" s="1"/>
  <c r="O429" i="15"/>
  <c r="M429"/>
  <c r="O428"/>
  <c r="M428"/>
  <c r="O427"/>
  <c r="M427"/>
  <c r="O426"/>
  <c r="M426"/>
  <c r="M425"/>
  <c r="O414"/>
  <c r="M414"/>
  <c r="O413"/>
  <c r="M413"/>
  <c r="AE407"/>
  <c r="M407"/>
  <c r="O406"/>
  <c r="M406"/>
  <c r="AA405"/>
  <c r="O405"/>
  <c r="M405"/>
  <c r="O404"/>
  <c r="M404"/>
  <c r="O403"/>
  <c r="M403"/>
  <c r="W433" i="16"/>
  <c r="M433"/>
  <c r="G433"/>
  <c r="W432"/>
  <c r="M432"/>
  <c r="I432"/>
  <c r="G432" s="1"/>
  <c r="W431"/>
  <c r="M431"/>
  <c r="I431"/>
  <c r="G431" s="1"/>
  <c r="W430"/>
  <c r="M430"/>
  <c r="I430"/>
  <c r="G430" s="1"/>
  <c r="W429"/>
  <c r="M429"/>
  <c r="I429"/>
  <c r="G429" s="1"/>
  <c r="W415"/>
  <c r="M415"/>
  <c r="I415"/>
  <c r="G415" s="1"/>
  <c r="W414"/>
  <c r="M414"/>
  <c r="I414"/>
  <c r="G414" s="1"/>
  <c r="W408"/>
  <c r="M408"/>
  <c r="G408"/>
  <c r="W407"/>
  <c r="M407"/>
  <c r="I407"/>
  <c r="G407" s="1"/>
  <c r="W406"/>
  <c r="M406"/>
  <c r="I406"/>
  <c r="G406" s="1"/>
  <c r="W405"/>
  <c r="M405"/>
  <c r="I405"/>
  <c r="G405" s="1"/>
  <c r="W404"/>
  <c r="M404"/>
  <c r="I404"/>
  <c r="G404" s="1"/>
  <c r="AQ424" i="22" l="1"/>
  <c r="Y428" i="1"/>
  <c r="Y430"/>
  <c r="AQ401" i="22"/>
  <c r="AQ402"/>
  <c r="AQ403"/>
  <c r="AQ404"/>
  <c r="AQ405"/>
  <c r="AQ411"/>
  <c r="AQ426"/>
  <c r="AQ414"/>
  <c r="Y423"/>
  <c r="AQ423" s="1"/>
  <c r="Y427"/>
  <c r="AQ427" s="1"/>
  <c r="Y425"/>
  <c r="AQ425" s="1"/>
  <c r="AG410" i="15"/>
  <c r="W597" i="22"/>
  <c r="Y603" i="26"/>
  <c r="U603"/>
  <c r="W600" i="1"/>
  <c r="U600" i="14"/>
  <c r="Q603" i="16"/>
  <c r="AZ596" i="25"/>
  <c r="BJ596" s="1"/>
  <c r="W596" i="22"/>
  <c r="K596"/>
  <c r="Y602" i="26"/>
  <c r="Q602"/>
  <c r="U602"/>
  <c r="O602"/>
  <c r="K602"/>
  <c r="AZ596" i="2"/>
  <c r="BJ596" s="1"/>
  <c r="W599" i="1"/>
  <c r="K599"/>
  <c r="U599" i="14"/>
  <c r="AA599" s="1"/>
  <c r="Q599"/>
  <c r="O599" s="1"/>
  <c r="K599"/>
  <c r="AW599" i="17"/>
  <c r="AG598" i="15"/>
  <c r="M598"/>
  <c r="W602" i="16"/>
  <c r="AD602"/>
  <c r="G602"/>
  <c r="Q602"/>
  <c r="M602" s="1"/>
  <c r="X603" i="10"/>
  <c r="S603"/>
  <c r="W595" i="22"/>
  <c r="K595"/>
  <c r="Y601" i="26"/>
  <c r="U601"/>
  <c r="Q601"/>
  <c r="W598" i="1"/>
  <c r="K598"/>
  <c r="U598" i="14"/>
  <c r="Q598"/>
  <c r="Q601" i="16"/>
  <c r="W594" i="22"/>
  <c r="K594"/>
  <c r="Y600" i="26"/>
  <c r="U600"/>
  <c r="Q600"/>
  <c r="W597" i="1"/>
  <c r="U597" i="14"/>
  <c r="Q597"/>
  <c r="Q600" i="16"/>
  <c r="G601" i="10"/>
  <c r="W593" i="22"/>
  <c r="Y599" i="26"/>
  <c r="U599"/>
  <c r="W596" i="1"/>
  <c r="U596" i="14"/>
  <c r="AA595" i="15"/>
  <c r="Q599" i="16"/>
  <c r="W592" i="22"/>
  <c r="Y598" i="26"/>
  <c r="U598"/>
  <c r="U595" i="14"/>
  <c r="Q598" i="16"/>
  <c r="W591" i="22"/>
  <c r="K591"/>
  <c r="Y597" i="26"/>
  <c r="U597"/>
  <c r="Q597"/>
  <c r="U594" i="14"/>
  <c r="Q594"/>
  <c r="Q597" i="16"/>
  <c r="O598" i="10"/>
  <c r="W587" i="22"/>
  <c r="Y593" i="26"/>
  <c r="U593"/>
  <c r="W590" i="1"/>
  <c r="U590" i="14"/>
  <c r="Q593" i="16"/>
  <c r="G594" i="10"/>
  <c r="W586" i="22"/>
  <c r="K586"/>
  <c r="U592" i="26"/>
  <c r="Y592"/>
  <c r="Q592"/>
  <c r="W589" i="1"/>
  <c r="K589"/>
  <c r="U589" i="14"/>
  <c r="Q589"/>
  <c r="Q592" i="16"/>
  <c r="W585" i="22"/>
  <c r="K585"/>
  <c r="Y591" i="26"/>
  <c r="U591"/>
  <c r="Q591"/>
  <c r="W588" i="1"/>
  <c r="U588" i="14"/>
  <c r="Q588"/>
  <c r="Q591" i="16"/>
  <c r="G592" i="10"/>
  <c r="W581" i="22"/>
  <c r="Y587" i="26"/>
  <c r="U587"/>
  <c r="U584" i="1"/>
  <c r="U584" i="14"/>
  <c r="Q587" i="16"/>
  <c r="O588" i="10"/>
  <c r="W584" i="22"/>
  <c r="M584"/>
  <c r="Y590" i="26"/>
  <c r="U590"/>
  <c r="W587" i="1"/>
  <c r="M587"/>
  <c r="U587" i="14"/>
  <c r="Q590" i="16"/>
  <c r="G591" i="10"/>
  <c r="M583" i="25"/>
  <c r="W583" i="22"/>
  <c r="K583"/>
  <c r="Y589" i="26"/>
  <c r="U589"/>
  <c r="Q589"/>
  <c r="M583" i="2"/>
  <c r="W586" i="1"/>
  <c r="K586"/>
  <c r="U586" i="14"/>
  <c r="Q586"/>
  <c r="M586" i="17"/>
  <c r="Q589" i="16"/>
  <c r="W582" i="22"/>
  <c r="Y588" i="26"/>
  <c r="U588"/>
  <c r="I588"/>
  <c r="W585" i="1"/>
  <c r="U585" i="14"/>
  <c r="W588" i="16"/>
  <c r="Q588"/>
  <c r="G589" i="10"/>
  <c r="Y586" i="26"/>
  <c r="U586"/>
  <c r="U583" i="14"/>
  <c r="AA582" i="15"/>
  <c r="Q586" i="16"/>
  <c r="O587" i="10"/>
  <c r="W579" i="22"/>
  <c r="K579"/>
  <c r="Y585" i="26"/>
  <c r="U585"/>
  <c r="Q585"/>
  <c r="BH579" i="2"/>
  <c r="W582" i="1"/>
  <c r="K582"/>
  <c r="U582" i="14"/>
  <c r="Q582"/>
  <c r="Q585" i="16"/>
  <c r="Y596" i="22" l="1"/>
  <c r="AC602" i="26"/>
  <c r="Y599" i="1"/>
  <c r="AM599" s="1"/>
  <c r="BL596" i="2" s="1"/>
  <c r="BS596" s="1"/>
  <c r="BU596" s="1"/>
  <c r="AC599" i="14"/>
  <c r="AI598" i="15"/>
  <c r="AY599" i="17" s="1"/>
  <c r="BC599" s="1"/>
  <c r="BE599" s="1"/>
  <c r="AF602" i="16"/>
  <c r="AA602" i="26"/>
  <c r="AQ596" i="22" l="1"/>
  <c r="BL596" i="25" s="1"/>
  <c r="BT596" s="1"/>
  <c r="BV596" s="1"/>
  <c r="AI578"/>
  <c r="M578"/>
  <c r="W578" i="22"/>
  <c r="Y584" i="26"/>
  <c r="U584"/>
  <c r="W581" i="1"/>
  <c r="U581" i="14"/>
  <c r="AM581" i="17"/>
  <c r="M581"/>
  <c r="S580" i="15"/>
  <c r="Q584" i="16"/>
  <c r="W539" i="22"/>
  <c r="Y542" i="26"/>
  <c r="U542"/>
  <c r="U542" i="14"/>
  <c r="Q542" i="16"/>
  <c r="O543" i="10"/>
  <c r="AV538" i="25"/>
  <c r="M538"/>
  <c r="W538" i="22"/>
  <c r="K538"/>
  <c r="Y541" i="26"/>
  <c r="U541"/>
  <c r="Q541"/>
  <c r="W538" i="1"/>
  <c r="U541" i="14"/>
  <c r="Q541"/>
  <c r="M541" i="17"/>
  <c r="AA540" i="15"/>
  <c r="Q541" i="16"/>
  <c r="W537" i="22"/>
  <c r="Y540" i="26"/>
  <c r="U540"/>
  <c r="W537" i="1"/>
  <c r="U540" i="14"/>
  <c r="Q540" i="16"/>
  <c r="W535" i="22"/>
  <c r="Y538" i="26"/>
  <c r="U538"/>
  <c r="BB535" i="2"/>
  <c r="U538" i="14"/>
  <c r="O537" i="15"/>
  <c r="Q538" i="16"/>
  <c r="M536" i="25"/>
  <c r="W536" i="22"/>
  <c r="Y539" i="26"/>
  <c r="U539"/>
  <c r="W536" i="1"/>
  <c r="U539" i="14"/>
  <c r="M536" i="17"/>
  <c r="AA538" i="15"/>
  <c r="Q539" i="16"/>
  <c r="W534" i="22"/>
  <c r="Y537" i="26"/>
  <c r="U537"/>
  <c r="U537" i="14"/>
  <c r="Q537" i="16"/>
  <c r="M533" i="25"/>
  <c r="W533" i="22"/>
  <c r="Y536" i="26"/>
  <c r="U536"/>
  <c r="M530" i="2"/>
  <c r="U536" i="14"/>
  <c r="M533" i="17"/>
  <c r="Q536" i="16"/>
  <c r="G537" i="10"/>
  <c r="W532" i="22"/>
  <c r="Y535" i="26"/>
  <c r="U535"/>
  <c r="W532" i="1"/>
  <c r="U535" i="14"/>
  <c r="Q535" i="16"/>
  <c r="O536" i="10"/>
  <c r="M531" i="25"/>
  <c r="W531" i="22"/>
  <c r="Y534" i="26"/>
  <c r="U534"/>
  <c r="BB528" i="2"/>
  <c r="U534" i="14"/>
  <c r="M531" i="17"/>
  <c r="Q534" i="16"/>
  <c r="G535" i="10"/>
  <c r="M530" i="25"/>
  <c r="W530" i="22"/>
  <c r="Y533" i="26"/>
  <c r="U533"/>
  <c r="M527" i="2"/>
  <c r="W530" i="1"/>
  <c r="U533" i="14"/>
  <c r="M530" i="17"/>
  <c r="Q533" i="16"/>
  <c r="G534" i="10"/>
  <c r="I534"/>
  <c r="O534"/>
  <c r="W523" i="22"/>
  <c r="Y529" i="26"/>
  <c r="U529"/>
  <c r="U526" i="14"/>
  <c r="AU526" i="17"/>
  <c r="O525" i="15"/>
  <c r="BH522" i="25"/>
  <c r="W522" i="22"/>
  <c r="Y528" i="26"/>
  <c r="U528"/>
  <c r="W525" i="1"/>
  <c r="U525" i="14"/>
  <c r="AU525" i="17"/>
  <c r="W521" i="22"/>
  <c r="Y527" i="26"/>
  <c r="U527"/>
  <c r="W524" i="1"/>
  <c r="U524" i="14"/>
  <c r="Q527" i="16"/>
  <c r="W520" i="22"/>
  <c r="Y526" i="26"/>
  <c r="U526"/>
  <c r="BB520" i="2"/>
  <c r="Q526" i="16"/>
  <c r="M528" i="25" l="1"/>
  <c r="K528" i="22"/>
  <c r="W528"/>
  <c r="Y531" i="26"/>
  <c r="U531"/>
  <c r="Q531"/>
  <c r="M525" i="2"/>
  <c r="K528" i="1"/>
  <c r="U528" i="14"/>
  <c r="Q528"/>
  <c r="M528" i="17"/>
  <c r="Q531" i="16"/>
  <c r="W527" i="22"/>
  <c r="Y530" i="26"/>
  <c r="W530"/>
  <c r="U530"/>
  <c r="Q530"/>
  <c r="I530"/>
  <c r="W527" i="1"/>
  <c r="W527" i="14"/>
  <c r="U527"/>
  <c r="Q530" i="16"/>
  <c r="AI519" i="25"/>
  <c r="W519" i="22"/>
  <c r="Y525" i="26"/>
  <c r="U525"/>
  <c r="W522" i="1"/>
  <c r="U522" i="14"/>
  <c r="AM522" i="17"/>
  <c r="Q525" i="16"/>
  <c r="W518" i="22"/>
  <c r="K518"/>
  <c r="Y524" i="26"/>
  <c r="U524"/>
  <c r="Q524"/>
  <c r="W521" i="1"/>
  <c r="U521" i="14"/>
  <c r="Q521"/>
  <c r="Q524" i="16"/>
  <c r="M517" i="25"/>
  <c r="W517" i="22"/>
  <c r="Y523" i="26"/>
  <c r="U523"/>
  <c r="M517" i="2"/>
  <c r="W520" i="1"/>
  <c r="U520" i="14"/>
  <c r="M520" i="17"/>
  <c r="AA519" i="15"/>
  <c r="Q523" i="16"/>
  <c r="G524" i="10"/>
  <c r="M516" i="25"/>
  <c r="W516" i="22"/>
  <c r="Y522" i="26"/>
  <c r="U522"/>
  <c r="I522"/>
  <c r="W519" i="1"/>
  <c r="U519" i="14"/>
  <c r="M519" i="17"/>
  <c r="Q522" i="16"/>
  <c r="G523" i="10"/>
  <c r="BH514" i="25" l="1"/>
  <c r="M514"/>
  <c r="W514" i="22"/>
  <c r="Y520" i="26"/>
  <c r="U520"/>
  <c r="M514" i="2"/>
  <c r="W517" i="1"/>
  <c r="U517" i="14"/>
  <c r="AU517" i="17"/>
  <c r="M517"/>
  <c r="BH515" i="25"/>
  <c r="W515" i="22"/>
  <c r="Y521" i="26"/>
  <c r="U521"/>
  <c r="I521"/>
  <c r="W518" i="1"/>
  <c r="U518" i="14"/>
  <c r="AU518" i="17"/>
  <c r="AA517" i="15"/>
  <c r="W512" i="22"/>
  <c r="Y518" i="26"/>
  <c r="U518"/>
  <c r="U515" i="14"/>
  <c r="Q518" i="16"/>
  <c r="G519" i="10"/>
  <c r="W511" i="22"/>
  <c r="Y517" i="26"/>
  <c r="U517"/>
  <c r="W514" i="1"/>
  <c r="U514" i="14"/>
  <c r="Q517" i="16"/>
  <c r="K518" i="10"/>
  <c r="G518"/>
  <c r="O518"/>
  <c r="K513" i="22"/>
  <c r="Y519" i="26"/>
  <c r="U519"/>
  <c r="K516" i="1"/>
  <c r="U516" i="14"/>
  <c r="AQ516" i="17"/>
  <c r="Q519" i="16"/>
  <c r="G520" i="10"/>
  <c r="W502" i="22"/>
  <c r="K502"/>
  <c r="Y508" i="26"/>
  <c r="U508"/>
  <c r="Q508"/>
  <c r="W505" i="1"/>
  <c r="U505" i="14"/>
  <c r="Q505"/>
  <c r="Q508" i="16"/>
  <c r="G509" i="10"/>
  <c r="W510" i="22"/>
  <c r="Y516" i="26"/>
  <c r="U516"/>
  <c r="W513" i="1"/>
  <c r="U513" i="14"/>
  <c r="Q516" i="16"/>
  <c r="AZ509" i="25"/>
  <c r="BJ509" s="1"/>
  <c r="AO509" i="22"/>
  <c r="W509"/>
  <c r="Y509" s="1"/>
  <c r="Y515" i="26"/>
  <c r="U515"/>
  <c r="K515"/>
  <c r="AZ509" i="2"/>
  <c r="BJ509" s="1"/>
  <c r="AK512" i="1"/>
  <c r="W512"/>
  <c r="Y512" s="1"/>
  <c r="U512" i="14"/>
  <c r="K512"/>
  <c r="AU512" i="17"/>
  <c r="AW512" s="1"/>
  <c r="AG511" i="15"/>
  <c r="M511"/>
  <c r="AD515" i="16"/>
  <c r="W515"/>
  <c r="G515"/>
  <c r="X516" i="10"/>
  <c r="S516"/>
  <c r="W507" i="22"/>
  <c r="K507"/>
  <c r="Y513" i="26"/>
  <c r="U513"/>
  <c r="Q513"/>
  <c r="U510" i="14"/>
  <c r="Q510"/>
  <c r="Q513" i="16"/>
  <c r="M514" i="10"/>
  <c r="M501" i="25"/>
  <c r="W501" i="22"/>
  <c r="Y507" i="26"/>
  <c r="U507"/>
  <c r="M501" i="2"/>
  <c r="U504" i="14"/>
  <c r="M504" i="17"/>
  <c r="Q507" i="16"/>
  <c r="G508" i="10"/>
  <c r="M508" i="25"/>
  <c r="W508" i="22"/>
  <c r="Y514" i="26"/>
  <c r="U514"/>
  <c r="I514"/>
  <c r="U511" i="14"/>
  <c r="M511" i="17"/>
  <c r="Q514" i="16"/>
  <c r="AA515" i="26" l="1"/>
  <c r="AC515"/>
  <c r="AQ509" i="22"/>
  <c r="BL509" i="25"/>
  <c r="BT509" s="1"/>
  <c r="AM512" i="1"/>
  <c r="BL509" i="2" s="1"/>
  <c r="BS509" s="1"/>
  <c r="AC512" i="14"/>
  <c r="AI511" i="15"/>
  <c r="AY512" i="17" s="1"/>
  <c r="BC512" s="1"/>
  <c r="BE512" s="1"/>
  <c r="AF515" i="16"/>
  <c r="AA512" i="14"/>
  <c r="W504" i="22"/>
  <c r="Y510" i="26"/>
  <c r="U510"/>
  <c r="W507" i="1"/>
  <c r="U507" i="14"/>
  <c r="Q510" i="16"/>
  <c r="M503" i="25"/>
  <c r="W503" i="22"/>
  <c r="Y509" i="26"/>
  <c r="U509"/>
  <c r="M503" i="2"/>
  <c r="W506" i="1"/>
  <c r="U506" i="14"/>
  <c r="M506" i="17"/>
  <c r="Q509" i="16"/>
  <c r="W506" i="22"/>
  <c r="Y512" i="26"/>
  <c r="U512"/>
  <c r="W509" i="1"/>
  <c r="U509" i="14"/>
  <c r="AA508" i="15"/>
  <c r="Q512" i="16"/>
  <c r="W505" i="22"/>
  <c r="Y511" i="26"/>
  <c r="U511"/>
  <c r="U508" i="14"/>
  <c r="AD511" i="16"/>
  <c r="Q511"/>
  <c r="AT500" i="25"/>
  <c r="W500" i="22"/>
  <c r="Y506" i="26"/>
  <c r="U506"/>
  <c r="W503" i="1"/>
  <c r="U503" i="14"/>
  <c r="AA502" i="15"/>
  <c r="Q506" i="16"/>
  <c r="W499" i="22"/>
  <c r="K499"/>
  <c r="Y505" i="26"/>
  <c r="U505"/>
  <c r="Q505"/>
  <c r="W502" i="1"/>
  <c r="U502" i="14"/>
  <c r="Q502"/>
  <c r="Q505" i="16"/>
  <c r="G506" i="10"/>
  <c r="W498" i="22"/>
  <c r="K498"/>
  <c r="Y501" i="26"/>
  <c r="U501"/>
  <c r="Q501"/>
  <c r="W501" i="1"/>
  <c r="U501" i="14"/>
  <c r="Q501"/>
  <c r="AM501" i="17"/>
  <c r="AA500" i="15"/>
  <c r="Q504" i="16"/>
  <c r="O502" i="10"/>
  <c r="Y500" i="26"/>
  <c r="U500"/>
  <c r="U500" i="14"/>
  <c r="O499" i="15"/>
  <c r="Q503" i="16"/>
  <c r="BH494" i="25"/>
  <c r="M494"/>
  <c r="AZ494" s="1"/>
  <c r="W494" i="22"/>
  <c r="Y494" s="1"/>
  <c r="AQ494" s="1"/>
  <c r="Y497" i="26"/>
  <c r="U497"/>
  <c r="K497"/>
  <c r="M494" i="2"/>
  <c r="AZ494" s="1"/>
  <c r="W497" i="1"/>
  <c r="Y497" s="1"/>
  <c r="AM497" s="1"/>
  <c r="U497" i="14"/>
  <c r="K497"/>
  <c r="AU497" i="17"/>
  <c r="M497"/>
  <c r="AA496" i="15"/>
  <c r="O496"/>
  <c r="AG496" s="1"/>
  <c r="M496"/>
  <c r="AD500" i="16"/>
  <c r="W500"/>
  <c r="G500"/>
  <c r="X498" i="10"/>
  <c r="S498"/>
  <c r="AP496" i="25"/>
  <c r="W496" i="22"/>
  <c r="K496"/>
  <c r="Y499" i="26"/>
  <c r="U499"/>
  <c r="Q499"/>
  <c r="W499" i="1"/>
  <c r="K499"/>
  <c r="U499" i="14"/>
  <c r="Q499"/>
  <c r="Q502" i="16"/>
  <c r="O500" i="10"/>
  <c r="W496" i="1"/>
  <c r="U496" i="14"/>
  <c r="AA495" i="15"/>
  <c r="Q499" i="16"/>
  <c r="W492" i="22"/>
  <c r="Y495" i="26"/>
  <c r="U495"/>
  <c r="W495" i="1"/>
  <c r="U495" i="14"/>
  <c r="Q498" i="16"/>
  <c r="W495" i="22"/>
  <c r="Y498" i="26"/>
  <c r="U498"/>
  <c r="U498" i="14"/>
  <c r="O497" i="15"/>
  <c r="Q501" i="16"/>
  <c r="W491" i="22"/>
  <c r="K491"/>
  <c r="Y494" i="26"/>
  <c r="U494"/>
  <c r="Q494"/>
  <c r="W494" i="1"/>
  <c r="U494" i="14"/>
  <c r="Q494"/>
  <c r="Q494" i="16"/>
  <c r="W490" i="22"/>
  <c r="Y493" i="26"/>
  <c r="U493"/>
  <c r="W493" i="1"/>
  <c r="U493" i="14"/>
  <c r="Q493" i="16"/>
  <c r="W489" i="22"/>
  <c r="Y492" i="26"/>
  <c r="U492"/>
  <c r="W492" i="1"/>
  <c r="U492" i="14"/>
  <c r="AA491" i="15"/>
  <c r="Q492" i="16"/>
  <c r="M488" i="25"/>
  <c r="W488" i="22"/>
  <c r="K488"/>
  <c r="Y491" i="26"/>
  <c r="U491"/>
  <c r="Q491"/>
  <c r="W491" i="1"/>
  <c r="K491"/>
  <c r="U491" i="14"/>
  <c r="Q491"/>
  <c r="M491" i="17"/>
  <c r="Q491" i="16"/>
  <c r="M487" i="25"/>
  <c r="W487" i="22"/>
  <c r="K487"/>
  <c r="M487"/>
  <c r="Y490" i="26"/>
  <c r="U490"/>
  <c r="Q490"/>
  <c r="W490" i="1"/>
  <c r="U490" i="14"/>
  <c r="Q490"/>
  <c r="M490" i="17"/>
  <c r="Q490" i="16"/>
  <c r="O491" i="10"/>
  <c r="M486" i="25"/>
  <c r="W486" i="22"/>
  <c r="K486"/>
  <c r="Y489" i="26"/>
  <c r="U489"/>
  <c r="Q489"/>
  <c r="W489" i="1"/>
  <c r="K489"/>
  <c r="U489" i="14"/>
  <c r="Q489"/>
  <c r="M489" i="17"/>
  <c r="Q489" i="16"/>
  <c r="M577" i="25"/>
  <c r="W577" i="22"/>
  <c r="Y583" i="26"/>
  <c r="U583"/>
  <c r="M577" i="2"/>
  <c r="W580" i="1"/>
  <c r="U580" i="14"/>
  <c r="M580" i="17"/>
  <c r="S579" i="15"/>
  <c r="Q583" i="16"/>
  <c r="G584" i="10"/>
  <c r="M582" i="16"/>
  <c r="AF582" s="1"/>
  <c r="AD582"/>
  <c r="X583" i="10"/>
  <c r="S583"/>
  <c r="AP575" i="25"/>
  <c r="W575" i="22"/>
  <c r="K575"/>
  <c r="Y581" i="26"/>
  <c r="U581"/>
  <c r="Q581"/>
  <c r="W578" i="1"/>
  <c r="K578"/>
  <c r="U578" i="14"/>
  <c r="Q578"/>
  <c r="Q581" i="16"/>
  <c r="G582" i="10"/>
  <c r="O582"/>
  <c r="BV509" i="25" l="1"/>
  <c r="AA497" i="26"/>
  <c r="AC497"/>
  <c r="BJ494" i="2"/>
  <c r="BU509"/>
  <c r="AC497" i="14"/>
  <c r="AW497" i="17"/>
  <c r="AI496" i="15"/>
  <c r="AF500" i="16"/>
  <c r="AA497" i="14"/>
  <c r="BL494" i="2"/>
  <c r="BS494" s="1"/>
  <c r="BJ494" i="25"/>
  <c r="BL494" s="1"/>
  <c r="BT494" s="1"/>
  <c r="BV494" s="1"/>
  <c r="AY497" i="17" l="1"/>
  <c r="BC497" s="1"/>
  <c r="BE497" s="1"/>
  <c r="BU494" i="2"/>
  <c r="BH574" i="25"/>
  <c r="W574" i="22"/>
  <c r="Y580" i="26"/>
  <c r="U580"/>
  <c r="W577" i="1"/>
  <c r="U577" i="14"/>
  <c r="AU577" i="17"/>
  <c r="W573" i="22"/>
  <c r="Y579" i="26"/>
  <c r="U579"/>
  <c r="W576" i="1"/>
  <c r="U576" i="14"/>
  <c r="AA575" i="15"/>
  <c r="Q579" i="16"/>
  <c r="G580" i="10"/>
  <c r="W572" i="22"/>
  <c r="Y578" i="26"/>
  <c r="U578"/>
  <c r="W575" i="1"/>
  <c r="U575" i="14"/>
  <c r="O574" i="15"/>
  <c r="Q578" i="16"/>
  <c r="W571" i="22"/>
  <c r="Y577" i="26"/>
  <c r="U577"/>
  <c r="U574" i="14"/>
  <c r="Q577" i="16"/>
  <c r="AP570" i="25"/>
  <c r="W570" i="22"/>
  <c r="K570"/>
  <c r="Y573" i="26"/>
  <c r="U573"/>
  <c r="Q573"/>
  <c r="AP570" i="2"/>
  <c r="W573" i="1"/>
  <c r="U573" i="14"/>
  <c r="Q573"/>
  <c r="Q576" i="16"/>
  <c r="W569" i="22"/>
  <c r="Y572" i="26"/>
  <c r="U572"/>
  <c r="W572" i="1"/>
  <c r="U572" i="14"/>
  <c r="AU572" i="17"/>
  <c r="AA571" i="15"/>
  <c r="W568" i="22" l="1"/>
  <c r="K568"/>
  <c r="Y571" i="26"/>
  <c r="U571"/>
  <c r="Q571"/>
  <c r="W571" i="1"/>
  <c r="K571"/>
  <c r="U571" i="14"/>
  <c r="Q571"/>
  <c r="Q574" i="16"/>
  <c r="K572" i="10"/>
  <c r="BH567" i="25"/>
  <c r="W567" i="22"/>
  <c r="K567"/>
  <c r="Y570" i="26"/>
  <c r="U570"/>
  <c r="W570" i="1"/>
  <c r="K570"/>
  <c r="U570" i="14"/>
  <c r="AU570" i="17"/>
  <c r="AA569" i="15"/>
  <c r="W573" i="16"/>
  <c r="M566" i="25"/>
  <c r="W566" i="22"/>
  <c r="Y569" i="26"/>
  <c r="U569"/>
  <c r="U569" i="14"/>
  <c r="M569" i="17"/>
  <c r="W565" i="22"/>
  <c r="K565"/>
  <c r="Y568" i="26"/>
  <c r="U568"/>
  <c r="K568" i="1"/>
  <c r="U568" i="14"/>
  <c r="Q571" i="16"/>
  <c r="G569" i="10"/>
  <c r="M564" i="25"/>
  <c r="W564" i="22"/>
  <c r="K564"/>
  <c r="Y567" i="26"/>
  <c r="W567"/>
  <c r="U567"/>
  <c r="Q567"/>
  <c r="M564" i="2"/>
  <c r="W567" i="1"/>
  <c r="K567"/>
  <c r="W567" i="14"/>
  <c r="U567"/>
  <c r="Q567"/>
  <c r="M567" i="17"/>
  <c r="Q570" i="16"/>
  <c r="W563" i="22"/>
  <c r="Y566" i="26"/>
  <c r="U566"/>
  <c r="W566" i="1"/>
  <c r="U566" i="14"/>
  <c r="Q569" i="16"/>
  <c r="G567" i="10"/>
  <c r="M562" i="25"/>
  <c r="W562" i="22"/>
  <c r="Y565" i="26"/>
  <c r="U565"/>
  <c r="M562" i="2"/>
  <c r="W565" i="1"/>
  <c r="U565" i="14"/>
  <c r="M565" i="17"/>
  <c r="Q568" i="16"/>
  <c r="G566" i="10"/>
  <c r="W561" i="22"/>
  <c r="Y564" i="26"/>
  <c r="W564" i="1"/>
  <c r="Q567" i="16"/>
  <c r="W560" i="22"/>
  <c r="Y563" i="26"/>
  <c r="U563"/>
  <c r="W560" i="1"/>
  <c r="U563" i="14"/>
  <c r="O562" i="15"/>
  <c r="Q563" i="16"/>
  <c r="W559" i="22"/>
  <c r="Y562" i="26"/>
  <c r="U562"/>
  <c r="U562" i="14"/>
  <c r="Q562" i="16"/>
  <c r="W558" i="22"/>
  <c r="K558"/>
  <c r="Y561" i="26"/>
  <c r="U561"/>
  <c r="Q561"/>
  <c r="W558" i="1"/>
  <c r="U561" i="14"/>
  <c r="Q561"/>
  <c r="Q561" i="16"/>
  <c r="O562" i="10"/>
  <c r="W557" i="22" l="1"/>
  <c r="Y560" i="26"/>
  <c r="U560"/>
  <c r="U560" i="14"/>
  <c r="Q560" i="16"/>
  <c r="G561" i="10"/>
  <c r="W556" i="22"/>
  <c r="Y559" i="26"/>
  <c r="U559"/>
  <c r="U559" i="14"/>
  <c r="Q559" i="16"/>
  <c r="M560" i="10"/>
  <c r="AX548" i="25"/>
  <c r="AI548"/>
  <c r="G548"/>
  <c r="W548" i="22"/>
  <c r="Y548" s="1"/>
  <c r="AQ548" s="1"/>
  <c r="AX548" i="2"/>
  <c r="AI548"/>
  <c r="G548"/>
  <c r="AK548" i="1"/>
  <c r="W548"/>
  <c r="Y548" s="1"/>
  <c r="U551" i="26"/>
  <c r="AA551" s="1"/>
  <c r="O551"/>
  <c r="I551"/>
  <c r="U551" i="14"/>
  <c r="AA551" s="1"/>
  <c r="O551"/>
  <c r="I551"/>
  <c r="K551" s="1"/>
  <c r="AU551" i="17"/>
  <c r="AM551"/>
  <c r="G551"/>
  <c r="AG550" i="15"/>
  <c r="G550"/>
  <c r="M550" s="1"/>
  <c r="W551" i="16"/>
  <c r="AD551"/>
  <c r="G551"/>
  <c r="Q551"/>
  <c r="M551" s="1"/>
  <c r="X552" i="10"/>
  <c r="I552"/>
  <c r="S552" s="1"/>
  <c r="AZ323" i="25"/>
  <c r="W323" i="22"/>
  <c r="Y323" s="1"/>
  <c r="AQ323" s="1"/>
  <c r="Y326" i="26"/>
  <c r="U326"/>
  <c r="O326"/>
  <c r="K326"/>
  <c r="AZ323" i="2"/>
  <c r="W323" i="1"/>
  <c r="Y323" s="1"/>
  <c r="AM323" s="1"/>
  <c r="U326" i="14"/>
  <c r="AA326" s="1"/>
  <c r="O326"/>
  <c r="K326"/>
  <c r="AW326" i="17"/>
  <c r="AG326" i="15"/>
  <c r="M326"/>
  <c r="W326" i="16"/>
  <c r="AD326"/>
  <c r="G326"/>
  <c r="Q326"/>
  <c r="M326" s="1"/>
  <c r="X327" i="10"/>
  <c r="O327"/>
  <c r="S327" s="1"/>
  <c r="W282" i="22"/>
  <c r="Y282" i="26"/>
  <c r="U282"/>
  <c r="W282" i="1"/>
  <c r="U282" i="14"/>
  <c r="AU282" i="17"/>
  <c r="AA282" i="15"/>
  <c r="S282"/>
  <c r="AU177" i="17"/>
  <c r="M177" i="15"/>
  <c r="BA177" i="17"/>
  <c r="AA177" i="15"/>
  <c r="AW177" i="17"/>
  <c r="S177" i="15"/>
  <c r="AD177" i="16"/>
  <c r="W177"/>
  <c r="G177"/>
  <c r="AG177" i="15" l="1"/>
  <c r="AI177" s="1"/>
  <c r="AA326" i="26"/>
  <c r="AC326"/>
  <c r="AZ548" i="2"/>
  <c r="BJ548" s="1"/>
  <c r="AI326" i="15"/>
  <c r="AI550"/>
  <c r="AF326" i="16"/>
  <c r="AF177"/>
  <c r="AC326" i="14"/>
  <c r="BJ323" i="2"/>
  <c r="BL323" s="1"/>
  <c r="BS323" s="1"/>
  <c r="BU323" s="1"/>
  <c r="AM548" i="1"/>
  <c r="BJ323" i="25"/>
  <c r="BL323" s="1"/>
  <c r="BT323" s="1"/>
  <c r="BV323" s="1"/>
  <c r="AZ548"/>
  <c r="BJ548" s="1"/>
  <c r="BL548" s="1"/>
  <c r="BT548" s="1"/>
  <c r="BV548" s="1"/>
  <c r="K551" i="26"/>
  <c r="AC551" s="1"/>
  <c r="AW551" i="17"/>
  <c r="AY551" s="1"/>
  <c r="BC551" s="1"/>
  <c r="BE551" s="1"/>
  <c r="AC551" i="14"/>
  <c r="AY326" i="17"/>
  <c r="BC326" s="1"/>
  <c r="BE326" s="1"/>
  <c r="AF551" i="16"/>
  <c r="AY177" i="17"/>
  <c r="BC177" s="1"/>
  <c r="BE177" s="1"/>
  <c r="BL548" i="2" l="1"/>
  <c r="BS548" s="1"/>
  <c r="BU548" s="1"/>
  <c r="W555" i="22"/>
  <c r="K555"/>
  <c r="Y558" i="26"/>
  <c r="U558"/>
  <c r="Q558"/>
  <c r="W555" i="1"/>
  <c r="K555"/>
  <c r="U558" i="14"/>
  <c r="Q558"/>
  <c r="Q558" i="16"/>
  <c r="K559" i="10"/>
  <c r="BH554" i="25"/>
  <c r="W554" i="22"/>
  <c r="Y557" i="26"/>
  <c r="U557"/>
  <c r="W554" i="1" l="1"/>
  <c r="U557" i="14"/>
  <c r="AU557" i="17"/>
  <c r="AV553" i="25"/>
  <c r="W553" i="22"/>
  <c r="Y556" i="26"/>
  <c r="U556"/>
  <c r="W553" i="1"/>
  <c r="U556" i="14"/>
  <c r="Q556" i="16"/>
  <c r="M552" i="25"/>
  <c r="W552" i="22"/>
  <c r="Y555" i="26"/>
  <c r="U555"/>
  <c r="M552" i="2"/>
  <c r="W552" i="1"/>
  <c r="U555" i="14"/>
  <c r="AW555" i="17"/>
  <c r="M555"/>
  <c r="AA554" i="15"/>
  <c r="Q555" i="16"/>
  <c r="W551" i="22" l="1"/>
  <c r="Y554" i="26"/>
  <c r="U554"/>
  <c r="W551" i="1"/>
  <c r="U554" i="14"/>
  <c r="Q554" i="16"/>
  <c r="W550" i="22" l="1"/>
  <c r="K550"/>
  <c r="Y553" i="26"/>
  <c r="U553"/>
  <c r="Q553"/>
  <c r="W550" i="1"/>
  <c r="U553" i="14"/>
  <c r="Q553"/>
  <c r="Q553" i="16"/>
  <c r="G554" i="10"/>
  <c r="M549" i="25"/>
  <c r="W549" i="22"/>
  <c r="Y552" i="26"/>
  <c r="U552"/>
  <c r="M549" i="2"/>
  <c r="U552" i="14"/>
  <c r="M552" i="17"/>
  <c r="AA551" i="15"/>
  <c r="Q552" i="16"/>
  <c r="W547" i="22"/>
  <c r="K547"/>
  <c r="Y550" i="26"/>
  <c r="U550"/>
  <c r="W547" i="1"/>
  <c r="K547"/>
  <c r="U550" i="14"/>
  <c r="Q550" i="16"/>
  <c r="AI546" i="25"/>
  <c r="W546" i="22"/>
  <c r="K546"/>
  <c r="Y549" i="26"/>
  <c r="U549"/>
  <c r="Q549"/>
  <c r="I549"/>
  <c r="U549" i="14"/>
  <c r="AM549" i="17"/>
  <c r="Q549" i="16"/>
  <c r="W545" i="22"/>
  <c r="K545"/>
  <c r="U548" i="26"/>
  <c r="Y548"/>
  <c r="Q548"/>
  <c r="W545" i="1"/>
  <c r="U548" i="14"/>
  <c r="Q548"/>
  <c r="Q548" i="16"/>
  <c r="G549" i="10"/>
  <c r="W544" i="22"/>
  <c r="Y547" i="26"/>
  <c r="U547"/>
  <c r="W544" i="1"/>
  <c r="U547" i="14"/>
  <c r="Q547" i="16"/>
  <c r="M543" i="25"/>
  <c r="W543" i="22"/>
  <c r="Y546" i="26"/>
  <c r="U546"/>
  <c r="M543" i="2"/>
  <c r="W543" i="1"/>
  <c r="U546" i="14"/>
  <c r="M546" i="17"/>
  <c r="Q546" i="16"/>
  <c r="W542" i="22"/>
  <c r="K542"/>
  <c r="Y545" i="26"/>
  <c r="U545"/>
  <c r="Q545"/>
  <c r="W542" i="1"/>
  <c r="K542"/>
  <c r="U545" i="14"/>
  <c r="Q545"/>
  <c r="Q545" i="16"/>
  <c r="W541" i="22"/>
  <c r="Y544" i="26"/>
  <c r="U544"/>
  <c r="Q544"/>
  <c r="W541" i="1"/>
  <c r="U544" i="14"/>
  <c r="Q544" i="16"/>
  <c r="W540" i="22"/>
  <c r="Y543" i="26"/>
  <c r="U543"/>
  <c r="U543" i="14"/>
  <c r="Q543" i="16"/>
  <c r="G544" i="10"/>
  <c r="W485" i="22"/>
  <c r="Y488" i="26"/>
  <c r="U488"/>
  <c r="W488" i="1"/>
  <c r="U488" i="14"/>
  <c r="Q488" i="16"/>
  <c r="W484" i="22"/>
  <c r="Y487" i="26"/>
  <c r="U487"/>
  <c r="U487" i="14"/>
  <c r="Q487" i="16"/>
  <c r="W483" i="22"/>
  <c r="Y486" i="26"/>
  <c r="U486"/>
  <c r="U486" i="14"/>
  <c r="AA485" i="15"/>
  <c r="Q486" i="16"/>
  <c r="G487" i="10"/>
  <c r="O487"/>
  <c r="W479" i="22"/>
  <c r="U482" i="26"/>
  <c r="Y482"/>
  <c r="U482" i="14"/>
  <c r="Q482" i="16"/>
  <c r="AI482" i="25"/>
  <c r="W482" i="22"/>
  <c r="Y485" i="26"/>
  <c r="U485"/>
  <c r="U485" i="14"/>
  <c r="AM485" i="17"/>
  <c r="Q485" i="16"/>
  <c r="W481" i="22"/>
  <c r="Y484" i="26"/>
  <c r="U484"/>
  <c r="W481" i="1"/>
  <c r="U484" i="14"/>
  <c r="Q484" i="16"/>
  <c r="O485" i="10"/>
  <c r="W480" i="22"/>
  <c r="K480"/>
  <c r="Y483" i="26"/>
  <c r="U483"/>
  <c r="Q483"/>
  <c r="W480" i="1"/>
  <c r="U483" i="14"/>
  <c r="Q483"/>
  <c r="Q483" i="16"/>
  <c r="W478" i="22"/>
  <c r="K478"/>
  <c r="Y481" i="26"/>
  <c r="U481"/>
  <c r="Q481"/>
  <c r="W478" i="1"/>
  <c r="K478"/>
  <c r="U481" i="14"/>
  <c r="Q481"/>
  <c r="Q481" i="16"/>
  <c r="G482" i="10"/>
  <c r="U482"/>
  <c r="W477" i="22"/>
  <c r="Y480" i="26"/>
  <c r="U480"/>
  <c r="W477" i="1"/>
  <c r="U480" i="14"/>
  <c r="Q480" i="16"/>
  <c r="O480"/>
  <c r="O481" i="10"/>
  <c r="G481"/>
  <c r="U481"/>
  <c r="M476" i="25"/>
  <c r="W476" i="22"/>
  <c r="Y479" i="26"/>
  <c r="U479"/>
  <c r="M476" i="2"/>
  <c r="W476" i="1"/>
  <c r="U479" i="14"/>
  <c r="M479" i="17"/>
  <c r="Q479" i="16"/>
  <c r="W475" i="22" l="1"/>
  <c r="Y478" i="26"/>
  <c r="U478"/>
  <c r="W475" i="1"/>
  <c r="U478" i="14"/>
  <c r="Q478" i="16"/>
  <c r="W474" i="22"/>
  <c r="Y477" i="26"/>
  <c r="U477" i="14"/>
  <c r="U477" i="26"/>
  <c r="O476" i="15"/>
  <c r="Q477" i="16"/>
  <c r="M473" i="25"/>
  <c r="W473" i="22"/>
  <c r="Y476" i="26"/>
  <c r="U476"/>
  <c r="M473" i="2"/>
  <c r="W473" i="1"/>
  <c r="U476" i="14"/>
  <c r="S475" i="15"/>
  <c r="Q476" i="16"/>
  <c r="G477" i="10"/>
  <c r="W472" i="22"/>
  <c r="Y475" i="26"/>
  <c r="U475"/>
  <c r="W472" i="1"/>
  <c r="U475" i="14"/>
  <c r="Q475" i="16"/>
  <c r="W468" i="22"/>
  <c r="Y471" i="26"/>
  <c r="U471"/>
  <c r="BB468" i="2"/>
  <c r="W468" i="1"/>
  <c r="U471" i="14"/>
  <c r="AM471" i="17"/>
  <c r="Q471" i="16"/>
  <c r="O472" i="10"/>
  <c r="W471" i="22"/>
  <c r="K471"/>
  <c r="Y474" i="26"/>
  <c r="U474"/>
  <c r="Q474"/>
  <c r="W471" i="1" l="1"/>
  <c r="U474" i="14"/>
  <c r="Q474"/>
  <c r="Q474" i="16"/>
  <c r="W470" i="22"/>
  <c r="AA473" i="16"/>
  <c r="Y473"/>
  <c r="U473"/>
  <c r="S473"/>
  <c r="K473"/>
  <c r="I473"/>
  <c r="Q473"/>
  <c r="O473"/>
  <c r="G474" i="10"/>
  <c r="O474"/>
  <c r="U474"/>
  <c r="Y473" i="26"/>
  <c r="U473"/>
  <c r="W470" i="1"/>
  <c r="U473" i="14"/>
  <c r="AM473" i="17"/>
  <c r="AA472" i="15"/>
  <c r="W469" i="22"/>
  <c r="Y472" i="26"/>
  <c r="U472"/>
  <c r="W469" i="1"/>
  <c r="U472" i="14"/>
  <c r="Q472" i="16"/>
  <c r="AV467" i="25"/>
  <c r="M467"/>
  <c r="W467" i="22"/>
  <c r="K467"/>
  <c r="U470" i="26"/>
  <c r="Y470"/>
  <c r="Q470"/>
  <c r="M467" i="2"/>
  <c r="W467" i="1"/>
  <c r="K467"/>
  <c r="U470" i="14"/>
  <c r="Q470"/>
  <c r="M470" i="17"/>
  <c r="Q470" i="16"/>
  <c r="M471" i="10"/>
  <c r="W466" i="22"/>
  <c r="Y469" i="26"/>
  <c r="U469"/>
  <c r="W466" i="1"/>
  <c r="U469" i="14"/>
  <c r="AQ469" i="17"/>
  <c r="Q469" i="16"/>
  <c r="W465" i="22"/>
  <c r="Y468" i="26"/>
  <c r="U468"/>
  <c r="BB465" i="2"/>
  <c r="W465" i="1"/>
  <c r="U468" i="14"/>
  <c r="AA467" i="15"/>
  <c r="Q468" i="16"/>
  <c r="M464" i="25"/>
  <c r="W464" i="22"/>
  <c r="Y467" i="26"/>
  <c r="U467"/>
  <c r="M464" i="2"/>
  <c r="W464" i="1"/>
  <c r="U467" i="14"/>
  <c r="M464" i="17"/>
  <c r="AA466" i="15"/>
  <c r="Q467" i="16"/>
  <c r="W463" i="22"/>
  <c r="Y466" i="26"/>
  <c r="U466"/>
  <c r="W463" i="1"/>
  <c r="U466" i="14"/>
  <c r="O467" i="10"/>
  <c r="W462" i="22"/>
  <c r="Y465" i="26"/>
  <c r="U465"/>
  <c r="W462" i="1"/>
  <c r="U465" i="14"/>
  <c r="G466" i="10"/>
  <c r="W461" i="22"/>
  <c r="Y464" i="26"/>
  <c r="U464"/>
  <c r="BD461" i="2"/>
  <c r="U464" i="14"/>
  <c r="M460" i="25" l="1"/>
  <c r="W460" i="22"/>
  <c r="Y463" i="26"/>
  <c r="U463"/>
  <c r="BB460" i="2"/>
  <c r="M460"/>
  <c r="W460" i="1"/>
  <c r="U463" i="14"/>
  <c r="M460" i="17"/>
  <c r="G464" i="10"/>
  <c r="W459" i="22" l="1"/>
  <c r="K459"/>
  <c r="Y462" i="26"/>
  <c r="U462"/>
  <c r="W459" i="1"/>
  <c r="K459"/>
  <c r="U462" i="14"/>
  <c r="Q462"/>
  <c r="W458" i="22"/>
  <c r="M458" i="25"/>
  <c r="Y461" i="26"/>
  <c r="U461"/>
  <c r="W458" i="1"/>
  <c r="U461" i="14"/>
  <c r="M458" i="17"/>
  <c r="G461" i="16"/>
  <c r="W457" i="22"/>
  <c r="K457"/>
  <c r="Y460" i="26"/>
  <c r="U460"/>
  <c r="Q460"/>
  <c r="W457" i="1"/>
  <c r="U457" i="14"/>
  <c r="Q457"/>
  <c r="G461" i="10"/>
  <c r="W456" i="22"/>
  <c r="Y459" i="26"/>
  <c r="U459"/>
  <c r="W456" i="1"/>
  <c r="U456" i="14"/>
  <c r="AA455" i="15"/>
  <c r="O455"/>
  <c r="M455" i="25"/>
  <c r="W455" i="22"/>
  <c r="K455"/>
  <c r="Y458" i="26"/>
  <c r="U458"/>
  <c r="Q458"/>
  <c r="M455" i="2"/>
  <c r="W455" i="1"/>
  <c r="U455" i="14"/>
  <c r="Q455"/>
  <c r="M455" i="17"/>
  <c r="O459" i="10"/>
  <c r="W453" i="22"/>
  <c r="K453"/>
  <c r="Y456" i="26"/>
  <c r="U456"/>
  <c r="I456"/>
  <c r="W453" i="1"/>
  <c r="K453"/>
  <c r="U453" i="14"/>
  <c r="O457" i="10"/>
  <c r="W452" i="22" l="1"/>
  <c r="Y455" i="26"/>
  <c r="U455"/>
  <c r="U452" i="14"/>
  <c r="O451" i="15"/>
  <c r="W451" i="22" l="1"/>
  <c r="K451"/>
  <c r="Y454" i="26"/>
  <c r="U454"/>
  <c r="W451" i="1"/>
  <c r="U451" i="14"/>
  <c r="S450" i="15"/>
  <c r="AV450" i="25"/>
  <c r="W450" i="22"/>
  <c r="Y453" i="26"/>
  <c r="U453"/>
  <c r="W450" i="1"/>
  <c r="U450" i="14"/>
  <c r="Y452" i="26"/>
  <c r="U452"/>
  <c r="U449" i="14"/>
  <c r="AM449" i="17"/>
  <c r="O453" i="10"/>
  <c r="S453" s="1"/>
  <c r="M448" i="25"/>
  <c r="W448" i="22"/>
  <c r="Y451" i="26"/>
  <c r="U451"/>
  <c r="W448" i="1"/>
  <c r="U448" i="14"/>
  <c r="M448" i="17"/>
  <c r="AI447" i="25"/>
  <c r="W447" i="22"/>
  <c r="Y450" i="26"/>
  <c r="U450"/>
  <c r="AI444" i="2"/>
  <c r="W447" i="1"/>
  <c r="U447" i="14"/>
  <c r="AM447" i="17"/>
  <c r="O451" i="10"/>
  <c r="S451" s="1"/>
  <c r="AZ446" i="25"/>
  <c r="BJ446" s="1"/>
  <c r="W446" i="22"/>
  <c r="Y446" s="1"/>
  <c r="AQ446" s="1"/>
  <c r="Y449" i="26"/>
  <c r="U449"/>
  <c r="AA449" s="1"/>
  <c r="K449"/>
  <c r="AZ443" i="2"/>
  <c r="BJ443" s="1"/>
  <c r="Y446" i="1"/>
  <c r="AM446" s="1"/>
  <c r="U446" i="14"/>
  <c r="AA446" s="1"/>
  <c r="K446"/>
  <c r="AU446" i="17"/>
  <c r="AW446" s="1"/>
  <c r="M445" i="15"/>
  <c r="O445"/>
  <c r="AG445" s="1"/>
  <c r="AD449" i="16"/>
  <c r="W449"/>
  <c r="G449"/>
  <c r="X450" i="10"/>
  <c r="X451"/>
  <c r="X452"/>
  <c r="X453"/>
  <c r="X454"/>
  <c r="S450"/>
  <c r="S452"/>
  <c r="AP445" i="25"/>
  <c r="W445" i="22"/>
  <c r="K445"/>
  <c r="Y448" i="26"/>
  <c r="U448"/>
  <c r="W445" i="1"/>
  <c r="U445" i="14"/>
  <c r="AC449" i="26" l="1"/>
  <c r="BL443" i="2"/>
  <c r="BS443" s="1"/>
  <c r="BU443" s="1"/>
  <c r="AI445" i="15"/>
  <c r="AY446" i="17" s="1"/>
  <c r="BC446" s="1"/>
  <c r="BE446" s="1"/>
  <c r="AF449" i="16"/>
  <c r="AC446" i="14"/>
  <c r="BL446" i="25"/>
  <c r="BT446" s="1"/>
  <c r="BV446" s="1"/>
  <c r="W444" i="22"/>
  <c r="Y447" i="26"/>
  <c r="BD441" i="2"/>
  <c r="AU444" i="17"/>
  <c r="O443" i="15"/>
  <c r="W443" i="22"/>
  <c r="Y446" i="26"/>
  <c r="U446"/>
  <c r="W443" i="1"/>
  <c r="U443" i="14"/>
  <c r="AA442" i="15"/>
  <c r="G447" i="10"/>
  <c r="M439" i="25"/>
  <c r="W439" i="22"/>
  <c r="Y445" i="26"/>
  <c r="U445"/>
  <c r="M439" i="2"/>
  <c r="W442" i="1"/>
  <c r="U442" i="14"/>
  <c r="AM442" i="17"/>
  <c r="M442"/>
  <c r="Q445" i="16"/>
  <c r="O445"/>
  <c r="K446" i="10"/>
  <c r="O446"/>
  <c r="G446"/>
  <c r="I446"/>
  <c r="U446"/>
  <c r="W436" i="22"/>
  <c r="Y442" i="26"/>
  <c r="U442"/>
  <c r="W439" i="1"/>
  <c r="BH438" i="25"/>
  <c r="W438" i="22"/>
  <c r="Y444" i="26"/>
  <c r="U444"/>
  <c r="W441" i="1"/>
  <c r="U441" i="14"/>
  <c r="AU441" i="17"/>
  <c r="O440" i="15"/>
  <c r="Y440" i="26"/>
  <c r="U440"/>
  <c r="U437" i="14"/>
  <c r="G441" i="10"/>
  <c r="W371" i="22"/>
  <c r="K371"/>
  <c r="Y374" i="26"/>
  <c r="U374"/>
  <c r="W371" i="1"/>
  <c r="U371" i="14"/>
  <c r="M375" i="10"/>
  <c r="W373" i="22"/>
  <c r="Y376" i="26"/>
  <c r="U376"/>
  <c r="BB373" i="2"/>
  <c r="U373" i="14"/>
  <c r="M377" i="10"/>
  <c r="G377"/>
  <c r="AP372" i="25"/>
  <c r="W372" i="22"/>
  <c r="K372"/>
  <c r="Y375" i="26"/>
  <c r="U375"/>
  <c r="W372" i="1"/>
  <c r="U372" i="14"/>
  <c r="I376" i="10"/>
  <c r="G376"/>
  <c r="W370" i="22"/>
  <c r="Y373" i="26"/>
  <c r="U373"/>
  <c r="W370" i="1"/>
  <c r="U370" i="14"/>
  <c r="AA370" i="15"/>
  <c r="G374" i="10"/>
  <c r="O374"/>
  <c r="M369" i="25"/>
  <c r="W369" i="22"/>
  <c r="Y372" i="26"/>
  <c r="U372"/>
  <c r="M369" i="2"/>
  <c r="W369" i="1"/>
  <c r="U369" i="14"/>
  <c r="M369" i="17"/>
  <c r="AA369" i="15"/>
  <c r="G373" i="10"/>
  <c r="W368" i="22" l="1"/>
  <c r="K368"/>
  <c r="Y371" i="26"/>
  <c r="U371"/>
  <c r="W368" i="1"/>
  <c r="U368" i="14"/>
  <c r="W367" i="22"/>
  <c r="Y370" i="26"/>
  <c r="U370"/>
  <c r="W367" i="1"/>
  <c r="U367" i="14"/>
  <c r="S367" i="15"/>
  <c r="G371" i="10"/>
  <c r="K371"/>
  <c r="M366" i="25"/>
  <c r="W366" i="22"/>
  <c r="K366"/>
  <c r="Y369" i="26"/>
  <c r="U369"/>
  <c r="M366" i="2"/>
  <c r="W366" i="1"/>
  <c r="K366"/>
  <c r="AU366" i="17"/>
  <c r="M366"/>
  <c r="M365" i="25"/>
  <c r="W365" i="22"/>
  <c r="Y368" i="26"/>
  <c r="U368"/>
  <c r="M365" i="2"/>
  <c r="U365" i="14"/>
  <c r="M365" i="17"/>
  <c r="G369" i="10"/>
  <c r="BH364" i="25"/>
  <c r="W364" i="22"/>
  <c r="Y367" i="26"/>
  <c r="U367"/>
  <c r="U364" i="14"/>
  <c r="W364" i="1"/>
  <c r="AU364" i="17"/>
  <c r="W363" i="22" l="1"/>
  <c r="Y366" i="26"/>
  <c r="U366"/>
  <c r="U363" i="14"/>
  <c r="W362" i="22"/>
  <c r="Y365" i="26"/>
  <c r="U365"/>
  <c r="W362" i="1"/>
  <c r="U362" i="14"/>
  <c r="AA362" i="15"/>
  <c r="W361" i="22"/>
  <c r="Y364" i="26"/>
  <c r="U364"/>
  <c r="W361" i="1"/>
  <c r="U361" i="14"/>
  <c r="W360" i="22"/>
  <c r="K360"/>
  <c r="Y360" i="26"/>
  <c r="U360"/>
  <c r="Q360"/>
  <c r="I360"/>
  <c r="K360" i="1"/>
  <c r="U360" i="14"/>
  <c r="AP356" i="25"/>
  <c r="AN356"/>
  <c r="W356" i="22"/>
  <c r="Y356" i="26"/>
  <c r="U356"/>
  <c r="AN353" i="2"/>
  <c r="W356" i="1"/>
  <c r="U356" i="14"/>
  <c r="AM356" i="17"/>
  <c r="Q359" i="16"/>
  <c r="O359"/>
  <c r="O357" i="10"/>
  <c r="G357"/>
  <c r="U357"/>
  <c r="W354" i="22"/>
  <c r="Y354" i="26"/>
  <c r="U354"/>
  <c r="U354" i="14"/>
  <c r="G355" i="10"/>
  <c r="W344" i="22"/>
  <c r="K344"/>
  <c r="Y347" i="26"/>
  <c r="U347"/>
  <c r="W347" i="1"/>
  <c r="U347" i="14"/>
  <c r="BH358" i="25"/>
  <c r="M358"/>
  <c r="W358" i="22"/>
  <c r="Y358" i="26"/>
  <c r="U358"/>
  <c r="M355" i="2"/>
  <c r="W358" i="1"/>
  <c r="U358" i="14"/>
  <c r="AU358" i="17"/>
  <c r="M358"/>
  <c r="AA358" i="15"/>
  <c r="W357" i="22"/>
  <c r="Y357" i="26"/>
  <c r="U357"/>
  <c r="U357" i="14"/>
  <c r="M357" i="17"/>
  <c r="G358" i="10"/>
  <c r="I358"/>
  <c r="AP355" i="25"/>
  <c r="M355"/>
  <c r="W355" i="22"/>
  <c r="K355"/>
  <c r="Y355" i="26"/>
  <c r="U355"/>
  <c r="M352" i="2"/>
  <c r="W355" i="1"/>
  <c r="K355"/>
  <c r="U355" i="14"/>
  <c r="M355" i="17"/>
  <c r="G358" i="16"/>
  <c r="G356" i="10"/>
  <c r="K356"/>
  <c r="W353" i="22"/>
  <c r="Y353" i="26"/>
  <c r="U353"/>
  <c r="W353" i="1"/>
  <c r="U353" i="14"/>
  <c r="AA353" s="1"/>
  <c r="W348" i="22"/>
  <c r="Y351" i="26"/>
  <c r="U351"/>
  <c r="BB348" i="2"/>
  <c r="W351" i="1"/>
  <c r="U351" i="14"/>
  <c r="AA351" i="15"/>
  <c r="O352" i="10"/>
  <c r="M347" i="25"/>
  <c r="W347" i="22"/>
  <c r="Y350" i="26"/>
  <c r="U350"/>
  <c r="M347" i="2"/>
  <c r="W350" i="1"/>
  <c r="U350" i="14"/>
  <c r="M350" i="17"/>
  <c r="AA350" i="15"/>
  <c r="G351" i="10"/>
  <c r="K351"/>
  <c r="AV346" i="25" l="1"/>
  <c r="W346" i="22"/>
  <c r="Y349" i="26"/>
  <c r="U349"/>
  <c r="W349" i="1"/>
  <c r="U349" i="14"/>
  <c r="S349" i="15"/>
  <c r="G350" i="10"/>
  <c r="W345" i="22"/>
  <c r="K345"/>
  <c r="Y348" i="26"/>
  <c r="U348"/>
  <c r="U348" i="14"/>
  <c r="G349" i="10"/>
  <c r="BD343" i="25"/>
  <c r="M343"/>
  <c r="W343" i="22"/>
  <c r="Y346" i="26"/>
  <c r="M343" i="2"/>
  <c r="W346" i="1"/>
  <c r="M346" i="17"/>
  <c r="AU346"/>
  <c r="AA346" i="15"/>
  <c r="W342" i="22"/>
  <c r="Y345" i="26"/>
  <c r="U345"/>
  <c r="W345" i="1"/>
  <c r="U345" i="14"/>
  <c r="M341" i="25"/>
  <c r="K341"/>
  <c r="W341" i="22"/>
  <c r="Y344" i="26"/>
  <c r="U344"/>
  <c r="W344" i="1"/>
  <c r="U344" i="14"/>
  <c r="M344" i="17"/>
  <c r="K344"/>
  <c r="O345" i="10"/>
  <c r="G345"/>
  <c r="AV349" i="25"/>
  <c r="W349" i="22"/>
  <c r="Y352" i="26"/>
  <c r="U352"/>
  <c r="W352" i="1"/>
  <c r="U352" i="14"/>
  <c r="M340" i="25"/>
  <c r="W340" i="22"/>
  <c r="K340"/>
  <c r="Y343" i="26"/>
  <c r="U343"/>
  <c r="W343" i="1"/>
  <c r="U343" i="14"/>
  <c r="M343" i="17"/>
  <c r="W339" i="22"/>
  <c r="K339"/>
  <c r="Y342" i="26"/>
  <c r="U342"/>
  <c r="W342" i="1"/>
  <c r="K342"/>
  <c r="U342" i="14"/>
  <c r="M338" i="25"/>
  <c r="W338" i="22"/>
  <c r="Y341" i="26"/>
  <c r="U341"/>
  <c r="M338" i="2"/>
  <c r="W341" i="1"/>
  <c r="U341" i="14"/>
  <c r="M341" i="17"/>
  <c r="AA341" i="15"/>
  <c r="G342" i="10"/>
  <c r="W337" i="22" l="1"/>
  <c r="Y340" i="26"/>
  <c r="U340"/>
  <c r="U340" i="14"/>
  <c r="O341" i="10"/>
  <c r="W336" i="22"/>
  <c r="K336"/>
  <c r="Y339" i="26"/>
  <c r="U339"/>
  <c r="Q339"/>
  <c r="W339" i="1"/>
  <c r="K339"/>
  <c r="U339" i="14"/>
  <c r="Q339"/>
  <c r="AM339" i="17"/>
  <c r="Q339" i="16"/>
  <c r="O340" i="10"/>
  <c r="U340"/>
  <c r="M335" i="25"/>
  <c r="W335" i="22"/>
  <c r="Y338" i="26"/>
  <c r="U338"/>
  <c r="W338" i="1"/>
  <c r="U338" i="14"/>
  <c r="M338" i="17"/>
  <c r="W334" i="22"/>
  <c r="K334"/>
  <c r="Y337" i="26"/>
  <c r="U337"/>
  <c r="W337" i="1"/>
  <c r="K337"/>
  <c r="U337" i="14"/>
  <c r="BH333" i="25"/>
  <c r="AZ333"/>
  <c r="AZ334"/>
  <c r="W333" i="22"/>
  <c r="Y333" s="1"/>
  <c r="AQ333" s="1"/>
  <c r="Y336" i="26"/>
  <c r="U336"/>
  <c r="K336"/>
  <c r="AZ333" i="2"/>
  <c r="AZ334"/>
  <c r="W336" i="1"/>
  <c r="Y336" s="1"/>
  <c r="AM336" s="1"/>
  <c r="U336" i="14"/>
  <c r="AA336" s="1"/>
  <c r="K336"/>
  <c r="AU336" i="17"/>
  <c r="AW336" s="1"/>
  <c r="AA336" i="15"/>
  <c r="AG336" s="1"/>
  <c r="M336"/>
  <c r="AD336" i="16"/>
  <c r="W336"/>
  <c r="G336"/>
  <c r="AA336" i="26" l="1"/>
  <c r="AC336" i="14"/>
  <c r="AC336" i="26"/>
  <c r="BJ333" i="2"/>
  <c r="BL333" s="1"/>
  <c r="BS333" s="1"/>
  <c r="BU333" s="1"/>
  <c r="AI336" i="15"/>
  <c r="BJ333" i="25"/>
  <c r="BL333" s="1"/>
  <c r="BT333" s="1"/>
  <c r="BV333" s="1"/>
  <c r="AY336" i="17"/>
  <c r="BC336" s="1"/>
  <c r="BE336" s="1"/>
  <c r="AF336" i="16"/>
  <c r="X337" i="10"/>
  <c r="S337"/>
  <c r="S338"/>
  <c r="Y335" i="26" l="1"/>
  <c r="U335"/>
  <c r="U335" i="14"/>
  <c r="AM335" i="17"/>
  <c r="O335" i="15"/>
  <c r="Q335" i="16"/>
  <c r="O335"/>
  <c r="O336" i="10"/>
  <c r="U336"/>
  <c r="BJ334" i="25"/>
  <c r="BD331"/>
  <c r="M331"/>
  <c r="W331" i="22"/>
  <c r="Y334" i="26"/>
  <c r="U334"/>
  <c r="BD331" i="2"/>
  <c r="W334" i="1"/>
  <c r="U334" i="14"/>
  <c r="AU334" i="17"/>
  <c r="M334"/>
  <c r="AA334" i="15"/>
  <c r="M330" i="25"/>
  <c r="W330" i="22"/>
  <c r="Y333" i="26"/>
  <c r="U333"/>
  <c r="W333" i="1"/>
  <c r="U333" i="14"/>
  <c r="M333" i="17"/>
  <c r="G334" i="10"/>
  <c r="W329" i="22"/>
  <c r="K329"/>
  <c r="Y332" i="26"/>
  <c r="U332"/>
  <c r="W332" i="1"/>
  <c r="U332" i="14"/>
  <c r="W328" i="22"/>
  <c r="K328"/>
  <c r="Y331" i="26"/>
  <c r="U331"/>
  <c r="W331" i="1"/>
  <c r="K331"/>
  <c r="U331" i="14"/>
  <c r="W327" i="22"/>
  <c r="K327"/>
  <c r="Y330" i="26"/>
  <c r="U330"/>
  <c r="W330" i="1"/>
  <c r="U330" i="14"/>
  <c r="M326" i="25"/>
  <c r="W326" i="22"/>
  <c r="Y329" i="26"/>
  <c r="U329"/>
  <c r="W329" i="1"/>
  <c r="M329" i="17"/>
  <c r="M325" i="25"/>
  <c r="W325" i="22"/>
  <c r="K325"/>
  <c r="Y328" i="26"/>
  <c r="U328"/>
  <c r="W328" i="1"/>
  <c r="K328"/>
  <c r="U328" i="14"/>
  <c r="M328" i="17"/>
  <c r="G329" i="10"/>
  <c r="W324" i="22"/>
  <c r="Y327" i="26"/>
  <c r="M328" i="10"/>
  <c r="G328"/>
  <c r="M322" i="25" l="1"/>
  <c r="W322" i="22"/>
  <c r="K322"/>
  <c r="Y325" i="26"/>
  <c r="U325"/>
  <c r="W322" i="1"/>
  <c r="K322"/>
  <c r="U325" i="14"/>
  <c r="AU325" i="17"/>
  <c r="M325"/>
  <c r="Q325" i="16"/>
  <c r="O325"/>
  <c r="O326" i="10"/>
  <c r="S326" s="1"/>
  <c r="U326"/>
  <c r="BH321" i="25"/>
  <c r="BB321"/>
  <c r="M321"/>
  <c r="AZ321" s="1"/>
  <c r="Y321" i="22"/>
  <c r="AQ321" s="1"/>
  <c r="Y324" i="26"/>
  <c r="U324"/>
  <c r="AA324" s="1"/>
  <c r="K324"/>
  <c r="BD321" i="2"/>
  <c r="AZ322"/>
  <c r="M321"/>
  <c r="AZ321" s="1"/>
  <c r="BJ321" s="1"/>
  <c r="AK321" i="1"/>
  <c r="Y321"/>
  <c r="U324" i="14"/>
  <c r="AA324" s="1"/>
  <c r="K324"/>
  <c r="K325"/>
  <c r="AA324" i="15"/>
  <c r="AG324" s="1"/>
  <c r="AM324" i="17"/>
  <c r="AU324"/>
  <c r="M324"/>
  <c r="M324" i="15"/>
  <c r="AD324" i="16"/>
  <c r="W324"/>
  <c r="G324"/>
  <c r="X325" i="10"/>
  <c r="S325"/>
  <c r="W320" i="22"/>
  <c r="K320"/>
  <c r="Y323" i="26"/>
  <c r="U323"/>
  <c r="U323" i="14"/>
  <c r="W319" i="22"/>
  <c r="Y322" i="26"/>
  <c r="U322"/>
  <c r="W319" i="1"/>
  <c r="U322" i="14"/>
  <c r="W318" i="22"/>
  <c r="Y321" i="26"/>
  <c r="U321"/>
  <c r="U321" i="14"/>
  <c r="AV317" i="25"/>
  <c r="W317" i="22"/>
  <c r="Y320" i="26"/>
  <c r="U320"/>
  <c r="W317" i="1"/>
  <c r="U320" i="14"/>
  <c r="G321" i="10"/>
  <c r="W316" i="22"/>
  <c r="K316"/>
  <c r="Y319" i="26"/>
  <c r="U319"/>
  <c r="W316" i="1"/>
  <c r="U319" i="14"/>
  <c r="W315" i="22"/>
  <c r="K315"/>
  <c r="Y318" i="26"/>
  <c r="U318"/>
  <c r="W315" i="1"/>
  <c r="U318" i="14"/>
  <c r="AA318" i="15"/>
  <c r="O319" i="10"/>
  <c r="G319"/>
  <c r="BJ321" i="25" l="1"/>
  <c r="BL321" s="1"/>
  <c r="BT321" s="1"/>
  <c r="BV321" s="1"/>
  <c r="AC324" i="26"/>
  <c r="AC324" i="14"/>
  <c r="AM321" i="1"/>
  <c r="BL321" i="2" s="1"/>
  <c r="BS321" s="1"/>
  <c r="BU321" s="1"/>
  <c r="AW324" i="17"/>
  <c r="AI324" i="15"/>
  <c r="AF324" i="16"/>
  <c r="W314" i="22"/>
  <c r="Y317" i="26"/>
  <c r="U317"/>
  <c r="U317" i="14"/>
  <c r="W312" i="22"/>
  <c r="K312"/>
  <c r="Y315" i="26"/>
  <c r="U315"/>
  <c r="W312" i="1"/>
  <c r="K312"/>
  <c r="U315" i="14"/>
  <c r="W313" i="22"/>
  <c r="Y316" i="26"/>
  <c r="U316"/>
  <c r="W313" i="1"/>
  <c r="U316" i="14"/>
  <c r="G317" i="10"/>
  <c r="O317"/>
  <c r="AY324" i="17" l="1"/>
  <c r="BC324" s="1"/>
  <c r="BE324" s="1"/>
  <c r="AI311" i="25"/>
  <c r="W311" i="22"/>
  <c r="K311"/>
  <c r="Y314" i="26"/>
  <c r="U314"/>
  <c r="W311" i="1"/>
  <c r="U314" i="14"/>
  <c r="AM314" i="17"/>
  <c r="M314"/>
  <c r="M315" i="10"/>
  <c r="W308" i="22"/>
  <c r="K308"/>
  <c r="Y311" i="26"/>
  <c r="U311"/>
  <c r="K308" i="1"/>
  <c r="U311" i="14"/>
  <c r="AM308" i="17"/>
  <c r="O312" i="10"/>
  <c r="M310" i="25"/>
  <c r="W310" i="22"/>
  <c r="Y313" i="26"/>
  <c r="U313"/>
  <c r="M310" i="2"/>
  <c r="W310" i="1"/>
  <c r="U313" i="14"/>
  <c r="AW307" i="17"/>
  <c r="AW308"/>
  <c r="AW309"/>
  <c r="AW315"/>
  <c r="AW316"/>
  <c r="AW317"/>
  <c r="M310"/>
  <c r="AW310" s="1"/>
  <c r="W309" i="22"/>
  <c r="Y312" i="26"/>
  <c r="W309" i="1"/>
  <c r="G313" i="10"/>
  <c r="AW314" i="17" l="1"/>
  <c r="W307" i="22"/>
  <c r="K307"/>
  <c r="Y310" i="26"/>
  <c r="U310"/>
  <c r="W307" i="1"/>
  <c r="K307"/>
  <c r="U310" i="14"/>
  <c r="W306" i="22"/>
  <c r="Y309" i="26"/>
  <c r="U309"/>
  <c r="BD306" i="2"/>
  <c r="BB306"/>
  <c r="U306" i="14"/>
  <c r="AA306" s="1"/>
  <c r="AU306" i="17"/>
  <c r="AD308" i="16"/>
  <c r="AD309"/>
  <c r="AD310"/>
  <c r="AD311"/>
  <c r="AD312"/>
  <c r="AD313"/>
  <c r="AD314"/>
  <c r="AD315"/>
  <c r="AD316"/>
  <c r="AD317"/>
  <c r="AD318"/>
  <c r="AD319"/>
  <c r="AD320"/>
  <c r="W309"/>
  <c r="W310"/>
  <c r="W311"/>
  <c r="W312"/>
  <c r="W313"/>
  <c r="X308" i="10"/>
  <c r="X309"/>
  <c r="X310"/>
  <c r="X311"/>
  <c r="X312"/>
  <c r="X313"/>
  <c r="X314"/>
  <c r="W305" i="22"/>
  <c r="Y308" i="26"/>
  <c r="U308"/>
  <c r="BB305" i="2"/>
  <c r="U305" i="14"/>
  <c r="AA305" s="1"/>
  <c r="M309" i="10"/>
  <c r="S309" s="1"/>
  <c r="W304" i="22"/>
  <c r="Y307" i="26"/>
  <c r="U307"/>
  <c r="W304" i="1"/>
  <c r="Y304" s="1"/>
  <c r="U304" i="14"/>
  <c r="G308" i="10"/>
  <c r="S308" s="1"/>
  <c r="W303" i="22"/>
  <c r="K303"/>
  <c r="Y303" s="1"/>
  <c r="Y306" i="26"/>
  <c r="U306"/>
  <c r="AA306" s="1"/>
  <c r="W303" i="1"/>
  <c r="K303"/>
  <c r="U303" i="14"/>
  <c r="BH302" i="25"/>
  <c r="AZ303"/>
  <c r="BJ303" s="1"/>
  <c r="AZ304"/>
  <c r="BJ304" s="1"/>
  <c r="M302"/>
  <c r="AZ302" s="1"/>
  <c r="Y302" i="22"/>
  <c r="W302"/>
  <c r="AO302"/>
  <c r="AQ302" s="1"/>
  <c r="AO303"/>
  <c r="AO304"/>
  <c r="Y305" i="26"/>
  <c r="U305"/>
  <c r="AA305" s="1"/>
  <c r="K305"/>
  <c r="AC305"/>
  <c r="AZ303" i="2"/>
  <c r="BJ303" s="1"/>
  <c r="AZ304"/>
  <c r="M302"/>
  <c r="AZ302" s="1"/>
  <c r="BJ304"/>
  <c r="W302" i="1"/>
  <c r="Y302" s="1"/>
  <c r="AK302"/>
  <c r="AK303"/>
  <c r="AK304"/>
  <c r="AA303" i="14"/>
  <c r="AA304"/>
  <c r="U302"/>
  <c r="AA302" s="1"/>
  <c r="O302"/>
  <c r="O303"/>
  <c r="O304"/>
  <c r="K302"/>
  <c r="K303"/>
  <c r="K304"/>
  <c r="K305"/>
  <c r="AU302" i="17"/>
  <c r="AW303"/>
  <c r="AW304"/>
  <c r="AW305"/>
  <c r="M302"/>
  <c r="AW302" s="1"/>
  <c r="AG303" i="15"/>
  <c r="AG304"/>
  <c r="AA302"/>
  <c r="AG302" s="1"/>
  <c r="M302"/>
  <c r="AD305" i="16"/>
  <c r="AD306"/>
  <c r="AD307"/>
  <c r="W305"/>
  <c r="W306"/>
  <c r="W307"/>
  <c r="M305"/>
  <c r="M306"/>
  <c r="M307"/>
  <c r="M308"/>
  <c r="M309"/>
  <c r="M310"/>
  <c r="G305"/>
  <c r="G306"/>
  <c r="G307"/>
  <c r="G308"/>
  <c r="G309"/>
  <c r="X306" i="10"/>
  <c r="X307"/>
  <c r="S306"/>
  <c r="S307"/>
  <c r="W301" i="22"/>
  <c r="Y304" i="26"/>
  <c r="U304"/>
  <c r="U301" i="14"/>
  <c r="G305" i="10"/>
  <c r="W300" i="22"/>
  <c r="Y303" i="26"/>
  <c r="U303"/>
  <c r="W300" i="1"/>
  <c r="U300" i="14"/>
  <c r="G304" i="10"/>
  <c r="M297" i="25"/>
  <c r="W297" i="22"/>
  <c r="K297"/>
  <c r="Y300" i="26"/>
  <c r="U300"/>
  <c r="W297" i="1"/>
  <c r="K297"/>
  <c r="U297" i="14"/>
  <c r="M297" i="17"/>
  <c r="O301" i="10"/>
  <c r="BH294" i="25"/>
  <c r="Y297" i="26"/>
  <c r="W297"/>
  <c r="U297"/>
  <c r="BD294" i="2"/>
  <c r="W294" i="14"/>
  <c r="U294"/>
  <c r="BA294" i="17"/>
  <c r="AU294"/>
  <c r="G294" i="15"/>
  <c r="U294"/>
  <c r="AA294"/>
  <c r="Q294"/>
  <c r="O294"/>
  <c r="I294"/>
  <c r="W290" i="22"/>
  <c r="K290"/>
  <c r="Y293" i="26"/>
  <c r="U293"/>
  <c r="K290" i="1"/>
  <c r="U290" i="14"/>
  <c r="W270" i="22"/>
  <c r="K270"/>
  <c r="Y270" i="26"/>
  <c r="U270"/>
  <c r="W270" i="1"/>
  <c r="U270" i="14"/>
  <c r="AA270" i="15"/>
  <c r="W265" i="22"/>
  <c r="Y268" i="26"/>
  <c r="U268"/>
  <c r="W268" i="1"/>
  <c r="U268" i="14"/>
  <c r="BH261" i="25"/>
  <c r="W261" i="22"/>
  <c r="Y264" i="26"/>
  <c r="BD261" i="2"/>
  <c r="W264" i="1"/>
  <c r="AU264" i="17"/>
  <c r="AA264" i="15"/>
  <c r="W236" i="22"/>
  <c r="Y239" i="26"/>
  <c r="U239"/>
  <c r="U239" i="14"/>
  <c r="AA239" i="15"/>
  <c r="S239"/>
  <c r="AI215" i="25"/>
  <c r="M215"/>
  <c r="W215" i="22"/>
  <c r="Y215" i="26"/>
  <c r="U215"/>
  <c r="AI215" i="2"/>
  <c r="M215"/>
  <c r="U215" i="14"/>
  <c r="AM215" i="17"/>
  <c r="M215"/>
  <c r="O216" i="10"/>
  <c r="W174" i="22"/>
  <c r="Y177" i="26"/>
  <c r="W177"/>
  <c r="U177"/>
  <c r="U176" i="14"/>
  <c r="W167" i="22"/>
  <c r="K167"/>
  <c r="Y170" i="26"/>
  <c r="U170"/>
  <c r="W170" i="1"/>
  <c r="U170" i="14"/>
  <c r="O171" i="10"/>
  <c r="M155" i="25"/>
  <c r="W155" i="22"/>
  <c r="Y158" i="26"/>
  <c r="U158"/>
  <c r="W155" i="1"/>
  <c r="U158" i="14"/>
  <c r="M155" i="17"/>
  <c r="W107" i="22"/>
  <c r="K107"/>
  <c r="Y107" i="26"/>
  <c r="U107"/>
  <c r="W107" i="1"/>
  <c r="K107"/>
  <c r="U107" i="14"/>
  <c r="W98" i="22"/>
  <c r="Y98" i="26"/>
  <c r="W98"/>
  <c r="U98"/>
  <c r="BD98" i="2"/>
  <c r="W98" i="1"/>
  <c r="U98" i="14"/>
  <c r="AU98" i="17"/>
  <c r="O98" i="15"/>
  <c r="Y81" i="26"/>
  <c r="U81"/>
  <c r="G81" i="10"/>
  <c r="AQ303" i="22" l="1"/>
  <c r="BJ302" i="2"/>
  <c r="BL302" s="1"/>
  <c r="BS302" s="1"/>
  <c r="BU302" s="1"/>
  <c r="AI302" i="15"/>
  <c r="AC302" i="14"/>
  <c r="BJ302" i="25"/>
  <c r="BL302"/>
  <c r="BT302" s="1"/>
  <c r="BV302" s="1"/>
  <c r="AC303" i="14"/>
  <c r="AY302" i="17"/>
  <c r="BC302" s="1"/>
  <c r="BE302" s="1"/>
  <c r="AF307" i="16"/>
  <c r="AF305"/>
  <c r="AM302" i="1"/>
  <c r="Y303"/>
  <c r="AM303" s="1"/>
  <c r="BL303" i="2" s="1"/>
  <c r="BS303" s="1"/>
  <c r="BU303" s="1"/>
  <c r="AM304" i="1"/>
  <c r="AF309" i="16"/>
  <c r="AC304" i="14"/>
  <c r="AF306" i="16"/>
  <c r="G404" i="10"/>
  <c r="S404" s="1"/>
  <c r="S403"/>
  <c r="S402"/>
  <c r="S401"/>
  <c r="S400"/>
  <c r="S399"/>
  <c r="Q398"/>
  <c r="G398"/>
  <c r="S397"/>
  <c r="G396"/>
  <c r="S396" s="1"/>
  <c r="G395"/>
  <c r="S395" s="1"/>
  <c r="S394"/>
  <c r="S393"/>
  <c r="S392"/>
  <c r="S391"/>
  <c r="S390"/>
  <c r="S389"/>
  <c r="Q388"/>
  <c r="S388" s="1"/>
  <c r="S387"/>
  <c r="G386"/>
  <c r="S386" s="1"/>
  <c r="S385"/>
  <c r="G384"/>
  <c r="S384" s="1"/>
  <c r="S383"/>
  <c r="S382"/>
  <c r="S381"/>
  <c r="Q380"/>
  <c r="G380"/>
  <c r="S379"/>
  <c r="I378"/>
  <c r="G378"/>
  <c r="BN395" i="25"/>
  <c r="AZ400"/>
  <c r="BJ400" s="1"/>
  <c r="AZ399"/>
  <c r="BJ399" s="1"/>
  <c r="AZ398"/>
  <c r="BJ398" s="1"/>
  <c r="M397"/>
  <c r="AZ397" s="1"/>
  <c r="BJ397" s="1"/>
  <c r="AZ396"/>
  <c r="BJ396" s="1"/>
  <c r="AZ395"/>
  <c r="BJ395" s="1"/>
  <c r="AV394"/>
  <c r="AZ394" s="1"/>
  <c r="BJ394" s="1"/>
  <c r="AZ393"/>
  <c r="BJ393" s="1"/>
  <c r="AZ392"/>
  <c r="BJ392" s="1"/>
  <c r="AZ391"/>
  <c r="BJ391" s="1"/>
  <c r="M390"/>
  <c r="AZ390" s="1"/>
  <c r="BJ390" s="1"/>
  <c r="AZ389"/>
  <c r="BJ389" s="1"/>
  <c r="M388"/>
  <c r="AZ388" s="1"/>
  <c r="BJ388" s="1"/>
  <c r="AZ387"/>
  <c r="BJ387" s="1"/>
  <c r="AZ386"/>
  <c r="BJ386" s="1"/>
  <c r="AZ385"/>
  <c r="BJ385" s="1"/>
  <c r="AZ384"/>
  <c r="BJ384" s="1"/>
  <c r="AZ383"/>
  <c r="BJ383" s="1"/>
  <c r="AP382"/>
  <c r="M382"/>
  <c r="AZ381"/>
  <c r="BJ381" s="1"/>
  <c r="AZ380"/>
  <c r="BJ380" s="1"/>
  <c r="AZ379"/>
  <c r="BJ379" s="1"/>
  <c r="AZ378"/>
  <c r="BJ378" s="1"/>
  <c r="AZ377"/>
  <c r="BJ377" s="1"/>
  <c r="AI376"/>
  <c r="AZ376" s="1"/>
  <c r="BJ376" s="1"/>
  <c r="AZ375"/>
  <c r="BJ375" s="1"/>
  <c r="AZ374"/>
  <c r="BJ374" s="1"/>
  <c r="AO400" i="22"/>
  <c r="W400"/>
  <c r="M400"/>
  <c r="K400"/>
  <c r="AO399"/>
  <c r="Y399"/>
  <c r="AO398"/>
  <c r="Y398"/>
  <c r="AO397"/>
  <c r="W397"/>
  <c r="K397"/>
  <c r="AO396"/>
  <c r="Y396"/>
  <c r="AO395"/>
  <c r="W395"/>
  <c r="Y395" s="1"/>
  <c r="AE394"/>
  <c r="AO394" s="1"/>
  <c r="W394"/>
  <c r="Y394" s="1"/>
  <c r="AO393"/>
  <c r="W393"/>
  <c r="Y393" s="1"/>
  <c r="AO392"/>
  <c r="W392"/>
  <c r="K392"/>
  <c r="AO391"/>
  <c r="W391"/>
  <c r="K391"/>
  <c r="AO390"/>
  <c r="W390"/>
  <c r="Y390" s="1"/>
  <c r="AO389"/>
  <c r="W389"/>
  <c r="K389"/>
  <c r="AO388"/>
  <c r="W388"/>
  <c r="Y388" s="1"/>
  <c r="AO387"/>
  <c r="W387"/>
  <c r="K387"/>
  <c r="AO386"/>
  <c r="Y386"/>
  <c r="AO385"/>
  <c r="Y385"/>
  <c r="AO384"/>
  <c r="W384"/>
  <c r="Y384" s="1"/>
  <c r="AO383"/>
  <c r="W383"/>
  <c r="Y383" s="1"/>
  <c r="AO382"/>
  <c r="W382"/>
  <c r="K382"/>
  <c r="AO381"/>
  <c r="Y381"/>
  <c r="AO380"/>
  <c r="W380"/>
  <c r="K380"/>
  <c r="AO379"/>
  <c r="Y379"/>
  <c r="AO378"/>
  <c r="W378"/>
  <c r="Y378" s="1"/>
  <c r="AO377"/>
  <c r="W377"/>
  <c r="Y377" s="1"/>
  <c r="AE376"/>
  <c r="AO376" s="1"/>
  <c r="W376"/>
  <c r="K376"/>
  <c r="AO375"/>
  <c r="W375"/>
  <c r="Y375" s="1"/>
  <c r="AO374"/>
  <c r="W374"/>
  <c r="Y374" s="1"/>
  <c r="Y403" i="26"/>
  <c r="AA403" s="1"/>
  <c r="Q403"/>
  <c r="O403" s="1"/>
  <c r="K403"/>
  <c r="AA402"/>
  <c r="O402"/>
  <c r="K402"/>
  <c r="AA401"/>
  <c r="O401"/>
  <c r="K401"/>
  <c r="Y400"/>
  <c r="U400"/>
  <c r="Q400"/>
  <c r="O400" s="1"/>
  <c r="K400"/>
  <c r="AA399"/>
  <c r="O399"/>
  <c r="K399"/>
  <c r="Y398"/>
  <c r="U398"/>
  <c r="O398"/>
  <c r="K398"/>
  <c r="Y397"/>
  <c r="U397"/>
  <c r="O397"/>
  <c r="K397"/>
  <c r="Y396"/>
  <c r="U396"/>
  <c r="O396"/>
  <c r="K396"/>
  <c r="U395"/>
  <c r="AA395" s="1"/>
  <c r="Q395"/>
  <c r="O395" s="1"/>
  <c r="K395"/>
  <c r="Y394"/>
  <c r="U394"/>
  <c r="O394"/>
  <c r="K394"/>
  <c r="U393"/>
  <c r="AA393" s="1"/>
  <c r="O393"/>
  <c r="K393"/>
  <c r="Y392"/>
  <c r="U392"/>
  <c r="Q392"/>
  <c r="O392" s="1"/>
  <c r="K392"/>
  <c r="Y391"/>
  <c r="U391"/>
  <c r="O391"/>
  <c r="K391"/>
  <c r="Y390"/>
  <c r="U390"/>
  <c r="O390"/>
  <c r="K390"/>
  <c r="AA389"/>
  <c r="O389"/>
  <c r="K389"/>
  <c r="U388"/>
  <c r="AA388" s="1"/>
  <c r="O388"/>
  <c r="K388"/>
  <c r="Y387"/>
  <c r="U387"/>
  <c r="O387"/>
  <c r="K387"/>
  <c r="Y386"/>
  <c r="U386"/>
  <c r="O386"/>
  <c r="K386"/>
  <c r="Y385"/>
  <c r="U385"/>
  <c r="Q385"/>
  <c r="O385" s="1"/>
  <c r="K385"/>
  <c r="AA384"/>
  <c r="O384"/>
  <c r="K384"/>
  <c r="Y383"/>
  <c r="AA383" s="1"/>
  <c r="Q383"/>
  <c r="O383" s="1"/>
  <c r="K383"/>
  <c r="AA382"/>
  <c r="O382"/>
  <c r="K382"/>
  <c r="Y381"/>
  <c r="U381"/>
  <c r="O381"/>
  <c r="K381"/>
  <c r="Y380"/>
  <c r="U380"/>
  <c r="O380"/>
  <c r="K380"/>
  <c r="Y379"/>
  <c r="U379"/>
  <c r="O379"/>
  <c r="K379"/>
  <c r="Y378"/>
  <c r="U378"/>
  <c r="O378"/>
  <c r="K378"/>
  <c r="Y377"/>
  <c r="U377"/>
  <c r="O377"/>
  <c r="K377"/>
  <c r="AZ400" i="2"/>
  <c r="BJ400" s="1"/>
  <c r="AZ399"/>
  <c r="BJ399" s="1"/>
  <c r="AZ398"/>
  <c r="BJ398" s="1"/>
  <c r="M397"/>
  <c r="AZ397" s="1"/>
  <c r="BJ397" s="1"/>
  <c r="AZ396"/>
  <c r="BJ396" s="1"/>
  <c r="AZ395"/>
  <c r="BJ395" s="1"/>
  <c r="AZ394"/>
  <c r="BJ394" s="1"/>
  <c r="AZ393"/>
  <c r="BJ393" s="1"/>
  <c r="AZ392"/>
  <c r="BJ392" s="1"/>
  <c r="AZ391"/>
  <c r="BJ391" s="1"/>
  <c r="AZ390"/>
  <c r="BJ390" s="1"/>
  <c r="AZ389"/>
  <c r="BJ389" s="1"/>
  <c r="AZ388"/>
  <c r="BJ388" s="1"/>
  <c r="AZ387"/>
  <c r="BJ387" s="1"/>
  <c r="AZ386"/>
  <c r="BJ386" s="1"/>
  <c r="AZ385"/>
  <c r="BJ385" s="1"/>
  <c r="AZ384"/>
  <c r="BJ384" s="1"/>
  <c r="AZ383"/>
  <c r="BJ383" s="1"/>
  <c r="AP382"/>
  <c r="M382"/>
  <c r="AZ381"/>
  <c r="BJ381" s="1"/>
  <c r="AZ380"/>
  <c r="BJ380" s="1"/>
  <c r="AZ379"/>
  <c r="BJ379" s="1"/>
  <c r="AZ378"/>
  <c r="BJ378" s="1"/>
  <c r="AZ377"/>
  <c r="BJ377" s="1"/>
  <c r="AI376"/>
  <c r="AZ376" s="1"/>
  <c r="BJ376" s="1"/>
  <c r="AZ375"/>
  <c r="BJ375" s="1"/>
  <c r="AZ374"/>
  <c r="BJ374" s="1"/>
  <c r="AK400" i="1"/>
  <c r="W400"/>
  <c r="Y400" s="1"/>
  <c r="AK399"/>
  <c r="AK398"/>
  <c r="AK397"/>
  <c r="W397"/>
  <c r="Y397" s="1"/>
  <c r="AK396"/>
  <c r="Y396"/>
  <c r="AK395"/>
  <c r="Y395"/>
  <c r="AK394"/>
  <c r="W394"/>
  <c r="Y394" s="1"/>
  <c r="AK393"/>
  <c r="W393"/>
  <c r="Y393" s="1"/>
  <c r="AK392"/>
  <c r="W392"/>
  <c r="Y392" s="1"/>
  <c r="AK391"/>
  <c r="W391"/>
  <c r="K391"/>
  <c r="AK390"/>
  <c r="W390"/>
  <c r="Y390" s="1"/>
  <c r="AK389"/>
  <c r="Y389"/>
  <c r="W388"/>
  <c r="Y388" s="1"/>
  <c r="AM388" s="1"/>
  <c r="AK387"/>
  <c r="W387"/>
  <c r="K387"/>
  <c r="AK386"/>
  <c r="Y386"/>
  <c r="AK385"/>
  <c r="Y385"/>
  <c r="AK384"/>
  <c r="W384"/>
  <c r="Y384" s="1"/>
  <c r="AK383"/>
  <c r="Y383"/>
  <c r="AK382"/>
  <c r="W382"/>
  <c r="Y382" s="1"/>
  <c r="AK381"/>
  <c r="Y381"/>
  <c r="AK380"/>
  <c r="W380"/>
  <c r="Y380" s="1"/>
  <c r="AK379"/>
  <c r="Y379"/>
  <c r="AK378"/>
  <c r="W378"/>
  <c r="Y378" s="1"/>
  <c r="AK377"/>
  <c r="Y377"/>
  <c r="AK376"/>
  <c r="K376"/>
  <c r="Y376" s="1"/>
  <c r="AK375"/>
  <c r="Y375"/>
  <c r="AK374"/>
  <c r="W374"/>
  <c r="Y374" s="1"/>
  <c r="AA403" i="14"/>
  <c r="O403"/>
  <c r="K403"/>
  <c r="O402"/>
  <c r="AC402" s="1"/>
  <c r="U400"/>
  <c r="AA400" s="1"/>
  <c r="Q400"/>
  <c r="O400" s="1"/>
  <c r="K400"/>
  <c r="AA399"/>
  <c r="O399"/>
  <c r="K399"/>
  <c r="U398"/>
  <c r="AA398" s="1"/>
  <c r="O398"/>
  <c r="K398"/>
  <c r="U397"/>
  <c r="AA397" s="1"/>
  <c r="O397"/>
  <c r="K397"/>
  <c r="U396"/>
  <c r="AA396" s="1"/>
  <c r="O396"/>
  <c r="K396"/>
  <c r="U395"/>
  <c r="AA395" s="1"/>
  <c r="Q395"/>
  <c r="O395" s="1"/>
  <c r="K395"/>
  <c r="U394"/>
  <c r="AA394" s="1"/>
  <c r="O394"/>
  <c r="K394"/>
  <c r="U393"/>
  <c r="AA393" s="1"/>
  <c r="O393"/>
  <c r="K393"/>
  <c r="U392"/>
  <c r="AA392" s="1"/>
  <c r="Q392"/>
  <c r="O392" s="1"/>
  <c r="K392"/>
  <c r="U391"/>
  <c r="AA391" s="1"/>
  <c r="O391"/>
  <c r="K391"/>
  <c r="U390"/>
  <c r="AA390" s="1"/>
  <c r="O390"/>
  <c r="K390"/>
  <c r="AA389"/>
  <c r="O389"/>
  <c r="K389"/>
  <c r="U388"/>
  <c r="AA388" s="1"/>
  <c r="O388"/>
  <c r="K388"/>
  <c r="U387"/>
  <c r="AA387" s="1"/>
  <c r="O387"/>
  <c r="K387"/>
  <c r="U386"/>
  <c r="AA386" s="1"/>
  <c r="O386"/>
  <c r="K386"/>
  <c r="U385"/>
  <c r="AA385" s="1"/>
  <c r="Q385"/>
  <c r="O385" s="1"/>
  <c r="K385"/>
  <c r="AA384"/>
  <c r="O384"/>
  <c r="K384"/>
  <c r="U383"/>
  <c r="AA383" s="1"/>
  <c r="Q383"/>
  <c r="O383" s="1"/>
  <c r="K383"/>
  <c r="AA379"/>
  <c r="O379"/>
  <c r="K379"/>
  <c r="U378"/>
  <c r="AA378" s="1"/>
  <c r="O378"/>
  <c r="G378"/>
  <c r="U377"/>
  <c r="AA377" s="1"/>
  <c r="O377"/>
  <c r="K377"/>
  <c r="U376"/>
  <c r="AA376" s="1"/>
  <c r="O376"/>
  <c r="K376"/>
  <c r="U375"/>
  <c r="AA375" s="1"/>
  <c r="O375"/>
  <c r="K375"/>
  <c r="U374"/>
  <c r="AA374" s="1"/>
  <c r="O374"/>
  <c r="K374"/>
  <c r="AW403" i="17"/>
  <c r="AW402"/>
  <c r="AW401"/>
  <c r="M400"/>
  <c r="AW400" s="1"/>
  <c r="AW399"/>
  <c r="AW398"/>
  <c r="AW397"/>
  <c r="AW396"/>
  <c r="AW395"/>
  <c r="AW394"/>
  <c r="AW393"/>
  <c r="AW392"/>
  <c r="AW391"/>
  <c r="AW390"/>
  <c r="AW386"/>
  <c r="AW385"/>
  <c r="AW384"/>
  <c r="AW383"/>
  <c r="M382"/>
  <c r="AW382" s="1"/>
  <c r="AW381"/>
  <c r="AW380"/>
  <c r="AW379"/>
  <c r="AW378"/>
  <c r="AW377"/>
  <c r="AM376"/>
  <c r="AW376" s="1"/>
  <c r="AW375"/>
  <c r="AW374"/>
  <c r="U402" i="15"/>
  <c r="O402"/>
  <c r="M402"/>
  <c r="AG401"/>
  <c r="M401"/>
  <c r="AG400"/>
  <c r="M400"/>
  <c r="O399"/>
  <c r="AG399" s="1"/>
  <c r="M399"/>
  <c r="AG398"/>
  <c r="M398"/>
  <c r="O397"/>
  <c r="AG397" s="1"/>
  <c r="M397"/>
  <c r="O396"/>
  <c r="AG396" s="1"/>
  <c r="M396"/>
  <c r="AG395"/>
  <c r="M395"/>
  <c r="S394"/>
  <c r="O394"/>
  <c r="M394"/>
  <c r="O393"/>
  <c r="AG393" s="1"/>
  <c r="M393"/>
  <c r="O392"/>
  <c r="AG392" s="1"/>
  <c r="M392"/>
  <c r="O391"/>
  <c r="AG391" s="1"/>
  <c r="M391"/>
  <c r="O390"/>
  <c r="AG390" s="1"/>
  <c r="M390"/>
  <c r="S389"/>
  <c r="O389"/>
  <c r="AG389" s="1"/>
  <c r="M389"/>
  <c r="O388"/>
  <c r="AG388" s="1"/>
  <c r="M388"/>
  <c r="O387"/>
  <c r="AG387" s="1"/>
  <c r="M387"/>
  <c r="O386"/>
  <c r="AG386" s="1"/>
  <c r="M386"/>
  <c r="O385"/>
  <c r="AG385" s="1"/>
  <c r="M385"/>
  <c r="AG384"/>
  <c r="M384"/>
  <c r="O383"/>
  <c r="AG383" s="1"/>
  <c r="M383"/>
  <c r="AG379"/>
  <c r="M379"/>
  <c r="AG378"/>
  <c r="O378"/>
  <c r="M378"/>
  <c r="S377"/>
  <c r="O377"/>
  <c r="AG377" s="1"/>
  <c r="AI377" s="1"/>
  <c r="M377"/>
  <c r="AG376"/>
  <c r="M376"/>
  <c r="AG375"/>
  <c r="O375"/>
  <c r="M375"/>
  <c r="AA374"/>
  <c r="O374"/>
  <c r="AG374" s="1"/>
  <c r="AI374" s="1"/>
  <c r="M374"/>
  <c r="W403" i="16"/>
  <c r="M403"/>
  <c r="G403"/>
  <c r="W402"/>
  <c r="M402"/>
  <c r="G402"/>
  <c r="W401"/>
  <c r="M401"/>
  <c r="G401"/>
  <c r="W400"/>
  <c r="M400"/>
  <c r="G400"/>
  <c r="W399"/>
  <c r="M399"/>
  <c r="G399"/>
  <c r="W398"/>
  <c r="M398"/>
  <c r="I398"/>
  <c r="G398" s="1"/>
  <c r="W397"/>
  <c r="M397"/>
  <c r="G397"/>
  <c r="W396"/>
  <c r="M396"/>
  <c r="I396"/>
  <c r="G396" s="1"/>
  <c r="W395"/>
  <c r="M395"/>
  <c r="G395"/>
  <c r="W394"/>
  <c r="M394"/>
  <c r="G394"/>
  <c r="W393"/>
  <c r="M393"/>
  <c r="I393"/>
  <c r="G393" s="1"/>
  <c r="W392"/>
  <c r="M392"/>
  <c r="I392"/>
  <c r="G392" s="1"/>
  <c r="W391"/>
  <c r="M391"/>
  <c r="G391"/>
  <c r="W390"/>
  <c r="M390"/>
  <c r="I390"/>
  <c r="G390" s="1"/>
  <c r="W389"/>
  <c r="M389"/>
  <c r="G389"/>
  <c r="W388"/>
  <c r="M388"/>
  <c r="I388"/>
  <c r="G388" s="1"/>
  <c r="W387"/>
  <c r="M387"/>
  <c r="G387"/>
  <c r="W386"/>
  <c r="M386"/>
  <c r="I386"/>
  <c r="G386" s="1"/>
  <c r="W385"/>
  <c r="M385"/>
  <c r="G385"/>
  <c r="W384"/>
  <c r="M384"/>
  <c r="G384"/>
  <c r="W383"/>
  <c r="M383"/>
  <c r="G383"/>
  <c r="M382"/>
  <c r="G382"/>
  <c r="W381"/>
  <c r="M381"/>
  <c r="I381"/>
  <c r="G381" s="1"/>
  <c r="W380"/>
  <c r="M380"/>
  <c r="I380"/>
  <c r="G380" s="1"/>
  <c r="W379"/>
  <c r="M379"/>
  <c r="I379"/>
  <c r="G379" s="1"/>
  <c r="W378"/>
  <c r="M378"/>
  <c r="I378"/>
  <c r="G378" s="1"/>
  <c r="W377"/>
  <c r="M377"/>
  <c r="I377"/>
  <c r="G377" s="1"/>
  <c r="AQ374" i="22" l="1"/>
  <c r="AQ375"/>
  <c r="AQ381"/>
  <c r="AQ388"/>
  <c r="AQ398"/>
  <c r="AC386" i="26"/>
  <c r="AC387"/>
  <c r="AC390"/>
  <c r="AA390"/>
  <c r="AC391"/>
  <c r="AA391"/>
  <c r="AC392"/>
  <c r="AA392"/>
  <c r="AC393"/>
  <c r="AC396"/>
  <c r="AA396"/>
  <c r="AC397"/>
  <c r="AA397"/>
  <c r="AC398"/>
  <c r="AA398"/>
  <c r="AQ377" i="22"/>
  <c r="AQ378"/>
  <c r="AQ379"/>
  <c r="Y380"/>
  <c r="AQ380" s="1"/>
  <c r="AQ383"/>
  <c r="AQ384"/>
  <c r="AQ385"/>
  <c r="AQ386"/>
  <c r="Y387"/>
  <c r="AQ387" s="1"/>
  <c r="AQ390"/>
  <c r="Y391"/>
  <c r="AQ391" s="1"/>
  <c r="AQ393"/>
  <c r="AQ394"/>
  <c r="AQ395"/>
  <c r="AQ396"/>
  <c r="AQ399"/>
  <c r="Y400"/>
  <c r="AQ400" s="1"/>
  <c r="AC401" i="26"/>
  <c r="AC399"/>
  <c r="AC384"/>
  <c r="AM374" i="1"/>
  <c r="AM377"/>
  <c r="AM378"/>
  <c r="AM382"/>
  <c r="AI379" i="15"/>
  <c r="AI383"/>
  <c r="AI384"/>
  <c r="AI385"/>
  <c r="AI386"/>
  <c r="AI387"/>
  <c r="AI388"/>
  <c r="AI389"/>
  <c r="AI396"/>
  <c r="AI397"/>
  <c r="AI398"/>
  <c r="AI399"/>
  <c r="AC388" i="14"/>
  <c r="AC389"/>
  <c r="AC390"/>
  <c r="AC403"/>
  <c r="AM390" i="1"/>
  <c r="S378" i="10"/>
  <c r="S398"/>
  <c r="Y376" i="22"/>
  <c r="AQ376" s="1"/>
  <c r="Y392"/>
  <c r="AQ392" s="1"/>
  <c r="AC383" i="26"/>
  <c r="AC394"/>
  <c r="AA394"/>
  <c r="AC395"/>
  <c r="AC395" i="14"/>
  <c r="AC396"/>
  <c r="AC376"/>
  <c r="AC392"/>
  <c r="AC375"/>
  <c r="AC384"/>
  <c r="AC387"/>
  <c r="AC391"/>
  <c r="AC397"/>
  <c r="AI400" i="15"/>
  <c r="AZ382" i="2"/>
  <c r="BJ382" s="1"/>
  <c r="AM379" i="1"/>
  <c r="AM380"/>
  <c r="AM385"/>
  <c r="Y387"/>
  <c r="AM387" s="1"/>
  <c r="Y391"/>
  <c r="AM391" s="1"/>
  <c r="AM393"/>
  <c r="AM394"/>
  <c r="AM396"/>
  <c r="AM397"/>
  <c r="AM399"/>
  <c r="AM400"/>
  <c r="AZ382" i="25"/>
  <c r="BJ382" s="1"/>
  <c r="S380" i="10"/>
  <c r="Y382" i="22"/>
  <c r="AQ382" s="1"/>
  <c r="Y389"/>
  <c r="AQ389" s="1"/>
  <c r="Y397"/>
  <c r="AQ397" s="1"/>
  <c r="AC377" i="26"/>
  <c r="AA377"/>
  <c r="AC378"/>
  <c r="AA378"/>
  <c r="AC379"/>
  <c r="AA379"/>
  <c r="AC380"/>
  <c r="AA380"/>
  <c r="AC381"/>
  <c r="AA381"/>
  <c r="AC382"/>
  <c r="AA385"/>
  <c r="AA386"/>
  <c r="AA387"/>
  <c r="AC388"/>
  <c r="AC389"/>
  <c r="AA400"/>
  <c r="AC402"/>
  <c r="AC403"/>
  <c r="AM375" i="1"/>
  <c r="AM381"/>
  <c r="AM383"/>
  <c r="AM386"/>
  <c r="AM389"/>
  <c r="AM395"/>
  <c r="AM398"/>
  <c r="AM392"/>
  <c r="AC374" i="14"/>
  <c r="AC377"/>
  <c r="AC379"/>
  <c r="AC385"/>
  <c r="AC386"/>
  <c r="AC393"/>
  <c r="AC394"/>
  <c r="AC398"/>
  <c r="AC399"/>
  <c r="AI376" i="15"/>
  <c r="AI390"/>
  <c r="AI391"/>
  <c r="AI392"/>
  <c r="AI393"/>
  <c r="AG394"/>
  <c r="AI394" s="1"/>
  <c r="AI395"/>
  <c r="AI401"/>
  <c r="AG402"/>
  <c r="AI402" s="1"/>
  <c r="AI375"/>
  <c r="AI378"/>
  <c r="AC385" i="26"/>
  <c r="AC400"/>
  <c r="AM376" i="1"/>
  <c r="AM384"/>
  <c r="AC383" i="14"/>
  <c r="AC400"/>
  <c r="K378"/>
  <c r="AC378" s="1"/>
  <c r="AV298" i="25" l="1"/>
  <c r="W298" i="22"/>
  <c r="Y301" i="26"/>
  <c r="U301"/>
  <c r="W298" i="1"/>
  <c r="S298" i="15"/>
  <c r="M296" i="25"/>
  <c r="W296" i="22"/>
  <c r="Y299" i="26"/>
  <c r="U299"/>
  <c r="M296" i="2"/>
  <c r="W296" i="1"/>
  <c r="U296" i="14"/>
  <c r="M296" i="17"/>
  <c r="W299" i="22"/>
  <c r="Y302" i="26"/>
  <c r="U302"/>
  <c r="U299" i="14"/>
  <c r="W295" i="22"/>
  <c r="K295"/>
  <c r="Y298" i="26"/>
  <c r="U298"/>
  <c r="W295" i="1"/>
  <c r="U295" i="14"/>
  <c r="M299" i="10"/>
  <c r="W293" i="22"/>
  <c r="Y296" i="26"/>
  <c r="U296"/>
  <c r="W293" i="1"/>
  <c r="U293" i="14"/>
  <c r="AA293" i="15"/>
  <c r="BH292" i="25"/>
  <c r="W292" i="22"/>
  <c r="Y295" i="26"/>
  <c r="U295"/>
  <c r="BD292" i="2"/>
  <c r="W292" i="1"/>
  <c r="U292" i="14"/>
  <c r="AU292" i="17"/>
  <c r="O292" i="15"/>
  <c r="W291" i="22"/>
  <c r="Y294" i="26"/>
  <c r="U294"/>
  <c r="W291" i="1"/>
  <c r="U291" i="14"/>
  <c r="AA291" i="15"/>
  <c r="Y289" i="26"/>
  <c r="U289"/>
  <c r="U289" i="14"/>
  <c r="AM289" i="17"/>
  <c r="Q292" i="16"/>
  <c r="O292"/>
  <c r="O290" i="10"/>
  <c r="U290"/>
  <c r="W288" i="22"/>
  <c r="K288"/>
  <c r="Y288" i="26"/>
  <c r="U288"/>
  <c r="K288" i="1"/>
  <c r="W288"/>
  <c r="U288" i="14"/>
  <c r="O289" i="10"/>
  <c r="O287" i="25"/>
  <c r="M287"/>
  <c r="W287" i="22"/>
  <c r="K287"/>
  <c r="Y287" i="26"/>
  <c r="U287"/>
  <c r="M287" i="2"/>
  <c r="W287" i="1"/>
  <c r="K287"/>
  <c r="U287" i="14"/>
  <c r="AM287" i="17"/>
  <c r="M287"/>
  <c r="Q290" i="16"/>
  <c r="O290"/>
  <c r="O288" i="10"/>
  <c r="U288"/>
  <c r="W286" i="22"/>
  <c r="Y286" i="26"/>
  <c r="U286"/>
  <c r="W286" i="1"/>
  <c r="U286" i="14"/>
  <c r="W285" i="22"/>
  <c r="Y285" i="26"/>
  <c r="U285"/>
  <c r="W285" i="1"/>
  <c r="U285" i="14"/>
  <c r="G286" i="10"/>
  <c r="M284" i="25"/>
  <c r="W284" i="22"/>
  <c r="Y284" i="26"/>
  <c r="U284"/>
  <c r="M284" i="2"/>
  <c r="W284" i="1"/>
  <c r="U284" i="14"/>
  <c r="AM284" i="17"/>
  <c r="M284"/>
  <c r="Q284" i="16"/>
  <c r="O284"/>
  <c r="O285" i="10"/>
  <c r="U285"/>
  <c r="W283" i="22" l="1"/>
  <c r="K283"/>
  <c r="Y283" i="26"/>
  <c r="U283"/>
  <c r="W283" i="1"/>
  <c r="U283" i="14"/>
  <c r="AA283" s="1"/>
  <c r="O284" i="10"/>
  <c r="S284" s="1"/>
  <c r="AZ282" i="25"/>
  <c r="BJ282" s="1"/>
  <c r="AZ283"/>
  <c r="BJ283" s="1"/>
  <c r="O282" i="26"/>
  <c r="O283"/>
  <c r="O284"/>
  <c r="K282"/>
  <c r="K283"/>
  <c r="AC283" s="1"/>
  <c r="K284"/>
  <c r="K285"/>
  <c r="AZ282" i="2"/>
  <c r="BJ282" s="1"/>
  <c r="AZ283"/>
  <c r="BJ283" s="1"/>
  <c r="AA282" i="14"/>
  <c r="AA284"/>
  <c r="O282"/>
  <c r="O283"/>
  <c r="O284"/>
  <c r="O285"/>
  <c r="K282"/>
  <c r="AC282" s="1"/>
  <c r="K283"/>
  <c r="K284"/>
  <c r="AC284" s="1"/>
  <c r="K285"/>
  <c r="AC285" s="1"/>
  <c r="AW282" i="17"/>
  <c r="AW283"/>
  <c r="AW284"/>
  <c r="AW285"/>
  <c r="AG282" i="15"/>
  <c r="AG283"/>
  <c r="AG284"/>
  <c r="M281"/>
  <c r="M282"/>
  <c r="M283"/>
  <c r="M284"/>
  <c r="M285"/>
  <c r="M286"/>
  <c r="M287"/>
  <c r="W283" i="16"/>
  <c r="W284"/>
  <c r="W285"/>
  <c r="W286"/>
  <c r="M282"/>
  <c r="M283"/>
  <c r="M284"/>
  <c r="S285" i="10"/>
  <c r="AC283" i="14" l="1"/>
  <c r="AI282" i="15"/>
  <c r="AY282" i="17" s="1"/>
  <c r="BC282" s="1"/>
  <c r="BE282" s="1"/>
  <c r="AC284" i="26"/>
  <c r="AI283" i="15"/>
  <c r="AY283" i="17" s="1"/>
  <c r="BC283" s="1"/>
  <c r="BE283" s="1"/>
  <c r="Y282" i="22"/>
  <c r="Y283"/>
  <c r="Y284"/>
  <c r="AC282" i="26"/>
  <c r="AA282"/>
  <c r="AA283"/>
  <c r="AA284"/>
  <c r="Y281"/>
  <c r="U281"/>
  <c r="Y282" i="1"/>
  <c r="Y283"/>
  <c r="Y284"/>
  <c r="G280" i="16"/>
  <c r="G281"/>
  <c r="G282"/>
  <c r="G283"/>
  <c r="AF283" s="1"/>
  <c r="G284"/>
  <c r="AF284" s="1"/>
  <c r="AD278"/>
  <c r="AD279"/>
  <c r="AD280"/>
  <c r="AD281"/>
  <c r="AD282"/>
  <c r="AD283"/>
  <c r="X283" i="10"/>
  <c r="X284"/>
  <c r="X285"/>
  <c r="X286"/>
  <c r="U281" i="14"/>
  <c r="AM281" i="17"/>
  <c r="Q281" i="16"/>
  <c r="O281"/>
  <c r="O282" i="10"/>
  <c r="U282"/>
  <c r="AI280" i="25"/>
  <c r="W280" i="22"/>
  <c r="K280"/>
  <c r="Y280" i="26"/>
  <c r="U280"/>
  <c r="AI280" i="2"/>
  <c r="W280" i="1"/>
  <c r="U280" i="14"/>
  <c r="AM280" i="17"/>
  <c r="G281" i="10"/>
  <c r="O281"/>
  <c r="M279" i="25"/>
  <c r="W279" i="22"/>
  <c r="Y279" i="26"/>
  <c r="U279"/>
  <c r="W279" i="1"/>
  <c r="U279" i="14"/>
  <c r="M279" i="17"/>
  <c r="X278" i="10"/>
  <c r="X279"/>
  <c r="X280"/>
  <c r="X281"/>
  <c r="W278" i="22"/>
  <c r="Y278" i="26"/>
  <c r="U278"/>
  <c r="U278" i="14"/>
  <c r="M277" i="25"/>
  <c r="W277" i="22"/>
  <c r="Y277" i="26"/>
  <c r="U277"/>
  <c r="M277" i="2"/>
  <c r="W277" i="1"/>
  <c r="U277" i="14"/>
  <c r="M277" i="17"/>
  <c r="U277" i="10"/>
  <c r="AI276" i="25"/>
  <c r="Y276" i="26"/>
  <c r="U276"/>
  <c r="AI276" i="2"/>
  <c r="U276" i="14"/>
  <c r="AM276" i="17"/>
  <c r="Q276" i="16"/>
  <c r="O276"/>
  <c r="O277" i="10"/>
  <c r="Q277"/>
  <c r="K275" i="22"/>
  <c r="Y275" i="26"/>
  <c r="U275"/>
  <c r="U275" i="14"/>
  <c r="X282" i="10" l="1"/>
  <c r="W274" i="22"/>
  <c r="Y274" s="1"/>
  <c r="Y274" i="26"/>
  <c r="U274"/>
  <c r="W274" i="1"/>
  <c r="U274" i="14"/>
  <c r="AA274" s="1"/>
  <c r="AA274" i="15"/>
  <c r="AG274" s="1"/>
  <c r="X274" i="10"/>
  <c r="X276"/>
  <c r="X277"/>
  <c r="Q274" i="16"/>
  <c r="O274"/>
  <c r="O275" i="10"/>
  <c r="S275" s="1"/>
  <c r="U275"/>
  <c r="W273" i="22"/>
  <c r="K273"/>
  <c r="Y273" i="26"/>
  <c r="U273"/>
  <c r="BB270" i="2"/>
  <c r="W273" i="1"/>
  <c r="Y273" s="1"/>
  <c r="U273" i="14"/>
  <c r="S273" i="15"/>
  <c r="AG273" s="1"/>
  <c r="W272" i="22"/>
  <c r="K272"/>
  <c r="Y272" i="26"/>
  <c r="U272"/>
  <c r="U272" i="14"/>
  <c r="BH271" i="25"/>
  <c r="AZ270"/>
  <c r="BJ270" s="1"/>
  <c r="AZ271"/>
  <c r="BJ271" s="1"/>
  <c r="AZ272"/>
  <c r="BJ272" s="1"/>
  <c r="AZ273"/>
  <c r="BJ273" s="1"/>
  <c r="AZ274"/>
  <c r="BJ274" s="1"/>
  <c r="Y270" i="22"/>
  <c r="W271"/>
  <c r="Y271" s="1"/>
  <c r="AQ271" s="1"/>
  <c r="Y271" i="26"/>
  <c r="AA270"/>
  <c r="U271"/>
  <c r="AA271" s="1"/>
  <c r="O271"/>
  <c r="O272"/>
  <c r="O273"/>
  <c r="O274"/>
  <c r="O275"/>
  <c r="K270"/>
  <c r="K271"/>
  <c r="K272"/>
  <c r="K273"/>
  <c r="K274"/>
  <c r="K275"/>
  <c r="AZ267" i="2"/>
  <c r="BJ267" s="1"/>
  <c r="AZ268"/>
  <c r="BJ268" s="1"/>
  <c r="AZ269"/>
  <c r="BJ269" s="1"/>
  <c r="AZ270"/>
  <c r="Y270" i="1"/>
  <c r="Y271"/>
  <c r="AM271" s="1"/>
  <c r="Y272"/>
  <c r="U271" i="14"/>
  <c r="AA270"/>
  <c r="AA271"/>
  <c r="AA272"/>
  <c r="AA273"/>
  <c r="O271"/>
  <c r="O272"/>
  <c r="O273"/>
  <c r="K270"/>
  <c r="K271"/>
  <c r="K272"/>
  <c r="AC272" s="1"/>
  <c r="K273"/>
  <c r="AC273" s="1"/>
  <c r="K274"/>
  <c r="AW270" i="17"/>
  <c r="AW272"/>
  <c r="AW273"/>
  <c r="AU271"/>
  <c r="AW271" s="1"/>
  <c r="AG270" i="15"/>
  <c r="AG272"/>
  <c r="AA271"/>
  <c r="O271"/>
  <c r="M270"/>
  <c r="M271"/>
  <c r="M272"/>
  <c r="M273"/>
  <c r="M274"/>
  <c r="AD270" i="16"/>
  <c r="AD271"/>
  <c r="AD272"/>
  <c r="AD273"/>
  <c r="AD274"/>
  <c r="AD275"/>
  <c r="AD276"/>
  <c r="W270"/>
  <c r="W271"/>
  <c r="W272"/>
  <c r="W273"/>
  <c r="W274"/>
  <c r="W275"/>
  <c r="M270"/>
  <c r="M271"/>
  <c r="M272"/>
  <c r="M273"/>
  <c r="M275"/>
  <c r="M276"/>
  <c r="M277"/>
  <c r="G270"/>
  <c r="G271"/>
  <c r="G272"/>
  <c r="G273"/>
  <c r="G274"/>
  <c r="G275"/>
  <c r="G276"/>
  <c r="S271" i="10"/>
  <c r="S272"/>
  <c r="S273"/>
  <c r="S274"/>
  <c r="S276"/>
  <c r="S277"/>
  <c r="S278"/>
  <c r="S279"/>
  <c r="X271"/>
  <c r="X272"/>
  <c r="X273"/>
  <c r="W269" i="22"/>
  <c r="K269"/>
  <c r="Y269" i="26"/>
  <c r="U269"/>
  <c r="W269" i="1"/>
  <c r="Y269" s="1"/>
  <c r="U269" i="14"/>
  <c r="AA269" s="1"/>
  <c r="K270" i="10"/>
  <c r="G270"/>
  <c r="AZ265" i="25"/>
  <c r="BJ265" s="1"/>
  <c r="AZ269"/>
  <c r="BJ269" s="1"/>
  <c r="Y265" i="22"/>
  <c r="AA268" i="26"/>
  <c r="O269"/>
  <c r="O270"/>
  <c r="K269"/>
  <c r="AZ265" i="2"/>
  <c r="BJ265" s="1"/>
  <c r="AZ266"/>
  <c r="BJ266" s="1"/>
  <c r="Y268" i="1"/>
  <c r="O269" i="14"/>
  <c r="O270"/>
  <c r="K269"/>
  <c r="AW268" i="17"/>
  <c r="AW269"/>
  <c r="AG269" i="15"/>
  <c r="M269"/>
  <c r="AD269" i="16"/>
  <c r="W269"/>
  <c r="M269"/>
  <c r="G269"/>
  <c r="X270" i="10"/>
  <c r="W264" i="22"/>
  <c r="K264"/>
  <c r="Y267" i="26"/>
  <c r="U267"/>
  <c r="W267" i="1"/>
  <c r="K267"/>
  <c r="U267" i="14"/>
  <c r="W263" i="22"/>
  <c r="K263"/>
  <c r="Y266" i="26"/>
  <c r="U266"/>
  <c r="W266" i="1"/>
  <c r="K266"/>
  <c r="U266" i="14"/>
  <c r="X259" i="10"/>
  <c r="X260"/>
  <c r="X261"/>
  <c r="X262"/>
  <c r="X263"/>
  <c r="X264"/>
  <c r="X265"/>
  <c r="X266"/>
  <c r="X267"/>
  <c r="X268"/>
  <c r="X269"/>
  <c r="M262" i="25"/>
  <c r="W262" i="22"/>
  <c r="K262"/>
  <c r="Y265" i="26"/>
  <c r="U265"/>
  <c r="W265" i="1"/>
  <c r="K265"/>
  <c r="U265" i="14"/>
  <c r="M265" i="17"/>
  <c r="W260" i="22"/>
  <c r="K260"/>
  <c r="Y263" i="26"/>
  <c r="U263"/>
  <c r="W263" i="1"/>
  <c r="K263"/>
  <c r="AU263" i="17"/>
  <c r="W259" i="22"/>
  <c r="Y262" i="26"/>
  <c r="U262"/>
  <c r="I262"/>
  <c r="W262" i="1"/>
  <c r="Y262" s="1"/>
  <c r="U262" i="14"/>
  <c r="M258" i="25"/>
  <c r="W258" i="22"/>
  <c r="Y258" s="1"/>
  <c r="Y261" i="26"/>
  <c r="U261"/>
  <c r="M258" i="2"/>
  <c r="W261" i="1"/>
  <c r="Y261" s="1"/>
  <c r="U261" i="14"/>
  <c r="AA261" s="1"/>
  <c r="M261" i="17"/>
  <c r="AW261" s="1"/>
  <c r="G262" i="10"/>
  <c r="BH257" i="25"/>
  <c r="AZ258"/>
  <c r="AV257"/>
  <c r="AZ257" s="1"/>
  <c r="BJ257" s="1"/>
  <c r="W257" i="22"/>
  <c r="K257"/>
  <c r="Y260" i="26"/>
  <c r="W260"/>
  <c r="U260"/>
  <c r="O260"/>
  <c r="O261"/>
  <c r="K260"/>
  <c r="K261"/>
  <c r="AZ257" i="2"/>
  <c r="AZ258"/>
  <c r="W260" i="1"/>
  <c r="Y260" s="1"/>
  <c r="AM260" s="1"/>
  <c r="AA260" i="14"/>
  <c r="AA262"/>
  <c r="O260"/>
  <c r="O261"/>
  <c r="O262"/>
  <c r="K260"/>
  <c r="K261"/>
  <c r="K262"/>
  <c r="AU260" i="17"/>
  <c r="AW260" s="1"/>
  <c r="AG261" i="15"/>
  <c r="AA260"/>
  <c r="AG260" s="1"/>
  <c r="M260"/>
  <c r="AD260" i="16"/>
  <c r="AD261"/>
  <c r="W260"/>
  <c r="W261"/>
  <c r="M260"/>
  <c r="M261"/>
  <c r="G260"/>
  <c r="AF260" s="1"/>
  <c r="G261"/>
  <c r="G262"/>
  <c r="G263"/>
  <c r="AP256" i="25"/>
  <c r="W256" i="22"/>
  <c r="K256"/>
  <c r="Y259" i="26"/>
  <c r="U259"/>
  <c r="W259" i="1"/>
  <c r="K259"/>
  <c r="U259" i="14"/>
  <c r="AV255" i="25"/>
  <c r="M255"/>
  <c r="W255" i="22"/>
  <c r="Y258" i="26"/>
  <c r="U258"/>
  <c r="W258" i="1"/>
  <c r="U258" i="14"/>
  <c r="M258" i="17"/>
  <c r="W254" i="22"/>
  <c r="Y257" i="26"/>
  <c r="U257"/>
  <c r="W257" i="1"/>
  <c r="U257" i="14"/>
  <c r="M257" i="17"/>
  <c r="X258" i="10"/>
  <c r="W253" i="22"/>
  <c r="K253"/>
  <c r="Y256" i="26"/>
  <c r="U256"/>
  <c r="W256" i="1"/>
  <c r="U256" i="14"/>
  <c r="G257" i="10"/>
  <c r="W252" i="22"/>
  <c r="Y255" i="26"/>
  <c r="U255"/>
  <c r="W255" i="1"/>
  <c r="U255" i="14"/>
  <c r="W251" i="22"/>
  <c r="K251"/>
  <c r="Y254" i="26"/>
  <c r="U254"/>
  <c r="W254" i="1"/>
  <c r="K254"/>
  <c r="U254" i="14"/>
  <c r="Q254" i="16"/>
  <c r="O254"/>
  <c r="O255" i="10"/>
  <c r="U255"/>
  <c r="W250" i="22"/>
  <c r="K250"/>
  <c r="Y253" i="26"/>
  <c r="U253"/>
  <c r="Q253"/>
  <c r="I253"/>
  <c r="W253" i="1"/>
  <c r="K253"/>
  <c r="U253" i="14"/>
  <c r="W249" i="22"/>
  <c r="Y252" i="26"/>
  <c r="U252"/>
  <c r="W252" i="1"/>
  <c r="U252" i="14"/>
  <c r="W248" i="22"/>
  <c r="K248"/>
  <c r="Y251" i="26"/>
  <c r="U251"/>
  <c r="W251" i="1"/>
  <c r="U251" i="14"/>
  <c r="M251" i="16"/>
  <c r="M252"/>
  <c r="M253"/>
  <c r="W247" i="22"/>
  <c r="Y250" i="26"/>
  <c r="U250"/>
  <c r="U250" i="14"/>
  <c r="O250" i="15"/>
  <c r="W246" i="22"/>
  <c r="K246"/>
  <c r="Y249" i="26"/>
  <c r="U249"/>
  <c r="W249" i="1"/>
  <c r="U249" i="14"/>
  <c r="W245" i="22"/>
  <c r="Y248" i="26"/>
  <c r="U248"/>
  <c r="W245" i="1"/>
  <c r="U248" i="14"/>
  <c r="G249" i="10"/>
  <c r="AP244" i="25"/>
  <c r="W244" i="22"/>
  <c r="K244"/>
  <c r="Y247" i="26"/>
  <c r="AP244" i="2"/>
  <c r="W244" i="1"/>
  <c r="K244"/>
  <c r="I247" i="15"/>
  <c r="I248" i="10"/>
  <c r="AV243" i="25"/>
  <c r="W243" i="22"/>
  <c r="Y246" i="26"/>
  <c r="U246"/>
  <c r="U246" i="14"/>
  <c r="O246" i="15"/>
  <c r="W242" i="22"/>
  <c r="Y245" i="26"/>
  <c r="U245"/>
  <c r="W242" i="1"/>
  <c r="BH241" i="25"/>
  <c r="W241" i="22"/>
  <c r="Y244" i="26"/>
  <c r="AU244" i="17"/>
  <c r="AA244" i="15"/>
  <c r="W240" i="22"/>
  <c r="K240"/>
  <c r="Y243" i="26"/>
  <c r="U243"/>
  <c r="Q243"/>
  <c r="U243" i="14"/>
  <c r="Q243"/>
  <c r="AW239" i="17"/>
  <c r="M240" i="15"/>
  <c r="W240" i="16"/>
  <c r="G240"/>
  <c r="Y236" i="22"/>
  <c r="AA239" i="26"/>
  <c r="AZ236" i="2"/>
  <c r="BJ236" s="1"/>
  <c r="Y236" i="1"/>
  <c r="AG239" i="15"/>
  <c r="M239"/>
  <c r="X240" i="10"/>
  <c r="S240"/>
  <c r="W235" i="22"/>
  <c r="Y238" i="26"/>
  <c r="U238"/>
  <c r="W235" i="1"/>
  <c r="U238" i="14"/>
  <c r="K239" i="22"/>
  <c r="Y242" i="26"/>
  <c r="U242"/>
  <c r="W239" i="1"/>
  <c r="U242" i="14"/>
  <c r="Y241" i="26"/>
  <c r="U241"/>
  <c r="M238" i="2"/>
  <c r="W238" i="1"/>
  <c r="U241" i="14"/>
  <c r="S241" i="15"/>
  <c r="G242" i="10"/>
  <c r="U237" i="22"/>
  <c r="Y240" i="26"/>
  <c r="U240"/>
  <c r="W237" i="1"/>
  <c r="Y237" s="1"/>
  <c r="U240" i="14"/>
  <c r="AA240" i="15"/>
  <c r="W234" i="22"/>
  <c r="Y237" i="26"/>
  <c r="U237"/>
  <c r="U237" i="14"/>
  <c r="M233" i="25"/>
  <c r="W233" i="22"/>
  <c r="Y236" i="26"/>
  <c r="U236"/>
  <c r="W233" i="1"/>
  <c r="U236" i="14"/>
  <c r="M233" i="17"/>
  <c r="W232" i="22"/>
  <c r="O235" i="26"/>
  <c r="O236"/>
  <c r="Y235"/>
  <c r="U235"/>
  <c r="U232" i="14"/>
  <c r="AW232" i="17"/>
  <c r="O236" i="10"/>
  <c r="W231" i="22"/>
  <c r="Y234" i="26"/>
  <c r="U234"/>
  <c r="W231" i="1"/>
  <c r="U231" i="14"/>
  <c r="AA231" s="1"/>
  <c r="W230" i="22"/>
  <c r="Y230" s="1"/>
  <c r="Y233" i="26"/>
  <c r="U233"/>
  <c r="W230" i="1"/>
  <c r="U230" i="14"/>
  <c r="AA230" s="1"/>
  <c r="AZ230" i="25"/>
  <c r="AZ230" i="2"/>
  <c r="BJ230" s="1"/>
  <c r="AW230" i="17"/>
  <c r="AG230" i="15"/>
  <c r="X234" i="10"/>
  <c r="S234"/>
  <c r="AZ231" i="25"/>
  <c r="AG231" i="15"/>
  <c r="W229" i="22"/>
  <c r="Y232" i="26"/>
  <c r="U232"/>
  <c r="W229" i="1"/>
  <c r="U229" i="14"/>
  <c r="W228" i="22"/>
  <c r="Y231" i="26"/>
  <c r="U231"/>
  <c r="W228" i="1"/>
  <c r="U228" i="14"/>
  <c r="O232" i="10"/>
  <c r="W227" i="22"/>
  <c r="Y230" i="26"/>
  <c r="U230"/>
  <c r="W227" i="1"/>
  <c r="U227" i="14"/>
  <c r="W226" i="22"/>
  <c r="Y229" i="26"/>
  <c r="U229"/>
  <c r="U226" i="14"/>
  <c r="K225" i="22"/>
  <c r="Y228" i="26"/>
  <c r="U228"/>
  <c r="Q228"/>
  <c r="U225" i="14"/>
  <c r="Q225"/>
  <c r="AM225" i="17"/>
  <c r="Q228" i="16"/>
  <c r="O228"/>
  <c r="O229" i="10"/>
  <c r="U229"/>
  <c r="W224" i="22"/>
  <c r="Y227" i="26"/>
  <c r="U227"/>
  <c r="W224" i="1"/>
  <c r="U224" i="14"/>
  <c r="Y226" i="26"/>
  <c r="U226"/>
  <c r="S226"/>
  <c r="M226"/>
  <c r="G226"/>
  <c r="BN223" i="25"/>
  <c r="AV223"/>
  <c r="AT223"/>
  <c r="AP223"/>
  <c r="AN223"/>
  <c r="AE223"/>
  <c r="AC223"/>
  <c r="AA223"/>
  <c r="W223"/>
  <c r="U223"/>
  <c r="S223"/>
  <c r="Q223"/>
  <c r="O223"/>
  <c r="M223"/>
  <c r="I223"/>
  <c r="G223"/>
  <c r="W223" i="22"/>
  <c r="U223"/>
  <c r="M223"/>
  <c r="K223"/>
  <c r="G223"/>
  <c r="U223" i="14"/>
  <c r="G227" i="10"/>
  <c r="W222" i="22"/>
  <c r="Y222" i="26"/>
  <c r="U222"/>
  <c r="W222" i="1"/>
  <c r="U222" i="14"/>
  <c r="AA222" i="15"/>
  <c r="G223" i="10"/>
  <c r="W220" i="22"/>
  <c r="K220"/>
  <c r="Y220" i="26"/>
  <c r="U220"/>
  <c r="BB220" i="2"/>
  <c r="W220" i="1"/>
  <c r="U220" i="14"/>
  <c r="O221" i="10"/>
  <c r="W219" i="22"/>
  <c r="K219"/>
  <c r="Y219" i="26"/>
  <c r="U219"/>
  <c r="W219" i="1"/>
  <c r="U219" i="14"/>
  <c r="BH218" i="25"/>
  <c r="W218" i="22"/>
  <c r="Y218" i="26"/>
  <c r="U218"/>
  <c r="U218" i="14"/>
  <c r="AU218" i="17"/>
  <c r="AA218" i="15"/>
  <c r="O218"/>
  <c r="AV217" i="25"/>
  <c r="AP217"/>
  <c r="K217" i="22"/>
  <c r="Y217" i="26"/>
  <c r="U217"/>
  <c r="U217" i="14"/>
  <c r="G218" i="10"/>
  <c r="S253"/>
  <c r="S254"/>
  <c r="W216" i="22"/>
  <c r="Y216" i="26"/>
  <c r="U216"/>
  <c r="AZ216" i="2"/>
  <c r="W216" i="1"/>
  <c r="Y216" s="1"/>
  <c r="U216" i="14"/>
  <c r="AA216" s="1"/>
  <c r="K216"/>
  <c r="AW216" i="17"/>
  <c r="AG216" i="15"/>
  <c r="M216" i="16"/>
  <c r="X217" i="10"/>
  <c r="S217"/>
  <c r="W214" i="22"/>
  <c r="K214"/>
  <c r="Y214" i="26"/>
  <c r="U214"/>
  <c r="W214" i="1"/>
  <c r="U214" i="14"/>
  <c r="W213" i="22"/>
  <c r="K213"/>
  <c r="Y213" i="26"/>
  <c r="U213"/>
  <c r="W213" i="1"/>
  <c r="Y213" s="1"/>
  <c r="U213" i="14"/>
  <c r="AZ213" i="25"/>
  <c r="BJ213" s="1"/>
  <c r="K213" i="26"/>
  <c r="AZ213" i="2"/>
  <c r="BJ213" s="1"/>
  <c r="AA213" i="14"/>
  <c r="O213"/>
  <c r="AG213" i="15"/>
  <c r="S214" i="10"/>
  <c r="X214"/>
  <c r="K214" i="26"/>
  <c r="S215" i="10"/>
  <c r="W212" i="22"/>
  <c r="M212"/>
  <c r="Y212" i="26"/>
  <c r="U212"/>
  <c r="I212"/>
  <c r="U212" i="14"/>
  <c r="AA212" i="15"/>
  <c r="W211" i="22"/>
  <c r="Y211" i="26"/>
  <c r="U211"/>
  <c r="BB211" i="2"/>
  <c r="U211" i="14"/>
  <c r="O211" i="15"/>
  <c r="K210" i="22"/>
  <c r="Y210" i="26"/>
  <c r="U210"/>
  <c r="G210"/>
  <c r="K210" i="1"/>
  <c r="U210" i="14"/>
  <c r="G210"/>
  <c r="BA210" i="17"/>
  <c r="AM210"/>
  <c r="Q210" i="16"/>
  <c r="O210"/>
  <c r="O211" i="10"/>
  <c r="U211"/>
  <c r="W209" i="22"/>
  <c r="K209"/>
  <c r="Y209" i="26"/>
  <c r="U209"/>
  <c r="W209" i="1"/>
  <c r="K209"/>
  <c r="U209" i="14"/>
  <c r="W208" i="1"/>
  <c r="U208" i="14"/>
  <c r="G209" i="10"/>
  <c r="W207" i="22"/>
  <c r="Y207" i="26"/>
  <c r="W207" i="1"/>
  <c r="AU207" i="17"/>
  <c r="M207"/>
  <c r="AA207" i="15"/>
  <c r="BH206" i="25"/>
  <c r="M206"/>
  <c r="W206" i="22"/>
  <c r="U206" i="26"/>
  <c r="Y206"/>
  <c r="M206" i="2"/>
  <c r="W206" i="1"/>
  <c r="U206" i="14"/>
  <c r="AU206" i="17"/>
  <c r="M206"/>
  <c r="AI205" i="25"/>
  <c r="W205" i="22"/>
  <c r="Y205" i="26"/>
  <c r="U205"/>
  <c r="U205" i="14"/>
  <c r="AM205" i="17"/>
  <c r="AA205" i="15"/>
  <c r="W204" i="22"/>
  <c r="Y204" s="1"/>
  <c r="Y204" i="26"/>
  <c r="U204"/>
  <c r="W204" i="1"/>
  <c r="U204" i="14"/>
  <c r="AZ204" i="25"/>
  <c r="BJ204" s="1"/>
  <c r="O204" i="26"/>
  <c r="K204"/>
  <c r="AZ204" i="2"/>
  <c r="K204" i="14"/>
  <c r="AW204" i="17"/>
  <c r="AG204" i="15"/>
  <c r="S205" i="10"/>
  <c r="X205"/>
  <c r="M203" i="25"/>
  <c r="W203" i="22"/>
  <c r="K203"/>
  <c r="Y203" i="26"/>
  <c r="U203"/>
  <c r="I203"/>
  <c r="K203" s="1"/>
  <c r="M203" i="2"/>
  <c r="AZ203" s="1"/>
  <c r="BJ203" s="1"/>
  <c r="W203" i="1"/>
  <c r="Y203" s="1"/>
  <c r="U203" i="14"/>
  <c r="M203" i="17"/>
  <c r="BB202" i="25"/>
  <c r="AZ202"/>
  <c r="AZ203"/>
  <c r="BJ203" s="1"/>
  <c r="Y202" i="22"/>
  <c r="AQ202" s="1"/>
  <c r="Y202" i="26"/>
  <c r="AA202" s="1"/>
  <c r="O202"/>
  <c r="O203"/>
  <c r="K202"/>
  <c r="AZ202" i="2"/>
  <c r="AZ205"/>
  <c r="BJ205" s="1"/>
  <c r="Y202" i="1"/>
  <c r="AM202" s="1"/>
  <c r="AA202" i="14"/>
  <c r="AA203"/>
  <c r="O202"/>
  <c r="O203"/>
  <c r="O204"/>
  <c r="O205"/>
  <c r="K202"/>
  <c r="AC202" s="1"/>
  <c r="K203"/>
  <c r="K205"/>
  <c r="AA202" i="15"/>
  <c r="AU202" i="17"/>
  <c r="AW202" s="1"/>
  <c r="BA202"/>
  <c r="AW203"/>
  <c r="AG202" i="15"/>
  <c r="AG203"/>
  <c r="M203"/>
  <c r="I202"/>
  <c r="G202"/>
  <c r="AA202" i="16"/>
  <c r="Y202"/>
  <c r="AD203"/>
  <c r="W203"/>
  <c r="W204"/>
  <c r="M202"/>
  <c r="M203"/>
  <c r="G203"/>
  <c r="K202"/>
  <c r="G202" s="1"/>
  <c r="X203" i="10"/>
  <c r="X204"/>
  <c r="S203"/>
  <c r="S204"/>
  <c r="Y201" i="26"/>
  <c r="W201"/>
  <c r="U201"/>
  <c r="W201" i="1"/>
  <c r="W201" i="14"/>
  <c r="U201"/>
  <c r="W199" i="22"/>
  <c r="Y199" i="26"/>
  <c r="U199"/>
  <c r="U199" i="14"/>
  <c r="W200" i="22"/>
  <c r="Y200" i="26"/>
  <c r="U200"/>
  <c r="BH200" i="2"/>
  <c r="W200" i="1"/>
  <c r="U200" i="14"/>
  <c r="AA200" i="15"/>
  <c r="W198" i="22"/>
  <c r="K198"/>
  <c r="Y198" i="26"/>
  <c r="U198"/>
  <c r="W198" i="1"/>
  <c r="U198" i="14"/>
  <c r="W197" i="22"/>
  <c r="Y197" i="26"/>
  <c r="U197"/>
  <c r="W197" i="1"/>
  <c r="U197" i="14"/>
  <c r="M196" i="25"/>
  <c r="W196" i="22"/>
  <c r="K196"/>
  <c r="Y196" i="26"/>
  <c r="U196"/>
  <c r="M196" i="2"/>
  <c r="W196" i="1"/>
  <c r="K196"/>
  <c r="U196" i="14"/>
  <c r="M196" i="17"/>
  <c r="W194" i="22"/>
  <c r="Y194" i="26"/>
  <c r="U194"/>
  <c r="U194" i="14"/>
  <c r="M195" i="25"/>
  <c r="W195" i="22"/>
  <c r="Y195" i="26"/>
  <c r="U195"/>
  <c r="M195" i="2"/>
  <c r="W195" i="1"/>
  <c r="Y195" s="1"/>
  <c r="U195" i="14"/>
  <c r="M195" i="17"/>
  <c r="Q195" i="16"/>
  <c r="O195"/>
  <c r="M196" i="10"/>
  <c r="O196"/>
  <c r="U196"/>
  <c r="G196"/>
  <c r="AZ194" i="25"/>
  <c r="BJ194" s="1"/>
  <c r="AV193"/>
  <c r="AZ193" s="1"/>
  <c r="BJ193" s="1"/>
  <c r="W193" i="22"/>
  <c r="Y193" s="1"/>
  <c r="AQ193" s="1"/>
  <c r="Y193" i="26"/>
  <c r="U193"/>
  <c r="O193"/>
  <c r="K193"/>
  <c r="K194"/>
  <c r="AZ193" i="2"/>
  <c r="BJ193" s="1"/>
  <c r="AZ194"/>
  <c r="BJ194" s="1"/>
  <c r="Y194" i="1"/>
  <c r="W193"/>
  <c r="Y193" s="1"/>
  <c r="AM193" s="1"/>
  <c r="U193" i="14"/>
  <c r="AA193" s="1"/>
  <c r="AA194"/>
  <c r="O193"/>
  <c r="K193"/>
  <c r="AW193" i="17"/>
  <c r="AW194"/>
  <c r="AA193" i="15"/>
  <c r="AG193" s="1"/>
  <c r="M193"/>
  <c r="W193" i="16"/>
  <c r="AD193"/>
  <c r="M193"/>
  <c r="G193"/>
  <c r="S194" i="10"/>
  <c r="S195"/>
  <c r="X194"/>
  <c r="X195"/>
  <c r="W192" i="26"/>
  <c r="U192"/>
  <c r="U192" i="14"/>
  <c r="AA192" s="1"/>
  <c r="G193" i="10"/>
  <c r="AZ191" i="25"/>
  <c r="BJ191" s="1"/>
  <c r="W191" i="22"/>
  <c r="Y191" s="1"/>
  <c r="AQ191" s="1"/>
  <c r="W191" i="26"/>
  <c r="U191"/>
  <c r="O191"/>
  <c r="K191"/>
  <c r="AZ191" i="2"/>
  <c r="Y191" i="1"/>
  <c r="AM191" s="1"/>
  <c r="U191" i="14"/>
  <c r="AA191" s="1"/>
  <c r="O191"/>
  <c r="O192"/>
  <c r="K191"/>
  <c r="K192"/>
  <c r="AC192" s="1"/>
  <c r="AW191" i="17"/>
  <c r="AW192"/>
  <c r="AG192" i="15"/>
  <c r="O191"/>
  <c r="AG191" s="1"/>
  <c r="M191"/>
  <c r="X192" i="10"/>
  <c r="X193"/>
  <c r="S192"/>
  <c r="AD191" i="16"/>
  <c r="W191"/>
  <c r="W192"/>
  <c r="M191"/>
  <c r="M192"/>
  <c r="G191"/>
  <c r="G192"/>
  <c r="W190" i="22"/>
  <c r="Y190" i="26"/>
  <c r="U190"/>
  <c r="BB190" i="2"/>
  <c r="W190" i="1"/>
  <c r="U190" i="14"/>
  <c r="O191" i="10"/>
  <c r="Q191"/>
  <c r="W188" i="22"/>
  <c r="K188"/>
  <c r="Y188" i="26"/>
  <c r="U188"/>
  <c r="U188" i="14"/>
  <c r="W187" i="22"/>
  <c r="Y187" i="26"/>
  <c r="G187" i="16"/>
  <c r="AU187" i="17"/>
  <c r="M186" i="25"/>
  <c r="W186" i="22"/>
  <c r="Y186" i="26"/>
  <c r="U186"/>
  <c r="M186" i="2"/>
  <c r="U186" i="14"/>
  <c r="U185"/>
  <c r="M186" i="17"/>
  <c r="W185" i="22"/>
  <c r="Y185" i="26"/>
  <c r="U185"/>
  <c r="W185" i="1"/>
  <c r="AA185" i="15"/>
  <c r="Q185" i="10"/>
  <c r="G185"/>
  <c r="W184" i="22"/>
  <c r="Y184" s="1"/>
  <c r="Y184" i="26"/>
  <c r="U184"/>
  <c r="AA184" s="1"/>
  <c r="W184" i="1"/>
  <c r="Y184" s="1"/>
  <c r="U184" i="14"/>
  <c r="AA184" i="15"/>
  <c r="AG184" s="1"/>
  <c r="X185" i="10"/>
  <c r="AZ184" i="25"/>
  <c r="AZ185"/>
  <c r="O184" i="26"/>
  <c r="K184"/>
  <c r="K185"/>
  <c r="AZ181" i="2"/>
  <c r="BJ181" s="1"/>
  <c r="O184" i="14"/>
  <c r="K184"/>
  <c r="AW184" i="17"/>
  <c r="AC271" i="14" l="1"/>
  <c r="Y213" i="22"/>
  <c r="AI193" i="15"/>
  <c r="AY193" i="17" s="1"/>
  <c r="BC193" s="1"/>
  <c r="BE193" s="1"/>
  <c r="AC184" i="14"/>
  <c r="AA272" i="26"/>
  <c r="AA273"/>
  <c r="AA274"/>
  <c r="BJ191" i="2"/>
  <c r="BJ270"/>
  <c r="W202" i="16"/>
  <c r="M274"/>
  <c r="Y272" i="22"/>
  <c r="Y273"/>
  <c r="BJ230" i="25"/>
  <c r="AF270" i="16"/>
  <c r="Y257" i="22"/>
  <c r="AC203" i="26"/>
  <c r="AA191"/>
  <c r="AA193"/>
  <c r="AA203"/>
  <c r="BJ202" i="2"/>
  <c r="BL202" s="1"/>
  <c r="BS202" s="1"/>
  <c r="BU202" s="1"/>
  <c r="BJ204"/>
  <c r="BJ258"/>
  <c r="AG271" i="15"/>
  <c r="AI271" s="1"/>
  <c r="AY271" i="17" s="1"/>
  <c r="BC271" s="1"/>
  <c r="BE271" s="1"/>
  <c r="AA213" i="26"/>
  <c r="AA233"/>
  <c r="AA261"/>
  <c r="BJ202" i="25"/>
  <c r="BL202" s="1"/>
  <c r="BT202" s="1"/>
  <c r="BV202" s="1"/>
  <c r="AA269" i="26"/>
  <c r="AI260" i="15"/>
  <c r="AY260" i="17" s="1"/>
  <c r="BC260" s="1"/>
  <c r="BE260" s="1"/>
  <c r="Y269" i="22"/>
  <c r="BJ257" i="2"/>
  <c r="BL257" s="1"/>
  <c r="BS257" s="1"/>
  <c r="BU257" s="1"/>
  <c r="AC262" i="14"/>
  <c r="AC260"/>
  <c r="AC261"/>
  <c r="M202" i="15"/>
  <c r="AI202" s="1"/>
  <c r="AY202" i="17" s="1"/>
  <c r="BC202" s="1"/>
  <c r="BE202" s="1"/>
  <c r="AI203" i="15"/>
  <c r="AY203" i="17" s="1"/>
  <c r="BC203" s="1"/>
  <c r="BE203" s="1"/>
  <c r="AC260" i="26"/>
  <c r="AC193" i="14"/>
  <c r="AA260" i="26"/>
  <c r="AC269"/>
  <c r="AC270" i="14"/>
  <c r="M254" i="16"/>
  <c r="AF275"/>
  <c r="S270" i="10"/>
  <c r="BJ258" i="25"/>
  <c r="AC184" i="26"/>
  <c r="AC193"/>
  <c r="AA194"/>
  <c r="AC202"/>
  <c r="AC261"/>
  <c r="AC273"/>
  <c r="AC271"/>
  <c r="AI191" i="15"/>
  <c r="AI239"/>
  <c r="AY239" i="17" s="1"/>
  <c r="BC239" s="1"/>
  <c r="BE239" s="1"/>
  <c r="AI270" i="15"/>
  <c r="AY270" i="17" s="1"/>
  <c r="BC270" s="1"/>
  <c r="BE270" s="1"/>
  <c r="AF274" i="16"/>
  <c r="X275" i="10"/>
  <c r="AC270" i="26"/>
  <c r="BL271" i="25"/>
  <c r="BT271" s="1"/>
  <c r="BV271" s="1"/>
  <c r="AC191" i="26"/>
  <c r="BL268" i="2"/>
  <c r="BS268" s="1"/>
  <c r="BU268" s="1"/>
  <c r="AC269" i="14"/>
  <c r="AI273" i="15"/>
  <c r="AY273" i="17" s="1"/>
  <c r="BC273" s="1"/>
  <c r="BE273" s="1"/>
  <c r="AI274" i="15"/>
  <c r="AF202" i="16"/>
  <c r="AD202"/>
  <c r="AF191"/>
  <c r="AF193"/>
  <c r="AF271"/>
  <c r="AF273"/>
  <c r="AC272" i="26"/>
  <c r="AI272" i="15"/>
  <c r="AY272" i="17" s="1"/>
  <c r="BC272" s="1"/>
  <c r="BE272" s="1"/>
  <c r="AF272" i="16"/>
  <c r="AI269" i="15"/>
  <c r="AY269" i="17" s="1"/>
  <c r="BC269" s="1"/>
  <c r="BE269" s="1"/>
  <c r="AF269" i="16"/>
  <c r="AF261"/>
  <c r="BL193" i="25"/>
  <c r="BT193" s="1"/>
  <c r="BL191"/>
  <c r="BT191" s="1"/>
  <c r="BL191" i="2"/>
  <c r="BS191" s="1"/>
  <c r="BU191" s="1"/>
  <c r="BL193"/>
  <c r="BS193" s="1"/>
  <c r="BU193" s="1"/>
  <c r="AY191" i="17"/>
  <c r="BC191" s="1"/>
  <c r="BE191" s="1"/>
  <c r="AC191" i="14"/>
  <c r="AC204"/>
  <c r="AC203"/>
  <c r="AF203" i="16"/>
  <c r="M184" i="15"/>
  <c r="AI184" s="1"/>
  <c r="AY184" i="17" s="1"/>
  <c r="BC184" s="1"/>
  <c r="BE184" s="1"/>
  <c r="G184" i="16"/>
  <c r="S99" i="10"/>
  <c r="Y94" i="26"/>
  <c r="U94"/>
  <c r="W94" i="1"/>
  <c r="K94"/>
  <c r="U94" i="14"/>
  <c r="W183" i="22"/>
  <c r="Y183" i="26"/>
  <c r="U183"/>
  <c r="U183" i="14"/>
  <c r="W179" i="22"/>
  <c r="Y182" i="26"/>
  <c r="U182"/>
  <c r="BB179" i="2"/>
  <c r="W182" i="1"/>
  <c r="U182" i="14"/>
  <c r="AG183" i="15"/>
  <c r="AG185"/>
  <c r="AG186"/>
  <c r="AW182" i="17"/>
  <c r="AW183"/>
  <c r="AW185"/>
  <c r="AW186"/>
  <c r="AW187"/>
  <c r="G183" i="10"/>
  <c r="W178" i="22"/>
  <c r="K178"/>
  <c r="Y181" i="26"/>
  <c r="U181"/>
  <c r="W181" i="1"/>
  <c r="K181"/>
  <c r="U181" i="14"/>
  <c r="AM181" i="17"/>
  <c r="S181" i="10"/>
  <c r="BH177" i="25"/>
  <c r="W177" i="22"/>
  <c r="Y180" i="26"/>
  <c r="BB177" i="2"/>
  <c r="W180" i="1"/>
  <c r="AU180" i="17"/>
  <c r="M176" i="25"/>
  <c r="W176" i="22"/>
  <c r="Y176" s="1"/>
  <c r="Y179" i="26"/>
  <c r="U179"/>
  <c r="BB176" i="2"/>
  <c r="W179" i="1"/>
  <c r="Y179" s="1"/>
  <c r="U179" i="14"/>
  <c r="AU179" i="17"/>
  <c r="M179"/>
  <c r="Q179" i="16"/>
  <c r="O179"/>
  <c r="Q180" i="10"/>
  <c r="O180"/>
  <c r="U180"/>
  <c r="M175" i="25"/>
  <c r="AZ175" s="1"/>
  <c r="W175" i="22"/>
  <c r="Y175" s="1"/>
  <c r="Y178" i="26"/>
  <c r="U178"/>
  <c r="BB175" i="2"/>
  <c r="W178" i="1"/>
  <c r="U178" i="14"/>
  <c r="M178" i="17"/>
  <c r="AW178" s="1"/>
  <c r="Q178" i="16"/>
  <c r="M178" s="1"/>
  <c r="O179" i="10"/>
  <c r="S179" s="1"/>
  <c r="BH172" i="25"/>
  <c r="AZ172"/>
  <c r="AZ174"/>
  <c r="BJ174" s="1"/>
  <c r="Y174" i="22"/>
  <c r="W172"/>
  <c r="Y172" s="1"/>
  <c r="AQ172" s="1"/>
  <c r="AA177" i="26"/>
  <c r="Y175"/>
  <c r="U175"/>
  <c r="O175"/>
  <c r="O177"/>
  <c r="O178"/>
  <c r="K175"/>
  <c r="K177"/>
  <c r="K178"/>
  <c r="K179"/>
  <c r="K180"/>
  <c r="AZ172" i="2"/>
  <c r="AZ174"/>
  <c r="BJ174" s="1"/>
  <c r="AZ175"/>
  <c r="AZ176"/>
  <c r="Y175" i="1"/>
  <c r="AM175" s="1"/>
  <c r="Y177"/>
  <c r="U175" i="14"/>
  <c r="AA175" s="1"/>
  <c r="O175"/>
  <c r="O176"/>
  <c r="O178"/>
  <c r="K175"/>
  <c r="K176"/>
  <c r="K178"/>
  <c r="AW176" i="17"/>
  <c r="AU175"/>
  <c r="AW175" s="1"/>
  <c r="AG176" i="15"/>
  <c r="AG178"/>
  <c r="AG179"/>
  <c r="AG180"/>
  <c r="AA175"/>
  <c r="AG175" s="1"/>
  <c r="M175"/>
  <c r="AD175" i="16"/>
  <c r="AD176"/>
  <c r="W175"/>
  <c r="W176"/>
  <c r="W178"/>
  <c r="M175"/>
  <c r="M176"/>
  <c r="G175"/>
  <c r="G176"/>
  <c r="S176" i="10"/>
  <c r="X176"/>
  <c r="X177"/>
  <c r="X179"/>
  <c r="S177"/>
  <c r="Y178" i="1"/>
  <c r="M171" i="25"/>
  <c r="W171" i="22"/>
  <c r="Y174" i="26"/>
  <c r="U174"/>
  <c r="M171" i="2"/>
  <c r="W174" i="1"/>
  <c r="U174" i="14"/>
  <c r="M174" i="17"/>
  <c r="AA174" i="15"/>
  <c r="G175" i="10"/>
  <c r="W170" i="22"/>
  <c r="K170"/>
  <c r="Y173" i="26"/>
  <c r="U173"/>
  <c r="W173" i="1"/>
  <c r="U173" i="14"/>
  <c r="M173" i="17"/>
  <c r="AP169" i="25"/>
  <c r="W169" i="22"/>
  <c r="K169"/>
  <c r="Y172" i="26"/>
  <c r="U172"/>
  <c r="W172" i="1"/>
  <c r="K172"/>
  <c r="U172" i="14"/>
  <c r="G173" i="10"/>
  <c r="BH168" i="25"/>
  <c r="BB168"/>
  <c r="M168"/>
  <c r="W168" i="22"/>
  <c r="Y171" i="26"/>
  <c r="BB168" i="2"/>
  <c r="M168"/>
  <c r="AU171" i="17"/>
  <c r="M171"/>
  <c r="AA171" i="15"/>
  <c r="S172" i="10"/>
  <c r="W166" i="22"/>
  <c r="Y166" s="1"/>
  <c r="Y169" i="26"/>
  <c r="U169"/>
  <c r="W169" i="1"/>
  <c r="Y169" s="1"/>
  <c r="U169" i="14"/>
  <c r="AA169" s="1"/>
  <c r="AZ166" i="25"/>
  <c r="BJ166" s="1"/>
  <c r="AZ167"/>
  <c r="BJ167" s="1"/>
  <c r="Y167" i="22"/>
  <c r="AA170" i="26"/>
  <c r="O169"/>
  <c r="O170"/>
  <c r="O171"/>
  <c r="AZ166" i="2"/>
  <c r="BJ166" s="1"/>
  <c r="AZ167"/>
  <c r="Y170" i="1"/>
  <c r="AA170" i="14"/>
  <c r="AA171"/>
  <c r="O169"/>
  <c r="O170"/>
  <c r="O171"/>
  <c r="AW169" i="17"/>
  <c r="AW170"/>
  <c r="AG169" i="15"/>
  <c r="AG170"/>
  <c r="AD169" i="16"/>
  <c r="W169"/>
  <c r="W170"/>
  <c r="W171"/>
  <c r="M169"/>
  <c r="M170"/>
  <c r="M171"/>
  <c r="G169"/>
  <c r="G170"/>
  <c r="X170" i="10"/>
  <c r="X171"/>
  <c r="S170"/>
  <c r="W165" i="22"/>
  <c r="Y168" i="26"/>
  <c r="U168"/>
  <c r="W168" i="1"/>
  <c r="U168" i="14"/>
  <c r="AU168" i="17"/>
  <c r="AA168" i="15"/>
  <c r="S169" i="10"/>
  <c r="W164" i="22"/>
  <c r="Y167" i="26"/>
  <c r="U167"/>
  <c r="W167" i="1"/>
  <c r="U167" i="14"/>
  <c r="G168" i="10"/>
  <c r="W163" i="22"/>
  <c r="Y166" i="26"/>
  <c r="U166"/>
  <c r="W163" i="1"/>
  <c r="U166" i="14"/>
  <c r="G167" i="10"/>
  <c r="W162" i="22"/>
  <c r="Y165" i="26"/>
  <c r="U165"/>
  <c r="W162" i="1"/>
  <c r="U165" i="14"/>
  <c r="W161" i="22"/>
  <c r="Y161" s="1"/>
  <c r="Y164" i="26"/>
  <c r="U164"/>
  <c r="W161" i="1"/>
  <c r="Y161" s="1"/>
  <c r="U164" i="14"/>
  <c r="M160" i="25"/>
  <c r="AZ160" s="1"/>
  <c r="BJ160" s="1"/>
  <c r="W160" i="22"/>
  <c r="Y163" i="26"/>
  <c r="U163"/>
  <c r="BB160" i="2"/>
  <c r="M160"/>
  <c r="AZ160" s="1"/>
  <c r="W160" i="1"/>
  <c r="Y160" s="1"/>
  <c r="U163" i="14"/>
  <c r="AA163" s="1"/>
  <c r="M163" i="17"/>
  <c r="AW163" s="1"/>
  <c r="BH159" i="25"/>
  <c r="AZ159"/>
  <c r="Y160" i="22"/>
  <c r="W159"/>
  <c r="Y159" s="1"/>
  <c r="AQ159" s="1"/>
  <c r="Y162" i="26"/>
  <c r="AA162" s="1"/>
  <c r="O162"/>
  <c r="O163"/>
  <c r="K162"/>
  <c r="AZ159" i="2"/>
  <c r="BJ159" s="1"/>
  <c r="AZ161"/>
  <c r="W159" i="1"/>
  <c r="Y159" s="1"/>
  <c r="AM159" s="1"/>
  <c r="AA162" i="14"/>
  <c r="K162"/>
  <c r="AC162" s="1"/>
  <c r="AU162" i="17"/>
  <c r="AW162" s="1"/>
  <c r="AG162" i="15"/>
  <c r="M162"/>
  <c r="AD162" i="16"/>
  <c r="AD163"/>
  <c r="W162"/>
  <c r="W163"/>
  <c r="S163" i="10"/>
  <c r="M162" i="16"/>
  <c r="M163"/>
  <c r="M164"/>
  <c r="M165"/>
  <c r="M166"/>
  <c r="G162"/>
  <c r="G163"/>
  <c r="G164"/>
  <c r="G165"/>
  <c r="G166"/>
  <c r="G167"/>
  <c r="X163" i="10"/>
  <c r="X164"/>
  <c r="X165"/>
  <c r="S164"/>
  <c r="W158" i="22"/>
  <c r="Y161" i="26"/>
  <c r="U161"/>
  <c r="W158" i="1"/>
  <c r="U161" i="14"/>
  <c r="G162" i="10"/>
  <c r="M157" i="25"/>
  <c r="W157" i="22"/>
  <c r="Y160" i="26"/>
  <c r="U160"/>
  <c r="M157" i="2"/>
  <c r="W157" i="1"/>
  <c r="U160" i="14"/>
  <c r="M160" i="17"/>
  <c r="W156" i="22"/>
  <c r="Y159" i="26"/>
  <c r="U159"/>
  <c r="W156" i="1"/>
  <c r="U159" i="14"/>
  <c r="G160" i="10"/>
  <c r="AP154" i="25"/>
  <c r="W154" i="22"/>
  <c r="K154"/>
  <c r="W157" i="26"/>
  <c r="U157"/>
  <c r="W154" i="1"/>
  <c r="Y154" s="1"/>
  <c r="W154" i="14"/>
  <c r="U154"/>
  <c r="BA154" i="17"/>
  <c r="AU154"/>
  <c r="G158" i="10"/>
  <c r="W153" i="22"/>
  <c r="Y153" s="1"/>
  <c r="Y156" i="26"/>
  <c r="U156"/>
  <c r="W153" i="1"/>
  <c r="Y153" s="1"/>
  <c r="U153" i="14"/>
  <c r="AA153" s="1"/>
  <c r="W152" i="22"/>
  <c r="Y152" s="1"/>
  <c r="Y155" i="26"/>
  <c r="U155"/>
  <c r="U152" i="14"/>
  <c r="AA152" s="1"/>
  <c r="AZ152" i="25"/>
  <c r="BJ152" s="1"/>
  <c r="AZ153"/>
  <c r="BJ153" s="1"/>
  <c r="M151"/>
  <c r="AZ151" s="1"/>
  <c r="BJ151" s="1"/>
  <c r="W151" i="22"/>
  <c r="Y151" s="1"/>
  <c r="AQ151" s="1"/>
  <c r="Y154" i="26"/>
  <c r="U154"/>
  <c r="O154"/>
  <c r="O155"/>
  <c r="O156"/>
  <c r="O157"/>
  <c r="K154"/>
  <c r="K155"/>
  <c r="K156"/>
  <c r="K157"/>
  <c r="K158"/>
  <c r="AZ152" i="2"/>
  <c r="BJ152" s="1"/>
  <c r="AZ153"/>
  <c r="BJ153" s="1"/>
  <c r="M151"/>
  <c r="AZ151" s="1"/>
  <c r="BJ151" s="1"/>
  <c r="Y152" i="1"/>
  <c r="W151"/>
  <c r="Y151" s="1"/>
  <c r="AM151" s="1"/>
  <c r="U151" i="14"/>
  <c r="AA151" s="1"/>
  <c r="O151"/>
  <c r="O152"/>
  <c r="O153"/>
  <c r="K151"/>
  <c r="K152"/>
  <c r="K153"/>
  <c r="K154"/>
  <c r="AW151" i="17"/>
  <c r="AW152"/>
  <c r="AG151" i="15"/>
  <c r="AG152"/>
  <c r="M151"/>
  <c r="W154" i="16"/>
  <c r="AD154"/>
  <c r="M154"/>
  <c r="G154"/>
  <c r="X155" i="10"/>
  <c r="X156"/>
  <c r="X157"/>
  <c r="S155"/>
  <c r="S156"/>
  <c r="S157"/>
  <c r="S154"/>
  <c r="BH150" i="25"/>
  <c r="W150" i="22"/>
  <c r="Y153" i="26"/>
  <c r="W150" i="1"/>
  <c r="Y150" s="1"/>
  <c r="AU150" i="17"/>
  <c r="AA150" i="15"/>
  <c r="W149" i="22"/>
  <c r="Y152" i="26"/>
  <c r="U152"/>
  <c r="U149" i="14"/>
  <c r="M148" i="25"/>
  <c r="AZ148" s="1"/>
  <c r="W148" i="22"/>
  <c r="Y148" s="1"/>
  <c r="Y151" i="26"/>
  <c r="U151"/>
  <c r="W148" i="1"/>
  <c r="Y148" s="1"/>
  <c r="U148" i="14"/>
  <c r="Q152" i="10"/>
  <c r="W147" i="22"/>
  <c r="Y147" s="1"/>
  <c r="Y150" i="26"/>
  <c r="U150"/>
  <c r="U147" i="14"/>
  <c r="X151" i="10"/>
  <c r="X152"/>
  <c r="AZ147" i="25"/>
  <c r="AZ149"/>
  <c r="BJ149" s="1"/>
  <c r="O150" i="26"/>
  <c r="O151"/>
  <c r="K150"/>
  <c r="K151"/>
  <c r="K152"/>
  <c r="K153"/>
  <c r="Y147" i="1"/>
  <c r="Y149"/>
  <c r="AZ147" i="2"/>
  <c r="BJ147" s="1"/>
  <c r="O147" i="14"/>
  <c r="O148"/>
  <c r="K147"/>
  <c r="K148"/>
  <c r="AW147" i="17"/>
  <c r="AW148"/>
  <c r="AG147" i="15"/>
  <c r="AG148"/>
  <c r="M147"/>
  <c r="W150" i="16"/>
  <c r="M149"/>
  <c r="M150"/>
  <c r="S147" i="10"/>
  <c r="W146" i="22"/>
  <c r="Y146" s="1"/>
  <c r="Y146" i="26"/>
  <c r="AA146" s="1"/>
  <c r="W146" i="1"/>
  <c r="M145" i="25"/>
  <c r="AZ145" s="1"/>
  <c r="BJ145" s="1"/>
  <c r="W145" i="22"/>
  <c r="Y145" s="1"/>
  <c r="K145"/>
  <c r="Y145" i="26"/>
  <c r="U145"/>
  <c r="BB145" i="2"/>
  <c r="W145" i="1"/>
  <c r="Y145" s="1"/>
  <c r="U145" i="14"/>
  <c r="M145" i="17"/>
  <c r="K144" i="22"/>
  <c r="W144"/>
  <c r="Y144" i="26"/>
  <c r="U144"/>
  <c r="W144" i="1"/>
  <c r="K144"/>
  <c r="U144" i="14"/>
  <c r="AA144" s="1"/>
  <c r="W143" i="22"/>
  <c r="Y143" s="1"/>
  <c r="Y143" i="26"/>
  <c r="U143"/>
  <c r="BB143" i="2"/>
  <c r="W143" i="1"/>
  <c r="U143" i="14"/>
  <c r="AA143" s="1"/>
  <c r="W140" i="22"/>
  <c r="K140"/>
  <c r="Y140" i="26"/>
  <c r="U140"/>
  <c r="W140" i="1"/>
  <c r="U140" i="14"/>
  <c r="W140" i="16"/>
  <c r="AZ144" i="25"/>
  <c r="BJ144" s="1"/>
  <c r="O144" i="26"/>
  <c r="O145"/>
  <c r="O146"/>
  <c r="K144"/>
  <c r="K145"/>
  <c r="K146"/>
  <c r="AZ144" i="2"/>
  <c r="BJ144" s="1"/>
  <c r="AA145" i="14"/>
  <c r="AA146"/>
  <c r="O143"/>
  <c r="O144"/>
  <c r="O145"/>
  <c r="O146"/>
  <c r="O149"/>
  <c r="K143"/>
  <c r="K144"/>
  <c r="K145"/>
  <c r="K146"/>
  <c r="K149"/>
  <c r="AW144" i="17"/>
  <c r="M144" i="15"/>
  <c r="X145" i="10"/>
  <c r="AZ142" i="25"/>
  <c r="BJ142" s="1"/>
  <c r="AZ143"/>
  <c r="O142" i="26"/>
  <c r="O143"/>
  <c r="K142"/>
  <c r="K143"/>
  <c r="AZ142" i="2"/>
  <c r="AW142" i="17"/>
  <c r="AG142" i="15"/>
  <c r="AG143"/>
  <c r="AG144"/>
  <c r="AI144" s="1"/>
  <c r="AG145"/>
  <c r="AG146"/>
  <c r="W142" i="22"/>
  <c r="K142"/>
  <c r="Y142" i="26"/>
  <c r="U142"/>
  <c r="W142" i="1"/>
  <c r="K142"/>
  <c r="U142" i="14"/>
  <c r="AA142" s="1"/>
  <c r="W141" i="22"/>
  <c r="K141"/>
  <c r="Y141" i="26"/>
  <c r="U141"/>
  <c r="Q141"/>
  <c r="W141" i="1"/>
  <c r="U141" i="14"/>
  <c r="S140" i="10"/>
  <c r="BH139" i="25"/>
  <c r="BB139"/>
  <c r="M139"/>
  <c r="AZ139" s="1"/>
  <c r="BJ139" s="1"/>
  <c r="W139" i="22"/>
  <c r="Y139" s="1"/>
  <c r="AQ139" s="1"/>
  <c r="Y139" i="26"/>
  <c r="AA139" s="1"/>
  <c r="O139"/>
  <c r="K139"/>
  <c r="M139" i="2"/>
  <c r="AZ139" s="1"/>
  <c r="W139" i="1"/>
  <c r="Y139" s="1"/>
  <c r="AM139" s="1"/>
  <c r="AA139" i="14"/>
  <c r="O139"/>
  <c r="K139"/>
  <c r="AU139" i="17"/>
  <c r="M139"/>
  <c r="AG139" i="15"/>
  <c r="M139"/>
  <c r="AD139" i="16"/>
  <c r="W139"/>
  <c r="G139"/>
  <c r="X140" i="10"/>
  <c r="X141"/>
  <c r="W138" i="22"/>
  <c r="K138"/>
  <c r="Y138" i="26"/>
  <c r="U138"/>
  <c r="W138" i="1"/>
  <c r="U138" i="14"/>
  <c r="W137" i="22"/>
  <c r="Y137" i="26"/>
  <c r="U137"/>
  <c r="W137" i="1"/>
  <c r="U137" i="14"/>
  <c r="W136" i="22"/>
  <c r="K136"/>
  <c r="Y136" i="26"/>
  <c r="U136"/>
  <c r="W136" i="1"/>
  <c r="U136" i="14"/>
  <c r="AP135" i="25"/>
  <c r="W135" i="22"/>
  <c r="K135"/>
  <c r="Y135" i="26"/>
  <c r="U135"/>
  <c r="AP135" i="2"/>
  <c r="W135" i="1"/>
  <c r="K135"/>
  <c r="U135" i="14"/>
  <c r="M134" i="25"/>
  <c r="W134" i="22"/>
  <c r="Y134" i="26"/>
  <c r="U134"/>
  <c r="BB134" i="2"/>
  <c r="M134"/>
  <c r="W134" i="1"/>
  <c r="U134" i="14"/>
  <c r="M134" i="17"/>
  <c r="G134" i="16"/>
  <c r="W133" i="22"/>
  <c r="K133"/>
  <c r="Y133" i="26"/>
  <c r="U133"/>
  <c r="Q133"/>
  <c r="W133" i="1"/>
  <c r="U133" i="14"/>
  <c r="W132" i="22"/>
  <c r="Y132" i="26"/>
  <c r="U132"/>
  <c r="U132" i="14"/>
  <c r="O132" i="15"/>
  <c r="W131" i="22"/>
  <c r="Y131" i="26"/>
  <c r="W131" i="1"/>
  <c r="W129" i="22"/>
  <c r="K129"/>
  <c r="Y129" i="26"/>
  <c r="U129"/>
  <c r="U129" i="14"/>
  <c r="W128" i="22"/>
  <c r="Y128" i="26"/>
  <c r="U128"/>
  <c r="W128" i="1"/>
  <c r="U128" i="14"/>
  <c r="S128" i="10"/>
  <c r="W127" i="22"/>
  <c r="Y127" i="26"/>
  <c r="U127"/>
  <c r="W127" i="1"/>
  <c r="U127" i="14"/>
  <c r="AU127" i="17"/>
  <c r="O127" i="15"/>
  <c r="M126" i="25"/>
  <c r="W126" i="22"/>
  <c r="Y126" s="1"/>
  <c r="AQ126" s="1"/>
  <c r="U126" i="26"/>
  <c r="BB126" i="2"/>
  <c r="M126"/>
  <c r="W126" i="1"/>
  <c r="U126" i="14"/>
  <c r="M126" i="17"/>
  <c r="G127" i="10"/>
  <c r="K127"/>
  <c r="W125" i="22"/>
  <c r="Y125" i="26"/>
  <c r="U125"/>
  <c r="W125" i="1"/>
  <c r="U125" i="14"/>
  <c r="AP124" i="25"/>
  <c r="W124" i="22"/>
  <c r="K124"/>
  <c r="Y124" i="26"/>
  <c r="U124"/>
  <c r="W124" i="1"/>
  <c r="U124" i="14"/>
  <c r="W123" i="22"/>
  <c r="K123"/>
  <c r="Y123" i="26"/>
  <c r="U123"/>
  <c r="W123" i="1"/>
  <c r="K123"/>
  <c r="U123" i="14"/>
  <c r="Q124" i="10"/>
  <c r="M121" i="16"/>
  <c r="S122" i="10"/>
  <c r="X122"/>
  <c r="BH121" i="25"/>
  <c r="AZ121"/>
  <c r="W121" i="22"/>
  <c r="Y121" s="1"/>
  <c r="AQ121" s="1"/>
  <c r="Y121" i="26"/>
  <c r="W121"/>
  <c r="U121"/>
  <c r="AA121" s="1"/>
  <c r="O121"/>
  <c r="K121"/>
  <c r="AC121" s="1"/>
  <c r="AZ121" i="2"/>
  <c r="W121" i="1"/>
  <c r="Y121" s="1"/>
  <c r="AM121" s="1"/>
  <c r="U121" i="14"/>
  <c r="AA121" s="1"/>
  <c r="O121"/>
  <c r="K121"/>
  <c r="AU121" i="17"/>
  <c r="AW121" s="1"/>
  <c r="AA121" i="15"/>
  <c r="AG121" s="1"/>
  <c r="M121"/>
  <c r="AD121" i="16"/>
  <c r="W121"/>
  <c r="G121"/>
  <c r="W122" i="22"/>
  <c r="Y122" i="26"/>
  <c r="U122"/>
  <c r="W122" i="1"/>
  <c r="U122" i="14"/>
  <c r="O122" i="15"/>
  <c r="W120" i="22"/>
  <c r="K120"/>
  <c r="Y120" i="26"/>
  <c r="U120"/>
  <c r="W120" i="1"/>
  <c r="Y120" i="14"/>
  <c r="U120"/>
  <c r="W119" i="22"/>
  <c r="Y119" i="26"/>
  <c r="U119"/>
  <c r="W119" i="1"/>
  <c r="U119" i="14"/>
  <c r="AP118" i="25"/>
  <c r="W118" i="22"/>
  <c r="K118"/>
  <c r="Y118" i="26"/>
  <c r="U118"/>
  <c r="AP118" i="2"/>
  <c r="W118" i="1"/>
  <c r="U118" i="14"/>
  <c r="G119" i="10"/>
  <c r="X116"/>
  <c r="AZ115" i="25"/>
  <c r="BJ115" s="1"/>
  <c r="W115" i="22"/>
  <c r="Y115" s="1"/>
  <c r="AQ115" s="1"/>
  <c r="Y115" i="26"/>
  <c r="U115"/>
  <c r="O115"/>
  <c r="K115"/>
  <c r="AZ115" i="2"/>
  <c r="BJ115" s="1"/>
  <c r="Y115" i="1"/>
  <c r="AM115" s="1"/>
  <c r="U115" i="14"/>
  <c r="AA115" s="1"/>
  <c r="O115"/>
  <c r="K115"/>
  <c r="AW115" i="17"/>
  <c r="AG115" i="15"/>
  <c r="M115"/>
  <c r="W115" i="16"/>
  <c r="AD115"/>
  <c r="M115"/>
  <c r="G115"/>
  <c r="S116" i="10"/>
  <c r="K108" i="22"/>
  <c r="W108"/>
  <c r="Y108" i="26"/>
  <c r="U108"/>
  <c r="K108" i="1"/>
  <c r="U108" i="14"/>
  <c r="Q108"/>
  <c r="M117" i="25"/>
  <c r="K117" i="22"/>
  <c r="Y117" i="26"/>
  <c r="U117"/>
  <c r="M117" i="2"/>
  <c r="K117" i="1"/>
  <c r="U117" i="14"/>
  <c r="M117" i="17"/>
  <c r="O117" i="15"/>
  <c r="AA144" i="26" l="1"/>
  <c r="BV191" i="25"/>
  <c r="AC146" i="26"/>
  <c r="AC144"/>
  <c r="BV193" i="25"/>
  <c r="AQ257" i="22"/>
  <c r="BL257" i="25" s="1"/>
  <c r="BT257" s="1"/>
  <c r="BV257" s="1"/>
  <c r="BJ148"/>
  <c r="Y144" i="1"/>
  <c r="Y142"/>
  <c r="AC145" i="14"/>
  <c r="AC143"/>
  <c r="AC146"/>
  <c r="AC144"/>
  <c r="AA141" i="26"/>
  <c r="BJ160" i="2"/>
  <c r="BJ175" i="25"/>
  <c r="AA140" i="26"/>
  <c r="AA156"/>
  <c r="AA178"/>
  <c r="AC162"/>
  <c r="BJ175" i="2"/>
  <c r="BJ172"/>
  <c r="BL172" s="1"/>
  <c r="BS172" s="1"/>
  <c r="BU172" s="1"/>
  <c r="AC115" i="14"/>
  <c r="AI121" i="15"/>
  <c r="S180" i="10"/>
  <c r="X180"/>
  <c r="AA145" i="26"/>
  <c r="AI175" i="15"/>
  <c r="BJ121" i="25"/>
  <c r="BL121" s="1"/>
  <c r="BT121" s="1"/>
  <c r="BV121" s="1"/>
  <c r="Y144" i="22"/>
  <c r="BJ139" i="2"/>
  <c r="BL139" s="1"/>
  <c r="BS139" s="1"/>
  <c r="BU139" s="1"/>
  <c r="AW139" i="17"/>
  <c r="BJ143" i="25"/>
  <c r="AA169" i="26"/>
  <c r="AC175"/>
  <c r="AA175"/>
  <c r="Y142" i="22"/>
  <c r="AA150" i="26"/>
  <c r="AC156"/>
  <c r="AC154"/>
  <c r="AA163"/>
  <c r="AC175" i="14"/>
  <c r="AC176"/>
  <c r="AI162" i="15"/>
  <c r="AY162" i="17" s="1"/>
  <c r="BC162" s="1"/>
  <c r="BE162" s="1"/>
  <c r="BJ159" i="25"/>
  <c r="BL159" s="1"/>
  <c r="BT159" s="1"/>
  <c r="BV159" s="1"/>
  <c r="BJ172"/>
  <c r="BL172" s="1"/>
  <c r="BT172" s="1"/>
  <c r="AC115" i="26"/>
  <c r="AA115"/>
  <c r="AC139"/>
  <c r="AA142"/>
  <c r="AC145"/>
  <c r="AA143"/>
  <c r="AC151"/>
  <c r="AA154"/>
  <c r="AA155"/>
  <c r="AF115" i="16"/>
  <c r="AF139"/>
  <c r="AF162"/>
  <c r="AF170"/>
  <c r="AF175"/>
  <c r="AF154"/>
  <c r="AC177" i="26"/>
  <c r="AC121" i="14"/>
  <c r="AC139"/>
  <c r="AC151"/>
  <c r="AI139" i="15"/>
  <c r="AY139" i="17" s="1"/>
  <c r="BC139" s="1"/>
  <c r="BE139" s="1"/>
  <c r="AI115" i="15"/>
  <c r="AY115" i="17" s="1"/>
  <c r="BC115" s="1"/>
  <c r="BE115" s="1"/>
  <c r="AI151" i="15"/>
  <c r="AY151" i="17" s="1"/>
  <c r="BC151" s="1"/>
  <c r="BE151" s="1"/>
  <c r="AF169" i="16"/>
  <c r="AF176"/>
  <c r="BL151" i="25"/>
  <c r="BT151" s="1"/>
  <c r="BJ147"/>
  <c r="BL151" i="2"/>
  <c r="BS151" s="1"/>
  <c r="BU151" s="1"/>
  <c r="AY175" i="17"/>
  <c r="BC175" s="1"/>
  <c r="BE175" s="1"/>
  <c r="AC178" i="14"/>
  <c r="AY121" i="17"/>
  <c r="BC121" s="1"/>
  <c r="BE121" s="1"/>
  <c r="AF121" i="16"/>
  <c r="AC178" i="26"/>
  <c r="BL159" i="2"/>
  <c r="BS159" s="1"/>
  <c r="BU159" s="1"/>
  <c r="AF163" i="16"/>
  <c r="AC142" i="26"/>
  <c r="AC153" i="14"/>
  <c r="AC155" i="26"/>
  <c r="AC152" i="14"/>
  <c r="AC150" i="26"/>
  <c r="AC147" i="14"/>
  <c r="AI147" i="15"/>
  <c r="AY147" i="17" s="1"/>
  <c r="BC147" s="1"/>
  <c r="BE147" s="1"/>
  <c r="AC143" i="26"/>
  <c r="BL139" i="25"/>
  <c r="BT139" s="1"/>
  <c r="BV139" s="1"/>
  <c r="BL115"/>
  <c r="BT115" s="1"/>
  <c r="BL115" i="2"/>
  <c r="BS115" s="1"/>
  <c r="BU115" s="1"/>
  <c r="BJ121"/>
  <c r="BL121" s="1"/>
  <c r="BS121" s="1"/>
  <c r="BU121" s="1"/>
  <c r="G118" i="10"/>
  <c r="AI116" i="25"/>
  <c r="M116"/>
  <c r="W116" i="22"/>
  <c r="Y116" i="26"/>
  <c r="U116"/>
  <c r="AI116" i="2"/>
  <c r="M116"/>
  <c r="U116" i="14"/>
  <c r="AU116" i="17"/>
  <c r="BA116"/>
  <c r="M116"/>
  <c r="I116" i="15"/>
  <c r="G116"/>
  <c r="AA116" i="16"/>
  <c r="Y116"/>
  <c r="U116"/>
  <c r="S116"/>
  <c r="K116"/>
  <c r="I116"/>
  <c r="O117" i="10"/>
  <c r="U117"/>
  <c r="Q116" i="16"/>
  <c r="O116"/>
  <c r="G117" i="10"/>
  <c r="W100" i="22"/>
  <c r="Y100" i="26"/>
  <c r="U100"/>
  <c r="U100" i="14"/>
  <c r="W99" i="22"/>
  <c r="Y99" i="26"/>
  <c r="U99"/>
  <c r="W99" i="1"/>
  <c r="U99" i="14"/>
  <c r="BV172" i="25" l="1"/>
  <c r="BV151"/>
  <c r="BV115"/>
  <c r="AI114"/>
  <c r="W114" i="22"/>
  <c r="Y114" i="26"/>
  <c r="U114"/>
  <c r="U114" i="14"/>
  <c r="AM114" i="17"/>
  <c r="W113" i="22"/>
  <c r="K113"/>
  <c r="U113" i="26"/>
  <c r="Y113"/>
  <c r="W113" i="1"/>
  <c r="U113" i="14"/>
  <c r="W111" i="16"/>
  <c r="W112" i="22"/>
  <c r="K112"/>
  <c r="Y112" i="26"/>
  <c r="U112"/>
  <c r="W112" i="1"/>
  <c r="K112"/>
  <c r="U112" i="14"/>
  <c r="M110" i="25"/>
  <c r="W110" i="22"/>
  <c r="Y110" i="26"/>
  <c r="U110"/>
  <c r="M110" i="2"/>
  <c r="W110" i="1"/>
  <c r="U110" i="14"/>
  <c r="M110" i="17"/>
  <c r="W109" i="22"/>
  <c r="K109"/>
  <c r="Y109" i="26"/>
  <c r="U109"/>
  <c r="W109" i="1"/>
  <c r="K109"/>
  <c r="U109" i="14"/>
  <c r="M101" i="25"/>
  <c r="W101" i="22"/>
  <c r="Y101" i="26"/>
  <c r="U101"/>
  <c r="M101" i="2"/>
  <c r="W101" i="1"/>
  <c r="U101" i="14"/>
  <c r="M101" i="17"/>
  <c r="AA101" i="15"/>
  <c r="G102" i="10"/>
  <c r="W111" i="22" l="1"/>
  <c r="Y111" i="26"/>
  <c r="U111"/>
  <c r="U111" i="14"/>
  <c r="O111" i="15"/>
  <c r="AG111" s="1"/>
  <c r="G112" i="10"/>
  <c r="S112" s="1"/>
  <c r="W106" i="22"/>
  <c r="Y106" i="26"/>
  <c r="U106"/>
  <c r="W106" i="1"/>
  <c r="U106" i="14"/>
  <c r="AA106" s="1"/>
  <c r="O106" i="16"/>
  <c r="U107" i="10"/>
  <c r="W105" i="22"/>
  <c r="U105" i="26"/>
  <c r="Y105"/>
  <c r="U105" i="14"/>
  <c r="M104" i="25"/>
  <c r="W104" i="22"/>
  <c r="Y104" i="26"/>
  <c r="U104"/>
  <c r="W104" i="1"/>
  <c r="U104" i="14"/>
  <c r="M104" i="17"/>
  <c r="AA104" i="15"/>
  <c r="W103" i="22"/>
  <c r="K103"/>
  <c r="Y103" i="26"/>
  <c r="U103"/>
  <c r="U103" i="14"/>
  <c r="W102" i="22"/>
  <c r="Y102" i="26"/>
  <c r="U102"/>
  <c r="I102"/>
  <c r="W102" i="1"/>
  <c r="U102" i="14"/>
  <c r="W97" i="22"/>
  <c r="Y97" s="1"/>
  <c r="Y97" i="26"/>
  <c r="U97"/>
  <c r="W97" i="1"/>
  <c r="U97" i="14"/>
  <c r="Q97" i="16"/>
  <c r="M96" i="25"/>
  <c r="AZ96" s="1"/>
  <c r="BJ96" s="1"/>
  <c r="W96" i="22"/>
  <c r="Y96" i="26"/>
  <c r="U96"/>
  <c r="W96" i="1"/>
  <c r="U96" i="14"/>
  <c r="M96" i="17"/>
  <c r="Q96" i="16"/>
  <c r="W95" i="22"/>
  <c r="Y95" i="26"/>
  <c r="U95"/>
  <c r="W95" i="1"/>
  <c r="Q95" i="16"/>
  <c r="Y93" i="26"/>
  <c r="U93"/>
  <c r="I93"/>
  <c r="Y93" i="14"/>
  <c r="U93"/>
  <c r="Q93" i="16"/>
  <c r="Y92" i="26"/>
  <c r="U92"/>
  <c r="W92" i="1"/>
  <c r="U92" i="14"/>
  <c r="Q91" i="16"/>
  <c r="Y91" i="26"/>
  <c r="U91"/>
  <c r="W91" i="1"/>
  <c r="K91"/>
  <c r="U91" i="14"/>
  <c r="M91" i="17"/>
  <c r="K90" i="10"/>
  <c r="Y90" i="26"/>
  <c r="U90"/>
  <c r="W90" i="1"/>
  <c r="K90"/>
  <c r="U90" i="14"/>
  <c r="M90" i="17"/>
  <c r="Q90" i="16"/>
  <c r="Y87" i="26"/>
  <c r="U87"/>
  <c r="U87" i="14"/>
  <c r="G89" i="10"/>
  <c r="Y89" i="26"/>
  <c r="U89"/>
  <c r="W89" i="1"/>
  <c r="Y88" i="26"/>
  <c r="U88"/>
  <c r="U88" i="14"/>
  <c r="Q88" i="16"/>
  <c r="Y86" i="26"/>
  <c r="U86"/>
  <c r="U86" i="14"/>
  <c r="M86" i="17"/>
  <c r="Y85" i="26"/>
  <c r="U85"/>
  <c r="U85" i="14"/>
  <c r="AA85" s="1"/>
  <c r="X85" i="10"/>
  <c r="X86"/>
  <c r="O85" i="26"/>
  <c r="K85"/>
  <c r="K85" i="14"/>
  <c r="AG85" i="15"/>
  <c r="Y84" i="26"/>
  <c r="U84"/>
  <c r="I84"/>
  <c r="K84" s="1"/>
  <c r="Q84" i="16"/>
  <c r="M84" s="1"/>
  <c r="Y83" i="26"/>
  <c r="U83"/>
  <c r="Q83" i="16"/>
  <c r="Y80" i="26"/>
  <c r="U80"/>
  <c r="Q80" i="16"/>
  <c r="G278"/>
  <c r="G225"/>
  <c r="S269" i="10"/>
  <c r="S268"/>
  <c r="S267"/>
  <c r="S266"/>
  <c r="S265"/>
  <c r="S264"/>
  <c r="S263"/>
  <c r="S262"/>
  <c r="S260"/>
  <c r="S259"/>
  <c r="S258"/>
  <c r="AZ264" i="25"/>
  <c r="BJ264" s="1"/>
  <c r="AZ263"/>
  <c r="BJ263" s="1"/>
  <c r="AZ262"/>
  <c r="BJ262" s="1"/>
  <c r="AZ261"/>
  <c r="BJ261" s="1"/>
  <c r="AZ260"/>
  <c r="BJ260" s="1"/>
  <c r="AZ259"/>
  <c r="BJ259" s="1"/>
  <c r="AZ256"/>
  <c r="BJ256" s="1"/>
  <c r="AZ255"/>
  <c r="BJ255" s="1"/>
  <c r="AZ254"/>
  <c r="BJ254" s="1"/>
  <c r="AO270" i="22"/>
  <c r="AO269"/>
  <c r="AO265"/>
  <c r="AO264"/>
  <c r="Y264"/>
  <c r="AO263"/>
  <c r="Y263"/>
  <c r="AO262"/>
  <c r="Y262"/>
  <c r="AO261"/>
  <c r="Y261"/>
  <c r="AO260"/>
  <c r="Y260"/>
  <c r="AO259"/>
  <c r="Y259"/>
  <c r="AO258"/>
  <c r="AO256"/>
  <c r="Y256"/>
  <c r="AO255"/>
  <c r="Y255"/>
  <c r="AO254"/>
  <c r="Y254"/>
  <c r="O268" i="26"/>
  <c r="K268"/>
  <c r="AA267"/>
  <c r="O267"/>
  <c r="K267"/>
  <c r="AA266"/>
  <c r="O266"/>
  <c r="AA265"/>
  <c r="O265"/>
  <c r="K265"/>
  <c r="AA264"/>
  <c r="O264"/>
  <c r="K264"/>
  <c r="AA263"/>
  <c r="O263"/>
  <c r="K263"/>
  <c r="AA262"/>
  <c r="O262"/>
  <c r="K262"/>
  <c r="AA259"/>
  <c r="O259"/>
  <c r="AA258"/>
  <c r="O258"/>
  <c r="K258"/>
  <c r="AA257"/>
  <c r="O257"/>
  <c r="K257"/>
  <c r="AZ264" i="2"/>
  <c r="BJ264" s="1"/>
  <c r="AZ263"/>
  <c r="BJ263" s="1"/>
  <c r="AZ262"/>
  <c r="BJ262" s="1"/>
  <c r="AZ261"/>
  <c r="BJ261" s="1"/>
  <c r="AZ260"/>
  <c r="BJ260" s="1"/>
  <c r="AZ259"/>
  <c r="BJ259" s="1"/>
  <c r="AZ256"/>
  <c r="BJ256" s="1"/>
  <c r="AZ255"/>
  <c r="BJ255" s="1"/>
  <c r="AZ254"/>
  <c r="BJ254" s="1"/>
  <c r="AK270" i="1"/>
  <c r="AM270" s="1"/>
  <c r="BL267" i="2" s="1"/>
  <c r="AK269" i="1"/>
  <c r="AM269" s="1"/>
  <c r="BL266" i="2" s="1"/>
  <c r="BS266" s="1"/>
  <c r="BU266" s="1"/>
  <c r="AK268" i="1"/>
  <c r="AM268" s="1"/>
  <c r="BL265" i="2" s="1"/>
  <c r="AK267" i="1"/>
  <c r="Y267"/>
  <c r="AK266"/>
  <c r="Y266"/>
  <c r="AK265"/>
  <c r="Y265"/>
  <c r="AK264"/>
  <c r="Y264"/>
  <c r="AK263"/>
  <c r="Y263"/>
  <c r="AK262"/>
  <c r="AM262" s="1"/>
  <c r="AK261"/>
  <c r="AM261" s="1"/>
  <c r="BL258" i="2" s="1"/>
  <c r="BS258" s="1"/>
  <c r="BU258" s="1"/>
  <c r="AK259" i="1"/>
  <c r="Y259"/>
  <c r="AK258"/>
  <c r="Y258"/>
  <c r="AK257"/>
  <c r="Y257"/>
  <c r="AA268" i="14"/>
  <c r="O268"/>
  <c r="K268"/>
  <c r="AA267"/>
  <c r="O267"/>
  <c r="K267"/>
  <c r="AA266"/>
  <c r="O266"/>
  <c r="K266"/>
  <c r="AA265"/>
  <c r="O265"/>
  <c r="K265"/>
  <c r="AA264"/>
  <c r="O264"/>
  <c r="K264"/>
  <c r="AA263"/>
  <c r="O263"/>
  <c r="K263"/>
  <c r="AA259"/>
  <c r="O259"/>
  <c r="K259"/>
  <c r="AA258"/>
  <c r="O258"/>
  <c r="K258"/>
  <c r="AA257"/>
  <c r="O257"/>
  <c r="K257"/>
  <c r="AW267" i="17"/>
  <c r="AW266"/>
  <c r="AW265"/>
  <c r="AW264"/>
  <c r="AW263"/>
  <c r="AW262"/>
  <c r="AW259"/>
  <c r="AW258"/>
  <c r="AW257"/>
  <c r="AG268" i="15"/>
  <c r="M268"/>
  <c r="AG267"/>
  <c r="M267"/>
  <c r="AG266"/>
  <c r="M266"/>
  <c r="AG265"/>
  <c r="M265"/>
  <c r="AG264"/>
  <c r="M264"/>
  <c r="AG263"/>
  <c r="M263"/>
  <c r="AG262"/>
  <c r="M262"/>
  <c r="M261"/>
  <c r="AI261" s="1"/>
  <c r="AY261" i="17" s="1"/>
  <c r="BC261" s="1"/>
  <c r="BE261" s="1"/>
  <c r="AG259" i="15"/>
  <c r="M259"/>
  <c r="AG257"/>
  <c r="M257"/>
  <c r="AD265" i="16"/>
  <c r="W265"/>
  <c r="M265"/>
  <c r="G265"/>
  <c r="AD264"/>
  <c r="W264"/>
  <c r="M264"/>
  <c r="G264"/>
  <c r="AD263"/>
  <c r="W263"/>
  <c r="M263"/>
  <c r="AD262"/>
  <c r="W262"/>
  <c r="M262"/>
  <c r="AD259"/>
  <c r="W259"/>
  <c r="M259"/>
  <c r="G259"/>
  <c r="AD257"/>
  <c r="W257"/>
  <c r="M257"/>
  <c r="G257"/>
  <c r="K259" i="26"/>
  <c r="AC259" s="1"/>
  <c r="K266"/>
  <c r="Y582" i="22"/>
  <c r="G588" i="16"/>
  <c r="G256"/>
  <c r="G254"/>
  <c r="G253"/>
  <c r="Y252" i="1"/>
  <c r="Y248" i="22"/>
  <c r="G250" i="16"/>
  <c r="AZ245" i="2"/>
  <c r="BJ245" s="1"/>
  <c r="G248" i="16"/>
  <c r="G247"/>
  <c r="G239"/>
  <c r="M238"/>
  <c r="G238"/>
  <c r="AA217" i="26"/>
  <c r="G214" i="16"/>
  <c r="S223" i="10"/>
  <c r="K222" i="14"/>
  <c r="AD225" i="16"/>
  <c r="G231"/>
  <c r="G211"/>
  <c r="X515" i="10"/>
  <c r="G513" i="16"/>
  <c r="G508"/>
  <c r="G613"/>
  <c r="G212"/>
  <c r="AW235" i="17"/>
  <c r="G243" i="16"/>
  <c r="AG242" i="15"/>
  <c r="G330" i="16"/>
  <c r="G612"/>
  <c r="Y593" i="22"/>
  <c r="AA596" i="14"/>
  <c r="AA337" i="26"/>
  <c r="G519" i="16"/>
  <c r="AA355" i="26"/>
  <c r="X536" i="10"/>
  <c r="O535" i="14"/>
  <c r="G535" i="16"/>
  <c r="G249"/>
  <c r="G294"/>
  <c r="X93" i="10"/>
  <c r="X92"/>
  <c r="X91"/>
  <c r="X90"/>
  <c r="X89"/>
  <c r="X88"/>
  <c r="X87"/>
  <c r="X84"/>
  <c r="X83"/>
  <c r="X82"/>
  <c r="X81"/>
  <c r="X80"/>
  <c r="S84"/>
  <c r="S83"/>
  <c r="S82"/>
  <c r="S81"/>
  <c r="S80"/>
  <c r="O84" i="26"/>
  <c r="O83"/>
  <c r="K83"/>
  <c r="AA82"/>
  <c r="O82"/>
  <c r="K82"/>
  <c r="AA81"/>
  <c r="O81"/>
  <c r="K81"/>
  <c r="AA80"/>
  <c r="O80"/>
  <c r="K80"/>
  <c r="AD84" i="16"/>
  <c r="W84"/>
  <c r="G84"/>
  <c r="AD83"/>
  <c r="W83"/>
  <c r="M83"/>
  <c r="G83"/>
  <c r="AD82"/>
  <c r="W82"/>
  <c r="M82"/>
  <c r="G82"/>
  <c r="AD81"/>
  <c r="W81"/>
  <c r="M81"/>
  <c r="G81"/>
  <c r="AD80"/>
  <c r="W80"/>
  <c r="M80"/>
  <c r="G80"/>
  <c r="S543" i="10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5"/>
  <c r="S514"/>
  <c r="S513"/>
  <c r="S512"/>
  <c r="S511"/>
  <c r="S510"/>
  <c r="S509"/>
  <c r="S508"/>
  <c r="S507"/>
  <c r="S506"/>
  <c r="S502"/>
  <c r="S501"/>
  <c r="S500"/>
  <c r="S499"/>
  <c r="S497"/>
  <c r="S496"/>
  <c r="S495"/>
  <c r="S494"/>
  <c r="S493"/>
  <c r="S492"/>
  <c r="S491"/>
  <c r="S490"/>
  <c r="AZ539" i="25"/>
  <c r="BJ539" s="1"/>
  <c r="AZ537"/>
  <c r="BJ537" s="1"/>
  <c r="AZ536"/>
  <c r="BJ536" s="1"/>
  <c r="AZ535"/>
  <c r="BJ535" s="1"/>
  <c r="AZ534"/>
  <c r="BJ534" s="1"/>
  <c r="AZ533"/>
  <c r="BJ533" s="1"/>
  <c r="AZ532"/>
  <c r="BJ532" s="1"/>
  <c r="AZ531"/>
  <c r="BJ531" s="1"/>
  <c r="AZ530"/>
  <c r="BJ530" s="1"/>
  <c r="AZ529"/>
  <c r="BJ529" s="1"/>
  <c r="AZ528"/>
  <c r="BJ528" s="1"/>
  <c r="AZ527"/>
  <c r="BJ527" s="1"/>
  <c r="AZ523"/>
  <c r="BJ523" s="1"/>
  <c r="AZ522"/>
  <c r="BJ522" s="1"/>
  <c r="AZ521"/>
  <c r="BJ521" s="1"/>
  <c r="AZ520"/>
  <c r="BJ520" s="1"/>
  <c r="AZ519"/>
  <c r="BJ519" s="1"/>
  <c r="AZ518"/>
  <c r="BJ518" s="1"/>
  <c r="AZ517"/>
  <c r="BJ517" s="1"/>
  <c r="AZ516"/>
  <c r="BJ516" s="1"/>
  <c r="AZ515"/>
  <c r="BJ515" s="1"/>
  <c r="AZ514"/>
  <c r="BJ514" s="1"/>
  <c r="AZ513"/>
  <c r="BJ513" s="1"/>
  <c r="AZ512"/>
  <c r="BJ512" s="1"/>
  <c r="AZ511"/>
  <c r="BJ511" s="1"/>
  <c r="AZ510"/>
  <c r="BJ510" s="1"/>
  <c r="AZ508"/>
  <c r="BJ508" s="1"/>
  <c r="AZ507"/>
  <c r="BJ507" s="1"/>
  <c r="AZ506"/>
  <c r="BJ506" s="1"/>
  <c r="AZ505"/>
  <c r="BJ505" s="1"/>
  <c r="AZ504"/>
  <c r="BJ504" s="1"/>
  <c r="AZ503"/>
  <c r="BJ503" s="1"/>
  <c r="AZ502"/>
  <c r="BJ502" s="1"/>
  <c r="AZ501"/>
  <c r="BJ501" s="1"/>
  <c r="AZ500"/>
  <c r="BJ500" s="1"/>
  <c r="AZ499"/>
  <c r="BJ499" s="1"/>
  <c r="AZ498"/>
  <c r="BJ498" s="1"/>
  <c r="AZ497"/>
  <c r="BJ497" s="1"/>
  <c r="AZ496"/>
  <c r="BJ496" s="1"/>
  <c r="AZ495"/>
  <c r="BJ495" s="1"/>
  <c r="AZ493"/>
  <c r="BJ493" s="1"/>
  <c r="AZ492"/>
  <c r="BJ492" s="1"/>
  <c r="AZ491"/>
  <c r="BJ491" s="1"/>
  <c r="AZ490"/>
  <c r="BJ490" s="1"/>
  <c r="AZ489"/>
  <c r="BJ489" s="1"/>
  <c r="AZ488"/>
  <c r="BJ488" s="1"/>
  <c r="AZ487"/>
  <c r="BJ487" s="1"/>
  <c r="AZ486"/>
  <c r="BJ486" s="1"/>
  <c r="AO539" i="22"/>
  <c r="Y539"/>
  <c r="AO538"/>
  <c r="AO537"/>
  <c r="Y537"/>
  <c r="AO536"/>
  <c r="Y536"/>
  <c r="AO535"/>
  <c r="Y535"/>
  <c r="AO534"/>
  <c r="Y534"/>
  <c r="AO533"/>
  <c r="Y533"/>
  <c r="AO532"/>
  <c r="Y532"/>
  <c r="AO531"/>
  <c r="Y531"/>
  <c r="AO530"/>
  <c r="Y530"/>
  <c r="AO529"/>
  <c r="Y529"/>
  <c r="AO528"/>
  <c r="Y528"/>
  <c r="AO527"/>
  <c r="Y527"/>
  <c r="AO523"/>
  <c r="Y523"/>
  <c r="AO522"/>
  <c r="Y522"/>
  <c r="AO521"/>
  <c r="Y521"/>
  <c r="AO520"/>
  <c r="Y520"/>
  <c r="AO519"/>
  <c r="Y519"/>
  <c r="AO518"/>
  <c r="Y518"/>
  <c r="AQ518" s="1"/>
  <c r="AO517"/>
  <c r="Y517"/>
  <c r="AQ517" s="1"/>
  <c r="AO516"/>
  <c r="Y516"/>
  <c r="AO515"/>
  <c r="Y515"/>
  <c r="AQ515" s="1"/>
  <c r="AO514"/>
  <c r="Y514"/>
  <c r="AQ514" s="1"/>
  <c r="AO513"/>
  <c r="Y513"/>
  <c r="AO512"/>
  <c r="Y512"/>
  <c r="AO511"/>
  <c r="Y511"/>
  <c r="AO510"/>
  <c r="Y510"/>
  <c r="AO508"/>
  <c r="Y508"/>
  <c r="AO507"/>
  <c r="Y507"/>
  <c r="AO506"/>
  <c r="Y506"/>
  <c r="AO505"/>
  <c r="Y505"/>
  <c r="AO504"/>
  <c r="Y504"/>
  <c r="AO503"/>
  <c r="Y503"/>
  <c r="AO502"/>
  <c r="Y502"/>
  <c r="AO501"/>
  <c r="Y501"/>
  <c r="AO500"/>
  <c r="Y500"/>
  <c r="AO499"/>
  <c r="Y499"/>
  <c r="AO498"/>
  <c r="AO497"/>
  <c r="Y497"/>
  <c r="AO496"/>
  <c r="Y496"/>
  <c r="AO495"/>
  <c r="Y495"/>
  <c r="AO493"/>
  <c r="Y493"/>
  <c r="AO492"/>
  <c r="Y492"/>
  <c r="AO491"/>
  <c r="Y491"/>
  <c r="AO490"/>
  <c r="Y490"/>
  <c r="AO489"/>
  <c r="Y489"/>
  <c r="AO488"/>
  <c r="AO487"/>
  <c r="Y487"/>
  <c r="AO486"/>
  <c r="Y486"/>
  <c r="O542" i="26"/>
  <c r="K542"/>
  <c r="O541"/>
  <c r="K541"/>
  <c r="AA540"/>
  <c r="O540"/>
  <c r="K540"/>
  <c r="AA539"/>
  <c r="O539"/>
  <c r="K539"/>
  <c r="AA538"/>
  <c r="O538"/>
  <c r="K538"/>
  <c r="O537"/>
  <c r="K537"/>
  <c r="O536"/>
  <c r="K536"/>
  <c r="AA535"/>
  <c r="O535"/>
  <c r="K535"/>
  <c r="AA534"/>
  <c r="O534"/>
  <c r="K534"/>
  <c r="AA533"/>
  <c r="O533"/>
  <c r="K533"/>
  <c r="AA532"/>
  <c r="O532"/>
  <c r="K532"/>
  <c r="O531"/>
  <c r="K531"/>
  <c r="O530"/>
  <c r="AA529"/>
  <c r="O529"/>
  <c r="K529"/>
  <c r="AA528"/>
  <c r="O528"/>
  <c r="K528"/>
  <c r="AC528" s="1"/>
  <c r="O527"/>
  <c r="K527"/>
  <c r="AA526"/>
  <c r="O526"/>
  <c r="K526"/>
  <c r="O525"/>
  <c r="K525"/>
  <c r="AA524"/>
  <c r="O524"/>
  <c r="K524"/>
  <c r="AA523"/>
  <c r="O523"/>
  <c r="K523"/>
  <c r="AA522"/>
  <c r="O522"/>
  <c r="K522"/>
  <c r="AA521"/>
  <c r="O521"/>
  <c r="K521"/>
  <c r="AA520"/>
  <c r="O520"/>
  <c r="K520"/>
  <c r="AA519"/>
  <c r="O519"/>
  <c r="K519"/>
  <c r="O518"/>
  <c r="K518"/>
  <c r="O517"/>
  <c r="K517"/>
  <c r="O516"/>
  <c r="K516"/>
  <c r="O514"/>
  <c r="K514"/>
  <c r="AA513"/>
  <c r="O513"/>
  <c r="K513"/>
  <c r="AA512"/>
  <c r="O512"/>
  <c r="K512"/>
  <c r="AA511"/>
  <c r="O511"/>
  <c r="K511"/>
  <c r="AA510"/>
  <c r="O510"/>
  <c r="K510"/>
  <c r="AA509"/>
  <c r="O509"/>
  <c r="K509"/>
  <c r="AA508"/>
  <c r="O508"/>
  <c r="K508"/>
  <c r="AA507"/>
  <c r="O507"/>
  <c r="K507"/>
  <c r="AA506"/>
  <c r="O506"/>
  <c r="K506"/>
  <c r="AA505"/>
  <c r="O505"/>
  <c r="K505"/>
  <c r="AA501"/>
  <c r="O501"/>
  <c r="K501"/>
  <c r="AA500"/>
  <c r="O500"/>
  <c r="K500"/>
  <c r="O499"/>
  <c r="K499"/>
  <c r="AA498"/>
  <c r="O498"/>
  <c r="K498"/>
  <c r="AA496"/>
  <c r="O496"/>
  <c r="K496"/>
  <c r="AA495"/>
  <c r="O495"/>
  <c r="K495"/>
  <c r="AA494"/>
  <c r="O494"/>
  <c r="K494"/>
  <c r="AA493"/>
  <c r="O493"/>
  <c r="K493"/>
  <c r="AA492"/>
  <c r="O492"/>
  <c r="K492"/>
  <c r="O491"/>
  <c r="K491"/>
  <c r="AA490"/>
  <c r="O490"/>
  <c r="K490"/>
  <c r="AA489"/>
  <c r="O489"/>
  <c r="K489"/>
  <c r="AZ539" i="2"/>
  <c r="BJ539" s="1"/>
  <c r="AZ538"/>
  <c r="BJ538" s="1"/>
  <c r="AZ537"/>
  <c r="BJ537" s="1"/>
  <c r="AZ536"/>
  <c r="BJ536" s="1"/>
  <c r="AZ535"/>
  <c r="BJ535" s="1"/>
  <c r="AZ531"/>
  <c r="BJ531" s="1"/>
  <c r="AZ530"/>
  <c r="BJ530" s="1"/>
  <c r="AZ529"/>
  <c r="BJ529" s="1"/>
  <c r="AZ528"/>
  <c r="BJ528" s="1"/>
  <c r="AZ527"/>
  <c r="BJ527" s="1"/>
  <c r="AZ526"/>
  <c r="BJ526" s="1"/>
  <c r="AZ525"/>
  <c r="BJ525" s="1"/>
  <c r="AZ524"/>
  <c r="BJ524" s="1"/>
  <c r="AZ523"/>
  <c r="BJ523" s="1"/>
  <c r="AZ522"/>
  <c r="BJ522" s="1"/>
  <c r="AZ521"/>
  <c r="BJ521" s="1"/>
  <c r="AZ520"/>
  <c r="BJ520" s="1"/>
  <c r="AZ519"/>
  <c r="BJ519" s="1"/>
  <c r="AZ518"/>
  <c r="BJ518" s="1"/>
  <c r="AZ517"/>
  <c r="BJ517" s="1"/>
  <c r="AZ516"/>
  <c r="BJ516" s="1"/>
  <c r="AZ515"/>
  <c r="BJ515" s="1"/>
  <c r="AZ514"/>
  <c r="BJ514" s="1"/>
  <c r="AZ513"/>
  <c r="BJ513" s="1"/>
  <c r="AZ512"/>
  <c r="BJ512" s="1"/>
  <c r="AZ511"/>
  <c r="BJ511" s="1"/>
  <c r="AZ510"/>
  <c r="BJ510" s="1"/>
  <c r="AZ508"/>
  <c r="BJ508" s="1"/>
  <c r="AZ507"/>
  <c r="BJ507" s="1"/>
  <c r="AZ506"/>
  <c r="BJ506" s="1"/>
  <c r="AZ505"/>
  <c r="BJ505" s="1"/>
  <c r="AZ504"/>
  <c r="BJ504" s="1"/>
  <c r="AZ503"/>
  <c r="BJ503" s="1"/>
  <c r="AZ502"/>
  <c r="BJ502" s="1"/>
  <c r="AZ501"/>
  <c r="BJ501" s="1"/>
  <c r="AZ500"/>
  <c r="BJ500" s="1"/>
  <c r="AZ499"/>
  <c r="BJ499" s="1"/>
  <c r="AZ498"/>
  <c r="BJ498" s="1"/>
  <c r="AZ497"/>
  <c r="BJ497" s="1"/>
  <c r="AZ496"/>
  <c r="BJ496" s="1"/>
  <c r="AZ495"/>
  <c r="BJ495" s="1"/>
  <c r="AZ493"/>
  <c r="BJ493" s="1"/>
  <c r="AZ492"/>
  <c r="BJ492" s="1"/>
  <c r="AZ491"/>
  <c r="BJ491" s="1"/>
  <c r="AZ490"/>
  <c r="BJ490" s="1"/>
  <c r="AZ489"/>
  <c r="BJ489" s="1"/>
  <c r="AZ488"/>
  <c r="BJ488" s="1"/>
  <c r="AZ487"/>
  <c r="BJ487" s="1"/>
  <c r="AZ486"/>
  <c r="BJ486" s="1"/>
  <c r="AK539" i="1"/>
  <c r="Y539"/>
  <c r="AK538"/>
  <c r="Y538"/>
  <c r="AK537"/>
  <c r="Y537"/>
  <c r="AK536"/>
  <c r="Y536"/>
  <c r="AK535"/>
  <c r="Y535"/>
  <c r="AK534"/>
  <c r="Y534"/>
  <c r="AK533"/>
  <c r="Y533"/>
  <c r="AK532"/>
  <c r="Y532"/>
  <c r="AK531"/>
  <c r="Y531"/>
  <c r="AK530"/>
  <c r="Y530"/>
  <c r="AK529"/>
  <c r="Y529"/>
  <c r="AK528"/>
  <c r="Y528"/>
  <c r="AK527"/>
  <c r="Y527"/>
  <c r="AK526"/>
  <c r="Y526"/>
  <c r="AK525"/>
  <c r="Y525"/>
  <c r="AK524"/>
  <c r="Y524"/>
  <c r="AK523"/>
  <c r="Y523"/>
  <c r="AK522"/>
  <c r="Y522"/>
  <c r="AK521"/>
  <c r="Y521"/>
  <c r="AK520"/>
  <c r="Y520"/>
  <c r="AK519"/>
  <c r="Y519"/>
  <c r="AK518"/>
  <c r="Y518"/>
  <c r="AK517"/>
  <c r="Y517"/>
  <c r="AK516"/>
  <c r="Y516"/>
  <c r="AK515"/>
  <c r="Y515"/>
  <c r="AK514"/>
  <c r="Y514"/>
  <c r="AK513"/>
  <c r="Y513"/>
  <c r="AK511"/>
  <c r="Y511"/>
  <c r="AK510"/>
  <c r="Y510"/>
  <c r="AK509"/>
  <c r="Y509"/>
  <c r="AK508"/>
  <c r="Y508"/>
  <c r="AK507"/>
  <c r="Y507"/>
  <c r="AK506"/>
  <c r="Y506"/>
  <c r="AK505"/>
  <c r="Y505"/>
  <c r="AK504"/>
  <c r="Y504"/>
  <c r="AK503"/>
  <c r="Y503"/>
  <c r="AK502"/>
  <c r="Y502"/>
  <c r="AK501"/>
  <c r="Y501"/>
  <c r="AK500"/>
  <c r="Y500"/>
  <c r="AK499"/>
  <c r="Y499"/>
  <c r="AK498"/>
  <c r="Y498"/>
  <c r="AK496"/>
  <c r="Y496"/>
  <c r="AK495"/>
  <c r="Y495"/>
  <c r="AK494"/>
  <c r="Y494"/>
  <c r="AK493"/>
  <c r="Y493"/>
  <c r="AK492"/>
  <c r="Y492"/>
  <c r="AK491"/>
  <c r="Y491"/>
  <c r="AK490"/>
  <c r="Y490"/>
  <c r="AK489"/>
  <c r="Y489"/>
  <c r="AD514" i="16"/>
  <c r="AW511" i="17"/>
  <c r="AA542" i="14"/>
  <c r="O542"/>
  <c r="K542"/>
  <c r="AA541"/>
  <c r="O541"/>
  <c r="K541"/>
  <c r="AA540"/>
  <c r="O540"/>
  <c r="K540"/>
  <c r="AA539"/>
  <c r="O539"/>
  <c r="K539"/>
  <c r="AA538"/>
  <c r="O538"/>
  <c r="K538"/>
  <c r="AA537"/>
  <c r="O537"/>
  <c r="AA536"/>
  <c r="O536"/>
  <c r="K536"/>
  <c r="AA535"/>
  <c r="K535"/>
  <c r="AC535" s="1"/>
  <c r="AA534"/>
  <c r="O534"/>
  <c r="K534"/>
  <c r="AA533"/>
  <c r="O533"/>
  <c r="K533"/>
  <c r="AA529"/>
  <c r="O529"/>
  <c r="K529"/>
  <c r="AA528"/>
  <c r="O528"/>
  <c r="K528"/>
  <c r="AA527"/>
  <c r="O527"/>
  <c r="K527"/>
  <c r="AA526"/>
  <c r="O526"/>
  <c r="K526"/>
  <c r="AA525"/>
  <c r="O525"/>
  <c r="K525"/>
  <c r="AA524"/>
  <c r="O524"/>
  <c r="K524"/>
  <c r="AA523"/>
  <c r="O523"/>
  <c r="K523"/>
  <c r="AA522"/>
  <c r="O522"/>
  <c r="K522"/>
  <c r="AA521"/>
  <c r="O521"/>
  <c r="K521"/>
  <c r="AA520"/>
  <c r="O520"/>
  <c r="K520"/>
  <c r="AA519"/>
  <c r="O519"/>
  <c r="K519"/>
  <c r="AA518"/>
  <c r="O518"/>
  <c r="K518"/>
  <c r="AA517"/>
  <c r="O517"/>
  <c r="K517"/>
  <c r="AA516"/>
  <c r="O516"/>
  <c r="K516"/>
  <c r="AA515"/>
  <c r="O515"/>
  <c r="K515"/>
  <c r="AA514"/>
  <c r="O514"/>
  <c r="K514"/>
  <c r="AA513"/>
  <c r="O513"/>
  <c r="K513"/>
  <c r="AA511"/>
  <c r="O511"/>
  <c r="K511"/>
  <c r="AA510"/>
  <c r="O510"/>
  <c r="K510"/>
  <c r="AA509"/>
  <c r="O509"/>
  <c r="K509"/>
  <c r="AA508"/>
  <c r="O508"/>
  <c r="K508"/>
  <c r="AA507"/>
  <c r="O507"/>
  <c r="K507"/>
  <c r="AA506"/>
  <c r="O506"/>
  <c r="K506"/>
  <c r="AA505"/>
  <c r="O505"/>
  <c r="K505"/>
  <c r="AA504"/>
  <c r="O504"/>
  <c r="K504"/>
  <c r="AA503"/>
  <c r="O503"/>
  <c r="K503"/>
  <c r="AA502"/>
  <c r="O502"/>
  <c r="K502"/>
  <c r="AA501"/>
  <c r="O501"/>
  <c r="K501"/>
  <c r="AA500"/>
  <c r="O500"/>
  <c r="K500"/>
  <c r="AA499"/>
  <c r="O499"/>
  <c r="K499"/>
  <c r="AA498"/>
  <c r="O498"/>
  <c r="K498"/>
  <c r="AA496"/>
  <c r="O496"/>
  <c r="K496"/>
  <c r="AA495"/>
  <c r="O495"/>
  <c r="K495"/>
  <c r="AA494"/>
  <c r="O494"/>
  <c r="K494"/>
  <c r="AA493"/>
  <c r="O493"/>
  <c r="K493"/>
  <c r="AA492"/>
  <c r="O492"/>
  <c r="K492"/>
  <c r="AA491"/>
  <c r="O491"/>
  <c r="K491"/>
  <c r="AA490"/>
  <c r="O490"/>
  <c r="K490"/>
  <c r="AA489"/>
  <c r="O489"/>
  <c r="K489"/>
  <c r="AW541" i="17"/>
  <c r="AW530"/>
  <c r="AW514"/>
  <c r="AW491"/>
  <c r="AW489"/>
  <c r="AW490"/>
  <c r="AW492"/>
  <c r="AW493"/>
  <c r="AW494"/>
  <c r="AW495"/>
  <c r="AW496"/>
  <c r="AW498"/>
  <c r="AW499"/>
  <c r="AW500"/>
  <c r="AW501"/>
  <c r="AW502"/>
  <c r="AW503"/>
  <c r="AW504"/>
  <c r="AW505"/>
  <c r="AW506"/>
  <c r="AW507"/>
  <c r="AW508"/>
  <c r="AW509"/>
  <c r="AW510"/>
  <c r="AW513"/>
  <c r="AW515"/>
  <c r="AW516"/>
  <c r="AW517"/>
  <c r="AW518"/>
  <c r="AW519"/>
  <c r="AW520"/>
  <c r="AW521"/>
  <c r="AW522"/>
  <c r="AW523"/>
  <c r="AW524"/>
  <c r="AW525"/>
  <c r="AW526"/>
  <c r="AW527"/>
  <c r="AW528"/>
  <c r="AW529"/>
  <c r="AW531"/>
  <c r="AW532"/>
  <c r="AW533"/>
  <c r="AW534"/>
  <c r="AW535"/>
  <c r="AW536"/>
  <c r="AW540"/>
  <c r="AW542"/>
  <c r="M541" i="15"/>
  <c r="M540"/>
  <c r="M539"/>
  <c r="M538"/>
  <c r="M537"/>
  <c r="M536"/>
  <c r="M535"/>
  <c r="M534"/>
  <c r="M533"/>
  <c r="M532"/>
  <c r="M528"/>
  <c r="M527"/>
  <c r="M526"/>
  <c r="M525"/>
  <c r="M524"/>
  <c r="M523"/>
  <c r="M522"/>
  <c r="M521"/>
  <c r="M520"/>
  <c r="M519"/>
  <c r="M518"/>
  <c r="M517"/>
  <c r="M516"/>
  <c r="M515"/>
  <c r="M514"/>
  <c r="M513"/>
  <c r="AG512"/>
  <c r="M512"/>
  <c r="AG510"/>
  <c r="M510"/>
  <c r="M509"/>
  <c r="M508"/>
  <c r="AG507"/>
  <c r="M507"/>
  <c r="M506"/>
  <c r="AG505"/>
  <c r="M505"/>
  <c r="M504"/>
  <c r="M503"/>
  <c r="AG502"/>
  <c r="M502"/>
  <c r="M501"/>
  <c r="M500"/>
  <c r="M499"/>
  <c r="AG498"/>
  <c r="M498"/>
  <c r="M497"/>
  <c r="M495"/>
  <c r="AG494"/>
  <c r="M494"/>
  <c r="M493"/>
  <c r="AG492"/>
  <c r="M492"/>
  <c r="AG491"/>
  <c r="M491"/>
  <c r="M490"/>
  <c r="AG489"/>
  <c r="M489"/>
  <c r="M488"/>
  <c r="AG488"/>
  <c r="AG490"/>
  <c r="AG493"/>
  <c r="AG495"/>
  <c r="AG497"/>
  <c r="AG499"/>
  <c r="AG500"/>
  <c r="AG501"/>
  <c r="AG503"/>
  <c r="AG504"/>
  <c r="AG506"/>
  <c r="AG508"/>
  <c r="AG509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32"/>
  <c r="AG533"/>
  <c r="AG534"/>
  <c r="AG535"/>
  <c r="AG536"/>
  <c r="AG537"/>
  <c r="AG538"/>
  <c r="AG539"/>
  <c r="AG540"/>
  <c r="AG541"/>
  <c r="M542"/>
  <c r="AG542"/>
  <c r="M543"/>
  <c r="AG543"/>
  <c r="W542" i="16"/>
  <c r="M542"/>
  <c r="G542"/>
  <c r="W541"/>
  <c r="M541"/>
  <c r="G541"/>
  <c r="W540"/>
  <c r="M540"/>
  <c r="G540"/>
  <c r="W539"/>
  <c r="M539"/>
  <c r="G539"/>
  <c r="W538"/>
  <c r="M538"/>
  <c r="G538"/>
  <c r="W537"/>
  <c r="M537"/>
  <c r="G537"/>
  <c r="W536"/>
  <c r="M536"/>
  <c r="G536"/>
  <c r="W535"/>
  <c r="M535"/>
  <c r="W534"/>
  <c r="M534"/>
  <c r="G534"/>
  <c r="W533"/>
  <c r="M533"/>
  <c r="G533"/>
  <c r="W532"/>
  <c r="M532"/>
  <c r="G532"/>
  <c r="W531"/>
  <c r="M531"/>
  <c r="G531"/>
  <c r="W530"/>
  <c r="M530"/>
  <c r="G530"/>
  <c r="W529"/>
  <c r="M529"/>
  <c r="G529"/>
  <c r="W528"/>
  <c r="M528"/>
  <c r="G528"/>
  <c r="W527"/>
  <c r="M527"/>
  <c r="G527"/>
  <c r="W526"/>
  <c r="M526"/>
  <c r="G526"/>
  <c r="W525"/>
  <c r="M525"/>
  <c r="G525"/>
  <c r="W524"/>
  <c r="M524"/>
  <c r="G524"/>
  <c r="W523"/>
  <c r="M523"/>
  <c r="G523"/>
  <c r="W522"/>
  <c r="M522"/>
  <c r="G522"/>
  <c r="W521"/>
  <c r="M521"/>
  <c r="G521"/>
  <c r="W520"/>
  <c r="M520"/>
  <c r="G520"/>
  <c r="W519"/>
  <c r="M519"/>
  <c r="W518"/>
  <c r="M518"/>
  <c r="G518"/>
  <c r="W517"/>
  <c r="M517"/>
  <c r="G517"/>
  <c r="W516"/>
  <c r="M516"/>
  <c r="G516"/>
  <c r="W514"/>
  <c r="M514"/>
  <c r="G514"/>
  <c r="W513"/>
  <c r="M513"/>
  <c r="W512"/>
  <c r="M512"/>
  <c r="G512"/>
  <c r="W511"/>
  <c r="M511"/>
  <c r="G511"/>
  <c r="W510"/>
  <c r="M510"/>
  <c r="G510"/>
  <c r="W509"/>
  <c r="M509"/>
  <c r="G509"/>
  <c r="W508"/>
  <c r="M508"/>
  <c r="W507"/>
  <c r="M507"/>
  <c r="G507"/>
  <c r="W506"/>
  <c r="M506"/>
  <c r="G506"/>
  <c r="W505"/>
  <c r="M505"/>
  <c r="G505"/>
  <c r="W504"/>
  <c r="M504"/>
  <c r="G504"/>
  <c r="W503"/>
  <c r="M503"/>
  <c r="G503"/>
  <c r="W502"/>
  <c r="M502"/>
  <c r="G502"/>
  <c r="W501"/>
  <c r="M501"/>
  <c r="G501"/>
  <c r="W499"/>
  <c r="M499"/>
  <c r="G499"/>
  <c r="W498"/>
  <c r="M498"/>
  <c r="G498"/>
  <c r="W494"/>
  <c r="M494"/>
  <c r="G494"/>
  <c r="W493"/>
  <c r="M493"/>
  <c r="G493"/>
  <c r="W492"/>
  <c r="M492"/>
  <c r="G492"/>
  <c r="W491"/>
  <c r="M491"/>
  <c r="G491"/>
  <c r="W490"/>
  <c r="M490"/>
  <c r="G490"/>
  <c r="W489"/>
  <c r="M489"/>
  <c r="G489"/>
  <c r="S210" i="10"/>
  <c r="S209"/>
  <c r="S208"/>
  <c r="S207"/>
  <c r="S206"/>
  <c r="S202"/>
  <c r="S201"/>
  <c r="S200"/>
  <c r="S199"/>
  <c r="S198"/>
  <c r="S197"/>
  <c r="S196"/>
  <c r="S193"/>
  <c r="S191"/>
  <c r="S190"/>
  <c r="S185"/>
  <c r="S184"/>
  <c r="S183"/>
  <c r="S182"/>
  <c r="AZ209" i="25"/>
  <c r="BJ209" s="1"/>
  <c r="AZ208"/>
  <c r="BJ208" s="1"/>
  <c r="AZ207"/>
  <c r="BJ207" s="1"/>
  <c r="AZ206"/>
  <c r="BJ206" s="1"/>
  <c r="AZ205"/>
  <c r="AZ201"/>
  <c r="BJ201" s="1"/>
  <c r="AZ200"/>
  <c r="BJ200" s="1"/>
  <c r="AZ199"/>
  <c r="AZ198"/>
  <c r="BJ198" s="1"/>
  <c r="AZ197"/>
  <c r="BJ197" s="1"/>
  <c r="AZ196"/>
  <c r="BJ196" s="1"/>
  <c r="AZ195"/>
  <c r="BJ195" s="1"/>
  <c r="AZ192"/>
  <c r="AZ190"/>
  <c r="BJ190" s="1"/>
  <c r="AZ189"/>
  <c r="BJ189" s="1"/>
  <c r="AZ188"/>
  <c r="AZ187"/>
  <c r="BJ187" s="1"/>
  <c r="AZ186"/>
  <c r="BJ186" s="1"/>
  <c r="BJ185"/>
  <c r="AZ183"/>
  <c r="BJ183" s="1"/>
  <c r="AZ179"/>
  <c r="BJ179" s="1"/>
  <c r="AZ178"/>
  <c r="BJ178" s="1"/>
  <c r="Y209" i="22"/>
  <c r="Y208"/>
  <c r="Y207"/>
  <c r="Y206"/>
  <c r="Y205"/>
  <c r="Y203"/>
  <c r="Y201"/>
  <c r="Y200"/>
  <c r="Y199"/>
  <c r="Y198"/>
  <c r="Y197"/>
  <c r="Y196"/>
  <c r="Y195"/>
  <c r="Y194"/>
  <c r="Y192"/>
  <c r="Y190"/>
  <c r="Y189"/>
  <c r="Y188"/>
  <c r="Y187"/>
  <c r="Y186"/>
  <c r="Y185"/>
  <c r="Y183"/>
  <c r="Y179"/>
  <c r="Y178"/>
  <c r="O209" i="26"/>
  <c r="K209"/>
  <c r="O208"/>
  <c r="K208"/>
  <c r="O207"/>
  <c r="K207"/>
  <c r="O206"/>
  <c r="K206"/>
  <c r="O205"/>
  <c r="K205"/>
  <c r="O201"/>
  <c r="K201"/>
  <c r="O200"/>
  <c r="K200"/>
  <c r="O199"/>
  <c r="K199"/>
  <c r="O198"/>
  <c r="K198"/>
  <c r="O197"/>
  <c r="K197"/>
  <c r="O196"/>
  <c r="K196"/>
  <c r="O195"/>
  <c r="K195"/>
  <c r="O194"/>
  <c r="AC194" s="1"/>
  <c r="O192"/>
  <c r="K192"/>
  <c r="O190"/>
  <c r="K190"/>
  <c r="O189"/>
  <c r="K189"/>
  <c r="O188"/>
  <c r="K188"/>
  <c r="O187"/>
  <c r="K187"/>
  <c r="O186"/>
  <c r="K186"/>
  <c r="O185"/>
  <c r="O183"/>
  <c r="K183"/>
  <c r="O182"/>
  <c r="K182"/>
  <c r="O181"/>
  <c r="K181"/>
  <c r="AZ209" i="2"/>
  <c r="AZ208"/>
  <c r="AZ207"/>
  <c r="AZ206"/>
  <c r="AZ201"/>
  <c r="AZ200"/>
  <c r="AZ199"/>
  <c r="AZ198"/>
  <c r="AZ197"/>
  <c r="BJ197" s="1"/>
  <c r="AZ196"/>
  <c r="AZ195"/>
  <c r="AZ192"/>
  <c r="AZ190"/>
  <c r="AZ189"/>
  <c r="AZ188"/>
  <c r="AZ187"/>
  <c r="AZ186"/>
  <c r="AZ182"/>
  <c r="AZ180"/>
  <c r="BJ180" s="1"/>
  <c r="AZ179"/>
  <c r="AZ178"/>
  <c r="Y209" i="1"/>
  <c r="Y208"/>
  <c r="Y207"/>
  <c r="Y206"/>
  <c r="Y205"/>
  <c r="Y204"/>
  <c r="Y201"/>
  <c r="Y200"/>
  <c r="Y199"/>
  <c r="Y198"/>
  <c r="Y197"/>
  <c r="Y196"/>
  <c r="Y192"/>
  <c r="Y190"/>
  <c r="Y189"/>
  <c r="Y188"/>
  <c r="Y187"/>
  <c r="Y186"/>
  <c r="Y185"/>
  <c r="Y183"/>
  <c r="Y182"/>
  <c r="Y181"/>
  <c r="O209" i="14"/>
  <c r="K209"/>
  <c r="O208"/>
  <c r="K208"/>
  <c r="O207"/>
  <c r="K207"/>
  <c r="O206"/>
  <c r="K206"/>
  <c r="O201"/>
  <c r="K201"/>
  <c r="O200"/>
  <c r="K200"/>
  <c r="O199"/>
  <c r="K199"/>
  <c r="O198"/>
  <c r="K198"/>
  <c r="O197"/>
  <c r="K197"/>
  <c r="O196"/>
  <c r="K196"/>
  <c r="O195"/>
  <c r="K195"/>
  <c r="O194"/>
  <c r="K194"/>
  <c r="O190"/>
  <c r="K190"/>
  <c r="O189"/>
  <c r="K189"/>
  <c r="O188"/>
  <c r="K188"/>
  <c r="O187"/>
  <c r="K187"/>
  <c r="O186"/>
  <c r="K186"/>
  <c r="O185"/>
  <c r="K185"/>
  <c r="O183"/>
  <c r="K183"/>
  <c r="O182"/>
  <c r="K182"/>
  <c r="O181"/>
  <c r="K181"/>
  <c r="M209" i="15"/>
  <c r="M208"/>
  <c r="M207"/>
  <c r="M206"/>
  <c r="M205"/>
  <c r="M204"/>
  <c r="AI204" s="1"/>
  <c r="AY204" i="17" s="1"/>
  <c r="BC204" s="1"/>
  <c r="BE204" s="1"/>
  <c r="M201" i="15"/>
  <c r="M200"/>
  <c r="M199"/>
  <c r="M198"/>
  <c r="M197"/>
  <c r="M196"/>
  <c r="M195"/>
  <c r="M194"/>
  <c r="M192"/>
  <c r="AI192" s="1"/>
  <c r="AY192" i="17" s="1"/>
  <c r="BC192" s="1"/>
  <c r="BE192" s="1"/>
  <c r="M190" i="15"/>
  <c r="M189"/>
  <c r="M188"/>
  <c r="M187"/>
  <c r="M186"/>
  <c r="AI186" s="1"/>
  <c r="AY186" i="17" s="1"/>
  <c r="BC186" s="1"/>
  <c r="BE186" s="1"/>
  <c r="M185" i="15"/>
  <c r="AI185" s="1"/>
  <c r="M183"/>
  <c r="AI183" s="1"/>
  <c r="AY183" i="17" s="1"/>
  <c r="BC183" s="1"/>
  <c r="BE183" s="1"/>
  <c r="M182" i="15"/>
  <c r="M181"/>
  <c r="W209" i="16"/>
  <c r="W208"/>
  <c r="W207"/>
  <c r="W206"/>
  <c r="W205"/>
  <c r="W201"/>
  <c r="W200"/>
  <c r="W199"/>
  <c r="W198"/>
  <c r="W197"/>
  <c r="W196"/>
  <c r="W195"/>
  <c r="W194"/>
  <c r="W190"/>
  <c r="W189"/>
  <c r="W188"/>
  <c r="W187"/>
  <c r="W186"/>
  <c r="W185"/>
  <c r="W184"/>
  <c r="W183"/>
  <c r="W182"/>
  <c r="W181"/>
  <c r="M85"/>
  <c r="W85"/>
  <c r="M86"/>
  <c r="W86"/>
  <c r="W601"/>
  <c r="M601"/>
  <c r="G601"/>
  <c r="W600"/>
  <c r="M600"/>
  <c r="G600"/>
  <c r="W599"/>
  <c r="M599"/>
  <c r="G599"/>
  <c r="W598"/>
  <c r="M598"/>
  <c r="G598"/>
  <c r="W597"/>
  <c r="M597"/>
  <c r="G597"/>
  <c r="W596"/>
  <c r="M596"/>
  <c r="G596"/>
  <c r="W595"/>
  <c r="M595"/>
  <c r="G595"/>
  <c r="W594"/>
  <c r="M594"/>
  <c r="G594"/>
  <c r="W593"/>
  <c r="M593"/>
  <c r="G593"/>
  <c r="W592"/>
  <c r="M592"/>
  <c r="G592"/>
  <c r="W591"/>
  <c r="M591"/>
  <c r="G591"/>
  <c r="W590"/>
  <c r="M590"/>
  <c r="G590"/>
  <c r="W589"/>
  <c r="M589"/>
  <c r="G589"/>
  <c r="M588"/>
  <c r="W587"/>
  <c r="M587"/>
  <c r="G587"/>
  <c r="W586"/>
  <c r="M586"/>
  <c r="G586"/>
  <c r="W585"/>
  <c r="M585"/>
  <c r="G585"/>
  <c r="W584"/>
  <c r="M584"/>
  <c r="G584"/>
  <c r="M597" i="15"/>
  <c r="M596"/>
  <c r="M595"/>
  <c r="AG594"/>
  <c r="M594"/>
  <c r="AG593"/>
  <c r="M593"/>
  <c r="M592"/>
  <c r="M591"/>
  <c r="M590"/>
  <c r="AG589"/>
  <c r="M589"/>
  <c r="AG588"/>
  <c r="M588"/>
  <c r="AG587"/>
  <c r="M587"/>
  <c r="AG586"/>
  <c r="M586"/>
  <c r="AG585"/>
  <c r="M585"/>
  <c r="AG584"/>
  <c r="M584"/>
  <c r="M583"/>
  <c r="M582"/>
  <c r="M581"/>
  <c r="M580"/>
  <c r="O598" i="14"/>
  <c r="K598"/>
  <c r="O597"/>
  <c r="K597"/>
  <c r="O596"/>
  <c r="K596"/>
  <c r="O595"/>
  <c r="K595"/>
  <c r="O594"/>
  <c r="K593"/>
  <c r="O593"/>
  <c r="O590"/>
  <c r="K590"/>
  <c r="O589"/>
  <c r="K589"/>
  <c r="O588"/>
  <c r="K588"/>
  <c r="O587"/>
  <c r="K587"/>
  <c r="O586"/>
  <c r="K586"/>
  <c r="O585"/>
  <c r="K585"/>
  <c r="O584"/>
  <c r="K584"/>
  <c r="O583"/>
  <c r="K583"/>
  <c r="O582"/>
  <c r="K582"/>
  <c r="O581"/>
  <c r="K581"/>
  <c r="Y598" i="1"/>
  <c r="Y597"/>
  <c r="Y596"/>
  <c r="Y595"/>
  <c r="Y594"/>
  <c r="Y593"/>
  <c r="Y592"/>
  <c r="Y591"/>
  <c r="Y590"/>
  <c r="Y589"/>
  <c r="Y588"/>
  <c r="Y587"/>
  <c r="Y586"/>
  <c r="Y585"/>
  <c r="Y584"/>
  <c r="Y583"/>
  <c r="Y582"/>
  <c r="Y581"/>
  <c r="AZ595" i="2"/>
  <c r="BJ595" s="1"/>
  <c r="AZ594"/>
  <c r="AZ593"/>
  <c r="AZ592"/>
  <c r="AZ591"/>
  <c r="AZ590"/>
  <c r="AZ589"/>
  <c r="AZ588"/>
  <c r="AZ587"/>
  <c r="AZ586"/>
  <c r="AZ585"/>
  <c r="AZ584"/>
  <c r="AZ583"/>
  <c r="BJ583" s="1"/>
  <c r="AZ582"/>
  <c r="AZ581"/>
  <c r="AZ580"/>
  <c r="AZ579"/>
  <c r="BJ579" s="1"/>
  <c r="AZ578"/>
  <c r="BJ578" s="1"/>
  <c r="O601" i="26"/>
  <c r="K601"/>
  <c r="O600"/>
  <c r="K600"/>
  <c r="O599"/>
  <c r="K599"/>
  <c r="O598"/>
  <c r="K598"/>
  <c r="O597"/>
  <c r="K597"/>
  <c r="O596"/>
  <c r="K596"/>
  <c r="AC596" s="1"/>
  <c r="O595"/>
  <c r="K595"/>
  <c r="AC595" s="1"/>
  <c r="O594"/>
  <c r="K594"/>
  <c r="AC594" s="1"/>
  <c r="O593"/>
  <c r="K593"/>
  <c r="O592"/>
  <c r="K592"/>
  <c r="O591"/>
  <c r="K591"/>
  <c r="O590"/>
  <c r="K590"/>
  <c r="O589"/>
  <c r="K589"/>
  <c r="O588"/>
  <c r="K588"/>
  <c r="O587"/>
  <c r="K587"/>
  <c r="O586"/>
  <c r="K586"/>
  <c r="O585"/>
  <c r="K585"/>
  <c r="O584"/>
  <c r="K584"/>
  <c r="Y595" i="22"/>
  <c r="Y594"/>
  <c r="Y592"/>
  <c r="Y591"/>
  <c r="Y590"/>
  <c r="Y589"/>
  <c r="Y588"/>
  <c r="Y587"/>
  <c r="Y586"/>
  <c r="Y585"/>
  <c r="Y584"/>
  <c r="Y583"/>
  <c r="Y581"/>
  <c r="Y580"/>
  <c r="Y579"/>
  <c r="Y578"/>
  <c r="AZ595" i="25"/>
  <c r="BJ595" s="1"/>
  <c r="AZ594"/>
  <c r="BJ594" s="1"/>
  <c r="AZ593"/>
  <c r="BJ593" s="1"/>
  <c r="AZ592"/>
  <c r="BJ592" s="1"/>
  <c r="AZ591"/>
  <c r="BJ591" s="1"/>
  <c r="AZ590"/>
  <c r="BJ590" s="1"/>
  <c r="AZ589"/>
  <c r="BJ589" s="1"/>
  <c r="AZ588"/>
  <c r="BJ588" s="1"/>
  <c r="AZ587"/>
  <c r="BJ587" s="1"/>
  <c r="AZ586"/>
  <c r="BJ586" s="1"/>
  <c r="AZ585"/>
  <c r="BJ585" s="1"/>
  <c r="AZ584"/>
  <c r="BJ584" s="1"/>
  <c r="AZ583"/>
  <c r="BJ583" s="1"/>
  <c r="AZ582"/>
  <c r="BJ582" s="1"/>
  <c r="AZ581"/>
  <c r="BJ581" s="1"/>
  <c r="AZ580"/>
  <c r="BJ580" s="1"/>
  <c r="AZ579"/>
  <c r="BJ579" s="1"/>
  <c r="AZ578"/>
  <c r="BJ578" s="1"/>
  <c r="BJ205"/>
  <c r="BJ199"/>
  <c r="BJ192"/>
  <c r="BJ188"/>
  <c r="BJ184"/>
  <c r="AZ431"/>
  <c r="BJ431" s="1"/>
  <c r="AZ430"/>
  <c r="BJ430" s="1"/>
  <c r="AZ429"/>
  <c r="BJ429" s="1"/>
  <c r="AZ428"/>
  <c r="BJ428" s="1"/>
  <c r="AZ422"/>
  <c r="BJ422" s="1"/>
  <c r="AZ421"/>
  <c r="BJ421" s="1"/>
  <c r="AZ420"/>
  <c r="BJ420" s="1"/>
  <c r="AZ419"/>
  <c r="BJ419" s="1"/>
  <c r="Y431" i="22"/>
  <c r="Y430"/>
  <c r="Y429"/>
  <c r="Y428"/>
  <c r="Y422"/>
  <c r="Y421"/>
  <c r="Y420"/>
  <c r="Y419"/>
  <c r="AA437" i="26"/>
  <c r="O437"/>
  <c r="K437"/>
  <c r="AA436"/>
  <c r="O436"/>
  <c r="K436"/>
  <c r="AA435"/>
  <c r="O435"/>
  <c r="K435"/>
  <c r="AA434"/>
  <c r="O434"/>
  <c r="K434"/>
  <c r="AA430"/>
  <c r="AA429"/>
  <c r="AA428"/>
  <c r="AA427"/>
  <c r="AA426"/>
  <c r="AC426"/>
  <c r="AA425"/>
  <c r="O425"/>
  <c r="K425"/>
  <c r="AA424"/>
  <c r="O424"/>
  <c r="K424"/>
  <c r="AA423"/>
  <c r="O423"/>
  <c r="K423"/>
  <c r="AA422"/>
  <c r="O422"/>
  <c r="K422"/>
  <c r="AZ431" i="2"/>
  <c r="BJ431" s="1"/>
  <c r="AZ430"/>
  <c r="BJ430" s="1"/>
  <c r="AZ429"/>
  <c r="BJ429" s="1"/>
  <c r="AZ428"/>
  <c r="AZ422"/>
  <c r="AZ421"/>
  <c r="AZ420"/>
  <c r="AZ419"/>
  <c r="Y434" i="1"/>
  <c r="Y433"/>
  <c r="Y432"/>
  <c r="Y431"/>
  <c r="Y425"/>
  <c r="Y424"/>
  <c r="Y423"/>
  <c r="Y422"/>
  <c r="O434" i="14"/>
  <c r="K434"/>
  <c r="O433"/>
  <c r="K433"/>
  <c r="O432"/>
  <c r="K432"/>
  <c r="O431"/>
  <c r="K431"/>
  <c r="O425"/>
  <c r="K425"/>
  <c r="O424"/>
  <c r="K424"/>
  <c r="O423"/>
  <c r="K423"/>
  <c r="AG433" i="15"/>
  <c r="M433"/>
  <c r="AG432"/>
  <c r="M432"/>
  <c r="AG431"/>
  <c r="M431"/>
  <c r="AG430"/>
  <c r="M430"/>
  <c r="M424"/>
  <c r="M423"/>
  <c r="M422"/>
  <c r="M421"/>
  <c r="W437" i="16"/>
  <c r="M437"/>
  <c r="G437"/>
  <c r="W436"/>
  <c r="M436"/>
  <c r="G436"/>
  <c r="W435"/>
  <c r="M435"/>
  <c r="G435"/>
  <c r="W434"/>
  <c r="M434"/>
  <c r="G434"/>
  <c r="W425"/>
  <c r="M425"/>
  <c r="G425"/>
  <c r="W424"/>
  <c r="M424"/>
  <c r="G424"/>
  <c r="W423"/>
  <c r="M423"/>
  <c r="G423"/>
  <c r="W422"/>
  <c r="M422"/>
  <c r="G422"/>
  <c r="S160" i="10"/>
  <c r="S159"/>
  <c r="S158"/>
  <c r="S153"/>
  <c r="S152"/>
  <c r="S151"/>
  <c r="S146"/>
  <c r="S145"/>
  <c r="AZ156" i="25"/>
  <c r="BJ156" s="1"/>
  <c r="AZ155"/>
  <c r="BJ155" s="1"/>
  <c r="AZ154"/>
  <c r="BJ154" s="1"/>
  <c r="AZ150"/>
  <c r="BJ150" s="1"/>
  <c r="AZ146"/>
  <c r="BJ146" s="1"/>
  <c r="Y156" i="22"/>
  <c r="Y155"/>
  <c r="Y154"/>
  <c r="Y150"/>
  <c r="AQ150" s="1"/>
  <c r="Y149"/>
  <c r="O159" i="26"/>
  <c r="K159"/>
  <c r="O158"/>
  <c r="AC158" s="1"/>
  <c r="O153"/>
  <c r="AC153" s="1"/>
  <c r="O152"/>
  <c r="AC152" s="1"/>
  <c r="AZ156" i="2"/>
  <c r="BJ156" s="1"/>
  <c r="AZ155"/>
  <c r="BJ155" s="1"/>
  <c r="AZ154"/>
  <c r="BJ154" s="1"/>
  <c r="AZ150"/>
  <c r="BJ150" s="1"/>
  <c r="AZ149"/>
  <c r="BJ149" s="1"/>
  <c r="AZ148"/>
  <c r="BJ148" s="1"/>
  <c r="AZ146"/>
  <c r="BJ146" s="1"/>
  <c r="AZ145"/>
  <c r="BJ145" s="1"/>
  <c r="Y156" i="1"/>
  <c r="Y155"/>
  <c r="Y146"/>
  <c r="AA159" i="14"/>
  <c r="O159"/>
  <c r="K159"/>
  <c r="AA158"/>
  <c r="O158"/>
  <c r="K158"/>
  <c r="AA154"/>
  <c r="O154"/>
  <c r="AC154" s="1"/>
  <c r="AA150"/>
  <c r="O150"/>
  <c r="K150"/>
  <c r="AA149"/>
  <c r="AA148"/>
  <c r="AA147"/>
  <c r="AG150" i="15"/>
  <c r="AC538" i="26"/>
  <c r="AC518"/>
  <c r="AC508"/>
  <c r="AC496"/>
  <c r="AC204"/>
  <c r="AC199"/>
  <c r="AC185"/>
  <c r="AC157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1"/>
  <c r="AA580"/>
  <c r="AA579"/>
  <c r="AA578"/>
  <c r="AA577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0"/>
  <c r="AA549"/>
  <c r="AA548"/>
  <c r="AA547"/>
  <c r="AA546"/>
  <c r="AA545"/>
  <c r="AA544"/>
  <c r="AA543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8"/>
  <c r="AA447"/>
  <c r="AA446"/>
  <c r="AA445"/>
  <c r="AA444"/>
  <c r="AA443"/>
  <c r="AA442"/>
  <c r="AA441"/>
  <c r="AA440"/>
  <c r="AA439"/>
  <c r="AA438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376"/>
  <c r="AA375"/>
  <c r="AA374"/>
  <c r="AA373"/>
  <c r="AA372"/>
  <c r="AA371"/>
  <c r="AA370"/>
  <c r="AA369"/>
  <c r="AA368"/>
  <c r="AA367"/>
  <c r="AA366"/>
  <c r="AA365"/>
  <c r="AA364"/>
  <c r="AA360"/>
  <c r="AA359"/>
  <c r="AA358"/>
  <c r="AA357"/>
  <c r="AA356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5"/>
  <c r="AA334"/>
  <c r="AA333"/>
  <c r="AA332"/>
  <c r="AA331"/>
  <c r="AA330"/>
  <c r="AA329"/>
  <c r="AA328"/>
  <c r="AA327"/>
  <c r="AA325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4"/>
  <c r="AA303"/>
  <c r="AA302"/>
  <c r="AA301"/>
  <c r="AA300"/>
  <c r="AA299"/>
  <c r="AA298"/>
  <c r="AA297"/>
  <c r="AA296"/>
  <c r="AA295"/>
  <c r="AA294"/>
  <c r="AA293"/>
  <c r="AA289"/>
  <c r="AA288"/>
  <c r="AA287"/>
  <c r="AA286"/>
  <c r="AA285"/>
  <c r="AA281"/>
  <c r="AA280"/>
  <c r="AA279"/>
  <c r="AA278"/>
  <c r="AA277"/>
  <c r="AA276"/>
  <c r="AA275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8"/>
  <c r="AA237"/>
  <c r="AA236"/>
  <c r="AA235"/>
  <c r="AA234"/>
  <c r="AA232"/>
  <c r="AA231"/>
  <c r="AA230"/>
  <c r="AA229"/>
  <c r="AA228"/>
  <c r="AA227"/>
  <c r="AA226"/>
  <c r="AA222"/>
  <c r="AA221"/>
  <c r="AA220"/>
  <c r="AA219"/>
  <c r="AA218"/>
  <c r="AA216"/>
  <c r="AA215"/>
  <c r="AA214"/>
  <c r="AA212"/>
  <c r="AA211"/>
  <c r="AA210"/>
  <c r="AA209"/>
  <c r="AA208"/>
  <c r="AA207"/>
  <c r="AA206"/>
  <c r="AA205"/>
  <c r="AA204"/>
  <c r="AA201"/>
  <c r="AA200"/>
  <c r="AA199"/>
  <c r="AA198"/>
  <c r="AA197"/>
  <c r="AA196"/>
  <c r="AA195"/>
  <c r="AA192"/>
  <c r="AA190"/>
  <c r="AA189"/>
  <c r="AA188"/>
  <c r="AA187"/>
  <c r="AA186"/>
  <c r="AA185"/>
  <c r="AA183"/>
  <c r="AA182"/>
  <c r="AA181"/>
  <c r="AA180"/>
  <c r="AA179"/>
  <c r="AA174"/>
  <c r="AA173"/>
  <c r="AA172"/>
  <c r="AA171"/>
  <c r="AA168"/>
  <c r="AA167"/>
  <c r="AA166"/>
  <c r="AA165"/>
  <c r="AA164"/>
  <c r="AA161"/>
  <c r="AA160"/>
  <c r="AA159"/>
  <c r="AA158"/>
  <c r="AA157"/>
  <c r="AA153"/>
  <c r="AA152"/>
  <c r="AA151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0"/>
  <c r="AA119"/>
  <c r="AA118"/>
  <c r="AA117"/>
  <c r="AA116"/>
  <c r="AA114"/>
  <c r="AA113"/>
  <c r="AA112"/>
  <c r="AA110"/>
  <c r="AA109"/>
  <c r="AA108"/>
  <c r="AA107"/>
  <c r="AA106"/>
  <c r="AA104"/>
  <c r="AA102"/>
  <c r="AA101"/>
  <c r="AA100"/>
  <c r="AA99"/>
  <c r="AA98"/>
  <c r="AA96"/>
  <c r="AA94"/>
  <c r="AA92"/>
  <c r="AA90"/>
  <c r="AA88"/>
  <c r="AA86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583"/>
  <c r="O581"/>
  <c r="O580"/>
  <c r="O579"/>
  <c r="O578"/>
  <c r="O577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0"/>
  <c r="O549"/>
  <c r="O548"/>
  <c r="O547"/>
  <c r="O546"/>
  <c r="O545"/>
  <c r="O544"/>
  <c r="O543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8"/>
  <c r="O447"/>
  <c r="O446"/>
  <c r="O445"/>
  <c r="O444"/>
  <c r="O443"/>
  <c r="O442"/>
  <c r="O441"/>
  <c r="O440"/>
  <c r="O439"/>
  <c r="O438"/>
  <c r="O421"/>
  <c r="O420"/>
  <c r="O419"/>
  <c r="O409"/>
  <c r="O376"/>
  <c r="O375"/>
  <c r="O374"/>
  <c r="O373"/>
  <c r="O372"/>
  <c r="O371"/>
  <c r="O370"/>
  <c r="O369"/>
  <c r="O368"/>
  <c r="O367"/>
  <c r="O366"/>
  <c r="O365"/>
  <c r="O364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5"/>
  <c r="O334"/>
  <c r="O333"/>
  <c r="O332"/>
  <c r="O331"/>
  <c r="O330"/>
  <c r="O329"/>
  <c r="O328"/>
  <c r="O327"/>
  <c r="O325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4"/>
  <c r="O303"/>
  <c r="O302"/>
  <c r="O301"/>
  <c r="O300"/>
  <c r="O299"/>
  <c r="O298"/>
  <c r="O297"/>
  <c r="O296"/>
  <c r="O295"/>
  <c r="O294"/>
  <c r="O293"/>
  <c r="O289"/>
  <c r="O288"/>
  <c r="O287"/>
  <c r="O286"/>
  <c r="O285"/>
  <c r="AC285" s="1"/>
  <c r="O281"/>
  <c r="O280"/>
  <c r="O279"/>
  <c r="O278"/>
  <c r="O277"/>
  <c r="O276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4"/>
  <c r="O233"/>
  <c r="O232"/>
  <c r="O231"/>
  <c r="O230"/>
  <c r="O229"/>
  <c r="O228"/>
  <c r="O227"/>
  <c r="O226"/>
  <c r="O222"/>
  <c r="O221"/>
  <c r="O220"/>
  <c r="O219"/>
  <c r="O218"/>
  <c r="O217"/>
  <c r="O216"/>
  <c r="O215"/>
  <c r="O214"/>
  <c r="AC214" s="1"/>
  <c r="O213"/>
  <c r="AC213" s="1"/>
  <c r="O212"/>
  <c r="O211"/>
  <c r="O210"/>
  <c r="O180"/>
  <c r="O179"/>
  <c r="AC179" s="1"/>
  <c r="O174"/>
  <c r="O173"/>
  <c r="O172"/>
  <c r="O168"/>
  <c r="O167"/>
  <c r="O166"/>
  <c r="O165"/>
  <c r="O164"/>
  <c r="O161"/>
  <c r="O160"/>
  <c r="O141"/>
  <c r="O140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0"/>
  <c r="O119"/>
  <c r="O118"/>
  <c r="O117"/>
  <c r="O116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K634"/>
  <c r="K633"/>
  <c r="AC633" s="1"/>
  <c r="K632"/>
  <c r="AC632" s="1"/>
  <c r="K631"/>
  <c r="AC631" s="1"/>
  <c r="K630"/>
  <c r="AC630" s="1"/>
  <c r="K629"/>
  <c r="AC629" s="1"/>
  <c r="K628"/>
  <c r="AC628" s="1"/>
  <c r="K627"/>
  <c r="AC627" s="1"/>
  <c r="K626"/>
  <c r="K625"/>
  <c r="K624"/>
  <c r="K623"/>
  <c r="AC623" s="1"/>
  <c r="K622"/>
  <c r="AC622" s="1"/>
  <c r="K621"/>
  <c r="AC621" s="1"/>
  <c r="K620"/>
  <c r="K619"/>
  <c r="AC619" s="1"/>
  <c r="K618"/>
  <c r="AC618" s="1"/>
  <c r="K617"/>
  <c r="AC617" s="1"/>
  <c r="K616"/>
  <c r="AC616" s="1"/>
  <c r="K615"/>
  <c r="K614"/>
  <c r="AC614" s="1"/>
  <c r="K613"/>
  <c r="AC613" s="1"/>
  <c r="K612"/>
  <c r="AC612" s="1"/>
  <c r="K611"/>
  <c r="AC611" s="1"/>
  <c r="K610"/>
  <c r="AC610" s="1"/>
  <c r="K609"/>
  <c r="AC609" s="1"/>
  <c r="K608"/>
  <c r="AC608" s="1"/>
  <c r="K607"/>
  <c r="AC607" s="1"/>
  <c r="K606"/>
  <c r="AC606" s="1"/>
  <c r="K605"/>
  <c r="AC605" s="1"/>
  <c r="K604"/>
  <c r="AC604" s="1"/>
  <c r="K603"/>
  <c r="AC603" s="1"/>
  <c r="K583"/>
  <c r="AC583" s="1"/>
  <c r="K581"/>
  <c r="AC581" s="1"/>
  <c r="K580"/>
  <c r="AC580" s="1"/>
  <c r="K579"/>
  <c r="K578"/>
  <c r="K577"/>
  <c r="AC577" s="1"/>
  <c r="K573"/>
  <c r="AC573" s="1"/>
  <c r="K572"/>
  <c r="AC572" s="1"/>
  <c r="K571"/>
  <c r="AC571" s="1"/>
  <c r="K570"/>
  <c r="AC570" s="1"/>
  <c r="K569"/>
  <c r="AC569" s="1"/>
  <c r="K568"/>
  <c r="AC568" s="1"/>
  <c r="K567"/>
  <c r="AC567" s="1"/>
  <c r="K566"/>
  <c r="AC566" s="1"/>
  <c r="K565"/>
  <c r="AC565" s="1"/>
  <c r="K564"/>
  <c r="AC564" s="1"/>
  <c r="K563"/>
  <c r="AC563" s="1"/>
  <c r="K562"/>
  <c r="AC562" s="1"/>
  <c r="K561"/>
  <c r="AC561" s="1"/>
  <c r="K560"/>
  <c r="AC560" s="1"/>
  <c r="K559"/>
  <c r="AC559" s="1"/>
  <c r="K558"/>
  <c r="AC558" s="1"/>
  <c r="K557"/>
  <c r="AC557" s="1"/>
  <c r="K556"/>
  <c r="AC556" s="1"/>
  <c r="K555"/>
  <c r="AC555" s="1"/>
  <c r="K554"/>
  <c r="AC554" s="1"/>
  <c r="K553"/>
  <c r="AC553" s="1"/>
  <c r="K552"/>
  <c r="AC552" s="1"/>
  <c r="K550"/>
  <c r="AC550" s="1"/>
  <c r="K549"/>
  <c r="AC549" s="1"/>
  <c r="K548"/>
  <c r="AC548" s="1"/>
  <c r="K547"/>
  <c r="AC547" s="1"/>
  <c r="K546"/>
  <c r="K545"/>
  <c r="AC545" s="1"/>
  <c r="K544"/>
  <c r="AC544" s="1"/>
  <c r="K543"/>
  <c r="AC543" s="1"/>
  <c r="K488"/>
  <c r="AC488" s="1"/>
  <c r="K487"/>
  <c r="K486"/>
  <c r="AC486" s="1"/>
  <c r="K485"/>
  <c r="AC485" s="1"/>
  <c r="K484"/>
  <c r="AC484" s="1"/>
  <c r="K483"/>
  <c r="AC483" s="1"/>
  <c r="K482"/>
  <c r="AC482" s="1"/>
  <c r="K481"/>
  <c r="AC481" s="1"/>
  <c r="K480"/>
  <c r="K479"/>
  <c r="AC479" s="1"/>
  <c r="K478"/>
  <c r="AC478" s="1"/>
  <c r="K477"/>
  <c r="AC477" s="1"/>
  <c r="K476"/>
  <c r="AC476" s="1"/>
  <c r="K475"/>
  <c r="AC475" s="1"/>
  <c r="K474"/>
  <c r="AC474" s="1"/>
  <c r="K473"/>
  <c r="AC473" s="1"/>
  <c r="K472"/>
  <c r="AC472" s="1"/>
  <c r="K471"/>
  <c r="AC471" s="1"/>
  <c r="K470"/>
  <c r="AC470" s="1"/>
  <c r="K469"/>
  <c r="AC469" s="1"/>
  <c r="K468"/>
  <c r="AC468" s="1"/>
  <c r="K467"/>
  <c r="AC467" s="1"/>
  <c r="K466"/>
  <c r="AC466" s="1"/>
  <c r="K465"/>
  <c r="AC465" s="1"/>
  <c r="K464"/>
  <c r="AC464" s="1"/>
  <c r="K463"/>
  <c r="AC463" s="1"/>
  <c r="K462"/>
  <c r="AC462" s="1"/>
  <c r="K461"/>
  <c r="AC461" s="1"/>
  <c r="K460"/>
  <c r="AC460" s="1"/>
  <c r="K459"/>
  <c r="AC459" s="1"/>
  <c r="K458"/>
  <c r="AC458" s="1"/>
  <c r="K457"/>
  <c r="AC457" s="1"/>
  <c r="K456"/>
  <c r="AC456" s="1"/>
  <c r="K455"/>
  <c r="AC455" s="1"/>
  <c r="K454"/>
  <c r="AC454" s="1"/>
  <c r="K453"/>
  <c r="AC453" s="1"/>
  <c r="K452"/>
  <c r="AC452" s="1"/>
  <c r="K451"/>
  <c r="K450"/>
  <c r="AC450" s="1"/>
  <c r="K448"/>
  <c r="AC448" s="1"/>
  <c r="K447"/>
  <c r="K446"/>
  <c r="K445"/>
  <c r="AC445" s="1"/>
  <c r="K444"/>
  <c r="AC444" s="1"/>
  <c r="K443"/>
  <c r="AC443" s="1"/>
  <c r="K442"/>
  <c r="AC442" s="1"/>
  <c r="K441"/>
  <c r="AC441" s="1"/>
  <c r="K440"/>
  <c r="AC440" s="1"/>
  <c r="K439"/>
  <c r="AC439" s="1"/>
  <c r="K438"/>
  <c r="AC438" s="1"/>
  <c r="K421"/>
  <c r="AC421" s="1"/>
  <c r="K420"/>
  <c r="AC420" s="1"/>
  <c r="K419"/>
  <c r="AC419" s="1"/>
  <c r="AC418"/>
  <c r="AC417"/>
  <c r="AC416"/>
  <c r="AC415"/>
  <c r="AC414"/>
  <c r="AC413"/>
  <c r="AC412"/>
  <c r="AC411"/>
  <c r="AC410"/>
  <c r="K409"/>
  <c r="AC409" s="1"/>
  <c r="AC408"/>
  <c r="AC407"/>
  <c r="AC406"/>
  <c r="AC405"/>
  <c r="AC404"/>
  <c r="K376"/>
  <c r="AC376" s="1"/>
  <c r="K375"/>
  <c r="AC375" s="1"/>
  <c r="K374"/>
  <c r="AC374" s="1"/>
  <c r="K373"/>
  <c r="AC373" s="1"/>
  <c r="K372"/>
  <c r="AC372" s="1"/>
  <c r="K371"/>
  <c r="AC371" s="1"/>
  <c r="K370"/>
  <c r="AC370" s="1"/>
  <c r="K369"/>
  <c r="K368"/>
  <c r="K367"/>
  <c r="AC367" s="1"/>
  <c r="K366"/>
  <c r="AC366" s="1"/>
  <c r="K365"/>
  <c r="AC365" s="1"/>
  <c r="K364"/>
  <c r="AC364" s="1"/>
  <c r="K360"/>
  <c r="K359"/>
  <c r="AC359" s="1"/>
  <c r="K358"/>
  <c r="AC358" s="1"/>
  <c r="K357"/>
  <c r="AC357" s="1"/>
  <c r="K356"/>
  <c r="AC356" s="1"/>
  <c r="K355"/>
  <c r="AC355" s="1"/>
  <c r="K354"/>
  <c r="AC354" s="1"/>
  <c r="K353"/>
  <c r="AC353" s="1"/>
  <c r="K352"/>
  <c r="AC352" s="1"/>
  <c r="K351"/>
  <c r="AC351" s="1"/>
  <c r="K350"/>
  <c r="AC350" s="1"/>
  <c r="K349"/>
  <c r="K348"/>
  <c r="AC348" s="1"/>
  <c r="K347"/>
  <c r="AC347" s="1"/>
  <c r="K346"/>
  <c r="AC346" s="1"/>
  <c r="K345"/>
  <c r="AC345" s="1"/>
  <c r="K344"/>
  <c r="AC344" s="1"/>
  <c r="K343"/>
  <c r="AC343" s="1"/>
  <c r="K342"/>
  <c r="AC342" s="1"/>
  <c r="K341"/>
  <c r="AC341" s="1"/>
  <c r="K340"/>
  <c r="AC340" s="1"/>
  <c r="K339"/>
  <c r="AC339" s="1"/>
  <c r="K338"/>
  <c r="AC338" s="1"/>
  <c r="K337"/>
  <c r="K335"/>
  <c r="AC335" s="1"/>
  <c r="K334"/>
  <c r="AC334" s="1"/>
  <c r="K333"/>
  <c r="AC333" s="1"/>
  <c r="K332"/>
  <c r="AC332" s="1"/>
  <c r="K331"/>
  <c r="AC331" s="1"/>
  <c r="K330"/>
  <c r="AC330" s="1"/>
  <c r="K329"/>
  <c r="AC329" s="1"/>
  <c r="K328"/>
  <c r="AC328" s="1"/>
  <c r="K327"/>
  <c r="K325"/>
  <c r="AC325" s="1"/>
  <c r="K323"/>
  <c r="AC323" s="1"/>
  <c r="K322"/>
  <c r="AC322" s="1"/>
  <c r="K321"/>
  <c r="AC321" s="1"/>
  <c r="K320"/>
  <c r="K319"/>
  <c r="AC319" s="1"/>
  <c r="K318"/>
  <c r="AC318" s="1"/>
  <c r="K317"/>
  <c r="AC317" s="1"/>
  <c r="K316"/>
  <c r="AC316" s="1"/>
  <c r="K315"/>
  <c r="AC315" s="1"/>
  <c r="K314"/>
  <c r="AC314" s="1"/>
  <c r="K313"/>
  <c r="AC313" s="1"/>
  <c r="K312"/>
  <c r="AC312" s="1"/>
  <c r="K311"/>
  <c r="AC311" s="1"/>
  <c r="K310"/>
  <c r="AC310" s="1"/>
  <c r="K309"/>
  <c r="AC309" s="1"/>
  <c r="K308"/>
  <c r="AC308" s="1"/>
  <c r="K307"/>
  <c r="AC307" s="1"/>
  <c r="K306"/>
  <c r="AC306" s="1"/>
  <c r="K304"/>
  <c r="AC304" s="1"/>
  <c r="K303"/>
  <c r="AC303" s="1"/>
  <c r="K302"/>
  <c r="AC302" s="1"/>
  <c r="K301"/>
  <c r="AC301" s="1"/>
  <c r="K300"/>
  <c r="AC300" s="1"/>
  <c r="K299"/>
  <c r="AC299" s="1"/>
  <c r="K298"/>
  <c r="AC298" s="1"/>
  <c r="K297"/>
  <c r="AC297" s="1"/>
  <c r="K296"/>
  <c r="AC296" s="1"/>
  <c r="K295"/>
  <c r="AC295" s="1"/>
  <c r="K294"/>
  <c r="AC294" s="1"/>
  <c r="K293"/>
  <c r="AC293" s="1"/>
  <c r="K289"/>
  <c r="AC289" s="1"/>
  <c r="K288"/>
  <c r="K287"/>
  <c r="AC287" s="1"/>
  <c r="K286"/>
  <c r="K281"/>
  <c r="AC281" s="1"/>
  <c r="K280"/>
  <c r="K279"/>
  <c r="AC279" s="1"/>
  <c r="K278"/>
  <c r="K277"/>
  <c r="AC277" s="1"/>
  <c r="K276"/>
  <c r="AC275"/>
  <c r="AC274"/>
  <c r="K256"/>
  <c r="AC256" s="1"/>
  <c r="K255"/>
  <c r="K254"/>
  <c r="AC254" s="1"/>
  <c r="K253"/>
  <c r="K252"/>
  <c r="AC252" s="1"/>
  <c r="K251"/>
  <c r="K250"/>
  <c r="AC250" s="1"/>
  <c r="K249"/>
  <c r="K248"/>
  <c r="AC248" s="1"/>
  <c r="K247"/>
  <c r="K246"/>
  <c r="K245"/>
  <c r="K244"/>
  <c r="AC244" s="1"/>
  <c r="K243"/>
  <c r="K242"/>
  <c r="AC242" s="1"/>
  <c r="K241"/>
  <c r="K240"/>
  <c r="AC240" s="1"/>
  <c r="K239"/>
  <c r="K238"/>
  <c r="AC238" s="1"/>
  <c r="K237"/>
  <c r="K236"/>
  <c r="AC236" s="1"/>
  <c r="K235"/>
  <c r="AC235" s="1"/>
  <c r="K234"/>
  <c r="AC234" s="1"/>
  <c r="K233"/>
  <c r="K232"/>
  <c r="AC232" s="1"/>
  <c r="K231"/>
  <c r="K230"/>
  <c r="AC230" s="1"/>
  <c r="K229"/>
  <c r="K228"/>
  <c r="AC228" s="1"/>
  <c r="K227"/>
  <c r="K226"/>
  <c r="AC226" s="1"/>
  <c r="K222"/>
  <c r="K221"/>
  <c r="AC221" s="1"/>
  <c r="K220"/>
  <c r="K219"/>
  <c r="AC219" s="1"/>
  <c r="K218"/>
  <c r="K217"/>
  <c r="AC217" s="1"/>
  <c r="K216"/>
  <c r="K215"/>
  <c r="AC215" s="1"/>
  <c r="K212"/>
  <c r="K211"/>
  <c r="AC211" s="1"/>
  <c r="K210"/>
  <c r="AC180"/>
  <c r="K174"/>
  <c r="K173"/>
  <c r="K172"/>
  <c r="K171"/>
  <c r="AC171" s="1"/>
  <c r="K170"/>
  <c r="AC170" s="1"/>
  <c r="K169"/>
  <c r="AC169" s="1"/>
  <c r="K168"/>
  <c r="K167"/>
  <c r="AC167" s="1"/>
  <c r="K166"/>
  <c r="K165"/>
  <c r="AC165" s="1"/>
  <c r="K164"/>
  <c r="K163"/>
  <c r="AC163" s="1"/>
  <c r="K161"/>
  <c r="K160"/>
  <c r="K141"/>
  <c r="K140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0"/>
  <c r="K119"/>
  <c r="K118"/>
  <c r="K117"/>
  <c r="K116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AZ631" i="25"/>
  <c r="BJ631" s="1"/>
  <c r="AZ630"/>
  <c r="BJ630" s="1"/>
  <c r="AZ629"/>
  <c r="BJ629" s="1"/>
  <c r="AZ628"/>
  <c r="BJ628" s="1"/>
  <c r="AZ627"/>
  <c r="BJ627" s="1"/>
  <c r="AZ626"/>
  <c r="BJ626" s="1"/>
  <c r="AZ625"/>
  <c r="BJ625" s="1"/>
  <c r="AZ624"/>
  <c r="BJ624" s="1"/>
  <c r="AZ623"/>
  <c r="BJ623" s="1"/>
  <c r="AZ622"/>
  <c r="BJ622" s="1"/>
  <c r="AZ621"/>
  <c r="BJ621" s="1"/>
  <c r="AZ620"/>
  <c r="BJ620" s="1"/>
  <c r="AZ619"/>
  <c r="BJ619" s="1"/>
  <c r="AZ618"/>
  <c r="BJ618" s="1"/>
  <c r="AZ617"/>
  <c r="BJ617" s="1"/>
  <c r="AZ616"/>
  <c r="BJ616" s="1"/>
  <c r="AZ615"/>
  <c r="BJ615" s="1"/>
  <c r="AZ614"/>
  <c r="BJ614" s="1"/>
  <c r="AZ613"/>
  <c r="BJ613" s="1"/>
  <c r="AZ612"/>
  <c r="BJ612" s="1"/>
  <c r="AZ608"/>
  <c r="BJ608" s="1"/>
  <c r="AZ607"/>
  <c r="BJ607" s="1"/>
  <c r="AZ606"/>
  <c r="BJ606" s="1"/>
  <c r="AZ605"/>
  <c r="BJ605" s="1"/>
  <c r="AZ604"/>
  <c r="BJ604" s="1"/>
  <c r="AZ603"/>
  <c r="BJ603" s="1"/>
  <c r="AZ602"/>
  <c r="BJ602" s="1"/>
  <c r="AZ601"/>
  <c r="BJ601" s="1"/>
  <c r="AZ600"/>
  <c r="BJ600" s="1"/>
  <c r="AZ599"/>
  <c r="BJ599" s="1"/>
  <c r="AZ598"/>
  <c r="BJ598" s="1"/>
  <c r="AZ597"/>
  <c r="BJ597" s="1"/>
  <c r="AZ577"/>
  <c r="BJ577" s="1"/>
  <c r="AZ575"/>
  <c r="BJ575" s="1"/>
  <c r="AZ574"/>
  <c r="BJ574" s="1"/>
  <c r="AZ573"/>
  <c r="BJ573" s="1"/>
  <c r="AZ572"/>
  <c r="BJ572" s="1"/>
  <c r="AZ571"/>
  <c r="BJ571" s="1"/>
  <c r="AZ570"/>
  <c r="BJ570" s="1"/>
  <c r="AZ569"/>
  <c r="BJ569" s="1"/>
  <c r="AZ568"/>
  <c r="BJ568" s="1"/>
  <c r="AZ567"/>
  <c r="BJ567" s="1"/>
  <c r="AZ566"/>
  <c r="BJ566" s="1"/>
  <c r="AZ565"/>
  <c r="BJ565" s="1"/>
  <c r="AZ564"/>
  <c r="BJ564" s="1"/>
  <c r="AZ563"/>
  <c r="BJ563" s="1"/>
  <c r="AZ562"/>
  <c r="BJ562" s="1"/>
  <c r="AZ561"/>
  <c r="BJ561" s="1"/>
  <c r="AZ560"/>
  <c r="BJ560" s="1"/>
  <c r="AZ559"/>
  <c r="BJ559" s="1"/>
  <c r="AZ558"/>
  <c r="BJ558" s="1"/>
  <c r="AZ557"/>
  <c r="BJ557" s="1"/>
  <c r="AZ556"/>
  <c r="BJ556" s="1"/>
  <c r="AZ555"/>
  <c r="BJ555" s="1"/>
  <c r="AZ554"/>
  <c r="BJ554" s="1"/>
  <c r="AZ553"/>
  <c r="BJ553" s="1"/>
  <c r="AZ552"/>
  <c r="BJ552" s="1"/>
  <c r="AZ551"/>
  <c r="BJ551" s="1"/>
  <c r="AZ550"/>
  <c r="BJ550" s="1"/>
  <c r="AZ549"/>
  <c r="BJ549" s="1"/>
  <c r="AZ547"/>
  <c r="BJ547" s="1"/>
  <c r="AZ546"/>
  <c r="BJ546" s="1"/>
  <c r="AZ545"/>
  <c r="BJ545" s="1"/>
  <c r="AZ544"/>
  <c r="BJ544" s="1"/>
  <c r="AZ543"/>
  <c r="BJ543" s="1"/>
  <c r="AZ542"/>
  <c r="BJ542" s="1"/>
  <c r="AZ541"/>
  <c r="BJ541" s="1"/>
  <c r="AZ540"/>
  <c r="BJ540" s="1"/>
  <c r="AZ485"/>
  <c r="BJ485" s="1"/>
  <c r="AZ484"/>
  <c r="BJ484" s="1"/>
  <c r="AZ483"/>
  <c r="BJ483" s="1"/>
  <c r="AZ482"/>
  <c r="BJ482" s="1"/>
  <c r="AZ481"/>
  <c r="BJ481" s="1"/>
  <c r="AZ480"/>
  <c r="BJ480" s="1"/>
  <c r="AZ479"/>
  <c r="BJ479" s="1"/>
  <c r="AZ478"/>
  <c r="BJ478" s="1"/>
  <c r="AZ477"/>
  <c r="BJ477" s="1"/>
  <c r="AZ476"/>
  <c r="BJ476" s="1"/>
  <c r="AZ475"/>
  <c r="BJ475" s="1"/>
  <c r="AZ474"/>
  <c r="BJ474" s="1"/>
  <c r="AZ473"/>
  <c r="BJ473" s="1"/>
  <c r="AZ472"/>
  <c r="BJ472" s="1"/>
  <c r="AZ471"/>
  <c r="BJ471" s="1"/>
  <c r="AZ470"/>
  <c r="BJ470" s="1"/>
  <c r="AZ469"/>
  <c r="BJ469" s="1"/>
  <c r="AZ468"/>
  <c r="BJ468" s="1"/>
  <c r="AZ467"/>
  <c r="BJ467" s="1"/>
  <c r="AZ466"/>
  <c r="BJ466" s="1"/>
  <c r="AZ465"/>
  <c r="BJ465" s="1"/>
  <c r="AZ464"/>
  <c r="BJ464" s="1"/>
  <c r="AZ463"/>
  <c r="BJ463" s="1"/>
  <c r="AZ462"/>
  <c r="BJ462" s="1"/>
  <c r="AZ461"/>
  <c r="BJ461" s="1"/>
  <c r="AZ460"/>
  <c r="BJ460" s="1"/>
  <c r="AZ459"/>
  <c r="BJ459" s="1"/>
  <c r="AZ458"/>
  <c r="BJ458" s="1"/>
  <c r="AZ457"/>
  <c r="BJ457" s="1"/>
  <c r="AZ456"/>
  <c r="BJ456" s="1"/>
  <c r="AZ455"/>
  <c r="BJ455" s="1"/>
  <c r="AZ454"/>
  <c r="BJ454" s="1"/>
  <c r="AZ453"/>
  <c r="BJ453" s="1"/>
  <c r="AZ452"/>
  <c r="BJ452" s="1"/>
  <c r="AZ451"/>
  <c r="BJ451" s="1"/>
  <c r="AZ450"/>
  <c r="BJ450" s="1"/>
  <c r="AZ449"/>
  <c r="BJ449" s="1"/>
  <c r="AZ448"/>
  <c r="BJ448" s="1"/>
  <c r="AZ447"/>
  <c r="BJ447" s="1"/>
  <c r="AZ445"/>
  <c r="BJ445" s="1"/>
  <c r="AZ444"/>
  <c r="BJ444" s="1"/>
  <c r="AZ443"/>
  <c r="BJ443" s="1"/>
  <c r="AZ439"/>
  <c r="BJ439" s="1"/>
  <c r="AZ438"/>
  <c r="BJ438" s="1"/>
  <c r="AZ437"/>
  <c r="BJ437" s="1"/>
  <c r="AZ436"/>
  <c r="BJ436" s="1"/>
  <c r="AZ435"/>
  <c r="BJ435" s="1"/>
  <c r="AZ434"/>
  <c r="BJ434" s="1"/>
  <c r="AZ433"/>
  <c r="BJ433" s="1"/>
  <c r="AZ432"/>
  <c r="BJ432" s="1"/>
  <c r="AZ418"/>
  <c r="BJ418" s="1"/>
  <c r="AZ417"/>
  <c r="BJ417" s="1"/>
  <c r="AZ416"/>
  <c r="BJ416" s="1"/>
  <c r="AZ412"/>
  <c r="BJ412" s="1"/>
  <c r="AZ406"/>
  <c r="BJ406" s="1"/>
  <c r="AZ373"/>
  <c r="BJ373" s="1"/>
  <c r="AZ372"/>
  <c r="BJ372" s="1"/>
  <c r="AZ371"/>
  <c r="BJ371" s="1"/>
  <c r="AZ370"/>
  <c r="BJ370" s="1"/>
  <c r="AZ369"/>
  <c r="BJ369" s="1"/>
  <c r="AZ368"/>
  <c r="BJ368" s="1"/>
  <c r="AZ367"/>
  <c r="BJ367" s="1"/>
  <c r="AZ366"/>
  <c r="BJ366" s="1"/>
  <c r="AZ365"/>
  <c r="BJ365" s="1"/>
  <c r="AZ364"/>
  <c r="BJ364" s="1"/>
  <c r="AZ363"/>
  <c r="BJ363" s="1"/>
  <c r="AZ362"/>
  <c r="BJ362" s="1"/>
  <c r="AZ361"/>
  <c r="BJ361" s="1"/>
  <c r="AZ360"/>
  <c r="BJ360" s="1"/>
  <c r="AZ359"/>
  <c r="BJ359" s="1"/>
  <c r="AZ358"/>
  <c r="BJ358" s="1"/>
  <c r="AZ357"/>
  <c r="BJ357" s="1"/>
  <c r="AZ356"/>
  <c r="BJ356" s="1"/>
  <c r="AZ355"/>
  <c r="BJ355" s="1"/>
  <c r="AZ354"/>
  <c r="BJ354" s="1"/>
  <c r="AZ353"/>
  <c r="BJ353" s="1"/>
  <c r="AZ349"/>
  <c r="BJ349" s="1"/>
  <c r="AZ348"/>
  <c r="BJ348" s="1"/>
  <c r="AZ347"/>
  <c r="BJ347" s="1"/>
  <c r="AZ346"/>
  <c r="BJ346" s="1"/>
  <c r="AZ345"/>
  <c r="BJ345" s="1"/>
  <c r="AZ344"/>
  <c r="BJ344" s="1"/>
  <c r="AZ343"/>
  <c r="BJ343" s="1"/>
  <c r="AZ342"/>
  <c r="BJ342" s="1"/>
  <c r="AZ341"/>
  <c r="BJ341" s="1"/>
  <c r="AZ340"/>
  <c r="BJ340" s="1"/>
  <c r="AZ339"/>
  <c r="BJ339" s="1"/>
  <c r="AZ338"/>
  <c r="BJ338" s="1"/>
  <c r="AZ337"/>
  <c r="BJ337" s="1"/>
  <c r="AZ336"/>
  <c r="BJ336" s="1"/>
  <c r="AZ335"/>
  <c r="BJ335" s="1"/>
  <c r="AZ332"/>
  <c r="BJ332" s="1"/>
  <c r="AZ331"/>
  <c r="BJ331" s="1"/>
  <c r="AZ330"/>
  <c r="BJ330" s="1"/>
  <c r="AZ329"/>
  <c r="BJ329" s="1"/>
  <c r="AZ328"/>
  <c r="BJ328" s="1"/>
  <c r="AZ327"/>
  <c r="BJ327" s="1"/>
  <c r="AZ326"/>
  <c r="BJ326" s="1"/>
  <c r="AZ325"/>
  <c r="BJ325" s="1"/>
  <c r="AZ324"/>
  <c r="BJ324" s="1"/>
  <c r="AZ322"/>
  <c r="BJ322" s="1"/>
  <c r="AZ320"/>
  <c r="BJ320" s="1"/>
  <c r="AZ319"/>
  <c r="BJ319" s="1"/>
  <c r="AZ318"/>
  <c r="BJ318" s="1"/>
  <c r="AZ317"/>
  <c r="BJ317" s="1"/>
  <c r="AZ316"/>
  <c r="BJ316" s="1"/>
  <c r="AZ315"/>
  <c r="BJ315" s="1"/>
  <c r="AZ314"/>
  <c r="BJ314" s="1"/>
  <c r="AZ313"/>
  <c r="BJ313" s="1"/>
  <c r="AZ312"/>
  <c r="BJ312" s="1"/>
  <c r="AZ311"/>
  <c r="BJ311" s="1"/>
  <c r="AZ310"/>
  <c r="BJ310" s="1"/>
  <c r="AZ309"/>
  <c r="BJ309" s="1"/>
  <c r="AZ308"/>
  <c r="BJ308" s="1"/>
  <c r="AZ307"/>
  <c r="BJ307" s="1"/>
  <c r="AZ306"/>
  <c r="BJ306" s="1"/>
  <c r="AZ305"/>
  <c r="BJ305" s="1"/>
  <c r="BL303"/>
  <c r="BT303" s="1"/>
  <c r="BV303" s="1"/>
  <c r="AZ301"/>
  <c r="BJ301" s="1"/>
  <c r="AZ300"/>
  <c r="BJ300" s="1"/>
  <c r="AZ299"/>
  <c r="BJ299" s="1"/>
  <c r="AZ298"/>
  <c r="BJ298" s="1"/>
  <c r="AZ297"/>
  <c r="BJ297" s="1"/>
  <c r="AZ296"/>
  <c r="BJ296" s="1"/>
  <c r="AZ295"/>
  <c r="BJ295" s="1"/>
  <c r="AZ294"/>
  <c r="BJ294" s="1"/>
  <c r="AZ293"/>
  <c r="BJ293" s="1"/>
  <c r="AZ292"/>
  <c r="BJ292" s="1"/>
  <c r="AZ291"/>
  <c r="BJ291" s="1"/>
  <c r="AZ290"/>
  <c r="BJ290" s="1"/>
  <c r="AZ289"/>
  <c r="BJ289" s="1"/>
  <c r="AZ288"/>
  <c r="BJ288" s="1"/>
  <c r="AZ287"/>
  <c r="BJ287" s="1"/>
  <c r="AZ286"/>
  <c r="BJ286" s="1"/>
  <c r="AZ285"/>
  <c r="BJ285" s="1"/>
  <c r="AZ284"/>
  <c r="BJ284" s="1"/>
  <c r="AZ281"/>
  <c r="BJ281" s="1"/>
  <c r="AZ280"/>
  <c r="BJ280" s="1"/>
  <c r="AZ279"/>
  <c r="BJ279" s="1"/>
  <c r="AZ278"/>
  <c r="BJ278" s="1"/>
  <c r="AZ277"/>
  <c r="BJ277" s="1"/>
  <c r="AZ276"/>
  <c r="BJ276" s="1"/>
  <c r="AZ275"/>
  <c r="BJ275" s="1"/>
  <c r="AZ253"/>
  <c r="BJ253" s="1"/>
  <c r="AZ252"/>
  <c r="BJ252" s="1"/>
  <c r="AZ251"/>
  <c r="BJ251" s="1"/>
  <c r="AZ250"/>
  <c r="BJ250" s="1"/>
  <c r="AZ249"/>
  <c r="BJ249" s="1"/>
  <c r="AZ248"/>
  <c r="BJ248" s="1"/>
  <c r="AZ247"/>
  <c r="BJ247" s="1"/>
  <c r="AZ246"/>
  <c r="BJ246" s="1"/>
  <c r="AZ245"/>
  <c r="BJ245" s="1"/>
  <c r="AZ244"/>
  <c r="BJ244" s="1"/>
  <c r="AZ243"/>
  <c r="BJ243" s="1"/>
  <c r="AZ242"/>
  <c r="BJ242" s="1"/>
  <c r="AZ241"/>
  <c r="BJ241" s="1"/>
  <c r="AZ240"/>
  <c r="BJ240" s="1"/>
  <c r="AZ239"/>
  <c r="BJ239" s="1"/>
  <c r="AZ238"/>
  <c r="BJ238" s="1"/>
  <c r="AZ237"/>
  <c r="BJ237" s="1"/>
  <c r="AZ236"/>
  <c r="BJ236" s="1"/>
  <c r="AZ235"/>
  <c r="BJ235" s="1"/>
  <c r="AZ234"/>
  <c r="BJ234" s="1"/>
  <c r="AZ233"/>
  <c r="BJ233" s="1"/>
  <c r="AZ232"/>
  <c r="BJ232" s="1"/>
  <c r="BJ231"/>
  <c r="AZ229"/>
  <c r="BJ229" s="1"/>
  <c r="AZ228"/>
  <c r="BJ228" s="1"/>
  <c r="AZ227"/>
  <c r="BJ227" s="1"/>
  <c r="AZ226"/>
  <c r="BJ226" s="1"/>
  <c r="AZ225"/>
  <c r="BJ225" s="1"/>
  <c r="AZ224"/>
  <c r="BJ224" s="1"/>
  <c r="AZ223"/>
  <c r="BJ223" s="1"/>
  <c r="AZ222"/>
  <c r="BJ222" s="1"/>
  <c r="AZ221"/>
  <c r="BJ221" s="1"/>
  <c r="AZ220"/>
  <c r="BJ220" s="1"/>
  <c r="AZ219"/>
  <c r="BJ219" s="1"/>
  <c r="AZ218"/>
  <c r="BJ218" s="1"/>
  <c r="AZ217"/>
  <c r="BJ217" s="1"/>
  <c r="AZ216"/>
  <c r="BJ216" s="1"/>
  <c r="AZ215"/>
  <c r="BJ215" s="1"/>
  <c r="AZ214"/>
  <c r="BJ214" s="1"/>
  <c r="AZ212"/>
  <c r="BJ212" s="1"/>
  <c r="AZ211"/>
  <c r="BJ211" s="1"/>
  <c r="AZ210"/>
  <c r="BJ210" s="1"/>
  <c r="AZ177"/>
  <c r="BJ177" s="1"/>
  <c r="AZ176"/>
  <c r="BJ176" s="1"/>
  <c r="AZ171"/>
  <c r="BJ171" s="1"/>
  <c r="AZ170"/>
  <c r="BJ170" s="1"/>
  <c r="AZ169"/>
  <c r="BJ169" s="1"/>
  <c r="AZ168"/>
  <c r="BJ168" s="1"/>
  <c r="AZ165"/>
  <c r="BJ165" s="1"/>
  <c r="AZ164"/>
  <c r="BJ164" s="1"/>
  <c r="AZ163"/>
  <c r="BJ163" s="1"/>
  <c r="AZ162"/>
  <c r="BJ162" s="1"/>
  <c r="AZ161"/>
  <c r="BJ161" s="1"/>
  <c r="AZ158"/>
  <c r="BJ158" s="1"/>
  <c r="AZ157"/>
  <c r="BJ157" s="1"/>
  <c r="AZ141"/>
  <c r="BJ141" s="1"/>
  <c r="AZ140"/>
  <c r="BJ140" s="1"/>
  <c r="AZ138"/>
  <c r="BJ138" s="1"/>
  <c r="AZ137"/>
  <c r="BJ137" s="1"/>
  <c r="AZ136"/>
  <c r="BJ136" s="1"/>
  <c r="AZ135"/>
  <c r="BJ135" s="1"/>
  <c r="AZ134"/>
  <c r="BJ134" s="1"/>
  <c r="AZ133"/>
  <c r="BJ133" s="1"/>
  <c r="AZ132"/>
  <c r="BJ132" s="1"/>
  <c r="AZ131"/>
  <c r="BJ131" s="1"/>
  <c r="AZ130"/>
  <c r="BJ130" s="1"/>
  <c r="AZ129"/>
  <c r="BJ129" s="1"/>
  <c r="AZ128"/>
  <c r="BJ128" s="1"/>
  <c r="AZ127"/>
  <c r="BJ127" s="1"/>
  <c r="AZ126"/>
  <c r="BJ126" s="1"/>
  <c r="AZ125"/>
  <c r="BJ125" s="1"/>
  <c r="AZ124"/>
  <c r="BJ124" s="1"/>
  <c r="AZ123"/>
  <c r="BJ123" s="1"/>
  <c r="AZ122"/>
  <c r="BJ122" s="1"/>
  <c r="AZ120"/>
  <c r="BJ120" s="1"/>
  <c r="AZ119"/>
  <c r="BJ119" s="1"/>
  <c r="AZ118"/>
  <c r="BJ118" s="1"/>
  <c r="AZ117"/>
  <c r="BJ117" s="1"/>
  <c r="AZ116"/>
  <c r="BJ116" s="1"/>
  <c r="AZ114"/>
  <c r="BJ114" s="1"/>
  <c r="AZ113"/>
  <c r="BJ113" s="1"/>
  <c r="AZ112"/>
  <c r="BJ112" s="1"/>
  <c r="AZ111"/>
  <c r="BJ111" s="1"/>
  <c r="AZ110"/>
  <c r="BJ110" s="1"/>
  <c r="AZ109"/>
  <c r="BJ109" s="1"/>
  <c r="AZ108"/>
  <c r="BJ108" s="1"/>
  <c r="AZ107"/>
  <c r="BJ107" s="1"/>
  <c r="AZ106"/>
  <c r="AZ105"/>
  <c r="BJ105" s="1"/>
  <c r="AZ104"/>
  <c r="AZ103"/>
  <c r="BJ103" s="1"/>
  <c r="AZ102"/>
  <c r="BJ102" s="1"/>
  <c r="AZ101"/>
  <c r="BJ101" s="1"/>
  <c r="AZ100"/>
  <c r="BJ100" s="1"/>
  <c r="AZ99"/>
  <c r="BJ99" s="1"/>
  <c r="AZ98"/>
  <c r="BJ98" s="1"/>
  <c r="AZ97"/>
  <c r="BJ97" s="1"/>
  <c r="AZ95"/>
  <c r="BJ95" s="1"/>
  <c r="AO631" i="22"/>
  <c r="AO630"/>
  <c r="AO629"/>
  <c r="AO628"/>
  <c r="AO627"/>
  <c r="AO626"/>
  <c r="AO625"/>
  <c r="AO624"/>
  <c r="AO623"/>
  <c r="AO622"/>
  <c r="AO621"/>
  <c r="AO620"/>
  <c r="AO619"/>
  <c r="AO618"/>
  <c r="AO617"/>
  <c r="AO616"/>
  <c r="AO615"/>
  <c r="AO614"/>
  <c r="AO613"/>
  <c r="AO612"/>
  <c r="AO608"/>
  <c r="AO607"/>
  <c r="AO606"/>
  <c r="AO605"/>
  <c r="AO604"/>
  <c r="AO603"/>
  <c r="AO602"/>
  <c r="AO601"/>
  <c r="AO600"/>
  <c r="AO599"/>
  <c r="AO598"/>
  <c r="AO597"/>
  <c r="AO595"/>
  <c r="AQ595" s="1"/>
  <c r="AO594"/>
  <c r="AQ594" s="1"/>
  <c r="AO593"/>
  <c r="AQ593" s="1"/>
  <c r="AO592"/>
  <c r="AQ592" s="1"/>
  <c r="AO591"/>
  <c r="AQ591" s="1"/>
  <c r="AO590"/>
  <c r="AO589"/>
  <c r="AO588"/>
  <c r="AO587"/>
  <c r="AQ587" s="1"/>
  <c r="AO586"/>
  <c r="AQ586" s="1"/>
  <c r="AO585"/>
  <c r="AQ585" s="1"/>
  <c r="AO584"/>
  <c r="AQ584" s="1"/>
  <c r="AO583"/>
  <c r="AQ583" s="1"/>
  <c r="AO582"/>
  <c r="AQ582" s="1"/>
  <c r="AO581"/>
  <c r="AQ581" s="1"/>
  <c r="AO580"/>
  <c r="AQ580" s="1"/>
  <c r="AO579"/>
  <c r="AQ579" s="1"/>
  <c r="AO578"/>
  <c r="AQ578" s="1"/>
  <c r="AO577"/>
  <c r="AO575"/>
  <c r="AO574"/>
  <c r="AO573"/>
  <c r="AO572"/>
  <c r="AO571"/>
  <c r="AO570"/>
  <c r="AO569"/>
  <c r="AO568"/>
  <c r="AO567"/>
  <c r="AO566"/>
  <c r="AO565"/>
  <c r="AO564"/>
  <c r="AO563"/>
  <c r="AO562"/>
  <c r="AO561"/>
  <c r="AO560"/>
  <c r="AO559"/>
  <c r="AO558"/>
  <c r="AO557"/>
  <c r="AO556"/>
  <c r="AO555"/>
  <c r="AO554"/>
  <c r="AO553"/>
  <c r="AO552"/>
  <c r="AO551"/>
  <c r="AO550"/>
  <c r="AO549"/>
  <c r="AO547"/>
  <c r="AO546"/>
  <c r="AO545"/>
  <c r="AO544"/>
  <c r="AO543"/>
  <c r="AO542"/>
  <c r="AO541"/>
  <c r="AO540"/>
  <c r="AO485"/>
  <c r="AO484"/>
  <c r="AO483"/>
  <c r="AO482"/>
  <c r="AO481"/>
  <c r="AO480"/>
  <c r="AO479"/>
  <c r="AO478"/>
  <c r="AO477"/>
  <c r="AO476"/>
  <c r="AO475"/>
  <c r="AO474"/>
  <c r="AO473"/>
  <c r="AO472"/>
  <c r="AO471"/>
  <c r="AO470"/>
  <c r="AO469"/>
  <c r="AO468"/>
  <c r="AO467"/>
  <c r="AO466"/>
  <c r="AO465"/>
  <c r="AO464"/>
  <c r="AO463"/>
  <c r="AO462"/>
  <c r="AO461"/>
  <c r="AO460"/>
  <c r="AO459"/>
  <c r="AO458"/>
  <c r="AO457"/>
  <c r="AO456"/>
  <c r="AO455"/>
  <c r="AO454"/>
  <c r="AO453"/>
  <c r="AO452"/>
  <c r="AO451"/>
  <c r="AO450"/>
  <c r="AO449"/>
  <c r="AO448"/>
  <c r="AO447"/>
  <c r="AO445"/>
  <c r="AO444"/>
  <c r="AO443"/>
  <c r="AO439"/>
  <c r="AO438"/>
  <c r="AO437"/>
  <c r="AO436"/>
  <c r="AO435"/>
  <c r="AO434"/>
  <c r="AO433"/>
  <c r="AO432"/>
  <c r="AO431"/>
  <c r="AQ431" s="1"/>
  <c r="AO430"/>
  <c r="AQ430" s="1"/>
  <c r="AO429"/>
  <c r="AQ429" s="1"/>
  <c r="AO428"/>
  <c r="AQ428" s="1"/>
  <c r="AO422"/>
  <c r="AO421"/>
  <c r="AQ421" s="1"/>
  <c r="AO420"/>
  <c r="AQ420" s="1"/>
  <c r="AO419"/>
  <c r="AQ419" s="1"/>
  <c r="AO418"/>
  <c r="AO417"/>
  <c r="AO416"/>
  <c r="AO412"/>
  <c r="AO406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2"/>
  <c r="AO331"/>
  <c r="AO330"/>
  <c r="AO329"/>
  <c r="AO328"/>
  <c r="AO327"/>
  <c r="AO326"/>
  <c r="AO325"/>
  <c r="AO324"/>
  <c r="AO322"/>
  <c r="AO320"/>
  <c r="AO319"/>
  <c r="AO318"/>
  <c r="AO317"/>
  <c r="AO316"/>
  <c r="AO315"/>
  <c r="AO314"/>
  <c r="AO313"/>
  <c r="AO312"/>
  <c r="AO311"/>
  <c r="AO310"/>
  <c r="AO309"/>
  <c r="AO308"/>
  <c r="AO307"/>
  <c r="AO306"/>
  <c r="AO305"/>
  <c r="AO301"/>
  <c r="AO300"/>
  <c r="AO299"/>
  <c r="AO298"/>
  <c r="AO297"/>
  <c r="AO296"/>
  <c r="AO295"/>
  <c r="AO294"/>
  <c r="AO293"/>
  <c r="AO292"/>
  <c r="AO291"/>
  <c r="AO290"/>
  <c r="AO289"/>
  <c r="AO288"/>
  <c r="AO287"/>
  <c r="AO286"/>
  <c r="AO285"/>
  <c r="AO284"/>
  <c r="AQ284" s="1"/>
  <c r="AO283"/>
  <c r="AO282"/>
  <c r="AO281"/>
  <c r="AO280"/>
  <c r="AO279"/>
  <c r="AO278"/>
  <c r="AO277"/>
  <c r="AO276"/>
  <c r="AO275"/>
  <c r="AO274"/>
  <c r="AO273"/>
  <c r="AO272"/>
  <c r="AO253"/>
  <c r="AO252"/>
  <c r="AO251"/>
  <c r="AO250"/>
  <c r="AO249"/>
  <c r="AO248"/>
  <c r="AQ248" s="1"/>
  <c r="AO247"/>
  <c r="AO246"/>
  <c r="AO245"/>
  <c r="AO244"/>
  <c r="AO243"/>
  <c r="AO242"/>
  <c r="AO241"/>
  <c r="AO240"/>
  <c r="AO239"/>
  <c r="AO238"/>
  <c r="AO237"/>
  <c r="AO236"/>
  <c r="AQ236" s="1"/>
  <c r="AO235"/>
  <c r="AO234"/>
  <c r="AO233"/>
  <c r="AO232"/>
  <c r="AO231"/>
  <c r="AO230"/>
  <c r="AO229"/>
  <c r="AO228"/>
  <c r="AO227"/>
  <c r="AO226"/>
  <c r="AO225"/>
  <c r="AO224"/>
  <c r="AO223"/>
  <c r="AO222"/>
  <c r="AO221"/>
  <c r="AO220"/>
  <c r="AO219"/>
  <c r="AO218"/>
  <c r="AO217"/>
  <c r="AO216"/>
  <c r="AO215"/>
  <c r="AO214"/>
  <c r="AO213"/>
  <c r="AO212"/>
  <c r="AO211"/>
  <c r="AO210"/>
  <c r="AO209"/>
  <c r="AQ209" s="1"/>
  <c r="AO208"/>
  <c r="AQ208" s="1"/>
  <c r="AO207"/>
  <c r="AO206"/>
  <c r="AO205"/>
  <c r="AQ205" s="1"/>
  <c r="AO204"/>
  <c r="AO203"/>
  <c r="AQ203" s="1"/>
  <c r="AO201"/>
  <c r="AQ201" s="1"/>
  <c r="AO200"/>
  <c r="AO199"/>
  <c r="AQ199" s="1"/>
  <c r="AO198"/>
  <c r="AQ198" s="1"/>
  <c r="AO197"/>
  <c r="AQ197" s="1"/>
  <c r="AO196"/>
  <c r="AQ196" s="1"/>
  <c r="AO195"/>
  <c r="AQ195" s="1"/>
  <c r="AO194"/>
  <c r="AQ194" s="1"/>
  <c r="AO192"/>
  <c r="AQ192" s="1"/>
  <c r="AO190"/>
  <c r="AQ190" s="1"/>
  <c r="AO189"/>
  <c r="AO188"/>
  <c r="AQ188" s="1"/>
  <c r="AO187"/>
  <c r="AO186"/>
  <c r="AQ186" s="1"/>
  <c r="AO185"/>
  <c r="AQ185" s="1"/>
  <c r="AO184"/>
  <c r="AQ184" s="1"/>
  <c r="AO183"/>
  <c r="AQ183" s="1"/>
  <c r="AO179"/>
  <c r="AQ179" s="1"/>
  <c r="AO178"/>
  <c r="AQ178" s="1"/>
  <c r="AO177"/>
  <c r="AO176"/>
  <c r="AQ176" s="1"/>
  <c r="AO175"/>
  <c r="AO174"/>
  <c r="AO171"/>
  <c r="AO169"/>
  <c r="AO168"/>
  <c r="AO167"/>
  <c r="AO166"/>
  <c r="AO165"/>
  <c r="AO164"/>
  <c r="AO163"/>
  <c r="AO162"/>
  <c r="AO161"/>
  <c r="AQ161" s="1"/>
  <c r="AO160"/>
  <c r="AO158"/>
  <c r="AO157"/>
  <c r="AO156"/>
  <c r="AQ156" s="1"/>
  <c r="AO155"/>
  <c r="AQ155" s="1"/>
  <c r="AO154"/>
  <c r="AQ154" s="1"/>
  <c r="AO153"/>
  <c r="AO152"/>
  <c r="AO149"/>
  <c r="AQ149" s="1"/>
  <c r="AO148"/>
  <c r="AO147"/>
  <c r="AO146"/>
  <c r="AQ146" s="1"/>
  <c r="AO145"/>
  <c r="AQ145" s="1"/>
  <c r="AO144"/>
  <c r="AO143"/>
  <c r="AO142"/>
  <c r="AO141"/>
  <c r="AO140"/>
  <c r="AO138"/>
  <c r="AO137"/>
  <c r="AO136"/>
  <c r="AO135"/>
  <c r="AO134"/>
  <c r="AO133"/>
  <c r="AO132"/>
  <c r="AO131"/>
  <c r="AO130"/>
  <c r="AO129"/>
  <c r="AO128"/>
  <c r="AO127"/>
  <c r="AO125"/>
  <c r="AO124"/>
  <c r="AO123"/>
  <c r="AO122"/>
  <c r="AO120"/>
  <c r="AO119"/>
  <c r="AO117"/>
  <c r="AO116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Q97" s="1"/>
  <c r="AO96"/>
  <c r="AO95"/>
  <c r="Y631"/>
  <c r="Y630"/>
  <c r="Y629"/>
  <c r="Y628"/>
  <c r="Y627"/>
  <c r="Y626"/>
  <c r="Y625"/>
  <c r="Y624"/>
  <c r="Y623"/>
  <c r="Y622"/>
  <c r="AQ622" s="1"/>
  <c r="Y621"/>
  <c r="AQ621" s="1"/>
  <c r="Y620"/>
  <c r="AQ620" s="1"/>
  <c r="Y619"/>
  <c r="AQ619" s="1"/>
  <c r="Y618"/>
  <c r="AQ618" s="1"/>
  <c r="Y617"/>
  <c r="AQ617" s="1"/>
  <c r="Y616"/>
  <c r="AQ616" s="1"/>
  <c r="Y615"/>
  <c r="AQ615" s="1"/>
  <c r="Y614"/>
  <c r="AQ614" s="1"/>
  <c r="Y613"/>
  <c r="AQ613" s="1"/>
  <c r="Y612"/>
  <c r="Y608"/>
  <c r="Y607"/>
  <c r="Y606"/>
  <c r="Y605"/>
  <c r="Y604"/>
  <c r="Y603"/>
  <c r="Y602"/>
  <c r="Y601"/>
  <c r="Y600"/>
  <c r="Y599"/>
  <c r="Y598"/>
  <c r="Y597"/>
  <c r="Y577"/>
  <c r="Y575"/>
  <c r="Y574"/>
  <c r="AQ574" s="1"/>
  <c r="Y573"/>
  <c r="Y572"/>
  <c r="Y571"/>
  <c r="Y570"/>
  <c r="Y569"/>
  <c r="AQ569" s="1"/>
  <c r="Y568"/>
  <c r="Y567"/>
  <c r="AQ567" s="1"/>
  <c r="Y566"/>
  <c r="AQ566" s="1"/>
  <c r="Y565"/>
  <c r="Y564"/>
  <c r="AQ564" s="1"/>
  <c r="Y563"/>
  <c r="AQ563" s="1"/>
  <c r="Y562"/>
  <c r="Y561"/>
  <c r="Y560"/>
  <c r="AQ560" s="1"/>
  <c r="Y559"/>
  <c r="Y558"/>
  <c r="Y557"/>
  <c r="Y556"/>
  <c r="Y555"/>
  <c r="Y554"/>
  <c r="AQ554" s="1"/>
  <c r="Y553"/>
  <c r="Y552"/>
  <c r="Y551"/>
  <c r="Y550"/>
  <c r="Y549"/>
  <c r="Y547"/>
  <c r="Y546"/>
  <c r="Y545"/>
  <c r="Y544"/>
  <c r="Y543"/>
  <c r="Y542"/>
  <c r="Y541"/>
  <c r="Y540"/>
  <c r="Y485"/>
  <c r="Y484"/>
  <c r="Y483"/>
  <c r="Y482"/>
  <c r="Y481"/>
  <c r="Y480"/>
  <c r="Y479"/>
  <c r="Y478"/>
  <c r="Y477"/>
  <c r="Y476"/>
  <c r="Y475"/>
  <c r="Y474"/>
  <c r="Y473"/>
  <c r="Y472"/>
  <c r="Y471"/>
  <c r="Y470"/>
  <c r="Y469"/>
  <c r="Y468"/>
  <c r="Y467"/>
  <c r="Y466"/>
  <c r="Y465"/>
  <c r="Y464"/>
  <c r="Y463"/>
  <c r="Y462"/>
  <c r="Y461"/>
  <c r="AQ461" s="1"/>
  <c r="Y460"/>
  <c r="Y459"/>
  <c r="Y458"/>
  <c r="Y457"/>
  <c r="Y456"/>
  <c r="AQ456" s="1"/>
  <c r="Y455"/>
  <c r="AQ455" s="1"/>
  <c r="Y454"/>
  <c r="AQ454" s="1"/>
  <c r="Y453"/>
  <c r="AQ453" s="1"/>
  <c r="Y452"/>
  <c r="Y451"/>
  <c r="Y450"/>
  <c r="Y449"/>
  <c r="Y448"/>
  <c r="Y447"/>
  <c r="Y445"/>
  <c r="Y444"/>
  <c r="AQ444" s="1"/>
  <c r="Y443"/>
  <c r="Y439"/>
  <c r="Y438"/>
  <c r="AQ438" s="1"/>
  <c r="Y437"/>
  <c r="AQ437" s="1"/>
  <c r="Y436"/>
  <c r="Y435"/>
  <c r="AQ435" s="1"/>
  <c r="Y434"/>
  <c r="Y433"/>
  <c r="AQ433" s="1"/>
  <c r="Y432"/>
  <c r="Y418"/>
  <c r="Y417"/>
  <c r="Y416"/>
  <c r="Y412"/>
  <c r="AQ412" s="1"/>
  <c r="Y406"/>
  <c r="AQ406" s="1"/>
  <c r="Y373"/>
  <c r="Y372"/>
  <c r="Y371"/>
  <c r="Y370"/>
  <c r="Y369"/>
  <c r="Y368"/>
  <c r="Y367"/>
  <c r="Y366"/>
  <c r="AQ366" s="1"/>
  <c r="Y365"/>
  <c r="Y364"/>
  <c r="AQ364" s="1"/>
  <c r="Y363"/>
  <c r="Y362"/>
  <c r="Y361"/>
  <c r="Y360"/>
  <c r="Y359"/>
  <c r="AQ359" s="1"/>
  <c r="Y358"/>
  <c r="AQ358" s="1"/>
  <c r="Y357"/>
  <c r="Y356"/>
  <c r="Y355"/>
  <c r="Y354"/>
  <c r="Y353"/>
  <c r="Y349"/>
  <c r="Y348"/>
  <c r="Y347"/>
  <c r="Y346"/>
  <c r="Y345"/>
  <c r="AQ345" s="1"/>
  <c r="Y344"/>
  <c r="Y343"/>
  <c r="Y342"/>
  <c r="Y341"/>
  <c r="Y340"/>
  <c r="Y339"/>
  <c r="Y338"/>
  <c r="Y337"/>
  <c r="Y336"/>
  <c r="Y335"/>
  <c r="Y334"/>
  <c r="Y332"/>
  <c r="Y331"/>
  <c r="Y330"/>
  <c r="Y329"/>
  <c r="Y328"/>
  <c r="Y327"/>
  <c r="Y326"/>
  <c r="Y325"/>
  <c r="Y324"/>
  <c r="Y322"/>
  <c r="Y320"/>
  <c r="Y319"/>
  <c r="Y318"/>
  <c r="Y317"/>
  <c r="Y316"/>
  <c r="Y315"/>
  <c r="Y314"/>
  <c r="Y313"/>
  <c r="Y312"/>
  <c r="Y311"/>
  <c r="Y310"/>
  <c r="Y309"/>
  <c r="Y308"/>
  <c r="Y307"/>
  <c r="Y306"/>
  <c r="Y305"/>
  <c r="Y304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1"/>
  <c r="Y280"/>
  <c r="Y279"/>
  <c r="Y278"/>
  <c r="Y277"/>
  <c r="Y276"/>
  <c r="Y275"/>
  <c r="Y253"/>
  <c r="Y252"/>
  <c r="Y251"/>
  <c r="Y250"/>
  <c r="Y249"/>
  <c r="Y247"/>
  <c r="Y246"/>
  <c r="Y245"/>
  <c r="Y244"/>
  <c r="Y243"/>
  <c r="Y242"/>
  <c r="Y241"/>
  <c r="AQ241" s="1"/>
  <c r="Y240"/>
  <c r="Y239"/>
  <c r="Y238"/>
  <c r="AQ238" s="1"/>
  <c r="Y237"/>
  <c r="Y235"/>
  <c r="Y234"/>
  <c r="Y233"/>
  <c r="Y232"/>
  <c r="Y231"/>
  <c r="Y229"/>
  <c r="Y228"/>
  <c r="Y227"/>
  <c r="Y226"/>
  <c r="Y225"/>
  <c r="Y224"/>
  <c r="Y223"/>
  <c r="Y222"/>
  <c r="Y221"/>
  <c r="AQ221" s="1"/>
  <c r="Y220"/>
  <c r="Y219"/>
  <c r="Y218"/>
  <c r="AQ218" s="1"/>
  <c r="Y217"/>
  <c r="Y216"/>
  <c r="Y215"/>
  <c r="Y214"/>
  <c r="Y212"/>
  <c r="Y211"/>
  <c r="Y210"/>
  <c r="Y177"/>
  <c r="AQ177" s="1"/>
  <c r="Y171"/>
  <c r="Y170"/>
  <c r="AQ170" s="1"/>
  <c r="Y169"/>
  <c r="Y168"/>
  <c r="AQ168" s="1"/>
  <c r="Y165"/>
  <c r="Y164"/>
  <c r="Y163"/>
  <c r="Y162"/>
  <c r="Y158"/>
  <c r="Y157"/>
  <c r="Y141"/>
  <c r="Y140"/>
  <c r="Y138"/>
  <c r="Y137"/>
  <c r="Y136"/>
  <c r="Y135"/>
  <c r="Y134"/>
  <c r="Y133"/>
  <c r="Y132"/>
  <c r="Y131"/>
  <c r="Y130"/>
  <c r="Y129"/>
  <c r="Y128"/>
  <c r="Y127"/>
  <c r="Y125"/>
  <c r="Y124"/>
  <c r="Y123"/>
  <c r="Y122"/>
  <c r="Y120"/>
  <c r="Y119"/>
  <c r="Y118"/>
  <c r="AQ118" s="1"/>
  <c r="Y117"/>
  <c r="Y116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6"/>
  <c r="Y95"/>
  <c r="AG413" i="15"/>
  <c r="AG407"/>
  <c r="AG405"/>
  <c r="AG404"/>
  <c r="AD390" i="16"/>
  <c r="AD387"/>
  <c r="AG320" i="15"/>
  <c r="AG314"/>
  <c r="AG305"/>
  <c r="AG300"/>
  <c r="AG298"/>
  <c r="AG296"/>
  <c r="O295" i="14"/>
  <c r="AG295" i="15"/>
  <c r="AG288"/>
  <c r="AG286"/>
  <c r="AG276"/>
  <c r="AG137"/>
  <c r="AG132"/>
  <c r="M128"/>
  <c r="G128" i="16"/>
  <c r="AG125" i="15"/>
  <c r="AG114"/>
  <c r="AG101"/>
  <c r="G97" i="16"/>
  <c r="AG93" i="15"/>
  <c r="AG90"/>
  <c r="AG91"/>
  <c r="AG86"/>
  <c r="AG577"/>
  <c r="AG573"/>
  <c r="AG565"/>
  <c r="AG563"/>
  <c r="AG553"/>
  <c r="AG552"/>
  <c r="AA549" i="14"/>
  <c r="AG548" i="15"/>
  <c r="AZ543" i="2"/>
  <c r="BJ543" s="1"/>
  <c r="AG545" i="15"/>
  <c r="AG481"/>
  <c r="AG480"/>
  <c r="S481" i="10"/>
  <c r="K480" i="14"/>
  <c r="AG477" i="15"/>
  <c r="G478" i="16"/>
  <c r="AG475" i="15"/>
  <c r="AG474"/>
  <c r="AG472"/>
  <c r="AG468"/>
  <c r="AG464"/>
  <c r="M465" i="16"/>
  <c r="AG460" i="15"/>
  <c r="AG455"/>
  <c r="AG452"/>
  <c r="AG450"/>
  <c r="AG449"/>
  <c r="AG447"/>
  <c r="Y445" i="1"/>
  <c r="AG444" i="15"/>
  <c r="AK442" i="1"/>
  <c r="G440" i="16"/>
  <c r="G85"/>
  <c r="G86"/>
  <c r="G88"/>
  <c r="G89"/>
  <c r="G91"/>
  <c r="G93"/>
  <c r="G96"/>
  <c r="G99"/>
  <c r="M85" i="15"/>
  <c r="AW86" i="17"/>
  <c r="M86" i="15"/>
  <c r="AW87" i="17"/>
  <c r="AW88"/>
  <c r="AG88" i="15"/>
  <c r="M88"/>
  <c r="AW89" i="17"/>
  <c r="AG89" i="15"/>
  <c r="M89"/>
  <c r="AW90" i="17"/>
  <c r="M90" i="15"/>
  <c r="AI90" s="1"/>
  <c r="AW91" i="17"/>
  <c r="M91" i="15"/>
  <c r="AW92" i="17"/>
  <c r="AG92" i="15"/>
  <c r="M92"/>
  <c r="AW93" i="17"/>
  <c r="M93" i="15"/>
  <c r="AW94" i="17"/>
  <c r="AG94" i="15"/>
  <c r="M94"/>
  <c r="AW95" i="17"/>
  <c r="AG95" i="15"/>
  <c r="M95"/>
  <c r="AW96" i="17"/>
  <c r="AG96" i="15"/>
  <c r="M96"/>
  <c r="AW97" i="17"/>
  <c r="AG97" i="15"/>
  <c r="M97"/>
  <c r="AW98" i="17"/>
  <c r="AG98" i="15"/>
  <c r="M98"/>
  <c r="AW99" i="17"/>
  <c r="AG99" i="15"/>
  <c r="M99"/>
  <c r="AW100" i="17"/>
  <c r="AG100" i="15"/>
  <c r="M100"/>
  <c r="AW101" i="17"/>
  <c r="M101" i="15"/>
  <c r="AW102" i="17"/>
  <c r="AG102" i="15"/>
  <c r="M102"/>
  <c r="AW103" i="17"/>
  <c r="AG103" i="15"/>
  <c r="M103"/>
  <c r="AW104" i="17"/>
  <c r="AG104" i="15"/>
  <c r="M104"/>
  <c r="AW105" i="17"/>
  <c r="AG105" i="15"/>
  <c r="M105"/>
  <c r="AW106" i="17"/>
  <c r="AG106" i="15"/>
  <c r="M106"/>
  <c r="AW107" i="17"/>
  <c r="AG107" i="15"/>
  <c r="M107"/>
  <c r="AW108" i="17"/>
  <c r="AG108" i="15"/>
  <c r="M108"/>
  <c r="AW109" i="17"/>
  <c r="AG109" i="15"/>
  <c r="M109"/>
  <c r="AW110" i="17"/>
  <c r="AG110" i="15"/>
  <c r="M110"/>
  <c r="AW111" i="17"/>
  <c r="M111" i="15"/>
  <c r="AW112" i="17"/>
  <c r="AG112" i="15"/>
  <c r="M112"/>
  <c r="AW113" i="17"/>
  <c r="AG113" i="15"/>
  <c r="M113"/>
  <c r="AW114" i="17"/>
  <c r="M114" i="15"/>
  <c r="AW116" i="17"/>
  <c r="AG116" i="15"/>
  <c r="M116"/>
  <c r="AW117" i="17"/>
  <c r="AG117" i="15"/>
  <c r="M117"/>
  <c r="AW118" i="17"/>
  <c r="AG118" i="15"/>
  <c r="M118"/>
  <c r="AW119" i="17"/>
  <c r="AG119" i="15"/>
  <c r="M119"/>
  <c r="AW120" i="17"/>
  <c r="AG120" i="15"/>
  <c r="M120"/>
  <c r="AW122" i="17"/>
  <c r="AG122" i="15"/>
  <c r="M122"/>
  <c r="AW123" i="17"/>
  <c r="AG123" i="15"/>
  <c r="M123"/>
  <c r="AW124" i="17"/>
  <c r="AG124" i="15"/>
  <c r="M124"/>
  <c r="AW125" i="17"/>
  <c r="M125" i="15"/>
  <c r="AW126" i="17"/>
  <c r="AG126" i="15"/>
  <c r="M126"/>
  <c r="AW127" i="17"/>
  <c r="AG127" i="15"/>
  <c r="M127"/>
  <c r="AW128" i="17"/>
  <c r="AG128" i="15"/>
  <c r="AI128" s="1"/>
  <c r="AW129" i="17"/>
  <c r="AG129" i="15"/>
  <c r="M129"/>
  <c r="AW130" i="17"/>
  <c r="AG130" i="15"/>
  <c r="M130"/>
  <c r="AW131" i="17"/>
  <c r="AG131" i="15"/>
  <c r="M131"/>
  <c r="AW132" i="17"/>
  <c r="M132" i="15"/>
  <c r="AW133" i="17"/>
  <c r="AG133" i="15"/>
  <c r="M133"/>
  <c r="AW134" i="17"/>
  <c r="AG134" i="15"/>
  <c r="M134"/>
  <c r="AW135" i="17"/>
  <c r="AG135" i="15"/>
  <c r="M135"/>
  <c r="AW136" i="17"/>
  <c r="AG136" i="15"/>
  <c r="M136"/>
  <c r="AW137" i="17"/>
  <c r="M137" i="15"/>
  <c r="AW138" i="17"/>
  <c r="AG138" i="15"/>
  <c r="M138"/>
  <c r="AW140" i="17"/>
  <c r="AG140" i="15"/>
  <c r="M140"/>
  <c r="AW141" i="17"/>
  <c r="AG141" i="15"/>
  <c r="M141"/>
  <c r="M142"/>
  <c r="AI142" s="1"/>
  <c r="AY142" i="17" s="1"/>
  <c r="BC142" s="1"/>
  <c r="BE142" s="1"/>
  <c r="AW143"/>
  <c r="M143" i="15"/>
  <c r="AI143" s="1"/>
  <c r="AW145" i="17"/>
  <c r="M145" i="15"/>
  <c r="AI145" s="1"/>
  <c r="AW146" i="17"/>
  <c r="M146" i="15"/>
  <c r="M148"/>
  <c r="AI148" s="1"/>
  <c r="AW149" i="17"/>
  <c r="AG149" i="15"/>
  <c r="M149"/>
  <c r="AW150" i="17"/>
  <c r="M150" i="15"/>
  <c r="M152"/>
  <c r="AI152" s="1"/>
  <c r="AY152" i="17" s="1"/>
  <c r="BC152" s="1"/>
  <c r="BE152" s="1"/>
  <c r="AW153"/>
  <c r="AG153" i="15"/>
  <c r="M153"/>
  <c r="AW154" i="17"/>
  <c r="AG154" i="15"/>
  <c r="M154"/>
  <c r="AW155" i="17"/>
  <c r="AG158" i="15"/>
  <c r="M158"/>
  <c r="AW156" i="17"/>
  <c r="AG159" i="15"/>
  <c r="M159"/>
  <c r="AW160" i="17"/>
  <c r="AG160" i="15"/>
  <c r="M160"/>
  <c r="AW161" i="17"/>
  <c r="AG161" i="15"/>
  <c r="M161"/>
  <c r="AG163"/>
  <c r="M163"/>
  <c r="AW164" i="17"/>
  <c r="AG164" i="15"/>
  <c r="M164"/>
  <c r="AW165" i="17"/>
  <c r="AG165" i="15"/>
  <c r="M165"/>
  <c r="AW166" i="17"/>
  <c r="AG166" i="15"/>
  <c r="M166"/>
  <c r="AW167" i="17"/>
  <c r="AG167" i="15"/>
  <c r="M167"/>
  <c r="AW168" i="17"/>
  <c r="AG168" i="15"/>
  <c r="M168"/>
  <c r="M169"/>
  <c r="AI169" s="1"/>
  <c r="AY169" i="17" s="1"/>
  <c r="BC169" s="1"/>
  <c r="BE169" s="1"/>
  <c r="M170" i="15"/>
  <c r="AI170" s="1"/>
  <c r="AY170" i="17" s="1"/>
  <c r="BC170" s="1"/>
  <c r="BE170" s="1"/>
  <c r="AW171"/>
  <c r="AG171" i="15"/>
  <c r="M171"/>
  <c r="AW172" i="17"/>
  <c r="AG172" i="15"/>
  <c r="M172"/>
  <c r="AW173" i="17"/>
  <c r="AG173" i="15"/>
  <c r="M173"/>
  <c r="AW174" i="17"/>
  <c r="AG174" i="15"/>
  <c r="M174"/>
  <c r="M176"/>
  <c r="AI176" s="1"/>
  <c r="AY176" i="17" s="1"/>
  <c r="BC176" s="1"/>
  <c r="BE176" s="1"/>
  <c r="M178" i="15"/>
  <c r="AI178" s="1"/>
  <c r="AY178" i="17" s="1"/>
  <c r="BC178" s="1"/>
  <c r="BE178" s="1"/>
  <c r="AW179"/>
  <c r="M179" i="15"/>
  <c r="AI179" s="1"/>
  <c r="AW180" i="17"/>
  <c r="M180" i="15"/>
  <c r="AI180" s="1"/>
  <c r="AW181" i="17"/>
  <c r="AG181" i="15"/>
  <c r="AG182"/>
  <c r="AI182" s="1"/>
  <c r="AY182" i="17" s="1"/>
  <c r="BC182" s="1"/>
  <c r="BE182" s="1"/>
  <c r="AY185"/>
  <c r="BC185" s="1"/>
  <c r="BE185" s="1"/>
  <c r="AG187" i="15"/>
  <c r="AI187" s="1"/>
  <c r="AY187" i="17" s="1"/>
  <c r="BC187" s="1"/>
  <c r="BE187" s="1"/>
  <c r="AW188"/>
  <c r="AG188" i="15"/>
  <c r="AW189" i="17"/>
  <c r="AG189" i="15"/>
  <c r="AW190" i="17"/>
  <c r="AG190" i="15"/>
  <c r="AG194"/>
  <c r="AW195" i="17"/>
  <c r="AG195" i="15"/>
  <c r="AW196" i="17"/>
  <c r="AG196" i="15"/>
  <c r="AW197" i="17"/>
  <c r="AG197" i="15"/>
  <c r="AI197" s="1"/>
  <c r="AW198" i="17"/>
  <c r="AG198" i="15"/>
  <c r="AW199" i="17"/>
  <c r="AG199" i="15"/>
  <c r="AI199" s="1"/>
  <c r="AW200" i="17"/>
  <c r="AG200" i="15"/>
  <c r="AW201" i="17"/>
  <c r="AG201" i="15"/>
  <c r="AW205" i="17"/>
  <c r="AG205" i="15"/>
  <c r="AI205" s="1"/>
  <c r="AW206" i="17"/>
  <c r="AG206" i="15"/>
  <c r="AW207" i="17"/>
  <c r="AG207" i="15"/>
  <c r="AI207" s="1"/>
  <c r="AW208" i="17"/>
  <c r="AG208" i="15"/>
  <c r="AW209" i="17"/>
  <c r="AG209" i="15"/>
  <c r="AI209" s="1"/>
  <c r="AW210" i="17"/>
  <c r="AG210" i="15"/>
  <c r="AI210" s="1"/>
  <c r="M210"/>
  <c r="AW211" i="17"/>
  <c r="AG211" i="15"/>
  <c r="M211"/>
  <c r="AW212" i="17"/>
  <c r="AG212" i="15"/>
  <c r="M212"/>
  <c r="AW213" i="17"/>
  <c r="M213" i="15"/>
  <c r="AI213" s="1"/>
  <c r="AW214" i="17"/>
  <c r="AG214" i="15"/>
  <c r="M214"/>
  <c r="AW215" i="17"/>
  <c r="AG215" i="15"/>
  <c r="M215"/>
  <c r="M216"/>
  <c r="AI216" s="1"/>
  <c r="AY216" i="17" s="1"/>
  <c r="BC216" s="1"/>
  <c r="BE216" s="1"/>
  <c r="AW217"/>
  <c r="AG217" i="15"/>
  <c r="M217"/>
  <c r="AW218" i="17"/>
  <c r="AG218" i="15"/>
  <c r="M218"/>
  <c r="AW219" i="17"/>
  <c r="AG219" i="15"/>
  <c r="AI219" s="1"/>
  <c r="M219"/>
  <c r="AW220" i="17"/>
  <c r="AG220" i="15"/>
  <c r="M220"/>
  <c r="AW221" i="17"/>
  <c r="AG221" i="15"/>
  <c r="M221"/>
  <c r="AW222" i="17"/>
  <c r="AG222" i="15"/>
  <c r="M222"/>
  <c r="AW223" i="17"/>
  <c r="AG223" i="15"/>
  <c r="AI223" s="1"/>
  <c r="M223"/>
  <c r="AW224" i="17"/>
  <c r="AG224" i="15"/>
  <c r="M224"/>
  <c r="AW225" i="17"/>
  <c r="AG225" i="15"/>
  <c r="M225"/>
  <c r="AW226" i="17"/>
  <c r="AG226" i="15"/>
  <c r="M226"/>
  <c r="AW227" i="17"/>
  <c r="AG227" i="15"/>
  <c r="M227"/>
  <c r="AW228" i="17"/>
  <c r="AG228" i="15"/>
  <c r="M228"/>
  <c r="AW229" i="17"/>
  <c r="AG229" i="15"/>
  <c r="M229"/>
  <c r="M230"/>
  <c r="AI230" s="1"/>
  <c r="AY230" i="17" s="1"/>
  <c r="BC230" s="1"/>
  <c r="BE230" s="1"/>
  <c r="AW231"/>
  <c r="M231" i="15"/>
  <c r="AI231" s="1"/>
  <c r="AG232"/>
  <c r="M232"/>
  <c r="AW233" i="17"/>
  <c r="AG236" i="15"/>
  <c r="M236"/>
  <c r="AW234" i="17"/>
  <c r="AG237" i="15"/>
  <c r="M237"/>
  <c r="AG238"/>
  <c r="M238"/>
  <c r="AW240" i="17"/>
  <c r="AG240" i="15"/>
  <c r="AI240" s="1"/>
  <c r="AW241" i="17"/>
  <c r="AG241" i="15"/>
  <c r="M241"/>
  <c r="AW242" i="17"/>
  <c r="M242" i="15"/>
  <c r="AI242" s="1"/>
  <c r="AW243" i="17"/>
  <c r="AG243" i="15"/>
  <c r="M243"/>
  <c r="AW244" i="17"/>
  <c r="AG244" i="15"/>
  <c r="M244"/>
  <c r="AW245" i="17"/>
  <c r="AG245" i="15"/>
  <c r="M245"/>
  <c r="AW246" i="17"/>
  <c r="AG246" i="15"/>
  <c r="M246"/>
  <c r="AW247" i="17"/>
  <c r="AG247" i="15"/>
  <c r="M247"/>
  <c r="AW248" i="17"/>
  <c r="AG248" i="15"/>
  <c r="M248"/>
  <c r="AW249" i="17"/>
  <c r="AG249" i="15"/>
  <c r="M249"/>
  <c r="AW250" i="17"/>
  <c r="AG250" i="15"/>
  <c r="M250"/>
  <c r="AW251" i="17"/>
  <c r="AG251" i="15"/>
  <c r="M251"/>
  <c r="AW252" i="17"/>
  <c r="AG252" i="15"/>
  <c r="M252"/>
  <c r="AW253" i="17"/>
  <c r="AG253" i="15"/>
  <c r="M253"/>
  <c r="AW254" i="17"/>
  <c r="AG254" i="15"/>
  <c r="M254"/>
  <c r="AW255" i="17"/>
  <c r="AG255" i="15"/>
  <c r="M255"/>
  <c r="AW256" i="17"/>
  <c r="AG256" i="15"/>
  <c r="AI256" s="1"/>
  <c r="M256"/>
  <c r="AG258"/>
  <c r="M258"/>
  <c r="AW274" i="17"/>
  <c r="AW275"/>
  <c r="AG275" i="15"/>
  <c r="M275"/>
  <c r="AW276" i="17"/>
  <c r="M276" i="15"/>
  <c r="AW277" i="17"/>
  <c r="AG277" i="15"/>
  <c r="M277"/>
  <c r="AW278" i="17"/>
  <c r="AG278" i="15"/>
  <c r="AI278" s="1"/>
  <c r="M278"/>
  <c r="AW279" i="17"/>
  <c r="AG279" i="15"/>
  <c r="M279"/>
  <c r="AW280" i="17"/>
  <c r="AG280" i="15"/>
  <c r="M280"/>
  <c r="AW281" i="17"/>
  <c r="AG281" i="15"/>
  <c r="AI284"/>
  <c r="AY284" i="17" s="1"/>
  <c r="BC284" s="1"/>
  <c r="BE284" s="1"/>
  <c r="AG285" i="15"/>
  <c r="AW286" i="17"/>
  <c r="AW287"/>
  <c r="AG287" i="15"/>
  <c r="AW288" i="17"/>
  <c r="M288" i="15"/>
  <c r="AW289" i="17"/>
  <c r="M289" i="15"/>
  <c r="AW290" i="17"/>
  <c r="AG290" i="15"/>
  <c r="AI290" s="1"/>
  <c r="M290"/>
  <c r="AW291" i="17"/>
  <c r="AG291" i="15"/>
  <c r="M291"/>
  <c r="AW292" i="17"/>
  <c r="AG292" i="15"/>
  <c r="M292"/>
  <c r="AW293" i="17"/>
  <c r="AG293" i="15"/>
  <c r="M293"/>
  <c r="AW294" i="17"/>
  <c r="AG294" i="15"/>
  <c r="M294"/>
  <c r="AW295" i="17"/>
  <c r="M295" i="15"/>
  <c r="AW296" i="17"/>
  <c r="M296" i="15"/>
  <c r="AW297" i="17"/>
  <c r="AG297" i="15"/>
  <c r="M297"/>
  <c r="AW298" i="17"/>
  <c r="M298" i="15"/>
  <c r="AW299" i="17"/>
  <c r="AG299" i="15"/>
  <c r="M299"/>
  <c r="AW300" i="17"/>
  <c r="M300" i="15"/>
  <c r="AW301" i="17"/>
  <c r="AG301" i="15"/>
  <c r="M301"/>
  <c r="M303"/>
  <c r="AI303" s="1"/>
  <c r="AY303" i="17" s="1"/>
  <c r="BC303" s="1"/>
  <c r="BE303" s="1"/>
  <c r="M304" i="15"/>
  <c r="AI304" s="1"/>
  <c r="AY304" i="17" s="1"/>
  <c r="BC304" s="1"/>
  <c r="BE304" s="1"/>
  <c r="M305" i="15"/>
  <c r="AW306" i="17"/>
  <c r="AG306" i="15"/>
  <c r="M306"/>
  <c r="AG310"/>
  <c r="M310"/>
  <c r="AG311"/>
  <c r="M311"/>
  <c r="AG312"/>
  <c r="M312"/>
  <c r="AG313"/>
  <c r="M313"/>
  <c r="M314"/>
  <c r="AG315"/>
  <c r="M315"/>
  <c r="AG316"/>
  <c r="M316"/>
  <c r="AG317"/>
  <c r="M317"/>
  <c r="AW318" i="17"/>
  <c r="AG318" i="15"/>
  <c r="M318"/>
  <c r="AW319" i="17"/>
  <c r="AG319" i="15"/>
  <c r="M319"/>
  <c r="AW320" i="17"/>
  <c r="M320" i="15"/>
  <c r="AW321" i="17"/>
  <c r="AG321" i="15"/>
  <c r="M321"/>
  <c r="AW322" i="17"/>
  <c r="AG322" i="15"/>
  <c r="M322"/>
  <c r="AW323" i="17"/>
  <c r="AG323" i="15"/>
  <c r="M323"/>
  <c r="AW325" i="17"/>
  <c r="AG325" i="15"/>
  <c r="M325"/>
  <c r="AW327" i="17"/>
  <c r="AG327" i="15"/>
  <c r="M327"/>
  <c r="AW328" i="17"/>
  <c r="AG328" i="15"/>
  <c r="M328"/>
  <c r="AW329" i="17"/>
  <c r="AG329" i="15"/>
  <c r="M329"/>
  <c r="AW330" i="17"/>
  <c r="AG330" i="15"/>
  <c r="M330"/>
  <c r="AW331" i="17"/>
  <c r="AG331" i="15"/>
  <c r="M331"/>
  <c r="AW332" i="17"/>
  <c r="AG332" i="15"/>
  <c r="M332"/>
  <c r="AW333" i="17"/>
  <c r="AG333" i="15"/>
  <c r="M333"/>
  <c r="AW334" i="17"/>
  <c r="AG334" i="15"/>
  <c r="M334"/>
  <c r="AW335" i="17"/>
  <c r="AG335" i="15"/>
  <c r="M335"/>
  <c r="AW337" i="17"/>
  <c r="AG337" i="15"/>
  <c r="M337"/>
  <c r="AW338" i="17"/>
  <c r="AG338" i="15"/>
  <c r="M338"/>
  <c r="AW339" i="17"/>
  <c r="AG339" i="15"/>
  <c r="M339"/>
  <c r="AW340" i="17"/>
  <c r="AG340" i="15"/>
  <c r="M340"/>
  <c r="AW341" i="17"/>
  <c r="AG341" i="15"/>
  <c r="M341"/>
  <c r="AW342" i="17"/>
  <c r="AG342" i="15"/>
  <c r="M342"/>
  <c r="AW343" i="17"/>
  <c r="AG343" i="15"/>
  <c r="M343"/>
  <c r="AW344" i="17"/>
  <c r="AG344" i="15"/>
  <c r="M344"/>
  <c r="AW345" i="17"/>
  <c r="AG345" i="15"/>
  <c r="M345"/>
  <c r="AW346" i="17"/>
  <c r="AG346" i="15"/>
  <c r="M346"/>
  <c r="AW347" i="17"/>
  <c r="AG347" i="15"/>
  <c r="M347"/>
  <c r="AW348" i="17"/>
  <c r="AG348" i="15"/>
  <c r="M348"/>
  <c r="AW349" i="17"/>
  <c r="AG349" i="15"/>
  <c r="M349"/>
  <c r="AW350" i="17"/>
  <c r="AG350" i="15"/>
  <c r="M350"/>
  <c r="AW351" i="17"/>
  <c r="AG351" i="15"/>
  <c r="M351"/>
  <c r="AW352" i="17"/>
  <c r="AG352" i="15"/>
  <c r="M352"/>
  <c r="AW353" i="17"/>
  <c r="AG353" i="15"/>
  <c r="M353"/>
  <c r="AW354" i="17"/>
  <c r="AG354" i="15"/>
  <c r="M354"/>
  <c r="AW355" i="17"/>
  <c r="AG355" i="15"/>
  <c r="M355"/>
  <c r="AW356" i="17"/>
  <c r="AG356" i="15"/>
  <c r="M356"/>
  <c r="AW357" i="17"/>
  <c r="AG357" i="15"/>
  <c r="M357"/>
  <c r="AW358" i="17"/>
  <c r="AG358" i="15"/>
  <c r="M358"/>
  <c r="AW359" i="17"/>
  <c r="AG359" i="15"/>
  <c r="M359"/>
  <c r="AW360" i="17"/>
  <c r="AG360" i="15"/>
  <c r="M360"/>
  <c r="AW361" i="17"/>
  <c r="AG361" i="15"/>
  <c r="M361"/>
  <c r="AW362" i="17"/>
  <c r="AG362" i="15"/>
  <c r="M362"/>
  <c r="AW363" i="17"/>
  <c r="AG363" i="15"/>
  <c r="M363"/>
  <c r="AW364" i="17"/>
  <c r="AG364" i="15"/>
  <c r="M364"/>
  <c r="AW365" i="17"/>
  <c r="AG365" i="15"/>
  <c r="M365"/>
  <c r="AW366" i="17"/>
  <c r="AG366" i="15"/>
  <c r="M366"/>
  <c r="AW367" i="17"/>
  <c r="AG367" i="15"/>
  <c r="M367"/>
  <c r="AW368" i="17"/>
  <c r="AG368" i="15"/>
  <c r="M368"/>
  <c r="AW369" i="17"/>
  <c r="AG369" i="15"/>
  <c r="M369"/>
  <c r="AW370" i="17"/>
  <c r="AG370" i="15"/>
  <c r="M370"/>
  <c r="AW371" i="17"/>
  <c r="AG371" i="15"/>
  <c r="M371"/>
  <c r="AW372" i="17"/>
  <c r="AG372" i="15"/>
  <c r="M372"/>
  <c r="AW373" i="17"/>
  <c r="AG373" i="15"/>
  <c r="M373"/>
  <c r="AG403"/>
  <c r="AG406"/>
  <c r="AG408"/>
  <c r="M408"/>
  <c r="AI412"/>
  <c r="AG414"/>
  <c r="AW420" i="17"/>
  <c r="AG419" i="15"/>
  <c r="M419"/>
  <c r="AW421" i="17"/>
  <c r="AG420" i="15"/>
  <c r="M420"/>
  <c r="AW422" i="17"/>
  <c r="AG421" i="15"/>
  <c r="AI421" s="1"/>
  <c r="AW423" i="17"/>
  <c r="AG422" i="15"/>
  <c r="AW424" i="17"/>
  <c r="AG423" i="15"/>
  <c r="AI423" s="1"/>
  <c r="AW425" i="17"/>
  <c r="AG424" i="15"/>
  <c r="AG425"/>
  <c r="AG426"/>
  <c r="AG427"/>
  <c r="AI427" s="1"/>
  <c r="AG428"/>
  <c r="AG429"/>
  <c r="AI429" s="1"/>
  <c r="AW431" i="17"/>
  <c r="AW432"/>
  <c r="AW433"/>
  <c r="AW434"/>
  <c r="AW435"/>
  <c r="AG434" i="15"/>
  <c r="M434"/>
  <c r="AW436" i="17"/>
  <c r="AG435" i="15"/>
  <c r="M435"/>
  <c r="AW437" i="17"/>
  <c r="AG436" i="15"/>
  <c r="M436"/>
  <c r="AW438" i="17"/>
  <c r="AG437" i="15"/>
  <c r="M437"/>
  <c r="AW439" i="17"/>
  <c r="AG438" i="15"/>
  <c r="M438"/>
  <c r="AW440" i="17"/>
  <c r="AG439" i="15"/>
  <c r="M439"/>
  <c r="AW441" i="17"/>
  <c r="AG440" i="15"/>
  <c r="M440"/>
  <c r="AW442" i="17"/>
  <c r="AG441" i="15"/>
  <c r="M441"/>
  <c r="AW443" i="17"/>
  <c r="AG442" i="15"/>
  <c r="M442"/>
  <c r="AW444" i="17"/>
  <c r="AG443" i="15"/>
  <c r="M443"/>
  <c r="AW445" i="17"/>
  <c r="M444" i="15"/>
  <c r="AW447" i="17"/>
  <c r="AG446" i="15"/>
  <c r="M446"/>
  <c r="AW448" i="17"/>
  <c r="M447" i="15"/>
  <c r="AI447" s="1"/>
  <c r="AW449" i="17"/>
  <c r="AG448" i="15"/>
  <c r="M448"/>
  <c r="AW450" i="17"/>
  <c r="M449" i="15"/>
  <c r="AI449" s="1"/>
  <c r="AW451" i="17"/>
  <c r="M450" i="15"/>
  <c r="AW452" i="17"/>
  <c r="AG451" i="15"/>
  <c r="M451"/>
  <c r="AW453" i="17"/>
  <c r="M452" i="15"/>
  <c r="AI452" s="1"/>
  <c r="AW454" i="17"/>
  <c r="AG453" i="15"/>
  <c r="M453"/>
  <c r="AW455" i="17"/>
  <c r="AG454" i="15"/>
  <c r="M454"/>
  <c r="AW456" i="17"/>
  <c r="M455" i="15"/>
  <c r="AW457" i="17"/>
  <c r="AG456" i="15"/>
  <c r="M456"/>
  <c r="AW458" i="17"/>
  <c r="M460" i="15"/>
  <c r="AI460" s="1"/>
  <c r="AW459" i="17"/>
  <c r="AG461" i="15"/>
  <c r="M461"/>
  <c r="AW460" i="17"/>
  <c r="AG462" i="15"/>
  <c r="M462"/>
  <c r="AW461" i="17"/>
  <c r="AG463" i="15"/>
  <c r="M463"/>
  <c r="AW462" i="17"/>
  <c r="M464" i="15"/>
  <c r="AI464" s="1"/>
  <c r="AW463" i="17"/>
  <c r="AG465" i="15"/>
  <c r="M465"/>
  <c r="AW464" i="17"/>
  <c r="AG466" i="15"/>
  <c r="M466"/>
  <c r="AW468" i="17"/>
  <c r="AG467" i="15"/>
  <c r="M467"/>
  <c r="AW469" i="17"/>
  <c r="M468" i="15"/>
  <c r="AW470" i="17"/>
  <c r="AG469" i="15"/>
  <c r="M469"/>
  <c r="AW471" i="17"/>
  <c r="AG470" i="15"/>
  <c r="M470"/>
  <c r="AW472" i="17"/>
  <c r="AG471" i="15"/>
  <c r="M471"/>
  <c r="AW473" i="17"/>
  <c r="M472" i="15"/>
  <c r="AW474" i="17"/>
  <c r="AG473" i="15"/>
  <c r="M473"/>
  <c r="AW475" i="17"/>
  <c r="M474" i="15"/>
  <c r="AW476" i="17"/>
  <c r="M475" i="15"/>
  <c r="AW477" i="17"/>
  <c r="AG476" i="15"/>
  <c r="M476"/>
  <c r="AW478" i="17"/>
  <c r="M477" i="15"/>
  <c r="AW479" i="17"/>
  <c r="M478" i="15"/>
  <c r="AW480" i="17"/>
  <c r="AG479" i="15"/>
  <c r="M479"/>
  <c r="AW481" i="17"/>
  <c r="M480" i="15"/>
  <c r="AW482" i="17"/>
  <c r="M481" i="15"/>
  <c r="AI481" s="1"/>
  <c r="AW483" i="17"/>
  <c r="AG482" i="15"/>
  <c r="M482"/>
  <c r="AW484" i="17"/>
  <c r="AG483" i="15"/>
  <c r="M483"/>
  <c r="AW485" i="17"/>
  <c r="AG484" i="15"/>
  <c r="M484"/>
  <c r="AW486" i="17"/>
  <c r="AG485" i="15"/>
  <c r="M485"/>
  <c r="AW487" i="17"/>
  <c r="AG486" i="15"/>
  <c r="M486"/>
  <c r="AW488" i="17"/>
  <c r="AG487" i="15"/>
  <c r="M487"/>
  <c r="AW543" i="17"/>
  <c r="AW544"/>
  <c r="AW545"/>
  <c r="AG544" i="15"/>
  <c r="M544"/>
  <c r="AW546" i="17"/>
  <c r="M545" i="15"/>
  <c r="AW547" i="17"/>
  <c r="AG546" i="15"/>
  <c r="M546"/>
  <c r="AW548" i="17"/>
  <c r="AG547" i="15"/>
  <c r="M547"/>
  <c r="AW549" i="17"/>
  <c r="M548" i="15"/>
  <c r="AW550" i="17"/>
  <c r="AG549" i="15"/>
  <c r="M549"/>
  <c r="AW552" i="17"/>
  <c r="AG551" i="15"/>
  <c r="M551"/>
  <c r="AW553" i="17"/>
  <c r="M552" i="15"/>
  <c r="AI552" s="1"/>
  <c r="AW554" i="17"/>
  <c r="M553" i="15"/>
  <c r="AG554"/>
  <c r="M554"/>
  <c r="AW556" i="17"/>
  <c r="AG555" i="15"/>
  <c r="M555"/>
  <c r="AW557" i="17"/>
  <c r="AG556" i="15"/>
  <c r="M556"/>
  <c r="AW558" i="17"/>
  <c r="AG557" i="15"/>
  <c r="M557"/>
  <c r="AW559" i="17"/>
  <c r="AG558" i="15"/>
  <c r="M558"/>
  <c r="AW560" i="17"/>
  <c r="AG559" i="15"/>
  <c r="M559"/>
  <c r="AW561" i="17"/>
  <c r="AG560" i="15"/>
  <c r="M560"/>
  <c r="AW562" i="17"/>
  <c r="AG561" i="15"/>
  <c r="M561"/>
  <c r="AW563" i="17"/>
  <c r="AG562" i="15"/>
  <c r="M562"/>
  <c r="AW564" i="17"/>
  <c r="M563" i="15"/>
  <c r="AI563" s="1"/>
  <c r="AW565" i="17"/>
  <c r="AG564" i="15"/>
  <c r="M564"/>
  <c r="AW566" i="17"/>
  <c r="M565" i="15"/>
  <c r="AW567" i="17"/>
  <c r="AG566" i="15"/>
  <c r="M566"/>
  <c r="AW568" i="17"/>
  <c r="AG567" i="15"/>
  <c r="M567"/>
  <c r="AW569" i="17"/>
  <c r="AG568" i="15"/>
  <c r="M568"/>
  <c r="AW570" i="17"/>
  <c r="AG569" i="15"/>
  <c r="M569"/>
  <c r="AW571" i="17"/>
  <c r="AG570" i="15"/>
  <c r="M570"/>
  <c r="AW572" i="17"/>
  <c r="AG571" i="15"/>
  <c r="M571"/>
  <c r="AW573" i="17"/>
  <c r="AG572" i="15"/>
  <c r="M572"/>
  <c r="AW574" i="17"/>
  <c r="M573" i="15"/>
  <c r="AI573" s="1"/>
  <c r="AW575" i="17"/>
  <c r="AG574" i="15"/>
  <c r="M574"/>
  <c r="AW576" i="17"/>
  <c r="AG575" i="15"/>
  <c r="M575"/>
  <c r="AW577" i="17"/>
  <c r="AG576" i="15"/>
  <c r="M576"/>
  <c r="AW578" i="17"/>
  <c r="M577" i="15"/>
  <c r="AW580" i="17"/>
  <c r="AG579" i="15"/>
  <c r="M579"/>
  <c r="AW581" i="17"/>
  <c r="AG580" i="15"/>
  <c r="AW582" i="17"/>
  <c r="AG581" i="15"/>
  <c r="AW583" i="17"/>
  <c r="AG582" i="15"/>
  <c r="AW584" i="17"/>
  <c r="AG583" i="15"/>
  <c r="AI583" s="1"/>
  <c r="AW585" i="17"/>
  <c r="AW586"/>
  <c r="AW587"/>
  <c r="AW588"/>
  <c r="AW589"/>
  <c r="AW590"/>
  <c r="AW591"/>
  <c r="AG590" i="15"/>
  <c r="AW592" i="17"/>
  <c r="AG591" i="15"/>
  <c r="AI591" s="1"/>
  <c r="AW593" i="17"/>
  <c r="AG592" i="15"/>
  <c r="AW594" i="17"/>
  <c r="AW595"/>
  <c r="AW596"/>
  <c r="AG595" i="15"/>
  <c r="AI595" s="1"/>
  <c r="AW597" i="17"/>
  <c r="AG596" i="15"/>
  <c r="AW598" i="17"/>
  <c r="AG597" i="15"/>
  <c r="AI597" s="1"/>
  <c r="AW600" i="17"/>
  <c r="AG599" i="15"/>
  <c r="M599"/>
  <c r="AW601" i="17"/>
  <c r="AG600" i="15"/>
  <c r="M600"/>
  <c r="AI600" s="1"/>
  <c r="AY601" i="17" s="1"/>
  <c r="AW602"/>
  <c r="AG601" i="15"/>
  <c r="M601"/>
  <c r="AW603" i="17"/>
  <c r="AG602" i="15"/>
  <c r="M602"/>
  <c r="AW604" i="17"/>
  <c r="AG606" i="15"/>
  <c r="M606"/>
  <c r="AW605" i="17"/>
  <c r="AG607" i="15"/>
  <c r="M607"/>
  <c r="AW606" i="17"/>
  <c r="AG608" i="15"/>
  <c r="M608"/>
  <c r="AW607" i="17"/>
  <c r="AG609" i="15"/>
  <c r="M609"/>
  <c r="AW608" i="17"/>
  <c r="AG610" i="15"/>
  <c r="M610"/>
  <c r="AW609" i="17"/>
  <c r="AG611" i="15"/>
  <c r="M611"/>
  <c r="AW610" i="17"/>
  <c r="AG612" i="15"/>
  <c r="M612"/>
  <c r="AW611" i="17"/>
  <c r="AG613" i="15"/>
  <c r="M613"/>
  <c r="AW615" i="17"/>
  <c r="AG614" i="15"/>
  <c r="AI614" s="1"/>
  <c r="M614"/>
  <c r="AW616" i="17"/>
  <c r="AG615" i="15"/>
  <c r="M615"/>
  <c r="AW617" i="17"/>
  <c r="AG616" i="15"/>
  <c r="M616"/>
  <c r="AW618" i="17"/>
  <c r="AG617" i="15"/>
  <c r="M617"/>
  <c r="AW619" i="17"/>
  <c r="AG618" i="15"/>
  <c r="M618"/>
  <c r="AW620" i="17"/>
  <c r="AG619" i="15"/>
  <c r="M619"/>
  <c r="AW621" i="17"/>
  <c r="AG620" i="15"/>
  <c r="M620"/>
  <c r="AW622" i="17"/>
  <c r="AG621" i="15"/>
  <c r="M621"/>
  <c r="AW623" i="17"/>
  <c r="AG622" i="15"/>
  <c r="AI622" s="1"/>
  <c r="M622"/>
  <c r="AW624" i="17"/>
  <c r="AG623" i="15"/>
  <c r="M623"/>
  <c r="AW625" i="17"/>
  <c r="AG624" i="15"/>
  <c r="M624"/>
  <c r="AW626" i="17"/>
  <c r="AG625" i="15"/>
  <c r="M625"/>
  <c r="AI625" s="1"/>
  <c r="AY626" i="17" s="1"/>
  <c r="BC626" s="1"/>
  <c r="BE626" s="1"/>
  <c r="AW627"/>
  <c r="AG626" i="15"/>
  <c r="M626"/>
  <c r="AW628" i="17"/>
  <c r="AG627" i="15"/>
  <c r="M627"/>
  <c r="AW629" i="17"/>
  <c r="AG628" i="15"/>
  <c r="M628"/>
  <c r="AW630" i="17"/>
  <c r="AG629" i="15"/>
  <c r="M629"/>
  <c r="AW631" i="17"/>
  <c r="AG630" i="15"/>
  <c r="M630"/>
  <c r="AW632" i="17"/>
  <c r="AG631" i="15"/>
  <c r="M631"/>
  <c r="AW633" i="17"/>
  <c r="AG632" i="15"/>
  <c r="AI632" s="1"/>
  <c r="M632"/>
  <c r="AW634" i="17"/>
  <c r="AG633" i="15"/>
  <c r="M633"/>
  <c r="AI633" s="1"/>
  <c r="X584" i="10"/>
  <c r="X582"/>
  <c r="X581"/>
  <c r="X580"/>
  <c r="X579"/>
  <c r="X578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1"/>
  <c r="X550"/>
  <c r="X549"/>
  <c r="X548"/>
  <c r="X547"/>
  <c r="X546"/>
  <c r="X545"/>
  <c r="X544"/>
  <c r="X543"/>
  <c r="X542"/>
  <c r="X541"/>
  <c r="X540"/>
  <c r="X539"/>
  <c r="X538"/>
  <c r="X537"/>
  <c r="X535"/>
  <c r="X534"/>
  <c r="X533"/>
  <c r="X532"/>
  <c r="X531"/>
  <c r="S584"/>
  <c r="S582"/>
  <c r="S581"/>
  <c r="S580"/>
  <c r="S579"/>
  <c r="S578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1"/>
  <c r="S550"/>
  <c r="S549"/>
  <c r="S548"/>
  <c r="S547"/>
  <c r="S546"/>
  <c r="S545"/>
  <c r="S544"/>
  <c r="X528"/>
  <c r="X527"/>
  <c r="X526"/>
  <c r="X525"/>
  <c r="X524"/>
  <c r="X523"/>
  <c r="X522"/>
  <c r="X521"/>
  <c r="X520"/>
  <c r="X519"/>
  <c r="X518"/>
  <c r="X517"/>
  <c r="X514"/>
  <c r="X513"/>
  <c r="X512"/>
  <c r="X511"/>
  <c r="X510"/>
  <c r="X509"/>
  <c r="X508"/>
  <c r="X507"/>
  <c r="X506"/>
  <c r="X502"/>
  <c r="X501"/>
  <c r="X500"/>
  <c r="X499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49"/>
  <c r="X448"/>
  <c r="X447"/>
  <c r="X446"/>
  <c r="X445"/>
  <c r="X444"/>
  <c r="X443"/>
  <c r="X442"/>
  <c r="X441"/>
  <c r="X440"/>
  <c r="X439"/>
  <c r="S489"/>
  <c r="S488"/>
  <c r="S487"/>
  <c r="S486"/>
  <c r="S485"/>
  <c r="S484"/>
  <c r="S483"/>
  <c r="S482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49"/>
  <c r="S448"/>
  <c r="S447"/>
  <c r="S446"/>
  <c r="S445"/>
  <c r="S444"/>
  <c r="S443"/>
  <c r="S442"/>
  <c r="S441"/>
  <c r="AA488" i="14"/>
  <c r="AK488" i="1"/>
  <c r="Y488"/>
  <c r="AZ485" i="2"/>
  <c r="BJ485" s="1"/>
  <c r="AA580" i="14"/>
  <c r="AK580" i="1"/>
  <c r="Y580"/>
  <c r="AZ577" i="2"/>
  <c r="BJ577" s="1"/>
  <c r="AA578" i="14"/>
  <c r="AK578" i="1"/>
  <c r="Y578"/>
  <c r="AZ575" i="2"/>
  <c r="BJ575" s="1"/>
  <c r="AZ574"/>
  <c r="BJ574" s="1"/>
  <c r="AK577" i="1"/>
  <c r="Y577"/>
  <c r="AA577" i="14"/>
  <c r="AA576"/>
  <c r="AK576" i="1"/>
  <c r="Y576"/>
  <c r="AZ573" i="2"/>
  <c r="BJ573" s="1"/>
  <c r="AZ572"/>
  <c r="BJ572" s="1"/>
  <c r="AK575" i="1"/>
  <c r="Y575"/>
  <c r="AA575" i="14"/>
  <c r="AA574"/>
  <c r="AK574" i="1"/>
  <c r="Y574"/>
  <c r="AZ571" i="2"/>
  <c r="BJ571" s="1"/>
  <c r="AA573" i="14"/>
  <c r="AK573" i="1"/>
  <c r="Y573"/>
  <c r="AZ570" i="2"/>
  <c r="BJ570" s="1"/>
  <c r="AA572" i="14"/>
  <c r="AK572" i="1"/>
  <c r="Y572"/>
  <c r="AZ569" i="2"/>
  <c r="BJ569" s="1"/>
  <c r="AA571" i="14"/>
  <c r="AK571" i="1"/>
  <c r="Y571"/>
  <c r="AZ568" i="2"/>
  <c r="BJ568" s="1"/>
  <c r="AA570" i="14"/>
  <c r="AK570" i="1"/>
  <c r="Y570"/>
  <c r="AZ567" i="2"/>
  <c r="BJ567" s="1"/>
  <c r="AA569" i="14"/>
  <c r="AK569" i="1"/>
  <c r="Y569"/>
  <c r="AZ566" i="2"/>
  <c r="BJ566" s="1"/>
  <c r="AA568" i="14"/>
  <c r="AK568" i="1"/>
  <c r="Y568"/>
  <c r="AZ565" i="2"/>
  <c r="BJ565" s="1"/>
  <c r="AZ564"/>
  <c r="BJ564" s="1"/>
  <c r="AK567" i="1"/>
  <c r="Y567"/>
  <c r="AA567" i="14"/>
  <c r="AA566"/>
  <c r="AK566" i="1"/>
  <c r="Y566"/>
  <c r="AZ563" i="2"/>
  <c r="BJ563" s="1"/>
  <c r="AA565" i="14"/>
  <c r="AK565" i="1"/>
  <c r="Y565"/>
  <c r="AZ562" i="2"/>
  <c r="BJ562" s="1"/>
  <c r="AA564" i="14"/>
  <c r="AK564" i="1"/>
  <c r="Y564"/>
  <c r="AZ561" i="2"/>
  <c r="BJ561" s="1"/>
  <c r="AA563" i="14"/>
  <c r="AK560" i="1"/>
  <c r="Y560"/>
  <c r="AZ560" i="2"/>
  <c r="BJ560" s="1"/>
  <c r="AA562" i="14"/>
  <c r="AK559" i="1"/>
  <c r="Y559"/>
  <c r="AZ559" i="2"/>
  <c r="BJ559" s="1"/>
  <c r="AA561" i="14"/>
  <c r="AK558" i="1"/>
  <c r="Y558"/>
  <c r="AZ558" i="2"/>
  <c r="BJ558" s="1"/>
  <c r="AA560" i="14"/>
  <c r="AK557" i="1"/>
  <c r="Y557"/>
  <c r="AZ557" i="2"/>
  <c r="BJ557" s="1"/>
  <c r="AA559" i="14"/>
  <c r="AK556" i="1"/>
  <c r="Y556"/>
  <c r="AZ556" i="2"/>
  <c r="BJ556" s="1"/>
  <c r="AA558" i="14"/>
  <c r="AK555" i="1"/>
  <c r="Y555"/>
  <c r="AZ555" i="2"/>
  <c r="BJ555" s="1"/>
  <c r="AA557" i="14"/>
  <c r="AK554" i="1"/>
  <c r="Y554"/>
  <c r="AZ554" i="2"/>
  <c r="BJ554" s="1"/>
  <c r="AA556" i="14"/>
  <c r="AK553" i="1"/>
  <c r="Y553"/>
  <c r="AZ553" i="2"/>
  <c r="BJ553" s="1"/>
  <c r="AA555" i="14"/>
  <c r="AK552" i="1"/>
  <c r="Y552"/>
  <c r="AZ552" i="2"/>
  <c r="BJ552" s="1"/>
  <c r="AA554" i="14"/>
  <c r="AK551" i="1"/>
  <c r="Y551"/>
  <c r="AZ551" i="2"/>
  <c r="BJ551" s="1"/>
  <c r="AA553" i="14"/>
  <c r="AK550" i="1"/>
  <c r="Y550"/>
  <c r="AZ550" i="2"/>
  <c r="BJ550" s="1"/>
  <c r="AA552" i="14"/>
  <c r="AK549" i="1"/>
  <c r="Y549"/>
  <c r="AZ549" i="2"/>
  <c r="BJ549" s="1"/>
  <c r="AA550" i="14"/>
  <c r="AK547" i="1"/>
  <c r="Y547"/>
  <c r="AZ547" i="2"/>
  <c r="BJ547" s="1"/>
  <c r="AK546" i="1"/>
  <c r="Y546"/>
  <c r="AZ546" i="2"/>
  <c r="BJ546" s="1"/>
  <c r="AA548" i="14"/>
  <c r="AK545" i="1"/>
  <c r="Y545"/>
  <c r="AZ545" i="2"/>
  <c r="BJ545" s="1"/>
  <c r="AA547" i="14"/>
  <c r="AK544" i="1"/>
  <c r="Y544"/>
  <c r="AZ544" i="2"/>
  <c r="BJ544" s="1"/>
  <c r="AA546" i="14"/>
  <c r="AK543" i="1"/>
  <c r="Y543"/>
  <c r="AA545" i="14"/>
  <c r="AK542" i="1"/>
  <c r="Y542"/>
  <c r="AZ542" i="2"/>
  <c r="BJ542" s="1"/>
  <c r="AA544" i="14"/>
  <c r="AK541" i="1"/>
  <c r="Y541"/>
  <c r="AZ541" i="2"/>
  <c r="BJ541" s="1"/>
  <c r="AA543" i="14"/>
  <c r="AK540" i="1"/>
  <c r="Y540"/>
  <c r="AZ540" i="2"/>
  <c r="BJ540" s="1"/>
  <c r="AA486" i="14"/>
  <c r="AK483" i="1"/>
  <c r="Y483"/>
  <c r="AZ483" i="2"/>
  <c r="BJ483" s="1"/>
  <c r="AA485" i="14"/>
  <c r="AK482" i="1"/>
  <c r="Y482"/>
  <c r="AZ482" i="2"/>
  <c r="BJ482" s="1"/>
  <c r="AZ481"/>
  <c r="BJ481" s="1"/>
  <c r="AK481" i="1"/>
  <c r="Y481"/>
  <c r="AA484" i="14"/>
  <c r="AA483"/>
  <c r="AK480" i="1"/>
  <c r="Y480"/>
  <c r="AZ480" i="2"/>
  <c r="BJ480" s="1"/>
  <c r="AA482" i="14"/>
  <c r="AK479" i="1"/>
  <c r="Y479"/>
  <c r="AZ479" i="2"/>
  <c r="BJ479" s="1"/>
  <c r="AA481" i="14"/>
  <c r="AK478" i="1"/>
  <c r="Y478"/>
  <c r="AZ478" i="2"/>
  <c r="BJ478" s="1"/>
  <c r="AA480" i="14"/>
  <c r="AK477" i="1"/>
  <c r="Y477"/>
  <c r="AZ477" i="2"/>
  <c r="BJ477" s="1"/>
  <c r="AA479" i="14"/>
  <c r="AK476" i="1"/>
  <c r="Y476"/>
  <c r="AZ476" i="2"/>
  <c r="BJ476" s="1"/>
  <c r="AA478" i="14"/>
  <c r="AK475" i="1"/>
  <c r="Y475"/>
  <c r="AZ475" i="2"/>
  <c r="BJ475" s="1"/>
  <c r="AA477" i="14"/>
  <c r="AK474" i="1"/>
  <c r="Y474"/>
  <c r="AZ474" i="2"/>
  <c r="BJ474" s="1"/>
  <c r="AA476" i="14"/>
  <c r="AK473" i="1"/>
  <c r="Y473"/>
  <c r="AZ473" i="2"/>
  <c r="BJ473" s="1"/>
  <c r="AA475" i="14"/>
  <c r="AK472" i="1"/>
  <c r="Y472"/>
  <c r="AZ472" i="2"/>
  <c r="BJ472" s="1"/>
  <c r="AA474" i="14"/>
  <c r="AK471" i="1"/>
  <c r="Y471"/>
  <c r="AZ471" i="2"/>
  <c r="BJ471" s="1"/>
  <c r="AA473" i="14"/>
  <c r="AK470" i="1"/>
  <c r="Y470"/>
  <c r="AZ470" i="2"/>
  <c r="BJ470" s="1"/>
  <c r="AA472" i="14"/>
  <c r="AK469" i="1"/>
  <c r="Y469"/>
  <c r="AZ469" i="2"/>
  <c r="BJ469" s="1"/>
  <c r="AA471" i="14"/>
  <c r="AK468" i="1"/>
  <c r="Y468"/>
  <c r="AZ468" i="2"/>
  <c r="BJ468" s="1"/>
  <c r="AA470" i="14"/>
  <c r="AK467" i="1"/>
  <c r="Y467"/>
  <c r="AZ467" i="2"/>
  <c r="BJ467" s="1"/>
  <c r="AA469" i="14"/>
  <c r="AK466" i="1"/>
  <c r="Y466"/>
  <c r="AZ466" i="2"/>
  <c r="BJ466" s="1"/>
  <c r="AZ465"/>
  <c r="BJ465" s="1"/>
  <c r="AK465" i="1"/>
  <c r="Y465"/>
  <c r="AA468" i="14"/>
  <c r="AA467"/>
  <c r="AK464" i="1"/>
  <c r="Y464"/>
  <c r="AZ464" i="2"/>
  <c r="BJ464" s="1"/>
  <c r="AA466" i="14"/>
  <c r="AK463" i="1"/>
  <c r="Y463"/>
  <c r="AZ463" i="2"/>
  <c r="BJ463" s="1"/>
  <c r="AA465" i="14"/>
  <c r="AK462" i="1"/>
  <c r="Y462"/>
  <c r="AZ462" i="2"/>
  <c r="BJ462" s="1"/>
  <c r="AA464" i="14"/>
  <c r="AK461" i="1"/>
  <c r="Y461"/>
  <c r="AZ461" i="2"/>
  <c r="BJ461" s="1"/>
  <c r="AZ460"/>
  <c r="BJ460" s="1"/>
  <c r="AK460" i="1"/>
  <c r="Y460"/>
  <c r="AA463" i="14"/>
  <c r="AA462"/>
  <c r="AK459" i="1"/>
  <c r="Y459"/>
  <c r="AZ459" i="2"/>
  <c r="BJ459" s="1"/>
  <c r="AA461" i="14"/>
  <c r="AK458" i="1"/>
  <c r="Y458"/>
  <c r="AZ458" i="2"/>
  <c r="BJ458" s="1"/>
  <c r="AA457" i="14"/>
  <c r="AK457" i="1"/>
  <c r="Y457"/>
  <c r="AZ457" i="2"/>
  <c r="BJ457" s="1"/>
  <c r="AA456" i="14"/>
  <c r="AK456" i="1"/>
  <c r="Y456"/>
  <c r="AZ456" i="2"/>
  <c r="BJ456" s="1"/>
  <c r="AA455" i="14"/>
  <c r="AK455" i="1"/>
  <c r="Y455"/>
  <c r="AZ455" i="2"/>
  <c r="BJ455" s="1"/>
  <c r="AA454" i="14"/>
  <c r="AK454" i="1"/>
  <c r="Y454"/>
  <c r="AZ454" i="2"/>
  <c r="BJ454" s="1"/>
  <c r="AA453" i="14"/>
  <c r="AK453" i="1"/>
  <c r="Y453"/>
  <c r="AZ453" i="2"/>
  <c r="BJ453" s="1"/>
  <c r="AA452" i="14"/>
  <c r="AK452" i="1"/>
  <c r="Y452"/>
  <c r="AZ452" i="2"/>
  <c r="BJ452" s="1"/>
  <c r="AA451" i="14"/>
  <c r="AK451" i="1"/>
  <c r="Y451"/>
  <c r="AZ451" i="2"/>
  <c r="BJ451" s="1"/>
  <c r="AA450" i="14"/>
  <c r="AK450" i="1"/>
  <c r="Y450"/>
  <c r="AZ447" i="2"/>
  <c r="BJ447" s="1"/>
  <c r="AA449" i="14"/>
  <c r="AK449" i="1"/>
  <c r="Y449"/>
  <c r="AZ446" i="2"/>
  <c r="BJ446" s="1"/>
  <c r="AA448" i="14"/>
  <c r="AK448" i="1"/>
  <c r="Y448"/>
  <c r="AZ445" i="2"/>
  <c r="BJ445" s="1"/>
  <c r="AZ444"/>
  <c r="BJ444" s="1"/>
  <c r="AK447" i="1"/>
  <c r="Y447"/>
  <c r="AA447" i="14"/>
  <c r="AA445"/>
  <c r="AK445" i="1"/>
  <c r="AZ442" i="2"/>
  <c r="BJ442" s="1"/>
  <c r="AZ441"/>
  <c r="BJ441" s="1"/>
  <c r="AK444" i="1"/>
  <c r="Y444"/>
  <c r="AA444" i="14"/>
  <c r="AA443"/>
  <c r="AK443" i="1"/>
  <c r="Y443"/>
  <c r="AZ440" i="2"/>
  <c r="BJ440" s="1"/>
  <c r="AA442" i="14"/>
  <c r="Y442" i="1"/>
  <c r="AZ439" i="2"/>
  <c r="BJ439" s="1"/>
  <c r="AA441" i="14"/>
  <c r="AK441" i="1"/>
  <c r="Y441"/>
  <c r="AZ438" i="2"/>
  <c r="BJ438" s="1"/>
  <c r="AA440" i="14"/>
  <c r="AK440" i="1"/>
  <c r="Y440"/>
  <c r="AZ437" i="2"/>
  <c r="BJ437" s="1"/>
  <c r="AZ436"/>
  <c r="BJ436" s="1"/>
  <c r="AK439" i="1"/>
  <c r="Y439"/>
  <c r="AA439" i="14"/>
  <c r="AZ435" i="2"/>
  <c r="BJ435" s="1"/>
  <c r="AK438" i="1"/>
  <c r="Y438"/>
  <c r="AA438" i="14"/>
  <c r="AA437"/>
  <c r="AK437" i="1"/>
  <c r="Y437"/>
  <c r="AZ434" i="2"/>
  <c r="BJ434" s="1"/>
  <c r="AK487" i="1"/>
  <c r="Y487"/>
  <c r="K580" i="14"/>
  <c r="O580"/>
  <c r="K578"/>
  <c r="O578"/>
  <c r="K577"/>
  <c r="O577"/>
  <c r="K576"/>
  <c r="O576"/>
  <c r="K575"/>
  <c r="O575"/>
  <c r="K574"/>
  <c r="O574"/>
  <c r="K573"/>
  <c r="O573"/>
  <c r="K572"/>
  <c r="O572"/>
  <c r="K571"/>
  <c r="O571"/>
  <c r="K570"/>
  <c r="O570"/>
  <c r="K569"/>
  <c r="O569"/>
  <c r="K568"/>
  <c r="O568"/>
  <c r="K567"/>
  <c r="O567"/>
  <c r="K566"/>
  <c r="O566"/>
  <c r="K565"/>
  <c r="O565"/>
  <c r="K564"/>
  <c r="O564"/>
  <c r="K563"/>
  <c r="O563"/>
  <c r="K562"/>
  <c r="O562"/>
  <c r="K561"/>
  <c r="O561"/>
  <c r="K560"/>
  <c r="O560"/>
  <c r="K559"/>
  <c r="O559"/>
  <c r="K558"/>
  <c r="O558"/>
  <c r="K557"/>
  <c r="O557"/>
  <c r="K556"/>
  <c r="O556"/>
  <c r="K555"/>
  <c r="O555"/>
  <c r="K554"/>
  <c r="O554"/>
  <c r="K553"/>
  <c r="O553"/>
  <c r="K552"/>
  <c r="O552"/>
  <c r="K550"/>
  <c r="O550"/>
  <c r="K549"/>
  <c r="O549"/>
  <c r="K548"/>
  <c r="O548"/>
  <c r="K547"/>
  <c r="O547"/>
  <c r="K546"/>
  <c r="O546"/>
  <c r="K545"/>
  <c r="O545"/>
  <c r="K544"/>
  <c r="O544"/>
  <c r="K543"/>
  <c r="O543"/>
  <c r="AC541"/>
  <c r="AC540"/>
  <c r="AC539"/>
  <c r="AC538"/>
  <c r="AC536"/>
  <c r="AC534"/>
  <c r="AC533"/>
  <c r="AC529"/>
  <c r="AC528"/>
  <c r="AC527"/>
  <c r="AC526"/>
  <c r="AC525"/>
  <c r="AC524"/>
  <c r="AC523"/>
  <c r="AC522"/>
  <c r="AC521"/>
  <c r="AC520"/>
  <c r="AC519"/>
  <c r="AC518"/>
  <c r="AC517"/>
  <c r="AC516"/>
  <c r="AC515"/>
  <c r="AC513"/>
  <c r="AC509"/>
  <c r="AC508"/>
  <c r="AC507"/>
  <c r="AC506"/>
  <c r="AC505"/>
  <c r="AC504"/>
  <c r="AC503"/>
  <c r="AC502"/>
  <c r="AC501"/>
  <c r="AC500"/>
  <c r="AC499"/>
  <c r="AC498"/>
  <c r="AC496"/>
  <c r="AC495"/>
  <c r="AC494"/>
  <c r="AC493"/>
  <c r="AC492"/>
  <c r="AC491"/>
  <c r="AC490"/>
  <c r="AC489"/>
  <c r="K488"/>
  <c r="O488"/>
  <c r="K487"/>
  <c r="O487"/>
  <c r="AA487"/>
  <c r="K486"/>
  <c r="O486"/>
  <c r="K485"/>
  <c r="O485"/>
  <c r="K484"/>
  <c r="O484"/>
  <c r="K483"/>
  <c r="O483"/>
  <c r="K482"/>
  <c r="O482"/>
  <c r="K481"/>
  <c r="O481"/>
  <c r="O480"/>
  <c r="AC480" s="1"/>
  <c r="K479"/>
  <c r="O479"/>
  <c r="K478"/>
  <c r="O478"/>
  <c r="K477"/>
  <c r="O477"/>
  <c r="K476"/>
  <c r="O476"/>
  <c r="K475"/>
  <c r="O475"/>
  <c r="K474"/>
  <c r="O474"/>
  <c r="K473"/>
  <c r="O473"/>
  <c r="K472"/>
  <c r="O472"/>
  <c r="K471"/>
  <c r="O471"/>
  <c r="K470"/>
  <c r="O470"/>
  <c r="K469"/>
  <c r="O469"/>
  <c r="K468"/>
  <c r="O468"/>
  <c r="K467"/>
  <c r="O467"/>
  <c r="K466"/>
  <c r="O466"/>
  <c r="K465"/>
  <c r="O465"/>
  <c r="K464"/>
  <c r="O464"/>
  <c r="K463"/>
  <c r="O463"/>
  <c r="K462"/>
  <c r="O462"/>
  <c r="K461"/>
  <c r="O461"/>
  <c r="K457"/>
  <c r="O457"/>
  <c r="K456"/>
  <c r="O456"/>
  <c r="K455"/>
  <c r="O455"/>
  <c r="K454"/>
  <c r="O454"/>
  <c r="K453"/>
  <c r="O453"/>
  <c r="K452"/>
  <c r="O452"/>
  <c r="K451"/>
  <c r="O451"/>
  <c r="K450"/>
  <c r="O450"/>
  <c r="K449"/>
  <c r="O449"/>
  <c r="K448"/>
  <c r="O448"/>
  <c r="K447"/>
  <c r="O447"/>
  <c r="K445"/>
  <c r="O445"/>
  <c r="K444"/>
  <c r="O444"/>
  <c r="K443"/>
  <c r="O443"/>
  <c r="K442"/>
  <c r="O442"/>
  <c r="K441"/>
  <c r="O441"/>
  <c r="K440"/>
  <c r="O440"/>
  <c r="K439"/>
  <c r="O439"/>
  <c r="K438"/>
  <c r="O438"/>
  <c r="K437"/>
  <c r="O437"/>
  <c r="G583" i="16"/>
  <c r="M583"/>
  <c r="W583"/>
  <c r="AD583"/>
  <c r="G581"/>
  <c r="M581"/>
  <c r="W581"/>
  <c r="AD581"/>
  <c r="G580"/>
  <c r="M580"/>
  <c r="W580"/>
  <c r="AD580"/>
  <c r="G579"/>
  <c r="M579"/>
  <c r="W579"/>
  <c r="AD579"/>
  <c r="G578"/>
  <c r="M578"/>
  <c r="W578"/>
  <c r="AD578"/>
  <c r="G577"/>
  <c r="M577"/>
  <c r="W577"/>
  <c r="AD577"/>
  <c r="G576"/>
  <c r="M576"/>
  <c r="W576"/>
  <c r="AD576"/>
  <c r="G575"/>
  <c r="M575"/>
  <c r="W575"/>
  <c r="AD575"/>
  <c r="G574"/>
  <c r="M574"/>
  <c r="W574"/>
  <c r="AD574"/>
  <c r="G573"/>
  <c r="M573"/>
  <c r="AD573"/>
  <c r="G572"/>
  <c r="M572"/>
  <c r="W572"/>
  <c r="AD572"/>
  <c r="G571"/>
  <c r="M571"/>
  <c r="W571"/>
  <c r="AD571"/>
  <c r="G570"/>
  <c r="M570"/>
  <c r="W570"/>
  <c r="AD570"/>
  <c r="G569"/>
  <c r="M569"/>
  <c r="W569"/>
  <c r="AD569"/>
  <c r="G568"/>
  <c r="M568"/>
  <c r="W568"/>
  <c r="AD568"/>
  <c r="G567"/>
  <c r="M567"/>
  <c r="W567"/>
  <c r="AD567"/>
  <c r="G563"/>
  <c r="M563"/>
  <c r="W563"/>
  <c r="AD563"/>
  <c r="G562"/>
  <c r="M562"/>
  <c r="W562"/>
  <c r="AD562"/>
  <c r="G561"/>
  <c r="M561"/>
  <c r="W561"/>
  <c r="AD561"/>
  <c r="G560"/>
  <c r="M560"/>
  <c r="W560"/>
  <c r="AD560"/>
  <c r="G559"/>
  <c r="M559"/>
  <c r="W559"/>
  <c r="AD559"/>
  <c r="G558"/>
  <c r="M558"/>
  <c r="W558"/>
  <c r="AD558"/>
  <c r="G557"/>
  <c r="M557"/>
  <c r="W557"/>
  <c r="AD557"/>
  <c r="G556"/>
  <c r="M556"/>
  <c r="W556"/>
  <c r="AD556"/>
  <c r="G555"/>
  <c r="M555"/>
  <c r="W555"/>
  <c r="AD555"/>
  <c r="G554"/>
  <c r="M554"/>
  <c r="W554"/>
  <c r="AD554"/>
  <c r="G553"/>
  <c r="M553"/>
  <c r="W553"/>
  <c r="AD553"/>
  <c r="G552"/>
  <c r="M552"/>
  <c r="W552"/>
  <c r="AD552"/>
  <c r="G550"/>
  <c r="M550"/>
  <c r="W550"/>
  <c r="AD550"/>
  <c r="G549"/>
  <c r="M549"/>
  <c r="W549"/>
  <c r="AD549"/>
  <c r="G548"/>
  <c r="M548"/>
  <c r="W548"/>
  <c r="AD548"/>
  <c r="G547"/>
  <c r="M547"/>
  <c r="W547"/>
  <c r="AD547"/>
  <c r="G546"/>
  <c r="M546"/>
  <c r="W546"/>
  <c r="AD546"/>
  <c r="G545"/>
  <c r="M545"/>
  <c r="W545"/>
  <c r="AD545"/>
  <c r="G544"/>
  <c r="M544"/>
  <c r="W544"/>
  <c r="AD544"/>
  <c r="G543"/>
  <c r="M543"/>
  <c r="W543"/>
  <c r="AD543"/>
  <c r="AD542"/>
  <c r="AD541"/>
  <c r="AD540"/>
  <c r="AD539"/>
  <c r="AD538"/>
  <c r="AD537"/>
  <c r="AD536"/>
  <c r="AD535"/>
  <c r="AD534"/>
  <c r="AD533"/>
  <c r="AD532"/>
  <c r="AD531"/>
  <c r="AD530"/>
  <c r="AD529"/>
  <c r="AD528"/>
  <c r="AD527"/>
  <c r="AD526"/>
  <c r="AD525"/>
  <c r="AD524"/>
  <c r="AD523"/>
  <c r="AD522"/>
  <c r="AD521"/>
  <c r="AD520"/>
  <c r="AD519"/>
  <c r="AD518"/>
  <c r="AD517"/>
  <c r="AD516"/>
  <c r="AD513"/>
  <c r="AD512"/>
  <c r="AD510"/>
  <c r="AD509"/>
  <c r="AD508"/>
  <c r="AD507"/>
  <c r="AD506"/>
  <c r="AD505"/>
  <c r="AD504"/>
  <c r="AD503"/>
  <c r="AD502"/>
  <c r="AD501"/>
  <c r="AD499"/>
  <c r="AD498"/>
  <c r="AD494"/>
  <c r="AD493"/>
  <c r="AD492"/>
  <c r="AD491"/>
  <c r="AD490"/>
  <c r="AD489"/>
  <c r="G488"/>
  <c r="M488"/>
  <c r="W488"/>
  <c r="AD488"/>
  <c r="G487"/>
  <c r="M487"/>
  <c r="W487"/>
  <c r="AD487"/>
  <c r="G486"/>
  <c r="M486"/>
  <c r="W486"/>
  <c r="AD486"/>
  <c r="G485"/>
  <c r="M485"/>
  <c r="W485"/>
  <c r="AD485"/>
  <c r="G484"/>
  <c r="M484"/>
  <c r="W484"/>
  <c r="AD484"/>
  <c r="G483"/>
  <c r="M483"/>
  <c r="W483"/>
  <c r="AD483"/>
  <c r="G482"/>
  <c r="M482"/>
  <c r="W482"/>
  <c r="AD482"/>
  <c r="G481"/>
  <c r="M481"/>
  <c r="W481"/>
  <c r="AD481"/>
  <c r="G480"/>
  <c r="M480"/>
  <c r="W480"/>
  <c r="AD480"/>
  <c r="G479"/>
  <c r="M479"/>
  <c r="W479"/>
  <c r="AD479"/>
  <c r="M478"/>
  <c r="W478"/>
  <c r="AD478"/>
  <c r="G477"/>
  <c r="M477"/>
  <c r="W477"/>
  <c r="AD477"/>
  <c r="G476"/>
  <c r="M476"/>
  <c r="W476"/>
  <c r="AD476"/>
  <c r="G475"/>
  <c r="M475"/>
  <c r="W475"/>
  <c r="AD475"/>
  <c r="G474"/>
  <c r="M474"/>
  <c r="W474"/>
  <c r="AD474"/>
  <c r="G473"/>
  <c r="M473"/>
  <c r="W473"/>
  <c r="AD473"/>
  <c r="G472"/>
  <c r="M472"/>
  <c r="W472"/>
  <c r="AD472"/>
  <c r="G471"/>
  <c r="M471"/>
  <c r="W471"/>
  <c r="AD471"/>
  <c r="G470"/>
  <c r="M470"/>
  <c r="W470"/>
  <c r="AD470"/>
  <c r="G469"/>
  <c r="M469"/>
  <c r="W469"/>
  <c r="AD469"/>
  <c r="G468"/>
  <c r="M468"/>
  <c r="W468"/>
  <c r="AD468"/>
  <c r="G467"/>
  <c r="M467"/>
  <c r="W467"/>
  <c r="AD467"/>
  <c r="G466"/>
  <c r="M466"/>
  <c r="W466"/>
  <c r="AD466"/>
  <c r="G465"/>
  <c r="W465"/>
  <c r="AD465"/>
  <c r="G464"/>
  <c r="M464"/>
  <c r="W464"/>
  <c r="AD464"/>
  <c r="G463"/>
  <c r="M463"/>
  <c r="W463"/>
  <c r="AD463"/>
  <c r="G462"/>
  <c r="M462"/>
  <c r="W462"/>
  <c r="AD462"/>
  <c r="M461"/>
  <c r="W461"/>
  <c r="AD461"/>
  <c r="G460"/>
  <c r="M460"/>
  <c r="W460"/>
  <c r="AD460"/>
  <c r="G459"/>
  <c r="M459"/>
  <c r="W459"/>
  <c r="AD459"/>
  <c r="G458"/>
  <c r="M458"/>
  <c r="W458"/>
  <c r="AD458"/>
  <c r="G457"/>
  <c r="M457"/>
  <c r="W457"/>
  <c r="AD457"/>
  <c r="G456"/>
  <c r="M456"/>
  <c r="W456"/>
  <c r="AD456"/>
  <c r="G455"/>
  <c r="M455"/>
  <c r="W455"/>
  <c r="AD455"/>
  <c r="G454"/>
  <c r="M454"/>
  <c r="W454"/>
  <c r="AD454"/>
  <c r="G453"/>
  <c r="M453"/>
  <c r="W453"/>
  <c r="AD453"/>
  <c r="G452"/>
  <c r="M452"/>
  <c r="W452"/>
  <c r="AD452"/>
  <c r="G451"/>
  <c r="M451"/>
  <c r="W451"/>
  <c r="AD451"/>
  <c r="G450"/>
  <c r="M450"/>
  <c r="W450"/>
  <c r="AD450"/>
  <c r="G448"/>
  <c r="M448"/>
  <c r="W448"/>
  <c r="AD448"/>
  <c r="G447"/>
  <c r="M447"/>
  <c r="W447"/>
  <c r="AD447"/>
  <c r="G446"/>
  <c r="M446"/>
  <c r="W446"/>
  <c r="AD446"/>
  <c r="G445"/>
  <c r="M445"/>
  <c r="W445"/>
  <c r="AD445"/>
  <c r="G444"/>
  <c r="M444"/>
  <c r="W444"/>
  <c r="AD444"/>
  <c r="G443"/>
  <c r="M443"/>
  <c r="W443"/>
  <c r="AD443"/>
  <c r="G442"/>
  <c r="M442"/>
  <c r="W442"/>
  <c r="AD442"/>
  <c r="G441"/>
  <c r="M441"/>
  <c r="W441"/>
  <c r="AD441"/>
  <c r="M440"/>
  <c r="W440"/>
  <c r="AD440"/>
  <c r="AA433" i="14"/>
  <c r="AK436" i="1"/>
  <c r="Y436"/>
  <c r="AZ433" i="2"/>
  <c r="BJ433" s="1"/>
  <c r="AA436" i="14"/>
  <c r="AK435" i="1"/>
  <c r="Y435"/>
  <c r="AZ432" i="2"/>
  <c r="BJ432" s="1"/>
  <c r="AA435" i="14"/>
  <c r="AA434"/>
  <c r="AK434" i="1"/>
  <c r="AK433"/>
  <c r="AA432" i="14"/>
  <c r="AK432" i="1"/>
  <c r="AA431" i="14"/>
  <c r="AK431" i="1"/>
  <c r="BJ428" i="2"/>
  <c r="AA430" i="14"/>
  <c r="AA429"/>
  <c r="AM429" i="1"/>
  <c r="AA428" i="14"/>
  <c r="AA427"/>
  <c r="O420"/>
  <c r="X398" i="10"/>
  <c r="X388"/>
  <c r="X438"/>
  <c r="X437"/>
  <c r="X436"/>
  <c r="X435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7"/>
  <c r="X396"/>
  <c r="X395"/>
  <c r="X394"/>
  <c r="X393"/>
  <c r="X392"/>
  <c r="X391"/>
  <c r="X390"/>
  <c r="X389"/>
  <c r="X387"/>
  <c r="X385"/>
  <c r="X384"/>
  <c r="X383"/>
  <c r="X386"/>
  <c r="X382"/>
  <c r="X381"/>
  <c r="X380"/>
  <c r="X379"/>
  <c r="X378"/>
  <c r="X339"/>
  <c r="X376"/>
  <c r="X375"/>
  <c r="X374"/>
  <c r="X373"/>
  <c r="X372"/>
  <c r="X371"/>
  <c r="X370"/>
  <c r="X369"/>
  <c r="X368"/>
  <c r="X367"/>
  <c r="X366"/>
  <c r="X365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8"/>
  <c r="X336"/>
  <c r="X335"/>
  <c r="X334"/>
  <c r="X333"/>
  <c r="X332"/>
  <c r="X331"/>
  <c r="X330"/>
  <c r="X329"/>
  <c r="X328"/>
  <c r="X326"/>
  <c r="Y256" i="1"/>
  <c r="Y255"/>
  <c r="AK255"/>
  <c r="AZ252" i="2"/>
  <c r="BJ252" s="1"/>
  <c r="AA255" i="14"/>
  <c r="Y254" i="1"/>
  <c r="G252" i="16"/>
  <c r="AA251" i="14"/>
  <c r="Y250" i="1"/>
  <c r="Y249"/>
  <c r="K249" i="14"/>
  <c r="AA249"/>
  <c r="O249"/>
  <c r="Y244" i="1"/>
  <c r="AA246" i="14"/>
  <c r="Y242" i="1"/>
  <c r="AA242" i="14"/>
  <c r="Y235" i="1"/>
  <c r="AK235"/>
  <c r="AZ235" i="2"/>
  <c r="BJ235" s="1"/>
  <c r="AA256" i="14"/>
  <c r="AK256" i="1"/>
  <c r="AZ253" i="2"/>
  <c r="BJ253" s="1"/>
  <c r="AA254" i="14"/>
  <c r="AK254" i="1"/>
  <c r="AZ251" i="2"/>
  <c r="BJ251" s="1"/>
  <c r="AA253" i="14"/>
  <c r="Y253" i="1"/>
  <c r="AK253"/>
  <c r="AZ250" i="2"/>
  <c r="BJ250" s="1"/>
  <c r="AA252" i="14"/>
  <c r="AK252" i="1"/>
  <c r="AZ249" i="2"/>
  <c r="BJ249" s="1"/>
  <c r="Y251" i="1"/>
  <c r="AK251"/>
  <c r="AZ248" i="2"/>
  <c r="BJ248" s="1"/>
  <c r="AA250" i="14"/>
  <c r="AK250" i="1"/>
  <c r="AZ247" i="2"/>
  <c r="BJ247" s="1"/>
  <c r="AK249" i="1"/>
  <c r="AM249" s="1"/>
  <c r="AZ246" i="2"/>
  <c r="BJ246" s="1"/>
  <c r="AA248" i="14"/>
  <c r="AK245" i="1"/>
  <c r="Y245"/>
  <c r="AA247" i="14"/>
  <c r="AK244" i="1"/>
  <c r="AM244" s="1"/>
  <c r="AZ244" i="2"/>
  <c r="BJ244" s="1"/>
  <c r="Y243" i="1"/>
  <c r="AK243"/>
  <c r="AZ243" i="2"/>
  <c r="BJ243" s="1"/>
  <c r="AA245" i="14"/>
  <c r="AK242" i="1"/>
  <c r="AZ242" i="2"/>
  <c r="BJ242" s="1"/>
  <c r="AA244" i="14"/>
  <c r="AK241" i="1"/>
  <c r="Y241"/>
  <c r="AZ241" i="2"/>
  <c r="BJ241" s="1"/>
  <c r="AA243" i="14"/>
  <c r="Y240" i="1"/>
  <c r="AK240"/>
  <c r="AZ240" i="2"/>
  <c r="BJ240" s="1"/>
  <c r="Y239" i="1"/>
  <c r="AK239"/>
  <c r="AZ239" i="2"/>
  <c r="BJ239" s="1"/>
  <c r="AA241" i="14"/>
  <c r="Y238" i="1"/>
  <c r="AK238"/>
  <c r="AZ238" i="2"/>
  <c r="BJ238" s="1"/>
  <c r="AA240" i="14"/>
  <c r="AK237" i="1"/>
  <c r="AZ237" i="2"/>
  <c r="BJ237" s="1"/>
  <c r="AA239" i="14"/>
  <c r="AK236" i="1"/>
  <c r="AM236" s="1"/>
  <c r="BL236" i="2" s="1"/>
  <c r="BS236" s="1"/>
  <c r="AA238" i="14"/>
  <c r="AA237"/>
  <c r="Y234" i="1"/>
  <c r="AK234"/>
  <c r="AZ234" i="2"/>
  <c r="BJ234" s="1"/>
  <c r="AZ233"/>
  <c r="BJ233" s="1"/>
  <c r="AK233" i="1"/>
  <c r="Y233"/>
  <c r="AA236" i="14"/>
  <c r="AK232" i="1"/>
  <c r="Y232"/>
  <c r="AZ232" i="2"/>
  <c r="BJ232" s="1"/>
  <c r="AA232" i="14"/>
  <c r="AZ231" i="2"/>
  <c r="BJ231" s="1"/>
  <c r="AK231" i="1"/>
  <c r="Y231"/>
  <c r="X377" i="10"/>
  <c r="S377"/>
  <c r="S376"/>
  <c r="S375"/>
  <c r="S374"/>
  <c r="S373"/>
  <c r="S372"/>
  <c r="S371"/>
  <c r="S370"/>
  <c r="S369"/>
  <c r="S368"/>
  <c r="S367"/>
  <c r="S366"/>
  <c r="AK373" i="1"/>
  <c r="Y373"/>
  <c r="AZ373" i="2"/>
  <c r="BJ373" s="1"/>
  <c r="AA373" i="14"/>
  <c r="AK372" i="1"/>
  <c r="Y372"/>
  <c r="AZ372" i="2"/>
  <c r="BJ372" s="1"/>
  <c r="AA372" i="14"/>
  <c r="AK371" i="1"/>
  <c r="Y371"/>
  <c r="AZ371" i="2"/>
  <c r="BJ371" s="1"/>
  <c r="AA371" i="14"/>
  <c r="AK370" i="1"/>
  <c r="Y370"/>
  <c r="AZ370" i="2"/>
  <c r="BJ370" s="1"/>
  <c r="AA370" i="14"/>
  <c r="AK369" i="1"/>
  <c r="Y369"/>
  <c r="AZ369" i="2"/>
  <c r="BJ369" s="1"/>
  <c r="AA369" i="14"/>
  <c r="AK368" i="1"/>
  <c r="Y368"/>
  <c r="AZ368" i="2"/>
  <c r="BJ368" s="1"/>
  <c r="AA368" i="14"/>
  <c r="AK367" i="1"/>
  <c r="Y367"/>
  <c r="AZ367" i="2"/>
  <c r="BJ367" s="1"/>
  <c r="AA367" i="14"/>
  <c r="AK366" i="1"/>
  <c r="Y366"/>
  <c r="AZ366" i="2"/>
  <c r="BJ366" s="1"/>
  <c r="AA366" i="14"/>
  <c r="AK365" i="1"/>
  <c r="Y365"/>
  <c r="AZ365" i="2"/>
  <c r="BJ365" s="1"/>
  <c r="AA365" i="14"/>
  <c r="AK364" i="1"/>
  <c r="Y364"/>
  <c r="AZ364" i="2"/>
  <c r="BJ364" s="1"/>
  <c r="AA364" i="14"/>
  <c r="AK363" i="1"/>
  <c r="Y363"/>
  <c r="AZ363" i="2"/>
  <c r="BJ363" s="1"/>
  <c r="AA363" i="14"/>
  <c r="AK362" i="1"/>
  <c r="Y362"/>
  <c r="AZ362" i="2"/>
  <c r="BJ362" s="1"/>
  <c r="AA362" i="14"/>
  <c r="AA361"/>
  <c r="Y361" i="1"/>
  <c r="AK361"/>
  <c r="AZ361" i="2"/>
  <c r="BJ361" s="1"/>
  <c r="AA360" i="14"/>
  <c r="Y360" i="1"/>
  <c r="AK360"/>
  <c r="AZ360" i="2"/>
  <c r="BJ360" s="1"/>
  <c r="AK359" i="1"/>
  <c r="Y359"/>
  <c r="AZ356" i="2"/>
  <c r="BJ356" s="1"/>
  <c r="AA359" i="14"/>
  <c r="AK358" i="1"/>
  <c r="Y358"/>
  <c r="AZ355" i="2"/>
  <c r="BJ355" s="1"/>
  <c r="AA358" i="14"/>
  <c r="AA357"/>
  <c r="Y357" i="1"/>
  <c r="AK357"/>
  <c r="AZ354" i="2"/>
  <c r="BJ354" s="1"/>
  <c r="AA356" i="14"/>
  <c r="Y356" i="1"/>
  <c r="AK356"/>
  <c r="AZ353" i="2"/>
  <c r="BJ353" s="1"/>
  <c r="AA355" i="14"/>
  <c r="Y355" i="1"/>
  <c r="AK355"/>
  <c r="AZ352" i="2"/>
  <c r="BJ352" s="1"/>
  <c r="AA354" i="14"/>
  <c r="Y354" i="1"/>
  <c r="AK354"/>
  <c r="AZ351" i="2"/>
  <c r="BJ351" s="1"/>
  <c r="Y353" i="1"/>
  <c r="AK353"/>
  <c r="AZ350" i="2"/>
  <c r="BJ350" s="1"/>
  <c r="AA352" i="14"/>
  <c r="Y352" i="1"/>
  <c r="AK352"/>
  <c r="AZ349" i="2"/>
  <c r="BJ349" s="1"/>
  <c r="AA351" i="14"/>
  <c r="Y351" i="1"/>
  <c r="AK351"/>
  <c r="AZ348" i="2"/>
  <c r="BJ348" s="1"/>
  <c r="AA350" i="14"/>
  <c r="Y350" i="1"/>
  <c r="AK350"/>
  <c r="AZ347" i="2"/>
  <c r="BJ347" s="1"/>
  <c r="AA349" i="14"/>
  <c r="Y349" i="1"/>
  <c r="AK349"/>
  <c r="AZ346" i="2"/>
  <c r="BJ346" s="1"/>
  <c r="AA348" i="14"/>
  <c r="Y348" i="1"/>
  <c r="AK348"/>
  <c r="AZ345" i="2"/>
  <c r="BJ345" s="1"/>
  <c r="AA347" i="14"/>
  <c r="AK347" i="1"/>
  <c r="Y347"/>
  <c r="AZ344" i="2"/>
  <c r="BJ344" s="1"/>
  <c r="AA346" i="14"/>
  <c r="AK346" i="1"/>
  <c r="Y346"/>
  <c r="AZ343" i="2"/>
  <c r="BJ343" s="1"/>
  <c r="O373" i="14"/>
  <c r="AC373" s="1"/>
  <c r="K373"/>
  <c r="O372"/>
  <c r="K372"/>
  <c r="O371"/>
  <c r="K371"/>
  <c r="O370"/>
  <c r="K370"/>
  <c r="O369"/>
  <c r="AC369" s="1"/>
  <c r="K369"/>
  <c r="O368"/>
  <c r="K368"/>
  <c r="O367"/>
  <c r="K367"/>
  <c r="O366"/>
  <c r="K366"/>
  <c r="O365"/>
  <c r="AC365" s="1"/>
  <c r="K365"/>
  <c r="O364"/>
  <c r="K364"/>
  <c r="O363"/>
  <c r="K363"/>
  <c r="O362"/>
  <c r="K362"/>
  <c r="W376" i="16"/>
  <c r="M376"/>
  <c r="G376"/>
  <c r="W375"/>
  <c r="M375"/>
  <c r="G375"/>
  <c r="W374"/>
  <c r="M374"/>
  <c r="G374"/>
  <c r="W373"/>
  <c r="M373"/>
  <c r="G373"/>
  <c r="W372"/>
  <c r="M372"/>
  <c r="G372"/>
  <c r="W371"/>
  <c r="M371"/>
  <c r="G371"/>
  <c r="W370"/>
  <c r="M370"/>
  <c r="G370"/>
  <c r="W369"/>
  <c r="M369"/>
  <c r="G369"/>
  <c r="W368"/>
  <c r="M368"/>
  <c r="G368"/>
  <c r="W367"/>
  <c r="M367"/>
  <c r="G367"/>
  <c r="W366"/>
  <c r="M366"/>
  <c r="G366"/>
  <c r="W365"/>
  <c r="M365"/>
  <c r="G365"/>
  <c r="AD365"/>
  <c r="AD366"/>
  <c r="AD367"/>
  <c r="AD368"/>
  <c r="AD369"/>
  <c r="AD370"/>
  <c r="AD371"/>
  <c r="AD372"/>
  <c r="AD373"/>
  <c r="AD374"/>
  <c r="AD375"/>
  <c r="AD376"/>
  <c r="X257" i="10"/>
  <c r="X256"/>
  <c r="X255"/>
  <c r="X254"/>
  <c r="X253"/>
  <c r="X252"/>
  <c r="X251"/>
  <c r="X250"/>
  <c r="X249"/>
  <c r="X248"/>
  <c r="X247"/>
  <c r="X246"/>
  <c r="X245"/>
  <c r="X244"/>
  <c r="X243"/>
  <c r="X242"/>
  <c r="X241"/>
  <c r="X239"/>
  <c r="X238"/>
  <c r="X237"/>
  <c r="X236"/>
  <c r="X235"/>
  <c r="M232" i="16"/>
  <c r="X233" i="10"/>
  <c r="X232"/>
  <c r="X231"/>
  <c r="X230"/>
  <c r="X229"/>
  <c r="X228"/>
  <c r="AA223" i="14"/>
  <c r="Y223" i="1"/>
  <c r="AK223"/>
  <c r="AZ223" i="2"/>
  <c r="BJ223" s="1"/>
  <c r="AK222" i="1"/>
  <c r="Y222"/>
  <c r="AZ222" i="2"/>
  <c r="BJ222" s="1"/>
  <c r="AA222" i="14"/>
  <c r="X227" i="10"/>
  <c r="X223"/>
  <c r="X222"/>
  <c r="W225" i="16"/>
  <c r="G224"/>
  <c r="M224"/>
  <c r="W224"/>
  <c r="AD224"/>
  <c r="G217"/>
  <c r="M217"/>
  <c r="W217"/>
  <c r="AD217"/>
  <c r="BJ207" i="2"/>
  <c r="AK207" i="1"/>
  <c r="AM207" s="1"/>
  <c r="X183" i="10"/>
  <c r="BJ179" i="2"/>
  <c r="AK182" i="1"/>
  <c r="AM182" s="1"/>
  <c r="AA182" i="14"/>
  <c r="AC182"/>
  <c r="G182" i="16"/>
  <c r="M182"/>
  <c r="AD182"/>
  <c r="AK201" i="1"/>
  <c r="AM201" s="1"/>
  <c r="BJ201" i="2"/>
  <c r="AA201" i="14"/>
  <c r="AK200" i="1"/>
  <c r="AM200" s="1"/>
  <c r="BJ200" i="2"/>
  <c r="AA200" i="14"/>
  <c r="AK199" i="1"/>
  <c r="AM199" s="1"/>
  <c r="BJ199" i="2"/>
  <c r="AA199" i="14"/>
  <c r="AK198" i="1"/>
  <c r="AM198" s="1"/>
  <c r="BJ198" i="2"/>
  <c r="AA198" i="14"/>
  <c r="AK197" i="1"/>
  <c r="AM197" s="1"/>
  <c r="AA197" i="14"/>
  <c r="AK196" i="1"/>
  <c r="BJ196" i="2"/>
  <c r="AA196" i="14"/>
  <c r="AK195" i="1"/>
  <c r="AM195" s="1"/>
  <c r="BJ195" i="2"/>
  <c r="AA195" i="14"/>
  <c r="AM194" i="1"/>
  <c r="BL194" i="2" s="1"/>
  <c r="BS194" s="1"/>
  <c r="BU194" s="1"/>
  <c r="AM192" i="1"/>
  <c r="BJ192" i="2"/>
  <c r="AK190" i="1"/>
  <c r="BJ190" i="2"/>
  <c r="AA190" i="14"/>
  <c r="AK189" i="1"/>
  <c r="AM189" s="1"/>
  <c r="BJ189" i="2"/>
  <c r="AA189" i="14"/>
  <c r="AK188" i="1"/>
  <c r="BJ188" i="2"/>
  <c r="AA188" i="14"/>
  <c r="AK187" i="1"/>
  <c r="AM187" s="1"/>
  <c r="BJ187" i="2"/>
  <c r="AA187" i="14"/>
  <c r="AK186" i="1"/>
  <c r="BJ186" i="2"/>
  <c r="AA186" i="14"/>
  <c r="AK185" i="1"/>
  <c r="BJ182" i="2"/>
  <c r="AA185" i="14"/>
  <c r="AK184" i="1"/>
  <c r="AM184" s="1"/>
  <c r="BL181" i="2" s="1"/>
  <c r="BS181" s="1"/>
  <c r="AA184" i="14"/>
  <c r="AK183" i="1"/>
  <c r="AA183" i="14"/>
  <c r="AA181"/>
  <c r="AK181" i="1"/>
  <c r="BJ178" i="2"/>
  <c r="AK180" i="1"/>
  <c r="Y180"/>
  <c r="AZ177" i="2"/>
  <c r="BJ177" s="1"/>
  <c r="AA180" i="14"/>
  <c r="AA179"/>
  <c r="AK179" i="1"/>
  <c r="AM179" s="1"/>
  <c r="BJ176" i="2"/>
  <c r="AA178" i="14"/>
  <c r="AK178" i="1"/>
  <c r="AM178" s="1"/>
  <c r="BL175" i="2" s="1"/>
  <c r="AK177" i="1"/>
  <c r="AM177" s="1"/>
  <c r="BL174" i="2" s="1"/>
  <c r="BS174" s="1"/>
  <c r="AA176" i="14"/>
  <c r="K173"/>
  <c r="X221" i="10"/>
  <c r="X220"/>
  <c r="X219"/>
  <c r="X218"/>
  <c r="X216"/>
  <c r="X215"/>
  <c r="X213"/>
  <c r="X212"/>
  <c r="X211"/>
  <c r="X210"/>
  <c r="X209"/>
  <c r="X208"/>
  <c r="X207"/>
  <c r="X206"/>
  <c r="X202"/>
  <c r="X201"/>
  <c r="X200"/>
  <c r="X199"/>
  <c r="X198"/>
  <c r="X197"/>
  <c r="X196"/>
  <c r="X191"/>
  <c r="X190"/>
  <c r="X184"/>
  <c r="X182"/>
  <c r="X181"/>
  <c r="X175"/>
  <c r="X174"/>
  <c r="X173"/>
  <c r="X172"/>
  <c r="X169"/>
  <c r="X168"/>
  <c r="X167"/>
  <c r="X166"/>
  <c r="X162"/>
  <c r="X161"/>
  <c r="X160"/>
  <c r="X159"/>
  <c r="X158"/>
  <c r="X154"/>
  <c r="X153"/>
  <c r="X147"/>
  <c r="X146"/>
  <c r="X609"/>
  <c r="X608"/>
  <c r="X607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6"/>
  <c r="X605"/>
  <c r="X604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AK631" i="1"/>
  <c r="Y631"/>
  <c r="AZ631" i="2"/>
  <c r="BJ631" s="1"/>
  <c r="AA634" i="14"/>
  <c r="AK630" i="1"/>
  <c r="Y630"/>
  <c r="AZ630" i="2"/>
  <c r="BJ630" s="1"/>
  <c r="AA633" i="14"/>
  <c r="AK629" i="1"/>
  <c r="Y629"/>
  <c r="AZ629" i="2"/>
  <c r="BJ629" s="1"/>
  <c r="AA632" i="14"/>
  <c r="AK628" i="1"/>
  <c r="Y628"/>
  <c r="AZ628" i="2"/>
  <c r="BJ628" s="1"/>
  <c r="AA631" i="14"/>
  <c r="AK627" i="1"/>
  <c r="Y627"/>
  <c r="AZ627" i="2"/>
  <c r="BJ627" s="1"/>
  <c r="AA630" i="14"/>
  <c r="AK626" i="1"/>
  <c r="Y626"/>
  <c r="AZ626" i="2"/>
  <c r="BJ626" s="1"/>
  <c r="AA629" i="14"/>
  <c r="AZ625" i="2"/>
  <c r="BJ625" s="1"/>
  <c r="AK625" i="1"/>
  <c r="Y625"/>
  <c r="AA628" i="14"/>
  <c r="AK624" i="1"/>
  <c r="Y624"/>
  <c r="AZ624" i="2"/>
  <c r="BJ624" s="1"/>
  <c r="AA627" i="14"/>
  <c r="AK623" i="1"/>
  <c r="Y623"/>
  <c r="AZ623" i="2"/>
  <c r="BJ623" s="1"/>
  <c r="AA626" i="14"/>
  <c r="AK622" i="1"/>
  <c r="Y622"/>
  <c r="AZ622" i="2"/>
  <c r="BJ622" s="1"/>
  <c r="AA625" i="14"/>
  <c r="AK621" i="1"/>
  <c r="Y621"/>
  <c r="AZ621" i="2"/>
  <c r="BJ621" s="1"/>
  <c r="AA624" i="14"/>
  <c r="AK620" i="1"/>
  <c r="Y620"/>
  <c r="AZ617" i="2"/>
  <c r="BJ617" s="1"/>
  <c r="AA623" i="14"/>
  <c r="AK619" i="1"/>
  <c r="Y619"/>
  <c r="AZ616" i="2"/>
  <c r="BJ616" s="1"/>
  <c r="AA622" i="14"/>
  <c r="AK618" i="1"/>
  <c r="Y618"/>
  <c r="AZ615" i="2"/>
  <c r="BJ615" s="1"/>
  <c r="AA621" i="14"/>
  <c r="AK617" i="1"/>
  <c r="Y617"/>
  <c r="AZ614" i="2"/>
  <c r="BJ614" s="1"/>
  <c r="AA620" i="14"/>
  <c r="AK616" i="1"/>
  <c r="Y616"/>
  <c r="AZ613" i="2"/>
  <c r="BJ613" s="1"/>
  <c r="AA619" i="14"/>
  <c r="AK615" i="1"/>
  <c r="Y615"/>
  <c r="AZ612" i="2"/>
  <c r="BJ612" s="1"/>
  <c r="AA618" i="14"/>
  <c r="AK614" i="1"/>
  <c r="Y614"/>
  <c r="AZ611" i="2"/>
  <c r="BJ611" s="1"/>
  <c r="AA617" i="14"/>
  <c r="AK613" i="1"/>
  <c r="Y613"/>
  <c r="AZ610" i="2"/>
  <c r="BJ610" s="1"/>
  <c r="AA616" i="14"/>
  <c r="AK612" i="1"/>
  <c r="Y612"/>
  <c r="AZ609" i="2"/>
  <c r="BJ609" s="1"/>
  <c r="AA615" i="14"/>
  <c r="AK611" i="1"/>
  <c r="Y611"/>
  <c r="AZ608" i="2"/>
  <c r="BJ608" s="1"/>
  <c r="AA614" i="14"/>
  <c r="AZ607" i="2"/>
  <c r="BJ607" s="1"/>
  <c r="AK610" i="1"/>
  <c r="Y610"/>
  <c r="AA613" i="14"/>
  <c r="AK609" i="1"/>
  <c r="Y609"/>
  <c r="AZ606" i="2"/>
  <c r="BJ606" s="1"/>
  <c r="AA612" i="14"/>
  <c r="AK608" i="1"/>
  <c r="Y608"/>
  <c r="AZ605" i="2"/>
  <c r="BJ605" s="1"/>
  <c r="AA611" i="14"/>
  <c r="AK607" i="1"/>
  <c r="Y607"/>
  <c r="AZ604" i="2"/>
  <c r="BJ604" s="1"/>
  <c r="AA610" i="14"/>
  <c r="AK606" i="1"/>
  <c r="Y606"/>
  <c r="AZ603" i="2"/>
  <c r="BJ603" s="1"/>
  <c r="AA609" i="14"/>
  <c r="AK605" i="1"/>
  <c r="Y605"/>
  <c r="AZ602" i="2"/>
  <c r="BJ602" s="1"/>
  <c r="AA608" i="14"/>
  <c r="AK604" i="1"/>
  <c r="Y604"/>
  <c r="AZ601" i="2"/>
  <c r="BJ601" s="1"/>
  <c r="AA607" i="14"/>
  <c r="AK603" i="1"/>
  <c r="Y603"/>
  <c r="AZ600" i="2"/>
  <c r="BJ600" s="1"/>
  <c r="AA603" i="14"/>
  <c r="AK602" i="1"/>
  <c r="Y602"/>
  <c r="AZ599" i="2"/>
  <c r="BJ599" s="1"/>
  <c r="AA602" i="14"/>
  <c r="AK601" i="1"/>
  <c r="Y601"/>
  <c r="AZ598" i="2"/>
  <c r="BJ598" s="1"/>
  <c r="AA601" i="14"/>
  <c r="AK600" i="1"/>
  <c r="Y600"/>
  <c r="AZ597" i="2"/>
  <c r="BJ597" s="1"/>
  <c r="AA600" i="14"/>
  <c r="AK598" i="1"/>
  <c r="AM598" s="1"/>
  <c r="AA598" i="14"/>
  <c r="BJ594" i="2"/>
  <c r="AK597" i="1"/>
  <c r="AM597" s="1"/>
  <c r="AA597" i="14"/>
  <c r="AK596" i="1"/>
  <c r="AM596" s="1"/>
  <c r="BJ593" i="2"/>
  <c r="AK595" i="1"/>
  <c r="AM595" s="1"/>
  <c r="BJ592" i="2"/>
  <c r="AA595" i="14"/>
  <c r="AK594" i="1"/>
  <c r="AM594" s="1"/>
  <c r="BJ591" i="2"/>
  <c r="AA594" i="14"/>
  <c r="AK593" i="1"/>
  <c r="AM593" s="1"/>
  <c r="BJ590" i="2"/>
  <c r="AA593" i="14"/>
  <c r="AK592" i="1"/>
  <c r="AM592" s="1"/>
  <c r="BJ589" i="2"/>
  <c r="AA592" i="14"/>
  <c r="AK591" i="1"/>
  <c r="AM591" s="1"/>
  <c r="BJ588" i="2"/>
  <c r="AA591" i="14"/>
  <c r="AK590" i="1"/>
  <c r="AM590" s="1"/>
  <c r="BJ587" i="2"/>
  <c r="AA590" i="14"/>
  <c r="AK589" i="1"/>
  <c r="AM589" s="1"/>
  <c r="BJ586" i="2"/>
  <c r="AA589" i="14"/>
  <c r="AK588" i="1"/>
  <c r="AM588" s="1"/>
  <c r="BJ585" i="2"/>
  <c r="AA588" i="14"/>
  <c r="AK587" i="1"/>
  <c r="AM587" s="1"/>
  <c r="BJ584" i="2"/>
  <c r="AA587" i="14"/>
  <c r="AK586" i="1"/>
  <c r="AM586" s="1"/>
  <c r="BL583" i="2" s="1"/>
  <c r="BS583" s="1"/>
  <c r="AA586" i="14"/>
  <c r="AK585" i="1"/>
  <c r="BJ582" i="2"/>
  <c r="AA585" i="14"/>
  <c r="AK584" i="1"/>
  <c r="BJ581" i="2"/>
  <c r="AA584" i="14"/>
  <c r="AK582" i="1"/>
  <c r="AM582" s="1"/>
  <c r="AA582" i="14"/>
  <c r="AK581" i="1"/>
  <c r="AM581" s="1"/>
  <c r="AA581" i="14"/>
  <c r="BJ580" i="2"/>
  <c r="AK583" i="1"/>
  <c r="K634" i="14"/>
  <c r="O634"/>
  <c r="K633"/>
  <c r="O633"/>
  <c r="K632"/>
  <c r="O632"/>
  <c r="K631"/>
  <c r="O631"/>
  <c r="K630"/>
  <c r="O630"/>
  <c r="K629"/>
  <c r="O629"/>
  <c r="K628"/>
  <c r="O628"/>
  <c r="K627"/>
  <c r="O627"/>
  <c r="K626"/>
  <c r="O626"/>
  <c r="K625"/>
  <c r="O625"/>
  <c r="K624"/>
  <c r="O624"/>
  <c r="K623"/>
  <c r="O623"/>
  <c r="K622"/>
  <c r="O622"/>
  <c r="K621"/>
  <c r="O621"/>
  <c r="K620"/>
  <c r="O620"/>
  <c r="K619"/>
  <c r="O619"/>
  <c r="K618"/>
  <c r="O618"/>
  <c r="K617"/>
  <c r="O617"/>
  <c r="K616"/>
  <c r="O616"/>
  <c r="K615"/>
  <c r="O615"/>
  <c r="K614"/>
  <c r="O614"/>
  <c r="K613"/>
  <c r="O613"/>
  <c r="K612"/>
  <c r="O612"/>
  <c r="K611"/>
  <c r="O611"/>
  <c r="K610"/>
  <c r="O610"/>
  <c r="K609"/>
  <c r="O609"/>
  <c r="K608"/>
  <c r="O608"/>
  <c r="K607"/>
  <c r="O607"/>
  <c r="K603"/>
  <c r="O603"/>
  <c r="K602"/>
  <c r="O602"/>
  <c r="K601"/>
  <c r="O601"/>
  <c r="K600"/>
  <c r="O600"/>
  <c r="K592"/>
  <c r="O592"/>
  <c r="K591"/>
  <c r="O591"/>
  <c r="AC584"/>
  <c r="AC583"/>
  <c r="AA583"/>
  <c r="AC581"/>
  <c r="G634" i="16"/>
  <c r="M634"/>
  <c r="W634"/>
  <c r="AD634"/>
  <c r="G633"/>
  <c r="M633"/>
  <c r="W633"/>
  <c r="AD633"/>
  <c r="G632"/>
  <c r="M632"/>
  <c r="W632"/>
  <c r="AD632"/>
  <c r="G631"/>
  <c r="M631"/>
  <c r="W631"/>
  <c r="AD631"/>
  <c r="G630"/>
  <c r="M630"/>
  <c r="W630"/>
  <c r="AD630"/>
  <c r="G629"/>
  <c r="M629"/>
  <c r="W629"/>
  <c r="AD629"/>
  <c r="G628"/>
  <c r="M628"/>
  <c r="W628"/>
  <c r="AD628"/>
  <c r="G627"/>
  <c r="M627"/>
  <c r="W627"/>
  <c r="AD627"/>
  <c r="G626"/>
  <c r="M626"/>
  <c r="W626"/>
  <c r="AD626"/>
  <c r="G625"/>
  <c r="M625"/>
  <c r="W625"/>
  <c r="AD625"/>
  <c r="G624"/>
  <c r="M624"/>
  <c r="W624"/>
  <c r="AD624"/>
  <c r="G623"/>
  <c r="M623"/>
  <c r="W623"/>
  <c r="AD623"/>
  <c r="G622"/>
  <c r="M622"/>
  <c r="W622"/>
  <c r="AD622"/>
  <c r="G621"/>
  <c r="M621"/>
  <c r="W621"/>
  <c r="AD621"/>
  <c r="G620"/>
  <c r="M620"/>
  <c r="W620"/>
  <c r="AD620"/>
  <c r="G619"/>
  <c r="M619"/>
  <c r="W619"/>
  <c r="AD619"/>
  <c r="G618"/>
  <c r="M618"/>
  <c r="W618"/>
  <c r="AD618"/>
  <c r="G617"/>
  <c r="M617"/>
  <c r="W617"/>
  <c r="AD617"/>
  <c r="G616"/>
  <c r="M616"/>
  <c r="W616"/>
  <c r="AD616"/>
  <c r="G615"/>
  <c r="M615"/>
  <c r="W615"/>
  <c r="AD615"/>
  <c r="G614"/>
  <c r="M614"/>
  <c r="W614"/>
  <c r="AD614"/>
  <c r="M613"/>
  <c r="W613"/>
  <c r="AD613"/>
  <c r="M612"/>
  <c r="W612"/>
  <c r="AD612"/>
  <c r="G611"/>
  <c r="M611"/>
  <c r="W611"/>
  <c r="AD611"/>
  <c r="G610"/>
  <c r="M610"/>
  <c r="W610"/>
  <c r="AD610"/>
  <c r="G609"/>
  <c r="M609"/>
  <c r="W609"/>
  <c r="AD609"/>
  <c r="G608"/>
  <c r="M608"/>
  <c r="W608"/>
  <c r="AD608"/>
  <c r="G607"/>
  <c r="M607"/>
  <c r="W607"/>
  <c r="AD607"/>
  <c r="G606"/>
  <c r="M606"/>
  <c r="W606"/>
  <c r="AD606"/>
  <c r="G605"/>
  <c r="M605"/>
  <c r="W605"/>
  <c r="AD605"/>
  <c r="G604"/>
  <c r="M604"/>
  <c r="W604"/>
  <c r="AD604"/>
  <c r="G603"/>
  <c r="M603"/>
  <c r="W603"/>
  <c r="AD603"/>
  <c r="AD601"/>
  <c r="AD600"/>
  <c r="AD599"/>
  <c r="AD598"/>
  <c r="AD597"/>
  <c r="AD596"/>
  <c r="AD595"/>
  <c r="AD594"/>
  <c r="AD593"/>
  <c r="AD592"/>
  <c r="AD591"/>
  <c r="AD590"/>
  <c r="AD589"/>
  <c r="AD588"/>
  <c r="AD587"/>
  <c r="AD586"/>
  <c r="AD585"/>
  <c r="AD584"/>
  <c r="X324" i="10"/>
  <c r="X323"/>
  <c r="X322"/>
  <c r="X321"/>
  <c r="X320"/>
  <c r="X319"/>
  <c r="X318"/>
  <c r="X317"/>
  <c r="X316"/>
  <c r="X315"/>
  <c r="X305"/>
  <c r="X304"/>
  <c r="X303"/>
  <c r="X302"/>
  <c r="S321"/>
  <c r="S320"/>
  <c r="S319"/>
  <c r="S318"/>
  <c r="S317"/>
  <c r="S316"/>
  <c r="S315"/>
  <c r="S314"/>
  <c r="S313"/>
  <c r="S312"/>
  <c r="S311"/>
  <c r="S310"/>
  <c r="S305"/>
  <c r="S304"/>
  <c r="S303"/>
  <c r="S302"/>
  <c r="X300"/>
  <c r="X299"/>
  <c r="X298"/>
  <c r="X297"/>
  <c r="X296"/>
  <c r="X295"/>
  <c r="X294"/>
  <c r="X290"/>
  <c r="X289"/>
  <c r="X288"/>
  <c r="X287"/>
  <c r="S300"/>
  <c r="S299"/>
  <c r="S298"/>
  <c r="S297"/>
  <c r="S296"/>
  <c r="S295"/>
  <c r="S294"/>
  <c r="S290"/>
  <c r="S289"/>
  <c r="S288"/>
  <c r="S287"/>
  <c r="S286"/>
  <c r="S283"/>
  <c r="S282"/>
  <c r="S281"/>
  <c r="S280"/>
  <c r="Y320" i="1"/>
  <c r="AK320"/>
  <c r="AZ320" i="2"/>
  <c r="BJ320" s="1"/>
  <c r="Y319" i="1"/>
  <c r="AK319"/>
  <c r="AZ319" i="2"/>
  <c r="BJ319" s="1"/>
  <c r="Y318" i="1"/>
  <c r="AK318"/>
  <c r="AZ318" i="2"/>
  <c r="BJ318" s="1"/>
  <c r="AK317" i="1"/>
  <c r="Y317"/>
  <c r="AZ317" i="2"/>
  <c r="BJ317" s="1"/>
  <c r="AK316" i="1"/>
  <c r="Y316"/>
  <c r="AZ316" i="2"/>
  <c r="BJ316" s="1"/>
  <c r="AK315" i="1"/>
  <c r="Y315"/>
  <c r="AZ315" i="2"/>
  <c r="BJ315" s="1"/>
  <c r="AK314" i="1"/>
  <c r="Y314"/>
  <c r="AZ314" i="2"/>
  <c r="BJ314" s="1"/>
  <c r="AK313" i="1"/>
  <c r="Y313"/>
  <c r="AZ313" i="2"/>
  <c r="BJ313" s="1"/>
  <c r="AK312" i="1"/>
  <c r="Y312"/>
  <c r="AZ312" i="2"/>
  <c r="BJ312" s="1"/>
  <c r="AK311" i="1"/>
  <c r="Y311"/>
  <c r="AZ311" i="2"/>
  <c r="BJ311" s="1"/>
  <c r="AK310" i="1"/>
  <c r="Y310"/>
  <c r="AZ310" i="2"/>
  <c r="BJ310" s="1"/>
  <c r="AK309" i="1"/>
  <c r="Y309"/>
  <c r="AZ309" i="2"/>
  <c r="BJ309" s="1"/>
  <c r="AK308" i="1"/>
  <c r="Y308"/>
  <c r="AZ308" i="2"/>
  <c r="BJ308" s="1"/>
  <c r="AK307" i="1"/>
  <c r="Y307"/>
  <c r="AZ307" i="2"/>
  <c r="BJ307" s="1"/>
  <c r="AK306" i="1"/>
  <c r="Y306"/>
  <c r="AZ306" i="2"/>
  <c r="BJ306" s="1"/>
  <c r="AK305" i="1"/>
  <c r="Y305"/>
  <c r="AZ305" i="2"/>
  <c r="BJ305" s="1"/>
  <c r="AK301" i="1"/>
  <c r="Y301"/>
  <c r="AZ301" i="2"/>
  <c r="BJ301" s="1"/>
  <c r="AK300" i="1"/>
  <c r="Y300"/>
  <c r="AZ300" i="2"/>
  <c r="BJ300" s="1"/>
  <c r="AK299" i="1"/>
  <c r="Y299"/>
  <c r="AZ299" i="2"/>
  <c r="BJ299" s="1"/>
  <c r="AK298" i="1"/>
  <c r="Y298"/>
  <c r="AZ298" i="2"/>
  <c r="BJ298" s="1"/>
  <c r="AK297" i="1"/>
  <c r="Y297"/>
  <c r="AZ297" i="2"/>
  <c r="BJ297" s="1"/>
  <c r="AK296" i="1"/>
  <c r="Y296"/>
  <c r="AZ296" i="2"/>
  <c r="BJ296" s="1"/>
  <c r="Y327" i="1"/>
  <c r="AK327"/>
  <c r="AZ324" i="2"/>
  <c r="BJ324" s="1"/>
  <c r="AA327" i="14"/>
  <c r="Y322" i="1"/>
  <c r="AK322"/>
  <c r="BJ322" i="2"/>
  <c r="AA325" i="14"/>
  <c r="AA323"/>
  <c r="AA322"/>
  <c r="AA321"/>
  <c r="AA320"/>
  <c r="AA319"/>
  <c r="AA318"/>
  <c r="AA317"/>
  <c r="AA316"/>
  <c r="AA315"/>
  <c r="AA314"/>
  <c r="AA313"/>
  <c r="AA312"/>
  <c r="AA311"/>
  <c r="AA310"/>
  <c r="AA301"/>
  <c r="AA300"/>
  <c r="AA299"/>
  <c r="AA298"/>
  <c r="AA297"/>
  <c r="AA296"/>
  <c r="AK295" i="1"/>
  <c r="Y295"/>
  <c r="AZ295" i="2"/>
  <c r="BJ295" s="1"/>
  <c r="AA295" i="14"/>
  <c r="AK293" i="1"/>
  <c r="Y293"/>
  <c r="AZ293" i="2"/>
  <c r="BJ293" s="1"/>
  <c r="AA293" i="14"/>
  <c r="AK291" i="1"/>
  <c r="Y291"/>
  <c r="AZ291" i="2"/>
  <c r="BJ291" s="1"/>
  <c r="AA291" i="14"/>
  <c r="AK290" i="1"/>
  <c r="Y290"/>
  <c r="AZ290" i="2"/>
  <c r="BJ290" s="1"/>
  <c r="AA290" i="14"/>
  <c r="AK289" i="1"/>
  <c r="Y289"/>
  <c r="AZ289" i="2"/>
  <c r="BJ289" s="1"/>
  <c r="AA289" i="14"/>
  <c r="AK288" i="1"/>
  <c r="Y288"/>
  <c r="AZ288" i="2"/>
  <c r="BJ288" s="1"/>
  <c r="AA288" i="14"/>
  <c r="AK287" i="1"/>
  <c r="Y287"/>
  <c r="AZ287" i="2"/>
  <c r="BJ287" s="1"/>
  <c r="AA287" i="14"/>
  <c r="AK286" i="1"/>
  <c r="Y286"/>
  <c r="AZ286" i="2"/>
  <c r="BJ286" s="1"/>
  <c r="AA286" i="14"/>
  <c r="AK285" i="1"/>
  <c r="Y285"/>
  <c r="AZ285" i="2"/>
  <c r="BJ285" s="1"/>
  <c r="AA285" i="14"/>
  <c r="AK284" i="1"/>
  <c r="AM284" s="1"/>
  <c r="AZ284" i="2"/>
  <c r="BJ284" s="1"/>
  <c r="AK283" i="1"/>
  <c r="AM283" s="1"/>
  <c r="BL283" i="2" s="1"/>
  <c r="BS283" s="1"/>
  <c r="BU283" s="1"/>
  <c r="AK282" i="1"/>
  <c r="AM282" s="1"/>
  <c r="BL282" i="2" s="1"/>
  <c r="BS282" s="1"/>
  <c r="BU282" s="1"/>
  <c r="AK281" i="1"/>
  <c r="Y281"/>
  <c r="AZ281" i="2"/>
  <c r="BJ281" s="1"/>
  <c r="AA281" i="14"/>
  <c r="AK280" i="1"/>
  <c r="Y280"/>
  <c r="AZ280" i="2"/>
  <c r="BJ280" s="1"/>
  <c r="AA280" i="14"/>
  <c r="AK279" i="1"/>
  <c r="Y279"/>
  <c r="AZ279" i="2"/>
  <c r="BJ279" s="1"/>
  <c r="AA279" i="14"/>
  <c r="AK278" i="1"/>
  <c r="Y278"/>
  <c r="AZ278" i="2"/>
  <c r="BJ278" s="1"/>
  <c r="AA278" i="14"/>
  <c r="AK277" i="1"/>
  <c r="Y277"/>
  <c r="AZ277" i="2"/>
  <c r="BJ277" s="1"/>
  <c r="AA277" i="14"/>
  <c r="AK276" i="1"/>
  <c r="Y276"/>
  <c r="AZ276" i="2"/>
  <c r="BJ276" s="1"/>
  <c r="AA276" i="14"/>
  <c r="AK275" i="1"/>
  <c r="Y275"/>
  <c r="AZ275" i="2"/>
  <c r="BJ275" s="1"/>
  <c r="AA275" i="14"/>
  <c r="AK274" i="1"/>
  <c r="Y274"/>
  <c r="AZ274" i="2"/>
  <c r="BJ274" s="1"/>
  <c r="AK273" i="1"/>
  <c r="AM273" s="1"/>
  <c r="BL270" i="2" s="1"/>
  <c r="BS270" s="1"/>
  <c r="BU270" s="1"/>
  <c r="AK272" i="1"/>
  <c r="AM272" s="1"/>
  <c r="BL269" i="2" s="1"/>
  <c r="BS269" s="1"/>
  <c r="BU269" s="1"/>
  <c r="AZ294"/>
  <c r="BJ294" s="1"/>
  <c r="AK294" i="1"/>
  <c r="Y294"/>
  <c r="K320" i="14"/>
  <c r="O320"/>
  <c r="K319"/>
  <c r="O319"/>
  <c r="K318"/>
  <c r="O318"/>
  <c r="K317"/>
  <c r="O317"/>
  <c r="K316"/>
  <c r="O316"/>
  <c r="K315"/>
  <c r="O315"/>
  <c r="K314"/>
  <c r="O314"/>
  <c r="K313"/>
  <c r="O313"/>
  <c r="K312"/>
  <c r="O312"/>
  <c r="K311"/>
  <c r="O311"/>
  <c r="K310"/>
  <c r="O310"/>
  <c r="K306"/>
  <c r="O306"/>
  <c r="O305"/>
  <c r="AC305" s="1"/>
  <c r="K301"/>
  <c r="O301"/>
  <c r="K300"/>
  <c r="O300"/>
  <c r="K299"/>
  <c r="O299"/>
  <c r="K298"/>
  <c r="O298"/>
  <c r="K297"/>
  <c r="O297"/>
  <c r="K296"/>
  <c r="O296"/>
  <c r="K295"/>
  <c r="K294"/>
  <c r="O294"/>
  <c r="AA294"/>
  <c r="K293"/>
  <c r="O293"/>
  <c r="K292"/>
  <c r="O292"/>
  <c r="AA292"/>
  <c r="K291"/>
  <c r="O291"/>
  <c r="K290"/>
  <c r="O290"/>
  <c r="K289"/>
  <c r="O289"/>
  <c r="K288"/>
  <c r="O288"/>
  <c r="K287"/>
  <c r="O287"/>
  <c r="K286"/>
  <c r="O286"/>
  <c r="K281"/>
  <c r="O281"/>
  <c r="K280"/>
  <c r="O280"/>
  <c r="K279"/>
  <c r="O279"/>
  <c r="K278"/>
  <c r="O278"/>
  <c r="K277"/>
  <c r="O277"/>
  <c r="K276"/>
  <c r="O276"/>
  <c r="K275"/>
  <c r="O275"/>
  <c r="O274"/>
  <c r="G320" i="16"/>
  <c r="M320"/>
  <c r="W320"/>
  <c r="G319"/>
  <c r="M319"/>
  <c r="W319"/>
  <c r="G318"/>
  <c r="M318"/>
  <c r="W318"/>
  <c r="G317"/>
  <c r="M317"/>
  <c r="W317"/>
  <c r="G316"/>
  <c r="M316"/>
  <c r="W316"/>
  <c r="G315"/>
  <c r="M315"/>
  <c r="W315"/>
  <c r="G314"/>
  <c r="M314"/>
  <c r="W314"/>
  <c r="G313"/>
  <c r="M313"/>
  <c r="G312"/>
  <c r="M312"/>
  <c r="G311"/>
  <c r="M311"/>
  <c r="G310"/>
  <c r="AF310" s="1"/>
  <c r="W308"/>
  <c r="AF308" s="1"/>
  <c r="G304"/>
  <c r="M304"/>
  <c r="W304"/>
  <c r="AD304"/>
  <c r="G303"/>
  <c r="M303"/>
  <c r="W303"/>
  <c r="AD303"/>
  <c r="G302"/>
  <c r="M302"/>
  <c r="W302"/>
  <c r="AD302"/>
  <c r="G301"/>
  <c r="M301"/>
  <c r="W301"/>
  <c r="AD301"/>
  <c r="G300"/>
  <c r="M300"/>
  <c r="W300"/>
  <c r="AD300"/>
  <c r="G299"/>
  <c r="M299"/>
  <c r="W299"/>
  <c r="AD299"/>
  <c r="G298"/>
  <c r="M298"/>
  <c r="W298"/>
  <c r="AD298"/>
  <c r="G297"/>
  <c r="M297"/>
  <c r="W297"/>
  <c r="AD297"/>
  <c r="M296"/>
  <c r="W296"/>
  <c r="G295"/>
  <c r="M295"/>
  <c r="W295"/>
  <c r="AD295"/>
  <c r="M294"/>
  <c r="W294"/>
  <c r="AD294"/>
  <c r="G293"/>
  <c r="M293"/>
  <c r="W293"/>
  <c r="AD293"/>
  <c r="G292"/>
  <c r="M292"/>
  <c r="W292"/>
  <c r="AD292"/>
  <c r="G291"/>
  <c r="M291"/>
  <c r="W291"/>
  <c r="AD291"/>
  <c r="G290"/>
  <c r="M290"/>
  <c r="W290"/>
  <c r="AD290"/>
  <c r="G286"/>
  <c r="M286"/>
  <c r="AD286"/>
  <c r="G285"/>
  <c r="M285"/>
  <c r="AD285"/>
  <c r="AD284"/>
  <c r="W282"/>
  <c r="AF282" s="1"/>
  <c r="M281"/>
  <c r="W281"/>
  <c r="M280"/>
  <c r="W280"/>
  <c r="G279"/>
  <c r="M279"/>
  <c r="W279"/>
  <c r="M278"/>
  <c r="W278"/>
  <c r="G277"/>
  <c r="W277"/>
  <c r="AD277"/>
  <c r="W276"/>
  <c r="AF276" s="1"/>
  <c r="G268"/>
  <c r="M268"/>
  <c r="W268"/>
  <c r="AD268"/>
  <c r="G267"/>
  <c r="M267"/>
  <c r="W267"/>
  <c r="AD267"/>
  <c r="G266"/>
  <c r="M266"/>
  <c r="W266"/>
  <c r="AD266"/>
  <c r="G258"/>
  <c r="M258"/>
  <c r="W258"/>
  <c r="AD258"/>
  <c r="G102"/>
  <c r="Y101" i="1"/>
  <c r="AA100" i="14"/>
  <c r="AA96"/>
  <c r="Y93" i="1"/>
  <c r="AA101" i="14"/>
  <c r="AK101" i="1"/>
  <c r="AZ101" i="2"/>
  <c r="BJ101" s="1"/>
  <c r="Y100" i="1"/>
  <c r="AK100"/>
  <c r="AZ100" i="2"/>
  <c r="BJ100" s="1"/>
  <c r="AA99" i="14"/>
  <c r="AK99" i="1"/>
  <c r="Y99"/>
  <c r="AZ99" i="2"/>
  <c r="BJ99" s="1"/>
  <c r="AA98" i="14"/>
  <c r="AK98" i="1"/>
  <c r="Y98"/>
  <c r="AZ98" i="2"/>
  <c r="BJ98" s="1"/>
  <c r="AA97" i="14"/>
  <c r="AK97" i="1"/>
  <c r="Y97"/>
  <c r="AZ97" i="2"/>
  <c r="BJ97" s="1"/>
  <c r="Y96" i="1"/>
  <c r="AK96"/>
  <c r="AK95"/>
  <c r="Y95"/>
  <c r="AA95" i="14"/>
  <c r="AK94" i="1"/>
  <c r="Y94"/>
  <c r="AA94" i="14"/>
  <c r="AA93"/>
  <c r="AK93" i="1"/>
  <c r="AK92"/>
  <c r="Y92"/>
  <c r="AA92" i="14"/>
  <c r="AK91" i="1"/>
  <c r="Y91"/>
  <c r="AA91" i="14"/>
  <c r="AK90" i="1"/>
  <c r="Y90"/>
  <c r="AA90" i="14"/>
  <c r="G90" i="16"/>
  <c r="M90"/>
  <c r="W90"/>
  <c r="AD90"/>
  <c r="M91"/>
  <c r="W91"/>
  <c r="AD91"/>
  <c r="X144" i="10"/>
  <c r="X143"/>
  <c r="X142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1"/>
  <c r="X120"/>
  <c r="X119"/>
  <c r="X118"/>
  <c r="X117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S228"/>
  <c r="S440"/>
  <c r="S439"/>
  <c r="S438"/>
  <c r="S437"/>
  <c r="S436"/>
  <c r="S435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0"/>
  <c r="S409"/>
  <c r="S408"/>
  <c r="S407"/>
  <c r="S406"/>
  <c r="S405"/>
  <c r="S365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6"/>
  <c r="S335"/>
  <c r="S334"/>
  <c r="S333"/>
  <c r="S332"/>
  <c r="S331"/>
  <c r="S330"/>
  <c r="S329"/>
  <c r="S328"/>
  <c r="S324"/>
  <c r="S323"/>
  <c r="S322"/>
  <c r="S257"/>
  <c r="S256"/>
  <c r="S255"/>
  <c r="S252"/>
  <c r="S251"/>
  <c r="S250"/>
  <c r="S249"/>
  <c r="S248"/>
  <c r="S247"/>
  <c r="S246"/>
  <c r="S245"/>
  <c r="S244"/>
  <c r="S243"/>
  <c r="S242"/>
  <c r="S241"/>
  <c r="S239"/>
  <c r="S238"/>
  <c r="S237"/>
  <c r="S236"/>
  <c r="S235"/>
  <c r="S233"/>
  <c r="S232"/>
  <c r="S231"/>
  <c r="S230"/>
  <c r="S229"/>
  <c r="S227"/>
  <c r="S222"/>
  <c r="S221"/>
  <c r="S220"/>
  <c r="S219"/>
  <c r="S218"/>
  <c r="S216"/>
  <c r="S213"/>
  <c r="S212"/>
  <c r="S211"/>
  <c r="S175"/>
  <c r="S174"/>
  <c r="S173"/>
  <c r="S171"/>
  <c r="S168"/>
  <c r="S167"/>
  <c r="S166"/>
  <c r="S165"/>
  <c r="S162"/>
  <c r="S161"/>
  <c r="S144"/>
  <c r="S143"/>
  <c r="S142"/>
  <c r="S141"/>
  <c r="S139"/>
  <c r="S138"/>
  <c r="S137"/>
  <c r="S136"/>
  <c r="S135"/>
  <c r="S134"/>
  <c r="S133"/>
  <c r="S132"/>
  <c r="S131"/>
  <c r="S130"/>
  <c r="S129"/>
  <c r="S127"/>
  <c r="S126"/>
  <c r="S125"/>
  <c r="S124"/>
  <c r="S123"/>
  <c r="S121"/>
  <c r="S120"/>
  <c r="S119"/>
  <c r="S118"/>
  <c r="S117"/>
  <c r="S115"/>
  <c r="S114"/>
  <c r="S113"/>
  <c r="S111"/>
  <c r="S110"/>
  <c r="S109"/>
  <c r="S108"/>
  <c r="S107"/>
  <c r="S106"/>
  <c r="S105"/>
  <c r="S104"/>
  <c r="S103"/>
  <c r="S102"/>
  <c r="S101"/>
  <c r="S100"/>
  <c r="S98"/>
  <c r="S97"/>
  <c r="S96"/>
  <c r="S95"/>
  <c r="S93"/>
  <c r="S92"/>
  <c r="S91"/>
  <c r="S90"/>
  <c r="S89"/>
  <c r="S88"/>
  <c r="S87"/>
  <c r="S86"/>
  <c r="S85"/>
  <c r="AZ484" i="2"/>
  <c r="BJ484" s="1"/>
  <c r="AK203" i="1"/>
  <c r="AZ102" i="2"/>
  <c r="BJ102" s="1"/>
  <c r="Y102" i="1"/>
  <c r="AK102"/>
  <c r="AA102" i="14"/>
  <c r="AM426" i="1"/>
  <c r="AA426" i="14"/>
  <c r="BJ422" i="2"/>
  <c r="AK425" i="1"/>
  <c r="AM425" s="1"/>
  <c r="AA425" i="14"/>
  <c r="BJ421" i="2"/>
  <c r="AK424" i="1"/>
  <c r="AM424" s="1"/>
  <c r="AA424" i="14"/>
  <c r="BJ420" i="2"/>
  <c r="AK423" i="1"/>
  <c r="AM423" s="1"/>
  <c r="AA423" i="14"/>
  <c r="BJ419" i="2"/>
  <c r="AK422" i="1"/>
  <c r="AM422" s="1"/>
  <c r="AA422" i="14"/>
  <c r="AZ418" i="2"/>
  <c r="BJ418" s="1"/>
  <c r="Y421" i="1"/>
  <c r="AK421"/>
  <c r="AA421" i="14"/>
  <c r="AZ417" i="2"/>
  <c r="BJ417" s="1"/>
  <c r="Y420" i="1"/>
  <c r="AK420"/>
  <c r="AA420" i="14"/>
  <c r="AA419"/>
  <c r="AA418"/>
  <c r="AA417"/>
  <c r="AA416"/>
  <c r="AA415"/>
  <c r="AA414"/>
  <c r="AA413"/>
  <c r="AA412"/>
  <c r="AA411"/>
  <c r="AA410"/>
  <c r="AZ406" i="2"/>
  <c r="BJ406" s="1"/>
  <c r="Y409" i="1"/>
  <c r="AK409"/>
  <c r="AA409" i="14"/>
  <c r="AA408"/>
  <c r="AA407"/>
  <c r="AA406"/>
  <c r="AA405"/>
  <c r="AA404"/>
  <c r="AZ342" i="2"/>
  <c r="BJ342" s="1"/>
  <c r="Y345" i="1"/>
  <c r="AK345"/>
  <c r="AA345" i="14"/>
  <c r="AZ341" i="2"/>
  <c r="BJ341" s="1"/>
  <c r="Y344" i="1"/>
  <c r="AK344"/>
  <c r="AA344" i="14"/>
  <c r="AZ340" i="2"/>
  <c r="BJ340" s="1"/>
  <c r="Y343" i="1"/>
  <c r="AK343"/>
  <c r="AA343" i="14"/>
  <c r="AZ339" i="2"/>
  <c r="BJ339" s="1"/>
  <c r="Y342" i="1"/>
  <c r="AK342"/>
  <c r="AA342" i="14"/>
  <c r="AZ338" i="2"/>
  <c r="BJ338" s="1"/>
  <c r="Y341" i="1"/>
  <c r="AK341"/>
  <c r="AA341" i="14"/>
  <c r="AZ337" i="2"/>
  <c r="BJ337" s="1"/>
  <c r="Y340" i="1"/>
  <c r="AK340"/>
  <c r="AA340" i="14"/>
  <c r="AZ336" i="2"/>
  <c r="BJ336" s="1"/>
  <c r="Y339" i="1"/>
  <c r="AK339"/>
  <c r="AA339" i="14"/>
  <c r="AZ335" i="2"/>
  <c r="BJ335" s="1"/>
  <c r="Y338" i="1"/>
  <c r="AK338"/>
  <c r="AA338" i="14"/>
  <c r="BJ334" i="2"/>
  <c r="Y337" i="1"/>
  <c r="AK337"/>
  <c r="AA337" i="14"/>
  <c r="AZ332" i="2"/>
  <c r="BJ332" s="1"/>
  <c r="AK335" i="1"/>
  <c r="Y335"/>
  <c r="AA335" i="14"/>
  <c r="AZ331" i="2"/>
  <c r="BJ331" s="1"/>
  <c r="AK334" i="1"/>
  <c r="Y334"/>
  <c r="AA334" i="14"/>
  <c r="AZ330" i="2"/>
  <c r="BJ330" s="1"/>
  <c r="AK333" i="1"/>
  <c r="Y333"/>
  <c r="AA333" i="14"/>
  <c r="AZ329" i="2"/>
  <c r="BJ329" s="1"/>
  <c r="AK332" i="1"/>
  <c r="Y332"/>
  <c r="AA332" i="14"/>
  <c r="AZ328" i="2"/>
  <c r="BJ328" s="1"/>
  <c r="Y331" i="1"/>
  <c r="AK331"/>
  <c r="AA331" i="14"/>
  <c r="AZ327" i="2"/>
  <c r="BJ327" s="1"/>
  <c r="Y330" i="1"/>
  <c r="AK330"/>
  <c r="AA330" i="14"/>
  <c r="AZ326" i="2"/>
  <c r="BJ326" s="1"/>
  <c r="Y329" i="1"/>
  <c r="AK329"/>
  <c r="AA329" i="14"/>
  <c r="AZ325" i="2"/>
  <c r="BJ325" s="1"/>
  <c r="AK328" i="1"/>
  <c r="Y328"/>
  <c r="AA328" i="14"/>
  <c r="Y230" i="1"/>
  <c r="AK230"/>
  <c r="AZ229" i="2"/>
  <c r="BJ229" s="1"/>
  <c r="Y229" i="1"/>
  <c r="AK229"/>
  <c r="AA229" i="14"/>
  <c r="AZ228" i="2"/>
  <c r="BJ228" s="1"/>
  <c r="Y228" i="1"/>
  <c r="AK228"/>
  <c r="AA228" i="14"/>
  <c r="AZ227" i="2"/>
  <c r="BJ227" s="1"/>
  <c r="Y227" i="1"/>
  <c r="AK227"/>
  <c r="AA227" i="14"/>
  <c r="AZ226" i="2"/>
  <c r="BJ226" s="1"/>
  <c r="Y226" i="1"/>
  <c r="AK226"/>
  <c r="AA226" i="14"/>
  <c r="AZ225" i="2"/>
  <c r="BJ225" s="1"/>
  <c r="Y225" i="1"/>
  <c r="AK225"/>
  <c r="AA225" i="14"/>
  <c r="AZ224" i="2"/>
  <c r="BJ224" s="1"/>
  <c r="Y224" i="1"/>
  <c r="AK224"/>
  <c r="AA224" i="14"/>
  <c r="AZ221" i="2"/>
  <c r="BJ221" s="1"/>
  <c r="Y221" i="1"/>
  <c r="AK221"/>
  <c r="AA221" i="14"/>
  <c r="AZ220" i="2"/>
  <c r="BJ220" s="1"/>
  <c r="AK220" i="1"/>
  <c r="Y220"/>
  <c r="AA220" i="14"/>
  <c r="AZ219" i="2"/>
  <c r="BJ219" s="1"/>
  <c r="Y219" i="1"/>
  <c r="AK219"/>
  <c r="AA219" i="14"/>
  <c r="AZ218" i="2"/>
  <c r="BJ218" s="1"/>
  <c r="Y218" i="1"/>
  <c r="AK218"/>
  <c r="AA218" i="14"/>
  <c r="AZ217" i="2"/>
  <c r="BJ217" s="1"/>
  <c r="Y217" i="1"/>
  <c r="AK217"/>
  <c r="AA217" i="14"/>
  <c r="BJ216" i="2"/>
  <c r="AK216" i="1"/>
  <c r="AM216" s="1"/>
  <c r="AZ215" i="2"/>
  <c r="BJ215" s="1"/>
  <c r="AK215" i="1"/>
  <c r="Y215"/>
  <c r="AA215" i="14"/>
  <c r="AZ214" i="2"/>
  <c r="BJ214" s="1"/>
  <c r="Y214" i="1"/>
  <c r="AK214"/>
  <c r="AA214" i="14"/>
  <c r="AK213" i="1"/>
  <c r="AM213" s="1"/>
  <c r="BL213" i="2" s="1"/>
  <c r="BS213" s="1"/>
  <c r="BU213" s="1"/>
  <c r="AZ212"/>
  <c r="BJ212" s="1"/>
  <c r="AK212" i="1"/>
  <c r="Y212"/>
  <c r="AA212" i="14"/>
  <c r="AZ211" i="2"/>
  <c r="BJ211" s="1"/>
  <c r="Y211" i="1"/>
  <c r="AK211"/>
  <c r="AA211" i="14"/>
  <c r="AZ210" i="2"/>
  <c r="BJ210" s="1"/>
  <c r="AK210" i="1"/>
  <c r="Y210"/>
  <c r="AA210" i="14"/>
  <c r="BJ209" i="2"/>
  <c r="AK209" i="1"/>
  <c r="AM209" s="1"/>
  <c r="AA209" i="14"/>
  <c r="BJ208" i="2"/>
  <c r="AK208" i="1"/>
  <c r="AM208" s="1"/>
  <c r="AA208" i="14"/>
  <c r="AA207"/>
  <c r="BJ206" i="2"/>
  <c r="AK206" i="1"/>
  <c r="AM206" s="1"/>
  <c r="AA206" i="14"/>
  <c r="AK205" i="1"/>
  <c r="AM205" s="1"/>
  <c r="BL205" i="2" s="1"/>
  <c r="BS205" s="1"/>
  <c r="AA205" i="14"/>
  <c r="AK204" i="1"/>
  <c r="AM204" s="1"/>
  <c r="BL204" i="2" s="1"/>
  <c r="AA204" i="14"/>
  <c r="AZ171" i="2"/>
  <c r="BJ171" s="1"/>
  <c r="Y174" i="1"/>
  <c r="AK174"/>
  <c r="AA174" i="14"/>
  <c r="AZ170" i="2"/>
  <c r="BJ170" s="1"/>
  <c r="Y173" i="1"/>
  <c r="AK173"/>
  <c r="AA173" i="14"/>
  <c r="AZ169" i="2"/>
  <c r="BJ169" s="1"/>
  <c r="AK172" i="1"/>
  <c r="Y172"/>
  <c r="AA172" i="14"/>
  <c r="AZ168" i="2"/>
  <c r="BJ168" s="1"/>
  <c r="Y171" i="1"/>
  <c r="AK171"/>
  <c r="BJ167" i="2"/>
  <c r="AK170" i="1"/>
  <c r="AM170" s="1"/>
  <c r="AK169"/>
  <c r="AM169" s="1"/>
  <c r="BL166" i="2" s="1"/>
  <c r="BS166" s="1"/>
  <c r="BU166" s="1"/>
  <c r="AZ165"/>
  <c r="BJ165" s="1"/>
  <c r="AK168" i="1"/>
  <c r="Y168"/>
  <c r="AA168" i="14"/>
  <c r="AZ164" i="2"/>
  <c r="BJ164" s="1"/>
  <c r="Y167" i="1"/>
  <c r="AK167"/>
  <c r="AA167" i="14"/>
  <c r="AZ163" i="2"/>
  <c r="BJ163" s="1"/>
  <c r="Y163" i="1"/>
  <c r="AK163"/>
  <c r="AA166" i="14"/>
  <c r="AZ162" i="2"/>
  <c r="BJ162" s="1"/>
  <c r="Y162" i="1"/>
  <c r="AK162"/>
  <c r="AA165" i="14"/>
  <c r="BJ161" i="2"/>
  <c r="AK161" i="1"/>
  <c r="AM161" s="1"/>
  <c r="AA164" i="14"/>
  <c r="AK160" i="1"/>
  <c r="AM160" s="1"/>
  <c r="BL160" i="2" s="1"/>
  <c r="BS160" s="1"/>
  <c r="BU160" s="1"/>
  <c r="AZ158"/>
  <c r="BJ158" s="1"/>
  <c r="AK158" i="1"/>
  <c r="Y158"/>
  <c r="AA161" i="14"/>
  <c r="AZ157" i="2"/>
  <c r="BJ157" s="1"/>
  <c r="Y157" i="1"/>
  <c r="AK157"/>
  <c r="AA160" i="14"/>
  <c r="AK156" i="1"/>
  <c r="AM156" s="1"/>
  <c r="AK155"/>
  <c r="AM155" s="1"/>
  <c r="BL155" i="2" s="1"/>
  <c r="BS155" s="1"/>
  <c r="BU155" s="1"/>
  <c r="AK154" i="1"/>
  <c r="AK153"/>
  <c r="AK152"/>
  <c r="AM152" s="1"/>
  <c r="BL152" i="2" s="1"/>
  <c r="BS152" s="1"/>
  <c r="BU152" s="1"/>
  <c r="AK150" i="1"/>
  <c r="AM150" s="1"/>
  <c r="AK149"/>
  <c r="AK148"/>
  <c r="AM148" s="1"/>
  <c r="AK147"/>
  <c r="AM147" s="1"/>
  <c r="BL147" i="2" s="1"/>
  <c r="BS147" s="1"/>
  <c r="AK146" i="1"/>
  <c r="AM146" s="1"/>
  <c r="AK145"/>
  <c r="AM145" s="1"/>
  <c r="AK144"/>
  <c r="AM144" s="1"/>
  <c r="BL144" i="2" s="1"/>
  <c r="BS144" s="1"/>
  <c r="BU144" s="1"/>
  <c r="AZ143"/>
  <c r="BJ143" s="1"/>
  <c r="Y143" i="1"/>
  <c r="AK143"/>
  <c r="BJ142" i="2"/>
  <c r="AK142" i="1"/>
  <c r="AM142" s="1"/>
  <c r="AZ141" i="2"/>
  <c r="BJ141" s="1"/>
  <c r="Y141" i="1"/>
  <c r="AK141"/>
  <c r="AA141" i="14"/>
  <c r="AZ140" i="2"/>
  <c r="BJ140" s="1"/>
  <c r="Y140" i="1"/>
  <c r="AK140"/>
  <c r="AA140" i="14"/>
  <c r="AZ138" i="2"/>
  <c r="BJ138" s="1"/>
  <c r="Y138" i="1"/>
  <c r="AK138"/>
  <c r="AA138" i="14"/>
  <c r="AZ137" i="2"/>
  <c r="BJ137" s="1"/>
  <c r="Y137" i="1"/>
  <c r="AK137"/>
  <c r="AA137" i="14"/>
  <c r="AZ136" i="2"/>
  <c r="BJ136" s="1"/>
  <c r="Y136" i="1"/>
  <c r="AK136"/>
  <c r="AA136" i="14"/>
  <c r="AZ135" i="2"/>
  <c r="BJ135" s="1"/>
  <c r="Y135" i="1"/>
  <c r="AK135"/>
  <c r="AA135" i="14"/>
  <c r="AZ134" i="2"/>
  <c r="BJ134" s="1"/>
  <c r="Y134" i="1"/>
  <c r="AK134"/>
  <c r="AA134" i="14"/>
  <c r="AZ133" i="2"/>
  <c r="BJ133" s="1"/>
  <c r="Y133" i="1"/>
  <c r="AK133"/>
  <c r="AA133" i="14"/>
  <c r="AZ132" i="2"/>
  <c r="BJ132" s="1"/>
  <c r="AK132" i="1"/>
  <c r="Y132"/>
  <c r="AA132" i="14"/>
  <c r="AZ131" i="2"/>
  <c r="BJ131" s="1"/>
  <c r="Y131" i="1"/>
  <c r="AK131"/>
  <c r="AA131" i="14"/>
  <c r="AZ130" i="2"/>
  <c r="BJ130" s="1"/>
  <c r="AK130" i="1"/>
  <c r="Y130"/>
  <c r="AA130" i="14"/>
  <c r="AZ129" i="2"/>
  <c r="BJ129" s="1"/>
  <c r="Y129" i="1"/>
  <c r="AK129"/>
  <c r="AA129" i="14"/>
  <c r="AZ128" i="2"/>
  <c r="BJ128" s="1"/>
  <c r="Y128" i="1"/>
  <c r="AK128"/>
  <c r="AA128" i="14"/>
  <c r="AZ127" i="2"/>
  <c r="BJ127" s="1"/>
  <c r="AK127" i="1"/>
  <c r="Y127"/>
  <c r="AA127" i="14"/>
  <c r="AZ126" i="2"/>
  <c r="BJ126" s="1"/>
  <c r="Y126" i="1"/>
  <c r="AK126"/>
  <c r="AA126" i="14"/>
  <c r="AZ125" i="2"/>
  <c r="BJ125" s="1"/>
  <c r="Y125" i="1"/>
  <c r="AK125"/>
  <c r="AA125" i="14"/>
  <c r="AZ124" i="2"/>
  <c r="BJ124" s="1"/>
  <c r="Y124" i="1"/>
  <c r="AK124"/>
  <c r="AA124" i="14"/>
  <c r="AZ123" i="2"/>
  <c r="BJ123" s="1"/>
  <c r="Y123" i="1"/>
  <c r="AK123"/>
  <c r="AA123" i="14"/>
  <c r="AZ122" i="2"/>
  <c r="BJ122" s="1"/>
  <c r="AK122" i="1"/>
  <c r="Y122"/>
  <c r="AA122" i="14"/>
  <c r="AZ120" i="2"/>
  <c r="BJ120" s="1"/>
  <c r="Y120" i="1"/>
  <c r="AK120"/>
  <c r="AA120" i="14"/>
  <c r="AZ119" i="2"/>
  <c r="BJ119" s="1"/>
  <c r="Y119" i="1"/>
  <c r="AK119"/>
  <c r="AA119" i="14"/>
  <c r="AZ118" i="2"/>
  <c r="BJ118" s="1"/>
  <c r="Y118" i="1"/>
  <c r="AK118"/>
  <c r="AA118" i="14"/>
  <c r="AZ117" i="2"/>
  <c r="BJ117" s="1"/>
  <c r="Y117" i="1"/>
  <c r="AK117"/>
  <c r="AA117" i="14"/>
  <c r="AZ116" i="2"/>
  <c r="BJ116" s="1"/>
  <c r="Y116" i="1"/>
  <c r="AK116"/>
  <c r="AA116" i="14"/>
  <c r="AZ114" i="2"/>
  <c r="BJ114" s="1"/>
  <c r="Y114" i="1"/>
  <c r="AK114"/>
  <c r="AA114" i="14"/>
  <c r="AZ113" i="2"/>
  <c r="BJ113" s="1"/>
  <c r="Y113" i="1"/>
  <c r="AK113"/>
  <c r="AA113" i="14"/>
  <c r="AZ112" i="2"/>
  <c r="BJ112" s="1"/>
  <c r="Y112" i="1"/>
  <c r="AK112"/>
  <c r="AA112" i="14"/>
  <c r="AZ111" i="2"/>
  <c r="BJ111" s="1"/>
  <c r="Y111" i="1"/>
  <c r="AK111"/>
  <c r="AA111" i="14"/>
  <c r="AZ110" i="2"/>
  <c r="BJ110" s="1"/>
  <c r="Y110" i="1"/>
  <c r="AK110"/>
  <c r="AA110" i="14"/>
  <c r="AZ109" i="2"/>
  <c r="BJ109" s="1"/>
  <c r="Y109" i="1"/>
  <c r="AK109"/>
  <c r="AA109" i="14"/>
  <c r="AZ108" i="2"/>
  <c r="BJ108" s="1"/>
  <c r="AK108" i="1"/>
  <c r="Y108"/>
  <c r="AA108" i="14"/>
  <c r="AZ107" i="2"/>
  <c r="BJ107" s="1"/>
  <c r="AK107" i="1"/>
  <c r="Y107"/>
  <c r="AA107" i="14"/>
  <c r="AZ106" i="2"/>
  <c r="BJ106" s="1"/>
  <c r="Y106" i="1"/>
  <c r="AK106"/>
  <c r="AZ105" i="2"/>
  <c r="BJ105" s="1"/>
  <c r="Y105" i="1"/>
  <c r="AK105"/>
  <c r="AA105" i="14"/>
  <c r="AZ104" i="2"/>
  <c r="BJ104" s="1"/>
  <c r="Y104" i="1"/>
  <c r="AK104"/>
  <c r="AA104" i="14"/>
  <c r="AZ103" i="2"/>
  <c r="BJ103" s="1"/>
  <c r="Y103" i="1"/>
  <c r="AK103"/>
  <c r="AA103" i="14"/>
  <c r="Y89" i="1"/>
  <c r="AK89"/>
  <c r="AA89" i="14"/>
  <c r="AA88"/>
  <c r="AA87"/>
  <c r="AA86"/>
  <c r="K346"/>
  <c r="O346"/>
  <c r="O90"/>
  <c r="K436"/>
  <c r="O436"/>
  <c r="K435"/>
  <c r="O435"/>
  <c r="AC433"/>
  <c r="AC430"/>
  <c r="AC425"/>
  <c r="K422"/>
  <c r="O422"/>
  <c r="K421"/>
  <c r="O421"/>
  <c r="K420"/>
  <c r="AC420" s="1"/>
  <c r="K409"/>
  <c r="O409"/>
  <c r="AC371"/>
  <c r="AC367"/>
  <c r="AC363"/>
  <c r="K361"/>
  <c r="O361"/>
  <c r="K360"/>
  <c r="O360"/>
  <c r="K359"/>
  <c r="O359"/>
  <c r="K358"/>
  <c r="O358"/>
  <c r="K357"/>
  <c r="O357"/>
  <c r="K356"/>
  <c r="O356"/>
  <c r="K355"/>
  <c r="O355"/>
  <c r="K354"/>
  <c r="O354"/>
  <c r="K353"/>
  <c r="O353"/>
  <c r="K352"/>
  <c r="O352"/>
  <c r="K351"/>
  <c r="O351"/>
  <c r="K350"/>
  <c r="O350"/>
  <c r="K349"/>
  <c r="O349"/>
  <c r="K348"/>
  <c r="O348"/>
  <c r="K347"/>
  <c r="O347"/>
  <c r="K345"/>
  <c r="O345"/>
  <c r="K344"/>
  <c r="O344"/>
  <c r="K343"/>
  <c r="O343"/>
  <c r="K342"/>
  <c r="O342"/>
  <c r="K341"/>
  <c r="O341"/>
  <c r="K340"/>
  <c r="O340"/>
  <c r="K339"/>
  <c r="O339"/>
  <c r="K338"/>
  <c r="O338"/>
  <c r="K337"/>
  <c r="O337"/>
  <c r="K335"/>
  <c r="O335"/>
  <c r="K334"/>
  <c r="O334"/>
  <c r="K333"/>
  <c r="O333"/>
  <c r="K332"/>
  <c r="O332"/>
  <c r="K331"/>
  <c r="O331"/>
  <c r="K330"/>
  <c r="O330"/>
  <c r="K329"/>
  <c r="O329"/>
  <c r="K328"/>
  <c r="O328"/>
  <c r="K327"/>
  <c r="O327"/>
  <c r="O325"/>
  <c r="K323"/>
  <c r="O323"/>
  <c r="K322"/>
  <c r="O322"/>
  <c r="K321"/>
  <c r="O321"/>
  <c r="K256"/>
  <c r="O256"/>
  <c r="K255"/>
  <c r="O255"/>
  <c r="K254"/>
  <c r="O254"/>
  <c r="K253"/>
  <c r="AC253" s="1"/>
  <c r="O253"/>
  <c r="K252"/>
  <c r="AC252" s="1"/>
  <c r="O252"/>
  <c r="K251"/>
  <c r="AC251" s="1"/>
  <c r="O251"/>
  <c r="K250"/>
  <c r="O250"/>
  <c r="K248"/>
  <c r="O248"/>
  <c r="K247"/>
  <c r="AC247" s="1"/>
  <c r="O247"/>
  <c r="K246"/>
  <c r="O246"/>
  <c r="K245"/>
  <c r="O245"/>
  <c r="K244"/>
  <c r="O244"/>
  <c r="K243"/>
  <c r="O243"/>
  <c r="K242"/>
  <c r="O242"/>
  <c r="K241"/>
  <c r="O241"/>
  <c r="K240"/>
  <c r="O240"/>
  <c r="K239"/>
  <c r="O239"/>
  <c r="K238"/>
  <c r="O238"/>
  <c r="K237"/>
  <c r="O237"/>
  <c r="K236"/>
  <c r="O236"/>
  <c r="K232"/>
  <c r="O232"/>
  <c r="K231"/>
  <c r="O231"/>
  <c r="K230"/>
  <c r="O230"/>
  <c r="K229"/>
  <c r="O229"/>
  <c r="K228"/>
  <c r="O228"/>
  <c r="K227"/>
  <c r="O227"/>
  <c r="K226"/>
  <c r="O226"/>
  <c r="K225"/>
  <c r="O225"/>
  <c r="K224"/>
  <c r="O224"/>
  <c r="K223"/>
  <c r="O223"/>
  <c r="O222"/>
  <c r="AC222" s="1"/>
  <c r="K221"/>
  <c r="O221"/>
  <c r="K220"/>
  <c r="O220"/>
  <c r="AC220" s="1"/>
  <c r="K219"/>
  <c r="O219"/>
  <c r="K218"/>
  <c r="O218"/>
  <c r="K217"/>
  <c r="O217"/>
  <c r="AC217" s="1"/>
  <c r="O216"/>
  <c r="AC216" s="1"/>
  <c r="K215"/>
  <c r="O215"/>
  <c r="K214"/>
  <c r="O214"/>
  <c r="K213"/>
  <c r="AC213" s="1"/>
  <c r="K212"/>
  <c r="O212"/>
  <c r="K211"/>
  <c r="O211"/>
  <c r="K210"/>
  <c r="O210"/>
  <c r="AC209"/>
  <c r="AC208"/>
  <c r="AC207"/>
  <c r="AC206"/>
  <c r="AC205"/>
  <c r="AC201"/>
  <c r="AC200"/>
  <c r="AC199"/>
  <c r="AC198"/>
  <c r="AC197"/>
  <c r="AC196"/>
  <c r="AC195"/>
  <c r="AC190"/>
  <c r="AC189"/>
  <c r="AC188"/>
  <c r="AC187"/>
  <c r="AC186"/>
  <c r="AC185"/>
  <c r="AC183"/>
  <c r="AC181"/>
  <c r="K180"/>
  <c r="O180"/>
  <c r="AC180" s="1"/>
  <c r="K179"/>
  <c r="O179"/>
  <c r="K174"/>
  <c r="O174"/>
  <c r="O173"/>
  <c r="K172"/>
  <c r="O172"/>
  <c r="K171"/>
  <c r="AC171" s="1"/>
  <c r="K170"/>
  <c r="AC170" s="1"/>
  <c r="K169"/>
  <c r="AC169" s="1"/>
  <c r="K168"/>
  <c r="O168"/>
  <c r="K167"/>
  <c r="O167"/>
  <c r="K166"/>
  <c r="O166"/>
  <c r="K165"/>
  <c r="O165"/>
  <c r="K164"/>
  <c r="O164"/>
  <c r="K163"/>
  <c r="O163"/>
  <c r="K161"/>
  <c r="O161"/>
  <c r="K160"/>
  <c r="O160"/>
  <c r="AC150"/>
  <c r="AC149"/>
  <c r="K142"/>
  <c r="O142"/>
  <c r="K141"/>
  <c r="O141"/>
  <c r="K140"/>
  <c r="O140"/>
  <c r="K138"/>
  <c r="O138"/>
  <c r="K137"/>
  <c r="O137"/>
  <c r="K136"/>
  <c r="O136"/>
  <c r="K135"/>
  <c r="O135"/>
  <c r="K134"/>
  <c r="O134"/>
  <c r="K133"/>
  <c r="O133"/>
  <c r="AC133" s="1"/>
  <c r="K132"/>
  <c r="O132"/>
  <c r="K131"/>
  <c r="O131"/>
  <c r="K130"/>
  <c r="O130"/>
  <c r="K129"/>
  <c r="O129"/>
  <c r="K128"/>
  <c r="O128"/>
  <c r="K127"/>
  <c r="O127"/>
  <c r="K126"/>
  <c r="O126"/>
  <c r="K125"/>
  <c r="O125"/>
  <c r="K124"/>
  <c r="O124"/>
  <c r="K123"/>
  <c r="O123"/>
  <c r="K122"/>
  <c r="O122"/>
  <c r="K120"/>
  <c r="O120"/>
  <c r="K119"/>
  <c r="O119"/>
  <c r="K118"/>
  <c r="O118"/>
  <c r="K117"/>
  <c r="O117"/>
  <c r="K116"/>
  <c r="O116"/>
  <c r="K114"/>
  <c r="O114"/>
  <c r="K113"/>
  <c r="O113"/>
  <c r="K112"/>
  <c r="O112"/>
  <c r="K111"/>
  <c r="O111"/>
  <c r="K110"/>
  <c r="O110"/>
  <c r="K109"/>
  <c r="O109"/>
  <c r="K108"/>
  <c r="O108"/>
  <c r="K107"/>
  <c r="O107"/>
  <c r="K106"/>
  <c r="O106"/>
  <c r="K105"/>
  <c r="O105"/>
  <c r="K104"/>
  <c r="O104"/>
  <c r="K103"/>
  <c r="O103"/>
  <c r="K102"/>
  <c r="O102"/>
  <c r="K101"/>
  <c r="O101"/>
  <c r="K100"/>
  <c r="O100"/>
  <c r="K99"/>
  <c r="O99"/>
  <c r="K98"/>
  <c r="O98"/>
  <c r="K97"/>
  <c r="O97"/>
  <c r="K96"/>
  <c r="O96"/>
  <c r="K95"/>
  <c r="O95"/>
  <c r="K94"/>
  <c r="O94"/>
  <c r="K93"/>
  <c r="O93"/>
  <c r="K92"/>
  <c r="O92"/>
  <c r="K91"/>
  <c r="O91"/>
  <c r="K89"/>
  <c r="O89"/>
  <c r="K88"/>
  <c r="O88"/>
  <c r="K87"/>
  <c r="O87"/>
  <c r="K86"/>
  <c r="O86"/>
  <c r="O85"/>
  <c r="AC85" s="1"/>
  <c r="AG87" i="15"/>
  <c r="M87"/>
  <c r="W439" i="16"/>
  <c r="M439"/>
  <c r="G439"/>
  <c r="W438"/>
  <c r="M438"/>
  <c r="G438"/>
  <c r="W421"/>
  <c r="M421"/>
  <c r="G421"/>
  <c r="W420"/>
  <c r="M420"/>
  <c r="G420"/>
  <c r="W409"/>
  <c r="M409"/>
  <c r="G409"/>
  <c r="W364"/>
  <c r="M364"/>
  <c r="G364"/>
  <c r="W363"/>
  <c r="M363"/>
  <c r="G363"/>
  <c r="W362"/>
  <c r="M362"/>
  <c r="G362"/>
  <c r="W361"/>
  <c r="M361"/>
  <c r="G361"/>
  <c r="W360"/>
  <c r="M360"/>
  <c r="G360"/>
  <c r="W359"/>
  <c r="M359"/>
  <c r="G359"/>
  <c r="W358"/>
  <c r="M358"/>
  <c r="W354"/>
  <c r="M354"/>
  <c r="G354"/>
  <c r="W353"/>
  <c r="M353"/>
  <c r="G353"/>
  <c r="W352"/>
  <c r="M352"/>
  <c r="G352"/>
  <c r="W351"/>
  <c r="M351"/>
  <c r="G351"/>
  <c r="W350"/>
  <c r="M350"/>
  <c r="G350"/>
  <c r="W349"/>
  <c r="M349"/>
  <c r="G349"/>
  <c r="W348"/>
  <c r="M348"/>
  <c r="G348"/>
  <c r="W347"/>
  <c r="M347"/>
  <c r="G347"/>
  <c r="W346"/>
  <c r="M346"/>
  <c r="G346"/>
  <c r="W345"/>
  <c r="M345"/>
  <c r="G345"/>
  <c r="W344"/>
  <c r="M344"/>
  <c r="G344"/>
  <c r="W343"/>
  <c r="M343"/>
  <c r="G343"/>
  <c r="W342"/>
  <c r="M342"/>
  <c r="G342"/>
  <c r="W341"/>
  <c r="M341"/>
  <c r="G341"/>
  <c r="W340"/>
  <c r="M340"/>
  <c r="G340"/>
  <c r="W339"/>
  <c r="M339"/>
  <c r="G339"/>
  <c r="W338"/>
  <c r="M338"/>
  <c r="G338"/>
  <c r="W337"/>
  <c r="M337"/>
  <c r="G337"/>
  <c r="W335"/>
  <c r="M335"/>
  <c r="G335"/>
  <c r="W334"/>
  <c r="M334"/>
  <c r="G334"/>
  <c r="W333"/>
  <c r="M333"/>
  <c r="G333"/>
  <c r="W332"/>
  <c r="M332"/>
  <c r="G332"/>
  <c r="W331"/>
  <c r="M331"/>
  <c r="G331"/>
  <c r="W330"/>
  <c r="M330"/>
  <c r="W329"/>
  <c r="M329"/>
  <c r="G329"/>
  <c r="W328"/>
  <c r="M328"/>
  <c r="G328"/>
  <c r="W327"/>
  <c r="M327"/>
  <c r="G327"/>
  <c r="W325"/>
  <c r="M325"/>
  <c r="G325"/>
  <c r="W323"/>
  <c r="M323"/>
  <c r="G323"/>
  <c r="W322"/>
  <c r="M322"/>
  <c r="G322"/>
  <c r="W321"/>
  <c r="M321"/>
  <c r="G321"/>
  <c r="W256"/>
  <c r="M256"/>
  <c r="W255"/>
  <c r="M255"/>
  <c r="G255"/>
  <c r="W254"/>
  <c r="W253"/>
  <c r="W252"/>
  <c r="W251"/>
  <c r="G251"/>
  <c r="W250"/>
  <c r="M250"/>
  <c r="W249"/>
  <c r="M249"/>
  <c r="W248"/>
  <c r="M248"/>
  <c r="W247"/>
  <c r="M247"/>
  <c r="W246"/>
  <c r="M246"/>
  <c r="G246"/>
  <c r="W245"/>
  <c r="M245"/>
  <c r="G245"/>
  <c r="W244"/>
  <c r="M244"/>
  <c r="G244"/>
  <c r="W243"/>
  <c r="M243"/>
  <c r="W242"/>
  <c r="M242"/>
  <c r="G242"/>
  <c r="W241"/>
  <c r="M241"/>
  <c r="G241"/>
  <c r="M240"/>
  <c r="W239"/>
  <c r="M239"/>
  <c r="W238"/>
  <c r="W237"/>
  <c r="M237"/>
  <c r="G237"/>
  <c r="W236"/>
  <c r="M236"/>
  <c r="G236"/>
  <c r="W235"/>
  <c r="M235"/>
  <c r="G235"/>
  <c r="W233"/>
  <c r="M233"/>
  <c r="G233"/>
  <c r="W232"/>
  <c r="G232"/>
  <c r="W231"/>
  <c r="M231"/>
  <c r="W230"/>
  <c r="M230"/>
  <c r="G230"/>
  <c r="W229"/>
  <c r="M229"/>
  <c r="G229"/>
  <c r="W228"/>
  <c r="M228"/>
  <c r="G228"/>
  <c r="W227"/>
  <c r="M227"/>
  <c r="G227"/>
  <c r="W226"/>
  <c r="M226"/>
  <c r="G226"/>
  <c r="M225"/>
  <c r="AF225" s="1"/>
  <c r="W223"/>
  <c r="M223"/>
  <c r="G223"/>
  <c r="W219"/>
  <c r="M219"/>
  <c r="G219"/>
  <c r="W218"/>
  <c r="M218"/>
  <c r="G218"/>
  <c r="W216"/>
  <c r="G216"/>
  <c r="W215"/>
  <c r="M215"/>
  <c r="G215"/>
  <c r="W214"/>
  <c r="M214"/>
  <c r="W213"/>
  <c r="M213"/>
  <c r="G213"/>
  <c r="W212"/>
  <c r="M212"/>
  <c r="W211"/>
  <c r="M211"/>
  <c r="W210"/>
  <c r="M210"/>
  <c r="G210"/>
  <c r="M209"/>
  <c r="G209"/>
  <c r="M208"/>
  <c r="G208"/>
  <c r="M207"/>
  <c r="G207"/>
  <c r="M206"/>
  <c r="G206"/>
  <c r="M205"/>
  <c r="G205"/>
  <c r="M204"/>
  <c r="G204"/>
  <c r="M201"/>
  <c r="G201"/>
  <c r="M200"/>
  <c r="G200"/>
  <c r="M199"/>
  <c r="G199"/>
  <c r="M198"/>
  <c r="G198"/>
  <c r="M197"/>
  <c r="G197"/>
  <c r="M196"/>
  <c r="G196"/>
  <c r="M195"/>
  <c r="G195"/>
  <c r="M194"/>
  <c r="G194"/>
  <c r="M190"/>
  <c r="G190"/>
  <c r="M189"/>
  <c r="G189"/>
  <c r="M188"/>
  <c r="G188"/>
  <c r="M187"/>
  <c r="M186"/>
  <c r="G186"/>
  <c r="M185"/>
  <c r="G185"/>
  <c r="M184"/>
  <c r="M183"/>
  <c r="G183"/>
  <c r="M181"/>
  <c r="G181"/>
  <c r="W180"/>
  <c r="M180"/>
  <c r="G180"/>
  <c r="W179"/>
  <c r="M179"/>
  <c r="G179"/>
  <c r="G178"/>
  <c r="AF178" s="1"/>
  <c r="W174"/>
  <c r="M174"/>
  <c r="G174"/>
  <c r="W173"/>
  <c r="M173"/>
  <c r="G173"/>
  <c r="W172"/>
  <c r="M172"/>
  <c r="G172"/>
  <c r="G171"/>
  <c r="W168"/>
  <c r="M168"/>
  <c r="G168"/>
  <c r="W167"/>
  <c r="M167"/>
  <c r="W166"/>
  <c r="W165"/>
  <c r="W164"/>
  <c r="W161"/>
  <c r="M161"/>
  <c r="G161"/>
  <c r="W160"/>
  <c r="M160"/>
  <c r="G160"/>
  <c r="W159"/>
  <c r="M159"/>
  <c r="G159"/>
  <c r="W158"/>
  <c r="M158"/>
  <c r="G158"/>
  <c r="W157"/>
  <c r="M157"/>
  <c r="G157"/>
  <c r="W156"/>
  <c r="M156"/>
  <c r="G156"/>
  <c r="G155"/>
  <c r="W153"/>
  <c r="M153"/>
  <c r="G153"/>
  <c r="W152"/>
  <c r="M152"/>
  <c r="G152"/>
  <c r="W151"/>
  <c r="M151"/>
  <c r="G151"/>
  <c r="G150"/>
  <c r="AF150" s="1"/>
  <c r="W149"/>
  <c r="G149"/>
  <c r="W148"/>
  <c r="M148"/>
  <c r="G148"/>
  <c r="W144"/>
  <c r="M144"/>
  <c r="G144"/>
  <c r="W143"/>
  <c r="M143"/>
  <c r="G143"/>
  <c r="W142"/>
  <c r="M142"/>
  <c r="G142"/>
  <c r="W141"/>
  <c r="M141"/>
  <c r="G141"/>
  <c r="M140"/>
  <c r="G140"/>
  <c r="W138"/>
  <c r="M138"/>
  <c r="G138"/>
  <c r="W137"/>
  <c r="M137"/>
  <c r="G137"/>
  <c r="W136"/>
  <c r="M136"/>
  <c r="G136"/>
  <c r="W135"/>
  <c r="M135"/>
  <c r="G135"/>
  <c r="W134"/>
  <c r="M134"/>
  <c r="W133"/>
  <c r="M133"/>
  <c r="G133"/>
  <c r="W132"/>
  <c r="M132"/>
  <c r="G132"/>
  <c r="W131"/>
  <c r="M131"/>
  <c r="G131"/>
  <c r="W130"/>
  <c r="M130"/>
  <c r="G130"/>
  <c r="W129"/>
  <c r="M129"/>
  <c r="G129"/>
  <c r="W128"/>
  <c r="M128"/>
  <c r="W127"/>
  <c r="M127"/>
  <c r="G127"/>
  <c r="W126"/>
  <c r="M126"/>
  <c r="G126"/>
  <c r="W125"/>
  <c r="M125"/>
  <c r="G125"/>
  <c r="W124"/>
  <c r="M124"/>
  <c r="G124"/>
  <c r="W123"/>
  <c r="M123"/>
  <c r="G123"/>
  <c r="W122"/>
  <c r="M122"/>
  <c r="G122"/>
  <c r="W120"/>
  <c r="M120"/>
  <c r="G120"/>
  <c r="W119"/>
  <c r="M119"/>
  <c r="G119"/>
  <c r="W118"/>
  <c r="M118"/>
  <c r="G118"/>
  <c r="W117"/>
  <c r="M117"/>
  <c r="G117"/>
  <c r="W116"/>
  <c r="M116"/>
  <c r="G116"/>
  <c r="W114"/>
  <c r="M114"/>
  <c r="G114"/>
  <c r="W113"/>
  <c r="M113"/>
  <c r="G113"/>
  <c r="W112"/>
  <c r="M112"/>
  <c r="G112"/>
  <c r="M111"/>
  <c r="G111"/>
  <c r="W110"/>
  <c r="M110"/>
  <c r="G110"/>
  <c r="W109"/>
  <c r="M109"/>
  <c r="G109"/>
  <c r="W108"/>
  <c r="M108"/>
  <c r="G108"/>
  <c r="W107"/>
  <c r="M107"/>
  <c r="G107"/>
  <c r="W106"/>
  <c r="M106"/>
  <c r="G106"/>
  <c r="W105"/>
  <c r="M105"/>
  <c r="G105"/>
  <c r="W104"/>
  <c r="M104"/>
  <c r="G104"/>
  <c r="W103"/>
  <c r="M103"/>
  <c r="G103"/>
  <c r="W102"/>
  <c r="M102"/>
  <c r="W101"/>
  <c r="M101"/>
  <c r="G101"/>
  <c r="W100"/>
  <c r="M100"/>
  <c r="G100"/>
  <c r="W99"/>
  <c r="M99"/>
  <c r="W98"/>
  <c r="M98"/>
  <c r="G98"/>
  <c r="W97"/>
  <c r="M97"/>
  <c r="W96"/>
  <c r="M96"/>
  <c r="W95"/>
  <c r="M95"/>
  <c r="G95"/>
  <c r="W94"/>
  <c r="M94"/>
  <c r="G94"/>
  <c r="W93"/>
  <c r="M93"/>
  <c r="W92"/>
  <c r="M92"/>
  <c r="G92"/>
  <c r="W89"/>
  <c r="M89"/>
  <c r="W88"/>
  <c r="M88"/>
  <c r="W87"/>
  <c r="M87"/>
  <c r="G87"/>
  <c r="S301" i="10"/>
  <c r="AZ292" i="2"/>
  <c r="BJ292" s="1"/>
  <c r="Y292" i="1"/>
  <c r="AD335" i="16"/>
  <c r="AD337"/>
  <c r="AD186"/>
  <c r="AD188"/>
  <c r="AD185"/>
  <c r="AD164"/>
  <c r="AD144"/>
  <c r="AD245"/>
  <c r="AD246"/>
  <c r="AD236"/>
  <c r="AD232"/>
  <c r="AD231"/>
  <c r="AF400"/>
  <c r="AF349"/>
  <c r="AF240"/>
  <c r="G234"/>
  <c r="M234"/>
  <c r="W234"/>
  <c r="M155"/>
  <c r="W155"/>
  <c r="AD379"/>
  <c r="AD97"/>
  <c r="AD349"/>
  <c r="AD395"/>
  <c r="AD327"/>
  <c r="AD334"/>
  <c r="AD206"/>
  <c r="AD187"/>
  <c r="AD180"/>
  <c r="AD439"/>
  <c r="AD433"/>
  <c r="AD425"/>
  <c r="AD402"/>
  <c r="AD399"/>
  <c r="AD362"/>
  <c r="AD346"/>
  <c r="AD216"/>
  <c r="AD215"/>
  <c r="AD200"/>
  <c r="AD189"/>
  <c r="AD170"/>
  <c r="AD158"/>
  <c r="AD148"/>
  <c r="AD132"/>
  <c r="AD130"/>
  <c r="AD107"/>
  <c r="AD141"/>
  <c r="AD134"/>
  <c r="X530" i="10"/>
  <c r="X529"/>
  <c r="AD323" i="16"/>
  <c r="AK292" i="1"/>
  <c r="AD127" i="16"/>
  <c r="X301" i="10"/>
  <c r="AD438" i="16"/>
  <c r="AD437"/>
  <c r="AD436"/>
  <c r="AD435"/>
  <c r="AD434"/>
  <c r="AD432"/>
  <c r="AD431"/>
  <c r="AD430"/>
  <c r="AD429"/>
  <c r="AD424"/>
  <c r="AD423"/>
  <c r="AD422"/>
  <c r="AD421"/>
  <c r="AD420"/>
  <c r="AD419"/>
  <c r="AD418"/>
  <c r="AD417"/>
  <c r="AD416"/>
  <c r="AD415"/>
  <c r="AD414"/>
  <c r="AD413"/>
  <c r="AD412"/>
  <c r="AD411"/>
  <c r="AD410"/>
  <c r="AD409"/>
  <c r="AD408"/>
  <c r="AD407"/>
  <c r="AD406"/>
  <c r="AD405"/>
  <c r="AD404"/>
  <c r="AD403"/>
  <c r="AD401"/>
  <c r="AD400"/>
  <c r="AD398"/>
  <c r="AD397"/>
  <c r="AD396"/>
  <c r="AD394"/>
  <c r="AD393"/>
  <c r="AD392"/>
  <c r="AD391"/>
  <c r="AD389"/>
  <c r="AD388"/>
  <c r="AD386"/>
  <c r="AD385"/>
  <c r="AD384"/>
  <c r="AD383"/>
  <c r="AD382"/>
  <c r="AD381"/>
  <c r="AD380"/>
  <c r="AD378"/>
  <c r="AD377"/>
  <c r="AD364"/>
  <c r="AD363"/>
  <c r="AD361"/>
  <c r="AD360"/>
  <c r="AD359"/>
  <c r="AD358"/>
  <c r="AD354"/>
  <c r="AD353"/>
  <c r="AD352"/>
  <c r="AD351"/>
  <c r="AD350"/>
  <c r="AD348"/>
  <c r="AD347"/>
  <c r="AD345"/>
  <c r="AD344"/>
  <c r="AD343"/>
  <c r="AD342"/>
  <c r="AD341"/>
  <c r="AD340"/>
  <c r="AD339"/>
  <c r="AD338"/>
  <c r="AD333"/>
  <c r="AD332"/>
  <c r="AD331"/>
  <c r="AD330"/>
  <c r="AD329"/>
  <c r="AD328"/>
  <c r="AD325"/>
  <c r="AD322"/>
  <c r="AD321"/>
  <c r="AD256"/>
  <c r="AD255"/>
  <c r="AD254"/>
  <c r="AD253"/>
  <c r="AD252"/>
  <c r="AD251"/>
  <c r="AD250"/>
  <c r="AD249"/>
  <c r="AD248"/>
  <c r="AD247"/>
  <c r="AD244"/>
  <c r="AD243"/>
  <c r="AD242"/>
  <c r="AD241"/>
  <c r="AD240"/>
  <c r="AD239"/>
  <c r="AD238"/>
  <c r="AD237"/>
  <c r="AD235"/>
  <c r="AD234"/>
  <c r="AD233"/>
  <c r="AD230"/>
  <c r="AD229"/>
  <c r="AD228"/>
  <c r="AD227"/>
  <c r="AD226"/>
  <c r="AD223"/>
  <c r="AD219"/>
  <c r="AD218"/>
  <c r="AD214"/>
  <c r="AD213"/>
  <c r="AD212"/>
  <c r="AD211"/>
  <c r="AD210"/>
  <c r="AD209"/>
  <c r="AD208"/>
  <c r="AD207"/>
  <c r="AD205"/>
  <c r="AD204"/>
  <c r="AD201"/>
  <c r="AD199"/>
  <c r="AD198"/>
  <c r="AD197"/>
  <c r="AD196"/>
  <c r="AD195"/>
  <c r="AD194"/>
  <c r="AD192"/>
  <c r="AD190"/>
  <c r="AD184"/>
  <c r="AD183"/>
  <c r="AD181"/>
  <c r="AD179"/>
  <c r="AD178"/>
  <c r="AD174"/>
  <c r="AD173"/>
  <c r="AD172"/>
  <c r="AD171"/>
  <c r="AD168"/>
  <c r="AD167"/>
  <c r="AD166"/>
  <c r="AD165"/>
  <c r="AD161"/>
  <c r="AD160"/>
  <c r="AD159"/>
  <c r="AD157"/>
  <c r="AD156"/>
  <c r="AD155"/>
  <c r="AD153"/>
  <c r="AD152"/>
  <c r="AD151"/>
  <c r="AD150"/>
  <c r="AD149"/>
  <c r="AD143"/>
  <c r="AD142"/>
  <c r="AD140"/>
  <c r="AD138"/>
  <c r="AD137"/>
  <c r="AD136"/>
  <c r="AD135"/>
  <c r="AD133"/>
  <c r="AD131"/>
  <c r="AD129"/>
  <c r="AD128"/>
  <c r="AD126"/>
  <c r="AD125"/>
  <c r="AD124"/>
  <c r="AD123"/>
  <c r="AD122"/>
  <c r="AD120"/>
  <c r="AD119"/>
  <c r="AD118"/>
  <c r="AD117"/>
  <c r="AD116"/>
  <c r="AD114"/>
  <c r="AD113"/>
  <c r="AD112"/>
  <c r="AD111"/>
  <c r="AD110"/>
  <c r="AD109"/>
  <c r="AD108"/>
  <c r="AD106"/>
  <c r="AD105"/>
  <c r="AD104"/>
  <c r="AD103"/>
  <c r="AD102"/>
  <c r="AD101"/>
  <c r="AD100"/>
  <c r="AD99"/>
  <c r="AD98"/>
  <c r="AD96"/>
  <c r="AD95"/>
  <c r="AD94"/>
  <c r="AD93"/>
  <c r="AD92"/>
  <c r="AD89"/>
  <c r="AD88"/>
  <c r="AD87"/>
  <c r="AD86"/>
  <c r="AD85"/>
  <c r="AC279" i="14"/>
  <c r="AM622" i="1"/>
  <c r="AC603" i="14"/>
  <c r="AF618" i="16"/>
  <c r="AF616"/>
  <c r="AF632"/>
  <c r="AF570"/>
  <c r="AF595"/>
  <c r="AF612"/>
  <c r="AF552"/>
  <c r="AF571"/>
  <c r="AF610"/>
  <c r="AF558"/>
  <c r="AF447"/>
  <c r="AF468"/>
  <c r="AF484"/>
  <c r="AF508"/>
  <c r="AF454"/>
  <c r="AF470"/>
  <c r="AF490"/>
  <c r="AF524"/>
  <c r="AF532"/>
  <c r="AF443"/>
  <c r="AF277"/>
  <c r="AF290"/>
  <c r="AF258"/>
  <c r="AF224"/>
  <c r="AF91"/>
  <c r="AM609" i="1"/>
  <c r="AM437"/>
  <c r="BL434" i="2" s="1"/>
  <c r="BS434" s="1"/>
  <c r="AM440" i="1"/>
  <c r="AM456"/>
  <c r="AM463"/>
  <c r="AM466"/>
  <c r="BL466" i="2" s="1"/>
  <c r="BS466" s="1"/>
  <c r="AM474" i="1"/>
  <c r="AM546"/>
  <c r="AM553"/>
  <c r="AM564"/>
  <c r="AM570"/>
  <c r="AM575"/>
  <c r="AM311"/>
  <c r="BL311" i="2" s="1"/>
  <c r="BS311" s="1"/>
  <c r="AM358" i="1"/>
  <c r="BL386" i="2"/>
  <c r="BS386" s="1"/>
  <c r="BU386" s="1"/>
  <c r="AC514" i="14"/>
  <c r="AC445"/>
  <c r="AI546" i="15"/>
  <c r="AI425"/>
  <c r="AY426" i="17" s="1"/>
  <c r="BC426" s="1"/>
  <c r="BE426" s="1"/>
  <c r="AI221" i="15"/>
  <c r="AY221" i="17" s="1"/>
  <c r="BC221" s="1"/>
  <c r="BE221" s="1"/>
  <c r="AY180"/>
  <c r="BC180" s="1"/>
  <c r="BE180" s="1"/>
  <c r="AI131" i="15"/>
  <c r="AY131" i="17" s="1"/>
  <c r="BC131" s="1"/>
  <c r="BE131" s="1"/>
  <c r="AM448" i="1"/>
  <c r="AF451" i="16"/>
  <c r="AI441" i="15"/>
  <c r="AI436"/>
  <c r="AY437" i="17" s="1"/>
  <c r="BC437" s="1"/>
  <c r="BE437" s="1"/>
  <c r="AF453" i="16"/>
  <c r="AI451" i="15"/>
  <c r="AY452" i="17" s="1"/>
  <c r="BC452" s="1"/>
  <c r="BE452" s="1"/>
  <c r="AF455" i="16"/>
  <c r="AC472" i="14"/>
  <c r="AM462" i="1"/>
  <c r="AF465" i="16"/>
  <c r="AC461" i="14"/>
  <c r="AM457" i="1"/>
  <c r="AC488" i="14"/>
  <c r="AF485" i="16"/>
  <c r="AM477" i="1"/>
  <c r="AM475"/>
  <c r="AI475" i="15"/>
  <c r="AY476" i="17" s="1"/>
  <c r="BC476" s="1"/>
  <c r="BE476" s="1"/>
  <c r="AM558" i="1"/>
  <c r="AM552"/>
  <c r="AF557" i="16"/>
  <c r="AC553" i="14"/>
  <c r="AM544" i="1"/>
  <c r="BL544" i="2" s="1"/>
  <c r="BS544" s="1"/>
  <c r="AM580" i="1"/>
  <c r="BL577" i="2" s="1"/>
  <c r="BS577" s="1"/>
  <c r="BU577" s="1"/>
  <c r="AM578" i="1"/>
  <c r="AM573"/>
  <c r="BL570" i="2" s="1"/>
  <c r="BS570" s="1"/>
  <c r="AI109" i="15"/>
  <c r="AI280"/>
  <c r="AY280" i="17" s="1"/>
  <c r="BC280" s="1"/>
  <c r="BE280" s="1"/>
  <c r="AF278" i="16"/>
  <c r="AI287" i="15"/>
  <c r="AY287" i="17" s="1"/>
  <c r="BC287" s="1"/>
  <c r="BE287" s="1"/>
  <c r="AF286" i="16"/>
  <c r="AG289" i="15"/>
  <c r="AI289" s="1"/>
  <c r="AY398" i="17"/>
  <c r="BC398" s="1"/>
  <c r="BE398" s="1"/>
  <c r="AY374"/>
  <c r="BC374" s="1"/>
  <c r="BE374" s="1"/>
  <c r="AI158" i="15"/>
  <c r="AY155" i="17" s="1"/>
  <c r="BC155" s="1"/>
  <c r="BE155" s="1"/>
  <c r="K594" i="14"/>
  <c r="AC594" s="1"/>
  <c r="AI548" i="15"/>
  <c r="AY549" i="17" s="1"/>
  <c r="BC549" s="1"/>
  <c r="BE549" s="1"/>
  <c r="AI276" i="15"/>
  <c r="AY276" i="17" s="1"/>
  <c r="BC276" s="1"/>
  <c r="BE276" s="1"/>
  <c r="AY390"/>
  <c r="BC390" s="1"/>
  <c r="BE390" s="1"/>
  <c r="AI596" i="15"/>
  <c r="AI572"/>
  <c r="AI555"/>
  <c r="AY556" i="17" s="1"/>
  <c r="BC556" s="1"/>
  <c r="BE556" s="1"/>
  <c r="AY381"/>
  <c r="BC381" s="1"/>
  <c r="BE381" s="1"/>
  <c r="AI255" i="15"/>
  <c r="AI252"/>
  <c r="AY252" i="17" s="1"/>
  <c r="BC252" s="1"/>
  <c r="BE252" s="1"/>
  <c r="AI245" i="15"/>
  <c r="AI236"/>
  <c r="AY233" i="17" s="1"/>
  <c r="BC233" s="1"/>
  <c r="BE233" s="1"/>
  <c r="AI198" i="15"/>
  <c r="AY198" i="17" s="1"/>
  <c r="BC198" s="1"/>
  <c r="BE198" s="1"/>
  <c r="AI190" i="15"/>
  <c r="AY190" i="17" s="1"/>
  <c r="BC190" s="1"/>
  <c r="BE190" s="1"/>
  <c r="AI123" i="15"/>
  <c r="AY123" i="17" s="1"/>
  <c r="BC123" s="1"/>
  <c r="BE123" s="1"/>
  <c r="AG478" i="15"/>
  <c r="AI581"/>
  <c r="AY582" i="17" s="1"/>
  <c r="BC582" s="1"/>
  <c r="BE582" s="1"/>
  <c r="AI408" i="15"/>
  <c r="AY409" i="17" s="1"/>
  <c r="BC409" s="1"/>
  <c r="BE409" s="1"/>
  <c r="AI200" i="15"/>
  <c r="AI189"/>
  <c r="AY189" i="17" s="1"/>
  <c r="AI362" i="15"/>
  <c r="AI340"/>
  <c r="AY340" i="17" s="1"/>
  <c r="BC340" s="1"/>
  <c r="BE340" s="1"/>
  <c r="AI277" i="15"/>
  <c r="AY277" i="17" s="1"/>
  <c r="BC277" s="1"/>
  <c r="BE277" s="1"/>
  <c r="AM490" i="1"/>
  <c r="AM494"/>
  <c r="BL491" i="2" s="1"/>
  <c r="BS491" s="1"/>
  <c r="BU491" s="1"/>
  <c r="AM495" i="1"/>
  <c r="BL492" i="2" s="1"/>
  <c r="BS492" s="1"/>
  <c r="BU492" s="1"/>
  <c r="AM496" i="1"/>
  <c r="BL493" i="2" s="1"/>
  <c r="BS493" s="1"/>
  <c r="BU493" s="1"/>
  <c r="AM506" i="1"/>
  <c r="AM507"/>
  <c r="AM522"/>
  <c r="AM539"/>
  <c r="AM528"/>
  <c r="AM533"/>
  <c r="AM536"/>
  <c r="AC211" i="14"/>
  <c r="AI501" i="15"/>
  <c r="AY502" i="17" s="1"/>
  <c r="BC502" s="1"/>
  <c r="BE502" s="1"/>
  <c r="AI532" i="15"/>
  <c r="AY530" i="17" s="1"/>
  <c r="BC530" s="1"/>
  <c r="BE530" s="1"/>
  <c r="AI521" i="15"/>
  <c r="AY522" i="17" s="1"/>
  <c r="BC522" s="1"/>
  <c r="BE522" s="1"/>
  <c r="AI513" i="15"/>
  <c r="AY514" i="17" s="1"/>
  <c r="BC514" s="1"/>
  <c r="BE514" s="1"/>
  <c r="AI503" i="15"/>
  <c r="AY504" i="17" s="1"/>
  <c r="BC504" s="1"/>
  <c r="BE504" s="1"/>
  <c r="AI499" i="15"/>
  <c r="AY500" i="17" s="1"/>
  <c r="BC500" s="1"/>
  <c r="BE500" s="1"/>
  <c r="AF607" i="16"/>
  <c r="AF627"/>
  <c r="AF633"/>
  <c r="AF507"/>
  <c r="AF366"/>
  <c r="AF369"/>
  <c r="AF371"/>
  <c r="AF373"/>
  <c r="AF376"/>
  <c r="AF540"/>
  <c r="AF580"/>
  <c r="AF501"/>
  <c r="AF444"/>
  <c r="AF519"/>
  <c r="AF531"/>
  <c r="AF424"/>
  <c r="AF603"/>
  <c r="AF617"/>
  <c r="AF625"/>
  <c r="AF365"/>
  <c r="AF529"/>
  <c r="AF293"/>
  <c r="AF505"/>
  <c r="AZ538" i="25"/>
  <c r="BJ538" s="1"/>
  <c r="Y488" i="22"/>
  <c r="Y498"/>
  <c r="Y538"/>
  <c r="AC601" i="26"/>
  <c r="AC489"/>
  <c r="AA491"/>
  <c r="AC493"/>
  <c r="AA499"/>
  <c r="AC500"/>
  <c r="AA514"/>
  <c r="AA516"/>
  <c r="AA517"/>
  <c r="AA518"/>
  <c r="AC525"/>
  <c r="AA525"/>
  <c r="AA527"/>
  <c r="K530"/>
  <c r="AC530" s="1"/>
  <c r="AA530"/>
  <c r="AA531"/>
  <c r="AC533"/>
  <c r="AC535"/>
  <c r="AA536"/>
  <c r="AA537"/>
  <c r="AC539"/>
  <c r="AA541"/>
  <c r="AA542"/>
  <c r="AC86" i="14"/>
  <c r="AC586"/>
  <c r="AI474" i="15"/>
  <c r="AY475" i="17" s="1"/>
  <c r="BC475" s="1"/>
  <c r="BE475" s="1"/>
  <c r="AI545" i="15"/>
  <c r="AY546" i="17" s="1"/>
  <c r="BC546" s="1"/>
  <c r="BE546" s="1"/>
  <c r="AY396"/>
  <c r="BC396" s="1"/>
  <c r="BE396" s="1"/>
  <c r="AC511" i="26"/>
  <c r="AC517"/>
  <c r="G296" i="16"/>
  <c r="AF296" s="1"/>
  <c r="AD296"/>
  <c r="AF430"/>
  <c r="AF585"/>
  <c r="AF590"/>
  <c r="AF494"/>
  <c r="AF502"/>
  <c r="AF506"/>
  <c r="AF512"/>
  <c r="AI355" i="15"/>
  <c r="AY355" i="17" s="1"/>
  <c r="BC355" s="1"/>
  <c r="BE355" s="1"/>
  <c r="AC519" i="26"/>
  <c r="AM516" i="1"/>
  <c r="AM158"/>
  <c r="AC498" i="26"/>
  <c r="AI497" i="15"/>
  <c r="AY498" i="17" s="1"/>
  <c r="BC498" s="1"/>
  <c r="BE498" s="1"/>
  <c r="AC337" i="26"/>
  <c r="AY242" i="17"/>
  <c r="BC242" s="1"/>
  <c r="BE242" s="1"/>
  <c r="AC330" i="14"/>
  <c r="AI279" i="15"/>
  <c r="AY279" i="17" s="1"/>
  <c r="BC279" s="1"/>
  <c r="BE279" s="1"/>
  <c r="AC510" i="14"/>
  <c r="AY482" i="17"/>
  <c r="BC482" s="1"/>
  <c r="BE482" s="1"/>
  <c r="K537" i="14"/>
  <c r="AC537" s="1"/>
  <c r="AF238" i="16"/>
  <c r="AC588" i="26"/>
  <c r="AC585" i="14"/>
  <c r="AF588" i="16"/>
  <c r="AM256" i="1"/>
  <c r="BL253" i="2" s="1"/>
  <c r="BS253" s="1"/>
  <c r="AM252" i="1"/>
  <c r="AM251"/>
  <c r="AY245" i="17"/>
  <c r="BC245" s="1"/>
  <c r="BE245" s="1"/>
  <c r="AC429" i="14"/>
  <c r="AC428" i="26"/>
  <c r="AC429"/>
  <c r="AC437"/>
  <c r="AC589"/>
  <c r="AC592"/>
  <c r="AC597"/>
  <c r="AC181"/>
  <c r="AC188"/>
  <c r="AM509" i="1"/>
  <c r="AM538"/>
  <c r="AF330" i="16"/>
  <c r="AC238" i="14"/>
  <c r="AQ529" i="22" l="1"/>
  <c r="AQ522"/>
  <c r="AQ260"/>
  <c r="AQ261"/>
  <c r="AQ262"/>
  <c r="AC86" i="26"/>
  <c r="AC88"/>
  <c r="AC90"/>
  <c r="AC92"/>
  <c r="AC94"/>
  <c r="AC96"/>
  <c r="AC98"/>
  <c r="AC100"/>
  <c r="AC104"/>
  <c r="AC106"/>
  <c r="AC108"/>
  <c r="AC110"/>
  <c r="AC112"/>
  <c r="AC114"/>
  <c r="AC117"/>
  <c r="AC119"/>
  <c r="AC122"/>
  <c r="AC124"/>
  <c r="AC126"/>
  <c r="AC128"/>
  <c r="AC130"/>
  <c r="AC132"/>
  <c r="AC136"/>
  <c r="AC138"/>
  <c r="AC141"/>
  <c r="AC161"/>
  <c r="AC172"/>
  <c r="AC174"/>
  <c r="AC286"/>
  <c r="AC288"/>
  <c r="AC437" i="14"/>
  <c r="AC442"/>
  <c r="AC465"/>
  <c r="AC481"/>
  <c r="AC483"/>
  <c r="AC561"/>
  <c r="AC571"/>
  <c r="BU544" i="2"/>
  <c r="AC362" i="14"/>
  <c r="AC364"/>
  <c r="AC366"/>
  <c r="AC368"/>
  <c r="AC370"/>
  <c r="AC372"/>
  <c r="AC249"/>
  <c r="AC447"/>
  <c r="AC451"/>
  <c r="AC457"/>
  <c r="AC464"/>
  <c r="AC466"/>
  <c r="AC474"/>
  <c r="AC478"/>
  <c r="AC486"/>
  <c r="AC549"/>
  <c r="AC558"/>
  <c r="AC575"/>
  <c r="AC159"/>
  <c r="AI566" i="15"/>
  <c r="AI562"/>
  <c r="AY563" i="17" s="1"/>
  <c r="BC563" s="1"/>
  <c r="BE563" s="1"/>
  <c r="AI549" i="15"/>
  <c r="AI476"/>
  <c r="AY477" i="17" s="1"/>
  <c r="BC477" s="1"/>
  <c r="BE477" s="1"/>
  <c r="AQ496" i="22"/>
  <c r="AQ495"/>
  <c r="AQ492"/>
  <c r="AQ491"/>
  <c r="AQ490"/>
  <c r="AQ489"/>
  <c r="AQ256"/>
  <c r="AQ255"/>
  <c r="AQ254"/>
  <c r="AC513" i="26"/>
  <c r="AQ527" i="22"/>
  <c r="AQ530"/>
  <c r="AQ347"/>
  <c r="AQ349"/>
  <c r="AQ354"/>
  <c r="AQ356"/>
  <c r="AQ360"/>
  <c r="AQ362"/>
  <c r="AQ368"/>
  <c r="AQ370"/>
  <c r="AQ372"/>
  <c r="AQ416"/>
  <c r="AQ418"/>
  <c r="AQ439"/>
  <c r="AQ447"/>
  <c r="AQ449"/>
  <c r="AQ451"/>
  <c r="AQ457"/>
  <c r="AQ459"/>
  <c r="AQ463"/>
  <c r="AQ465"/>
  <c r="AQ467"/>
  <c r="AQ469"/>
  <c r="AQ471"/>
  <c r="AQ473"/>
  <c r="AQ475"/>
  <c r="AQ477"/>
  <c r="AQ479"/>
  <c r="AQ481"/>
  <c r="AQ483"/>
  <c r="AQ485"/>
  <c r="AQ541"/>
  <c r="AQ543"/>
  <c r="AQ545"/>
  <c r="AQ547"/>
  <c r="AQ550"/>
  <c r="AQ552"/>
  <c r="AQ556"/>
  <c r="AQ558"/>
  <c r="AQ562"/>
  <c r="AQ568"/>
  <c r="AQ570"/>
  <c r="AQ572"/>
  <c r="AQ577"/>
  <c r="AQ598"/>
  <c r="AQ600"/>
  <c r="AQ602"/>
  <c r="AQ604"/>
  <c r="AQ606"/>
  <c r="AQ608"/>
  <c r="AQ623"/>
  <c r="AQ625"/>
  <c r="AQ627"/>
  <c r="AQ629"/>
  <c r="AQ631"/>
  <c r="AQ588"/>
  <c r="AQ590"/>
  <c r="AQ486"/>
  <c r="AQ487"/>
  <c r="AQ498"/>
  <c r="AQ499"/>
  <c r="AQ500"/>
  <c r="AQ501"/>
  <c r="AQ502"/>
  <c r="AQ503"/>
  <c r="AQ504"/>
  <c r="AQ505"/>
  <c r="AQ506"/>
  <c r="AQ507"/>
  <c r="AQ508"/>
  <c r="AQ510"/>
  <c r="AQ511"/>
  <c r="AQ512"/>
  <c r="AQ513"/>
  <c r="AQ516"/>
  <c r="AQ519"/>
  <c r="AQ520"/>
  <c r="AQ521"/>
  <c r="AQ528"/>
  <c r="AQ531"/>
  <c r="AQ532"/>
  <c r="AQ533"/>
  <c r="AQ534"/>
  <c r="AQ535"/>
  <c r="AQ536"/>
  <c r="AQ537"/>
  <c r="AQ432"/>
  <c r="BL432" i="25" s="1"/>
  <c r="BT432" s="1"/>
  <c r="BV432" s="1"/>
  <c r="AQ346" i="22"/>
  <c r="AQ348"/>
  <c r="AQ353"/>
  <c r="AQ355"/>
  <c r="AQ357"/>
  <c r="AQ361"/>
  <c r="AQ363"/>
  <c r="AQ365"/>
  <c r="AQ367"/>
  <c r="AQ369"/>
  <c r="AQ371"/>
  <c r="AQ373"/>
  <c r="AQ417"/>
  <c r="AQ436"/>
  <c r="BL436" i="25" s="1"/>
  <c r="BT436" s="1"/>
  <c r="BV436" s="1"/>
  <c r="AQ443" i="22"/>
  <c r="AQ445"/>
  <c r="AQ448"/>
  <c r="AQ450"/>
  <c r="AQ452"/>
  <c r="AQ458"/>
  <c r="AQ460"/>
  <c r="AQ462"/>
  <c r="AQ464"/>
  <c r="BL464" i="25" s="1"/>
  <c r="BT464" s="1"/>
  <c r="BV464" s="1"/>
  <c r="AQ466" i="22"/>
  <c r="AQ468"/>
  <c r="BL468" i="25" s="1"/>
  <c r="BT468" s="1"/>
  <c r="BV468" s="1"/>
  <c r="AQ470" i="22"/>
  <c r="AQ472"/>
  <c r="BL472" i="25" s="1"/>
  <c r="BT472" s="1"/>
  <c r="BV472" s="1"/>
  <c r="AQ474" i="22"/>
  <c r="AQ476"/>
  <c r="AQ478"/>
  <c r="AQ480"/>
  <c r="AQ482"/>
  <c r="AQ484"/>
  <c r="AQ540"/>
  <c r="AQ542"/>
  <c r="BL542" i="25" s="1"/>
  <c r="BT542" s="1"/>
  <c r="BV542" s="1"/>
  <c r="AQ544" i="22"/>
  <c r="AQ546"/>
  <c r="BL546" i="25" s="1"/>
  <c r="BT546" s="1"/>
  <c r="BV546" s="1"/>
  <c r="AQ549" i="22"/>
  <c r="BL549" i="25" s="1"/>
  <c r="BT549" s="1"/>
  <c r="BV549" s="1"/>
  <c r="AQ551" i="22"/>
  <c r="BL551" i="25" s="1"/>
  <c r="BT551" s="1"/>
  <c r="BV551" s="1"/>
  <c r="AQ553" i="22"/>
  <c r="AQ555"/>
  <c r="BL555" i="25" s="1"/>
  <c r="BT555" s="1"/>
  <c r="BV555" s="1"/>
  <c r="AQ557" i="22"/>
  <c r="AQ559"/>
  <c r="BL559" i="25" s="1"/>
  <c r="BT559" s="1"/>
  <c r="BV559" s="1"/>
  <c r="AQ561" i="22"/>
  <c r="AQ565"/>
  <c r="AQ571"/>
  <c r="AQ573"/>
  <c r="AQ575"/>
  <c r="AQ597"/>
  <c r="AQ599"/>
  <c r="AQ601"/>
  <c r="AQ603"/>
  <c r="AQ605"/>
  <c r="BL605" i="25" s="1"/>
  <c r="BT605" s="1"/>
  <c r="BV605" s="1"/>
  <c r="AQ607" i="22"/>
  <c r="AQ612"/>
  <c r="AQ624"/>
  <c r="AQ626"/>
  <c r="AQ628"/>
  <c r="AQ630"/>
  <c r="AQ422"/>
  <c r="AQ589"/>
  <c r="AQ488"/>
  <c r="BL488" i="25" s="1"/>
  <c r="BT488" s="1"/>
  <c r="BV488" s="1"/>
  <c r="AQ523" i="22"/>
  <c r="AQ538"/>
  <c r="AQ539"/>
  <c r="AQ497"/>
  <c r="AQ493"/>
  <c r="AQ434"/>
  <c r="AQ165"/>
  <c r="BL165" i="25" s="1"/>
  <c r="BT165" s="1"/>
  <c r="BV165" s="1"/>
  <c r="AQ304" i="22"/>
  <c r="BL304" i="25" s="1"/>
  <c r="BT304" s="1"/>
  <c r="BV304" s="1"/>
  <c r="AQ157" i="22"/>
  <c r="AQ162"/>
  <c r="AQ164"/>
  <c r="AQ171"/>
  <c r="AQ211"/>
  <c r="AQ215"/>
  <c r="AQ217"/>
  <c r="AQ219"/>
  <c r="AQ223"/>
  <c r="AQ225"/>
  <c r="AQ227"/>
  <c r="AQ229"/>
  <c r="AQ231"/>
  <c r="AQ233"/>
  <c r="AQ235"/>
  <c r="AQ237"/>
  <c r="BL237" i="25" s="1"/>
  <c r="BT237" s="1"/>
  <c r="BV237" s="1"/>
  <c r="AQ239" i="22"/>
  <c r="AQ243"/>
  <c r="AQ245"/>
  <c r="AQ247"/>
  <c r="AQ249"/>
  <c r="AQ251"/>
  <c r="AQ253"/>
  <c r="AQ275"/>
  <c r="AQ277"/>
  <c r="AQ279"/>
  <c r="AQ281"/>
  <c r="AQ285"/>
  <c r="AQ287"/>
  <c r="AQ291"/>
  <c r="AQ293"/>
  <c r="AQ295"/>
  <c r="AQ297"/>
  <c r="AQ299"/>
  <c r="AQ301"/>
  <c r="AQ306"/>
  <c r="AQ308"/>
  <c r="AQ310"/>
  <c r="AQ312"/>
  <c r="AQ314"/>
  <c r="AQ316"/>
  <c r="AQ318"/>
  <c r="AQ320"/>
  <c r="BL320" i="25" s="1"/>
  <c r="BT320" s="1"/>
  <c r="BV320" s="1"/>
  <c r="AQ324" i="22"/>
  <c r="AQ326"/>
  <c r="AQ328"/>
  <c r="AQ330"/>
  <c r="AQ332"/>
  <c r="AQ335"/>
  <c r="BL335" i="25" s="1"/>
  <c r="BT335" s="1"/>
  <c r="BV335" s="1"/>
  <c r="AQ337" i="22"/>
  <c r="AQ339"/>
  <c r="BL339" i="25" s="1"/>
  <c r="BT339" s="1"/>
  <c r="BV339" s="1"/>
  <c r="AQ341" i="22"/>
  <c r="AQ343"/>
  <c r="AQ187"/>
  <c r="AQ189"/>
  <c r="AQ207"/>
  <c r="AQ259"/>
  <c r="AQ263"/>
  <c r="AQ264"/>
  <c r="AQ282"/>
  <c r="BL282" i="25" s="1"/>
  <c r="BT282" s="1"/>
  <c r="BV282" s="1"/>
  <c r="AQ158" i="22"/>
  <c r="AQ163"/>
  <c r="AQ169"/>
  <c r="AQ210"/>
  <c r="AQ212"/>
  <c r="AQ214"/>
  <c r="AQ216"/>
  <c r="AQ220"/>
  <c r="AQ222"/>
  <c r="AQ224"/>
  <c r="AQ226"/>
  <c r="AQ228"/>
  <c r="AQ232"/>
  <c r="AQ234"/>
  <c r="AQ240"/>
  <c r="AQ242"/>
  <c r="AQ244"/>
  <c r="AQ246"/>
  <c r="AQ250"/>
  <c r="AQ252"/>
  <c r="AQ276"/>
  <c r="AQ278"/>
  <c r="AQ280"/>
  <c r="AQ286"/>
  <c r="AQ288"/>
  <c r="AQ290"/>
  <c r="AQ292"/>
  <c r="AQ294"/>
  <c r="AQ296"/>
  <c r="AQ298"/>
  <c r="AQ300"/>
  <c r="AQ305"/>
  <c r="AQ307"/>
  <c r="BL307" i="25" s="1"/>
  <c r="BT307" s="1"/>
  <c r="BV307" s="1"/>
  <c r="AQ309" i="22"/>
  <c r="AQ311"/>
  <c r="AQ313"/>
  <c r="AQ315"/>
  <c r="AQ317"/>
  <c r="AQ319"/>
  <c r="AQ322"/>
  <c r="AQ325"/>
  <c r="AQ327"/>
  <c r="AQ329"/>
  <c r="AQ331"/>
  <c r="AQ334"/>
  <c r="AQ336"/>
  <c r="AQ338"/>
  <c r="AQ340"/>
  <c r="AQ342"/>
  <c r="AQ344"/>
  <c r="AQ200"/>
  <c r="AQ206"/>
  <c r="AQ289"/>
  <c r="AQ283"/>
  <c r="BL283" i="25" s="1"/>
  <c r="BT283" s="1"/>
  <c r="BV283" s="1"/>
  <c r="AQ274" i="22"/>
  <c r="BL274" i="25" s="1"/>
  <c r="BT274" s="1"/>
  <c r="BV274" s="1"/>
  <c r="AQ273" i="22"/>
  <c r="BL273" i="25" s="1"/>
  <c r="BT273" s="1"/>
  <c r="BV273" s="1"/>
  <c r="AQ272" i="22"/>
  <c r="BL272" i="25" s="1"/>
  <c r="BT272" s="1"/>
  <c r="BV272" s="1"/>
  <c r="AQ270" i="22"/>
  <c r="BL270" i="25" s="1"/>
  <c r="BT270" s="1"/>
  <c r="BV270" s="1"/>
  <c r="AQ269" i="22"/>
  <c r="BL269" i="25" s="1"/>
  <c r="BT269" s="1"/>
  <c r="BV269" s="1"/>
  <c r="AQ265" i="22"/>
  <c r="BL265" i="25" s="1"/>
  <c r="BT265" s="1"/>
  <c r="BV265" s="1"/>
  <c r="AQ258" i="22"/>
  <c r="BL258" i="25" s="1"/>
  <c r="BT258" s="1"/>
  <c r="BV258" s="1"/>
  <c r="AQ230" i="22"/>
  <c r="BL230" i="25" s="1"/>
  <c r="BT230" s="1"/>
  <c r="BV230" s="1"/>
  <c r="AQ213" i="22"/>
  <c r="BL213" i="25" s="1"/>
  <c r="BT213" s="1"/>
  <c r="BV213" s="1"/>
  <c r="AC208" i="26"/>
  <c r="AQ204" i="22"/>
  <c r="BL204" i="25" s="1"/>
  <c r="BT204" s="1"/>
  <c r="BV204" s="1"/>
  <c r="AQ175" i="22"/>
  <c r="BL175" i="25" s="1"/>
  <c r="BT175" s="1"/>
  <c r="BV175" s="1"/>
  <c r="AQ174" i="22"/>
  <c r="BL174" i="25" s="1"/>
  <c r="BT174" s="1"/>
  <c r="BV174" s="1"/>
  <c r="AQ167" i="22"/>
  <c r="BL167" i="25" s="1"/>
  <c r="BT167" s="1"/>
  <c r="BV167" s="1"/>
  <c r="AQ166" i="22"/>
  <c r="BL166" i="25" s="1"/>
  <c r="BT166" s="1"/>
  <c r="BV166" s="1"/>
  <c r="AQ160" i="22"/>
  <c r="BL160" i="25" s="1"/>
  <c r="BT160" s="1"/>
  <c r="BV160" s="1"/>
  <c r="AQ153" i="22"/>
  <c r="BL153" i="25" s="1"/>
  <c r="BT153" s="1"/>
  <c r="BV153" s="1"/>
  <c r="AQ152" i="22"/>
  <c r="BL152" i="25" s="1"/>
  <c r="BT152" s="1"/>
  <c r="BV152" s="1"/>
  <c r="AQ95" i="22"/>
  <c r="AQ99"/>
  <c r="AQ101"/>
  <c r="AQ103"/>
  <c r="BL103" i="25" s="1"/>
  <c r="BT103" s="1"/>
  <c r="AQ105" i="22"/>
  <c r="AQ107"/>
  <c r="AQ109"/>
  <c r="AQ111"/>
  <c r="AQ113"/>
  <c r="BL113" i="25" s="1"/>
  <c r="BT113" s="1"/>
  <c r="BV113" s="1"/>
  <c r="AQ116" i="22"/>
  <c r="AQ119"/>
  <c r="AQ122"/>
  <c r="AQ124"/>
  <c r="AQ127"/>
  <c r="AQ129"/>
  <c r="AQ131"/>
  <c r="AQ133"/>
  <c r="AQ135"/>
  <c r="AQ137"/>
  <c r="AQ140"/>
  <c r="AQ96"/>
  <c r="AQ98"/>
  <c r="AQ100"/>
  <c r="AQ102"/>
  <c r="BL102" i="25" s="1"/>
  <c r="BT102" s="1"/>
  <c r="AQ104" i="22"/>
  <c r="AQ106"/>
  <c r="AQ108"/>
  <c r="AQ110"/>
  <c r="AQ112"/>
  <c r="AQ114"/>
  <c r="AQ117"/>
  <c r="AQ120"/>
  <c r="AQ123"/>
  <c r="AQ125"/>
  <c r="AQ128"/>
  <c r="AQ130"/>
  <c r="AQ132"/>
  <c r="AQ134"/>
  <c r="AQ136"/>
  <c r="AQ138"/>
  <c r="AQ141"/>
  <c r="AQ148"/>
  <c r="BL148" i="25" s="1"/>
  <c r="BT148" s="1"/>
  <c r="BV148" s="1"/>
  <c r="AQ147" i="22"/>
  <c r="BL147" i="25" s="1"/>
  <c r="BT147" s="1"/>
  <c r="BV147" s="1"/>
  <c r="AQ143" i="22"/>
  <c r="BL143" i="25" s="1"/>
  <c r="BT143" s="1"/>
  <c r="BV143" s="1"/>
  <c r="AQ144" i="22"/>
  <c r="BL144" i="25" s="1"/>
  <c r="BT144" s="1"/>
  <c r="BV144" s="1"/>
  <c r="AQ142" i="22"/>
  <c r="BL142" i="25" s="1"/>
  <c r="BT142" s="1"/>
  <c r="BV142" s="1"/>
  <c r="BL416"/>
  <c r="BT416" s="1"/>
  <c r="BV416" s="1"/>
  <c r="AC447" i="26"/>
  <c r="AC369"/>
  <c r="AM488" i="1"/>
  <c r="BL146" i="2"/>
  <c r="AM212" i="1"/>
  <c r="AM621"/>
  <c r="AM584"/>
  <c r="AM583"/>
  <c r="BL580" i="2" s="1"/>
  <c r="BS580" s="1"/>
  <c r="BU580" s="1"/>
  <c r="AM322" i="1"/>
  <c r="BL322" i="2" s="1"/>
  <c r="BS322" s="1"/>
  <c r="BU322" s="1"/>
  <c r="BU253"/>
  <c r="BU570"/>
  <c r="BU466"/>
  <c r="BU434"/>
  <c r="AC295" i="14"/>
  <c r="AC353"/>
  <c r="BU583" i="2"/>
  <c r="AC257" i="14"/>
  <c r="AC264"/>
  <c r="AY90" i="17"/>
  <c r="BC90" s="1"/>
  <c r="BE90" s="1"/>
  <c r="AY623"/>
  <c r="BC623" s="1"/>
  <c r="BE623" s="1"/>
  <c r="AY422"/>
  <c r="BC422" s="1"/>
  <c r="BE422" s="1"/>
  <c r="AY362"/>
  <c r="BC362" s="1"/>
  <c r="BE362" s="1"/>
  <c r="AY633"/>
  <c r="BC633" s="1"/>
  <c r="BE633" s="1"/>
  <c r="AY553"/>
  <c r="BC553" s="1"/>
  <c r="BE553" s="1"/>
  <c r="AY453"/>
  <c r="BC453" s="1"/>
  <c r="BE453" s="1"/>
  <c r="AY615"/>
  <c r="BC615" s="1"/>
  <c r="BE615" s="1"/>
  <c r="AY584"/>
  <c r="BC584" s="1"/>
  <c r="BE584" s="1"/>
  <c r="AY550"/>
  <c r="BC550" s="1"/>
  <c r="BE550" s="1"/>
  <c r="AY256"/>
  <c r="AI357" i="15"/>
  <c r="AY357" i="17" s="1"/>
  <c r="BC357" s="1"/>
  <c r="BE357" s="1"/>
  <c r="AI106" i="15"/>
  <c r="AY106" i="17" s="1"/>
  <c r="BC106" s="1"/>
  <c r="BE106" s="1"/>
  <c r="AI419" i="15"/>
  <c r="AY420" i="17" s="1"/>
  <c r="BC420" s="1"/>
  <c r="BE420" s="1"/>
  <c r="AI615" i="15"/>
  <c r="AY616" i="17" s="1"/>
  <c r="BC616" s="1"/>
  <c r="BE616" s="1"/>
  <c r="AI575" i="15"/>
  <c r="AY576" i="17" s="1"/>
  <c r="BC576" s="1"/>
  <c r="BE576" s="1"/>
  <c r="AI125" i="15"/>
  <c r="AI114"/>
  <c r="AI85"/>
  <c r="AI314"/>
  <c r="AY314" i="17" s="1"/>
  <c r="BC314" s="1"/>
  <c r="BE314" s="1"/>
  <c r="AI229" i="15"/>
  <c r="AY229" i="17" s="1"/>
  <c r="BC229" s="1"/>
  <c r="BE229" s="1"/>
  <c r="AF521" i="16"/>
  <c r="AF503"/>
  <c r="AF511"/>
  <c r="AC422" i="26"/>
  <c r="AC436"/>
  <c r="AC634"/>
  <c r="BL630" i="25"/>
  <c r="BT630" s="1"/>
  <c r="BV630" s="1"/>
  <c r="AC626" i="26"/>
  <c r="AF626" i="16"/>
  <c r="AC625" i="26"/>
  <c r="AC624"/>
  <c r="AC620"/>
  <c r="AC615"/>
  <c r="AY597" i="17"/>
  <c r="BC597" s="1"/>
  <c r="BE597" s="1"/>
  <c r="AC587" i="26"/>
  <c r="AC590"/>
  <c r="AC586"/>
  <c r="AC542" i="14"/>
  <c r="BL589" i="2"/>
  <c r="BS589" s="1"/>
  <c r="BL161" i="25"/>
  <c r="BT161" s="1"/>
  <c r="BV161" s="1"/>
  <c r="BL96"/>
  <c r="BT96" s="1"/>
  <c r="BV96" s="1"/>
  <c r="BL362"/>
  <c r="BT362" s="1"/>
  <c r="BV362" s="1"/>
  <c r="BL366"/>
  <c r="BT366" s="1"/>
  <c r="BV366" s="1"/>
  <c r="BL370"/>
  <c r="BT370" s="1"/>
  <c r="BV370" s="1"/>
  <c r="BL407"/>
  <c r="BT407" s="1"/>
  <c r="BV407" s="1"/>
  <c r="BL411"/>
  <c r="BT411" s="1"/>
  <c r="BV411" s="1"/>
  <c r="BL415"/>
  <c r="BT415" s="1"/>
  <c r="BV415" s="1"/>
  <c r="BL331"/>
  <c r="BT331" s="1"/>
  <c r="BV331" s="1"/>
  <c r="BL487" i="2"/>
  <c r="BS487" s="1"/>
  <c r="BU487" s="1"/>
  <c r="AC455" i="14"/>
  <c r="AC554"/>
  <c r="AF581" i="16"/>
  <c r="AC579" i="26"/>
  <c r="AC578"/>
  <c r="AY573" i="17"/>
  <c r="BC573" s="1"/>
  <c r="BE573" s="1"/>
  <c r="AC552" i="14"/>
  <c r="AC550"/>
  <c r="AC548"/>
  <c r="AC547"/>
  <c r="AC546" i="26"/>
  <c r="BL485" i="2"/>
  <c r="BS485" s="1"/>
  <c r="BU485" s="1"/>
  <c r="AC487" i="26"/>
  <c r="AC480"/>
  <c r="AC476" i="14"/>
  <c r="AC470"/>
  <c r="AF467" i="16"/>
  <c r="AC462" i="14"/>
  <c r="AC451" i="26"/>
  <c r="AC446"/>
  <c r="BL373" i="25"/>
  <c r="BT373" s="1"/>
  <c r="BV373" s="1"/>
  <c r="BL367"/>
  <c r="BT367" s="1"/>
  <c r="BV367" s="1"/>
  <c r="AC368" i="26"/>
  <c r="AC360"/>
  <c r="AC349"/>
  <c r="BL327" i="25"/>
  <c r="BT327" s="1"/>
  <c r="BV327" s="1"/>
  <c r="BL326"/>
  <c r="BT326" s="1"/>
  <c r="BV326" s="1"/>
  <c r="BL324"/>
  <c r="BT324" s="1"/>
  <c r="BV324" s="1"/>
  <c r="AC327" i="26"/>
  <c r="AC320"/>
  <c r="BL575" i="2"/>
  <c r="BS575" s="1"/>
  <c r="BU575" s="1"/>
  <c r="BL457"/>
  <c r="BS457" s="1"/>
  <c r="BU457" s="1"/>
  <c r="BL462"/>
  <c r="BS462" s="1"/>
  <c r="BU462" s="1"/>
  <c r="BL553"/>
  <c r="BS553" s="1"/>
  <c r="BU553" s="1"/>
  <c r="BL474"/>
  <c r="BS474" s="1"/>
  <c r="BU474" s="1"/>
  <c r="BL622"/>
  <c r="BS622" s="1"/>
  <c r="BU622" s="1"/>
  <c r="AI320" i="15"/>
  <c r="AY320" i="17" s="1"/>
  <c r="BC320" s="1"/>
  <c r="BE320" s="1"/>
  <c r="AF320" i="16"/>
  <c r="AF319"/>
  <c r="AF318"/>
  <c r="AF317"/>
  <c r="AF315"/>
  <c r="AF316"/>
  <c r="BU311" i="2"/>
  <c r="AF314" i="16"/>
  <c r="AF311"/>
  <c r="AM305" i="1"/>
  <c r="AF313" i="16"/>
  <c r="AC311" i="14"/>
  <c r="AF312" i="16"/>
  <c r="AC239" i="14"/>
  <c r="BL231" i="25"/>
  <c r="BL284"/>
  <c r="BL319"/>
  <c r="BT319" s="1"/>
  <c r="BV319" s="1"/>
  <c r="BL322"/>
  <c r="BT322" s="1"/>
  <c r="BV322" s="1"/>
  <c r="BL325"/>
  <c r="BT325" s="1"/>
  <c r="BV325" s="1"/>
  <c r="BL365"/>
  <c r="BT365" s="1"/>
  <c r="BV365" s="1"/>
  <c r="BL371"/>
  <c r="BT371" s="1"/>
  <c r="BV371" s="1"/>
  <c r="BL408"/>
  <c r="BT408" s="1"/>
  <c r="BV408" s="1"/>
  <c r="BL412"/>
  <c r="BT412" s="1"/>
  <c r="BV412" s="1"/>
  <c r="BJ104"/>
  <c r="BL104" s="1"/>
  <c r="BT104" s="1"/>
  <c r="BV104" s="1"/>
  <c r="BJ106"/>
  <c r="AC182" i="26"/>
  <c r="AC183"/>
  <c r="AC187"/>
  <c r="AC189"/>
  <c r="AC190"/>
  <c r="AC192"/>
  <c r="AC195"/>
  <c r="AC196"/>
  <c r="AC198"/>
  <c r="AC200"/>
  <c r="AC206"/>
  <c r="AC209"/>
  <c r="AC490"/>
  <c r="AC492"/>
  <c r="AC499"/>
  <c r="AC501"/>
  <c r="AC506"/>
  <c r="AC510"/>
  <c r="AC512"/>
  <c r="AC516"/>
  <c r="AC520"/>
  <c r="AC524"/>
  <c r="AC542"/>
  <c r="AC82"/>
  <c r="AC132" i="14"/>
  <c r="AC210"/>
  <c r="AC212"/>
  <c r="AC218"/>
  <c r="AC224"/>
  <c r="AC250"/>
  <c r="AC255"/>
  <c r="AC158"/>
  <c r="AC424"/>
  <c r="AC427"/>
  <c r="AF469" i="16"/>
  <c r="AF471"/>
  <c r="AF476"/>
  <c r="AF477"/>
  <c r="AF613"/>
  <c r="AF182"/>
  <c r="AF367"/>
  <c r="AF368"/>
  <c r="AF370"/>
  <c r="AF372"/>
  <c r="AF374"/>
  <c r="AC416" i="14"/>
  <c r="BL433" i="25"/>
  <c r="BT433" s="1"/>
  <c r="BV433" s="1"/>
  <c r="BL437"/>
  <c r="BT437" s="1"/>
  <c r="BV437" s="1"/>
  <c r="BL465"/>
  <c r="BT465" s="1"/>
  <c r="BV465" s="1"/>
  <c r="BL469"/>
  <c r="BT469" s="1"/>
  <c r="BV469" s="1"/>
  <c r="BL473"/>
  <c r="BT473" s="1"/>
  <c r="BV473" s="1"/>
  <c r="BL543"/>
  <c r="BT543" s="1"/>
  <c r="BV543" s="1"/>
  <c r="BL547"/>
  <c r="BT547" s="1"/>
  <c r="BV547" s="1"/>
  <c r="BL552"/>
  <c r="BT552" s="1"/>
  <c r="BV552" s="1"/>
  <c r="BL556"/>
  <c r="BT556" s="1"/>
  <c r="BV556" s="1"/>
  <c r="BL560"/>
  <c r="BT560" s="1"/>
  <c r="BV560" s="1"/>
  <c r="BU589" i="2"/>
  <c r="AC173" i="14"/>
  <c r="AF604" i="16"/>
  <c r="AF605"/>
  <c r="AF609"/>
  <c r="AF611"/>
  <c r="AF614"/>
  <c r="AF619"/>
  <c r="AF621"/>
  <c r="AF624"/>
  <c r="AF629"/>
  <c r="AF630"/>
  <c r="AF631"/>
  <c r="AF445"/>
  <c r="AF446"/>
  <c r="AF456"/>
  <c r="AF457"/>
  <c r="AF462"/>
  <c r="AF464"/>
  <c r="AF482"/>
  <c r="AF483"/>
  <c r="AF543"/>
  <c r="AF549"/>
  <c r="AF555"/>
  <c r="AF560"/>
  <c r="AF561"/>
  <c r="AF563"/>
  <c r="AF569"/>
  <c r="AF572"/>
  <c r="AF573"/>
  <c r="AF579"/>
  <c r="AF422"/>
  <c r="AF423"/>
  <c r="AF425"/>
  <c r="AF594"/>
  <c r="AF138"/>
  <c r="AF210"/>
  <c r="AF231"/>
  <c r="AF248"/>
  <c r="AF266"/>
  <c r="AF267"/>
  <c r="AF291"/>
  <c r="AF297"/>
  <c r="AF298"/>
  <c r="AF299"/>
  <c r="AF300"/>
  <c r="AF301"/>
  <c r="AM99" i="1"/>
  <c r="BL99" i="2" s="1"/>
  <c r="BS99" s="1"/>
  <c r="BU99" s="1"/>
  <c r="AM288" i="1"/>
  <c r="AF254" i="16"/>
  <c r="BL420" i="2"/>
  <c r="BS420" s="1"/>
  <c r="BU420" s="1"/>
  <c r="AM428" i="1"/>
  <c r="BL425" i="2" s="1"/>
  <c r="BS425" s="1"/>
  <c r="BU425" s="1"/>
  <c r="AM432" i="1"/>
  <c r="AI540" i="15"/>
  <c r="AY541" i="17" s="1"/>
  <c r="BC541" s="1"/>
  <c r="BE541" s="1"/>
  <c r="AI538" i="15"/>
  <c r="AI536"/>
  <c r="AY534" i="17" s="1"/>
  <c r="BC534" s="1"/>
  <c r="BE534" s="1"/>
  <c r="AI534" i="15"/>
  <c r="AI527"/>
  <c r="AY528" i="17" s="1"/>
  <c r="BC528" s="1"/>
  <c r="BE528" s="1"/>
  <c r="AI525" i="15"/>
  <c r="AY526" i="17" s="1"/>
  <c r="BC526" s="1"/>
  <c r="BE526" s="1"/>
  <c r="AI523" i="15"/>
  <c r="AY524" i="17" s="1"/>
  <c r="BC524" s="1"/>
  <c r="BE524" s="1"/>
  <c r="AI519" i="15"/>
  <c r="AY520" i="17" s="1"/>
  <c r="BC520" s="1"/>
  <c r="BE520" s="1"/>
  <c r="AI517" i="15"/>
  <c r="AY518" i="17" s="1"/>
  <c r="BC518" s="1"/>
  <c r="BE518" s="1"/>
  <c r="AI515" i="15"/>
  <c r="AY516" i="17" s="1"/>
  <c r="BC516" s="1"/>
  <c r="BE516" s="1"/>
  <c r="AI508" i="15"/>
  <c r="AY509" i="17" s="1"/>
  <c r="BC509" s="1"/>
  <c r="BE509" s="1"/>
  <c r="AI504" i="15"/>
  <c r="AY505" i="17" s="1"/>
  <c r="BC505" s="1"/>
  <c r="BE505" s="1"/>
  <c r="AI495" i="15"/>
  <c r="AY496" i="17" s="1"/>
  <c r="BC496" s="1"/>
  <c r="BE496" s="1"/>
  <c r="AA84" i="26"/>
  <c r="AA85"/>
  <c r="AA89"/>
  <c r="AA87"/>
  <c r="AA91"/>
  <c r="AA93"/>
  <c r="AA95"/>
  <c r="AA97"/>
  <c r="AA103"/>
  <c r="AA105"/>
  <c r="BU205" i="2"/>
  <c r="AM445" i="1"/>
  <c r="BL442" i="2" s="1"/>
  <c r="BS442" s="1"/>
  <c r="BU442" s="1"/>
  <c r="AM469" i="1"/>
  <c r="AM470"/>
  <c r="AM471"/>
  <c r="BL471" i="2" s="1"/>
  <c r="BS471" s="1"/>
  <c r="BU471" s="1"/>
  <c r="AM476" i="1"/>
  <c r="AM479"/>
  <c r="BL479" i="2" s="1"/>
  <c r="BS479" s="1"/>
  <c r="BU479" s="1"/>
  <c r="AM483" i="1"/>
  <c r="AM543"/>
  <c r="BL543" i="2" s="1"/>
  <c r="BS543" s="1"/>
  <c r="BU543" s="1"/>
  <c r="AM557" i="1"/>
  <c r="AM566"/>
  <c r="BL563" i="2" s="1"/>
  <c r="BS563" s="1"/>
  <c r="BU563" s="1"/>
  <c r="AC119" i="14"/>
  <c r="AC134"/>
  <c r="AY536" i="17"/>
  <c r="BC536" s="1"/>
  <c r="BE536" s="1"/>
  <c r="AY532"/>
  <c r="BC532" s="1"/>
  <c r="BE532" s="1"/>
  <c r="AY114"/>
  <c r="BC114" s="1"/>
  <c r="BE114" s="1"/>
  <c r="AF133" i="16"/>
  <c r="AF329"/>
  <c r="AF380"/>
  <c r="AF382"/>
  <c r="AF390"/>
  <c r="AF416"/>
  <c r="AM574" i="1"/>
  <c r="AY223" i="17"/>
  <c r="BC223" s="1"/>
  <c r="BE223" s="1"/>
  <c r="AY393"/>
  <c r="BC393" s="1"/>
  <c r="BE393" s="1"/>
  <c r="AY219"/>
  <c r="BC219" s="1"/>
  <c r="BE219" s="1"/>
  <c r="AY210"/>
  <c r="BC210" s="1"/>
  <c r="BE210" s="1"/>
  <c r="AY200"/>
  <c r="BC200" s="1"/>
  <c r="BE200" s="1"/>
  <c r="AY290"/>
  <c r="BC290" s="1"/>
  <c r="BE290" s="1"/>
  <c r="AY634"/>
  <c r="BC634" s="1"/>
  <c r="BE634" s="1"/>
  <c r="AY209"/>
  <c r="BC209" s="1"/>
  <c r="BE209" s="1"/>
  <c r="AY567"/>
  <c r="BC567" s="1"/>
  <c r="BE567" s="1"/>
  <c r="AY448"/>
  <c r="BC448" s="1"/>
  <c r="BE448" s="1"/>
  <c r="AY109"/>
  <c r="BC109" s="1"/>
  <c r="BE109" s="1"/>
  <c r="AY462"/>
  <c r="BC462" s="1"/>
  <c r="BE462" s="1"/>
  <c r="AY442"/>
  <c r="BC442" s="1"/>
  <c r="BE442" s="1"/>
  <c r="AY547"/>
  <c r="BC547" s="1"/>
  <c r="BE547" s="1"/>
  <c r="AF94" i="16"/>
  <c r="AF97"/>
  <c r="AF110"/>
  <c r="AF122"/>
  <c r="AF130"/>
  <c r="AF161"/>
  <c r="AM132" i="1"/>
  <c r="BL132" i="2" s="1"/>
  <c r="BS132" s="1"/>
  <c r="BU132" s="1"/>
  <c r="AM310" i="1"/>
  <c r="BL310" i="2" s="1"/>
  <c r="BS310" s="1"/>
  <c r="BU310" s="1"/>
  <c r="AM312" i="1"/>
  <c r="BL312" i="2" s="1"/>
  <c r="BS312" s="1"/>
  <c r="BU312" s="1"/>
  <c r="AM314" i="1"/>
  <c r="BL314" i="2" s="1"/>
  <c r="BS314" s="1"/>
  <c r="BU314" s="1"/>
  <c r="AM316" i="1"/>
  <c r="BL316" i="2" s="1"/>
  <c r="BS316" s="1"/>
  <c r="BU316" s="1"/>
  <c r="BL579"/>
  <c r="BS579" s="1"/>
  <c r="BU579" s="1"/>
  <c r="AM603" i="1"/>
  <c r="AM607"/>
  <c r="AM610"/>
  <c r="BL607" i="2" s="1"/>
  <c r="BS607" s="1"/>
  <c r="BU607" s="1"/>
  <c r="AM611" i="1"/>
  <c r="AM613"/>
  <c r="BL610" i="2" s="1"/>
  <c r="BS610" s="1"/>
  <c r="BU610" s="1"/>
  <c r="AM615" i="1"/>
  <c r="AM625"/>
  <c r="BL625" i="2" s="1"/>
  <c r="BS625" s="1"/>
  <c r="BU625" s="1"/>
  <c r="AM630" i="1"/>
  <c r="AM436"/>
  <c r="AM439"/>
  <c r="BL436" i="2" s="1"/>
  <c r="BS436" s="1"/>
  <c r="BU436" s="1"/>
  <c r="AM447" i="1"/>
  <c r="AM450"/>
  <c r="BL447" i="2" s="1"/>
  <c r="BS447" s="1"/>
  <c r="BU447" s="1"/>
  <c r="AM453" i="1"/>
  <c r="BL453" i="2" s="1"/>
  <c r="BS453" s="1"/>
  <c r="BU453" s="1"/>
  <c r="AM455" i="1"/>
  <c r="AM458"/>
  <c r="BL458" i="2" s="1"/>
  <c r="BS458" s="1"/>
  <c r="BU458" s="1"/>
  <c r="AM461" i="1"/>
  <c r="AM465"/>
  <c r="BL465" i="2" s="1"/>
  <c r="BS465" s="1"/>
  <c r="BU465" s="1"/>
  <c r="AM576" i="1"/>
  <c r="AI477" i="15"/>
  <c r="AY478" i="17" s="1"/>
  <c r="BC478" s="1"/>
  <c r="BE478" s="1"/>
  <c r="AI472" i="15"/>
  <c r="AI417"/>
  <c r="AY418" i="17" s="1"/>
  <c r="BC418" s="1"/>
  <c r="BE418" s="1"/>
  <c r="AI405" i="15"/>
  <c r="AI341"/>
  <c r="AI338"/>
  <c r="AI337"/>
  <c r="AY337" i="17" s="1"/>
  <c r="BC337" s="1"/>
  <c r="BE337" s="1"/>
  <c r="AI335" i="15"/>
  <c r="AY335" i="17" s="1"/>
  <c r="BC335" s="1"/>
  <c r="BE335" s="1"/>
  <c r="AI331" i="15"/>
  <c r="AI321"/>
  <c r="AY321" i="17" s="1"/>
  <c r="BC321" s="1"/>
  <c r="BE321" s="1"/>
  <c r="AI319" i="15"/>
  <c r="AY319" i="17" s="1"/>
  <c r="BC319" s="1"/>
  <c r="BE319" s="1"/>
  <c r="AI318" i="15"/>
  <c r="AY318" i="17" s="1"/>
  <c r="BC318" s="1"/>
  <c r="BE318" s="1"/>
  <c r="AI317" i="15"/>
  <c r="AY317" i="17" s="1"/>
  <c r="BC317" s="1"/>
  <c r="BE317" s="1"/>
  <c r="AI316" i="15"/>
  <c r="AY316" i="17" s="1"/>
  <c r="BC316" s="1"/>
  <c r="BE316" s="1"/>
  <c r="AI315" i="15"/>
  <c r="AY315" i="17" s="1"/>
  <c r="BC315" s="1"/>
  <c r="BE315" s="1"/>
  <c r="AI312" i="15"/>
  <c r="AY309" i="17" s="1"/>
  <c r="BC309" s="1"/>
  <c r="BE309" s="1"/>
  <c r="AI298" i="15"/>
  <c r="AY298" i="17" s="1"/>
  <c r="BC298" s="1"/>
  <c r="BE298" s="1"/>
  <c r="AI297" i="15"/>
  <c r="AY297" i="17" s="1"/>
  <c r="BC297" s="1"/>
  <c r="BE297" s="1"/>
  <c r="AI288" i="15"/>
  <c r="AY288" i="17" s="1"/>
  <c r="BC288" s="1"/>
  <c r="BE288" s="1"/>
  <c r="AI253" i="15"/>
  <c r="AY253" i="17" s="1"/>
  <c r="BC253" s="1"/>
  <c r="BE253" s="1"/>
  <c r="AI248" i="15"/>
  <c r="AI247"/>
  <c r="AY247" i="17" s="1"/>
  <c r="BC247" s="1"/>
  <c r="BE247" s="1"/>
  <c r="AI243" i="15"/>
  <c r="AY243" i="17" s="1"/>
  <c r="BC243" s="1"/>
  <c r="BE243" s="1"/>
  <c r="AI241" i="15"/>
  <c r="AI238"/>
  <c r="AY235" i="17" s="1"/>
  <c r="BC235" s="1"/>
  <c r="BE235" s="1"/>
  <c r="AI237" i="15"/>
  <c r="AY234" i="17" s="1"/>
  <c r="BC234" s="1"/>
  <c r="BE234" s="1"/>
  <c r="AI232" i="15"/>
  <c r="AY232" i="17" s="1"/>
  <c r="BC232" s="1"/>
  <c r="BE232" s="1"/>
  <c r="AI228" i="15"/>
  <c r="AY228" i="17" s="1"/>
  <c r="BC228" s="1"/>
  <c r="BE228" s="1"/>
  <c r="AI227" i="15"/>
  <c r="AI226"/>
  <c r="AY226" i="17" s="1"/>
  <c r="BC226" s="1"/>
  <c r="BE226" s="1"/>
  <c r="AI225" i="15"/>
  <c r="AI217"/>
  <c r="AY217" i="17" s="1"/>
  <c r="BC217" s="1"/>
  <c r="BE217" s="1"/>
  <c r="AI215" i="15"/>
  <c r="AY215" i="17" s="1"/>
  <c r="BC215" s="1"/>
  <c r="BE215" s="1"/>
  <c r="AI196" i="15"/>
  <c r="AY196" i="17" s="1"/>
  <c r="BC196" s="1"/>
  <c r="BE196" s="1"/>
  <c r="AI194" i="15"/>
  <c r="AY194" i="17" s="1"/>
  <c r="BC194" s="1"/>
  <c r="BE194" s="1"/>
  <c r="AI181" i="15"/>
  <c r="AY181" i="17" s="1"/>
  <c r="BC181" s="1"/>
  <c r="BE181" s="1"/>
  <c r="AI149" i="15"/>
  <c r="AI134"/>
  <c r="AY134" i="17" s="1"/>
  <c r="BC134" s="1"/>
  <c r="BE134" s="1"/>
  <c r="AI133" i="15"/>
  <c r="AY133" i="17" s="1"/>
  <c r="BC133" s="1"/>
  <c r="BE133" s="1"/>
  <c r="AI130" i="15"/>
  <c r="AY130" i="17" s="1"/>
  <c r="BC130" s="1"/>
  <c r="BE130" s="1"/>
  <c r="AI102" i="15"/>
  <c r="AY102" i="17" s="1"/>
  <c r="BC102" s="1"/>
  <c r="BE102" s="1"/>
  <c r="AI93" i="15"/>
  <c r="AI88"/>
  <c r="AY88" i="17" s="1"/>
  <c r="BC88" s="1"/>
  <c r="BE88" s="1"/>
  <c r="AI535" i="15"/>
  <c r="AY533" i="17" s="1"/>
  <c r="BC533" s="1"/>
  <c r="BE533" s="1"/>
  <c r="AI533" i="15"/>
  <c r="AY531" i="17" s="1"/>
  <c r="BC531" s="1"/>
  <c r="BE531" s="1"/>
  <c r="AI528" i="15"/>
  <c r="AY529" i="17" s="1"/>
  <c r="BC529" s="1"/>
  <c r="BE529" s="1"/>
  <c r="AI526" i="15"/>
  <c r="AY527" i="17" s="1"/>
  <c r="BC527" s="1"/>
  <c r="BE527" s="1"/>
  <c r="AI524" i="15"/>
  <c r="AY525" i="17" s="1"/>
  <c r="BC525" s="1"/>
  <c r="BE525" s="1"/>
  <c r="AI522" i="15"/>
  <c r="AY523" i="17" s="1"/>
  <c r="BC523" s="1"/>
  <c r="BE523" s="1"/>
  <c r="AI520" i="15"/>
  <c r="AY521" i="17" s="1"/>
  <c r="BC521" s="1"/>
  <c r="BE521" s="1"/>
  <c r="AI518" i="15"/>
  <c r="AY519" i="17" s="1"/>
  <c r="BC519" s="1"/>
  <c r="BE519" s="1"/>
  <c r="AI516" i="15"/>
  <c r="AY517" i="17" s="1"/>
  <c r="BC517" s="1"/>
  <c r="BE517" s="1"/>
  <c r="AI514" i="15"/>
  <c r="AY515" i="17" s="1"/>
  <c r="BC515" s="1"/>
  <c r="BE515" s="1"/>
  <c r="AI509" i="15"/>
  <c r="AY510" i="17" s="1"/>
  <c r="BC510" s="1"/>
  <c r="BE510" s="1"/>
  <c r="AI506" i="15"/>
  <c r="AY507" i="17" s="1"/>
  <c r="BC507" s="1"/>
  <c r="BE507" s="1"/>
  <c r="AI500" i="15"/>
  <c r="AY501" i="17" s="1"/>
  <c r="BC501" s="1"/>
  <c r="BE501" s="1"/>
  <c r="AI493" i="15"/>
  <c r="AY494" i="17" s="1"/>
  <c r="BC494" s="1"/>
  <c r="BE494" s="1"/>
  <c r="AC599" i="26"/>
  <c r="AC526"/>
  <c r="AC532"/>
  <c r="AY241" i="17"/>
  <c r="BC241" s="1"/>
  <c r="BE241" s="1"/>
  <c r="AY231"/>
  <c r="BC231" s="1"/>
  <c r="BE231" s="1"/>
  <c r="AY199"/>
  <c r="BC199" s="1"/>
  <c r="BE199" s="1"/>
  <c r="AY197"/>
  <c r="BC197" s="1"/>
  <c r="BE197" s="1"/>
  <c r="AY149"/>
  <c r="BC149" s="1"/>
  <c r="BE149" s="1"/>
  <c r="AF386" i="16"/>
  <c r="AF391"/>
  <c r="BL391" i="2"/>
  <c r="BS391" s="1"/>
  <c r="BU391" s="1"/>
  <c r="BL392"/>
  <c r="BS392" s="1"/>
  <c r="AM97" i="1"/>
  <c r="BL97" i="2" s="1"/>
  <c r="BS97" s="1"/>
  <c r="BU97" s="1"/>
  <c r="AY227" i="17"/>
  <c r="BC227" s="1"/>
  <c r="BE227" s="1"/>
  <c r="AC534" i="26"/>
  <c r="AC84"/>
  <c r="BL158" i="2"/>
  <c r="BS158" s="1"/>
  <c r="BU158" s="1"/>
  <c r="AM417" i="1"/>
  <c r="BL414" i="2" s="1"/>
  <c r="BS414" s="1"/>
  <c r="BU414" s="1"/>
  <c r="AM287" i="1"/>
  <c r="BL287" i="2" s="1"/>
  <c r="BS287" s="1"/>
  <c r="BU287" s="1"/>
  <c r="AM295" i="1"/>
  <c r="BL295" i="2" s="1"/>
  <c r="BS295" s="1"/>
  <c r="BU295" s="1"/>
  <c r="AM297" i="1"/>
  <c r="BL297" i="2" s="1"/>
  <c r="BS297" s="1"/>
  <c r="BU297" s="1"/>
  <c r="AM299" i="1"/>
  <c r="BL299" i="2" s="1"/>
  <c r="BS299" s="1"/>
  <c r="BU299" s="1"/>
  <c r="AM301" i="1"/>
  <c r="AM549"/>
  <c r="AM257"/>
  <c r="AM267"/>
  <c r="BL264" i="2" s="1"/>
  <c r="BS264" s="1"/>
  <c r="BU264" s="1"/>
  <c r="AY598" i="17"/>
  <c r="BC598" s="1"/>
  <c r="BE598" s="1"/>
  <c r="AY564"/>
  <c r="BC564" s="1"/>
  <c r="BE564" s="1"/>
  <c r="AY225"/>
  <c r="BC225" s="1"/>
  <c r="BE225" s="1"/>
  <c r="AI444" i="15"/>
  <c r="AI494"/>
  <c r="AY495" i="17" s="1"/>
  <c r="BC495" s="1"/>
  <c r="BE495" s="1"/>
  <c r="AI631" i="15"/>
  <c r="AY632" i="17" s="1"/>
  <c r="BC632" s="1"/>
  <c r="BE632" s="1"/>
  <c r="AI630" i="15"/>
  <c r="AY631" i="17" s="1"/>
  <c r="BC631" s="1"/>
  <c r="BE631" s="1"/>
  <c r="AI626" i="15"/>
  <c r="AI623"/>
  <c r="AY624" i="17" s="1"/>
  <c r="BC624" s="1"/>
  <c r="BE624" s="1"/>
  <c r="AI612" i="15"/>
  <c r="AY610" i="17" s="1"/>
  <c r="BC610" s="1"/>
  <c r="BE610" s="1"/>
  <c r="AI602" i="15"/>
  <c r="AY603" i="17" s="1"/>
  <c r="BC603" s="1"/>
  <c r="BE603" s="1"/>
  <c r="AI576" i="15"/>
  <c r="AY577" i="17" s="1"/>
  <c r="BC577" s="1"/>
  <c r="BE577" s="1"/>
  <c r="AI569" i="15"/>
  <c r="AY570" i="17" s="1"/>
  <c r="BC570" s="1"/>
  <c r="BE570" s="1"/>
  <c r="AI564" i="15"/>
  <c r="AY565" i="17" s="1"/>
  <c r="BC565" s="1"/>
  <c r="BE565" s="1"/>
  <c r="AI558" i="15"/>
  <c r="AY559" i="17" s="1"/>
  <c r="BC559" s="1"/>
  <c r="BE559" s="1"/>
  <c r="AI485" i="15"/>
  <c r="AY486" i="17" s="1"/>
  <c r="BC486" s="1"/>
  <c r="BE486" s="1"/>
  <c r="AI473" i="15"/>
  <c r="AY474" i="17" s="1"/>
  <c r="BC474" s="1"/>
  <c r="BE474" s="1"/>
  <c r="AI462" i="15"/>
  <c r="AY460" i="17" s="1"/>
  <c r="BC460" s="1"/>
  <c r="BE460" s="1"/>
  <c r="AI448" i="15"/>
  <c r="AY449" i="17" s="1"/>
  <c r="BC449" s="1"/>
  <c r="BE449" s="1"/>
  <c r="AI414" i="15"/>
  <c r="AI411"/>
  <c r="AY412" i="17" s="1"/>
  <c r="BC412" s="1"/>
  <c r="BE412" s="1"/>
  <c r="AY377"/>
  <c r="BC377" s="1"/>
  <c r="BE377" s="1"/>
  <c r="AI373" i="15"/>
  <c r="AY373" i="17" s="1"/>
  <c r="BC373" s="1"/>
  <c r="BE373" s="1"/>
  <c r="AI369" i="15"/>
  <c r="AY369" i="17" s="1"/>
  <c r="BC369" s="1"/>
  <c r="BE369" s="1"/>
  <c r="AI368" i="15"/>
  <c r="AI361"/>
  <c r="AI356"/>
  <c r="AY356" i="17" s="1"/>
  <c r="BC356" s="1"/>
  <c r="BE356" s="1"/>
  <c r="AI353" i="15"/>
  <c r="AY353" i="17" s="1"/>
  <c r="BC353" s="1"/>
  <c r="BE353" s="1"/>
  <c r="AI352" i="15"/>
  <c r="AY352" i="17" s="1"/>
  <c r="BC352" s="1"/>
  <c r="BE352" s="1"/>
  <c r="AI350" i="15"/>
  <c r="AY350" i="17" s="1"/>
  <c r="BC350" s="1"/>
  <c r="BE350" s="1"/>
  <c r="AI349" i="15"/>
  <c r="AY349" i="17" s="1"/>
  <c r="BC349" s="1"/>
  <c r="BE349" s="1"/>
  <c r="AI347" i="15"/>
  <c r="AY347" i="17" s="1"/>
  <c r="BC347" s="1"/>
  <c r="BE347" s="1"/>
  <c r="AI343" i="15"/>
  <c r="AI342"/>
  <c r="AY342" i="17" s="1"/>
  <c r="BC342" s="1"/>
  <c r="BE342" s="1"/>
  <c r="AI188" i="15"/>
  <c r="AY188" i="17" s="1"/>
  <c r="BC188" s="1"/>
  <c r="BE188" s="1"/>
  <c r="AC164" i="26"/>
  <c r="AC166"/>
  <c r="AC168"/>
  <c r="AC210"/>
  <c r="AC212"/>
  <c r="AC159"/>
  <c r="AC266"/>
  <c r="AC262"/>
  <c r="AC263"/>
  <c r="AC268"/>
  <c r="AA83"/>
  <c r="BL630" i="2"/>
  <c r="BS630" s="1"/>
  <c r="BU630" s="1"/>
  <c r="BL600"/>
  <c r="BS600" s="1"/>
  <c r="BU600" s="1"/>
  <c r="BL606"/>
  <c r="BS606" s="1"/>
  <c r="BU606" s="1"/>
  <c r="BL189"/>
  <c r="BS189" s="1"/>
  <c r="BU189" s="1"/>
  <c r="BL192"/>
  <c r="BS192" s="1"/>
  <c r="BL426"/>
  <c r="BS426" s="1"/>
  <c r="BU426" s="1"/>
  <c r="AM526" i="1"/>
  <c r="AM631"/>
  <c r="AM373"/>
  <c r="BL373" i="2" s="1"/>
  <c r="BS373" s="1"/>
  <c r="BU373" s="1"/>
  <c r="AM233" i="1"/>
  <c r="AM243"/>
  <c r="BL243" i="2" s="1"/>
  <c r="BS243" s="1"/>
  <c r="BU243" s="1"/>
  <c r="AM245" i="1"/>
  <c r="BL245" i="2" s="1"/>
  <c r="BS245" s="1"/>
  <c r="BU245" s="1"/>
  <c r="AM235" i="1"/>
  <c r="BL235" i="2" s="1"/>
  <c r="BS235" s="1"/>
  <c r="BU235" s="1"/>
  <c r="AM430" i="1"/>
  <c r="BL427" i="2" s="1"/>
  <c r="BS427" s="1"/>
  <c r="AM434" i="1"/>
  <c r="BU392" i="2"/>
  <c r="BU192"/>
  <c r="AY430" i="17"/>
  <c r="BC430" s="1"/>
  <c r="BE430" s="1"/>
  <c r="AY428"/>
  <c r="BC428" s="1"/>
  <c r="BE428" s="1"/>
  <c r="AY424"/>
  <c r="BC424" s="1"/>
  <c r="BE424" s="1"/>
  <c r="AY415"/>
  <c r="BC415" s="1"/>
  <c r="BE415" s="1"/>
  <c r="AY413"/>
  <c r="BC413" s="1"/>
  <c r="BE413" s="1"/>
  <c r="AY376"/>
  <c r="BC376" s="1"/>
  <c r="BE376" s="1"/>
  <c r="AY368"/>
  <c r="BC368" s="1"/>
  <c r="BE368" s="1"/>
  <c r="AY93"/>
  <c r="BC93" s="1"/>
  <c r="BE93" s="1"/>
  <c r="AY445"/>
  <c r="BC445" s="1"/>
  <c r="BE445" s="1"/>
  <c r="AI150" i="15"/>
  <c r="AI137"/>
  <c r="AY137" i="17" s="1"/>
  <c r="BC137" s="1"/>
  <c r="BE137" s="1"/>
  <c r="AI91" i="15"/>
  <c r="AY91" i="17" s="1"/>
  <c r="BC91" s="1"/>
  <c r="BE91" s="1"/>
  <c r="AI490" i="15"/>
  <c r="AY491" i="17" s="1"/>
  <c r="BC491" s="1"/>
  <c r="BE491" s="1"/>
  <c r="AI492" i="15"/>
  <c r="AY493" i="17" s="1"/>
  <c r="BC493" s="1"/>
  <c r="BE493" s="1"/>
  <c r="AI502" i="15"/>
  <c r="AY503" i="17" s="1"/>
  <c r="BC503" s="1"/>
  <c r="BE503" s="1"/>
  <c r="AI507" i="15"/>
  <c r="AY508" i="17" s="1"/>
  <c r="BC508" s="1"/>
  <c r="BE508" s="1"/>
  <c r="AC536" i="26"/>
  <c r="BL355" i="2"/>
  <c r="BS355" s="1"/>
  <c r="BU355" s="1"/>
  <c r="BL581"/>
  <c r="BS581" s="1"/>
  <c r="BU581" s="1"/>
  <c r="BL161"/>
  <c r="BS161" s="1"/>
  <c r="BU161" s="1"/>
  <c r="BL422"/>
  <c r="BS422" s="1"/>
  <c r="BU422" s="1"/>
  <c r="BL604"/>
  <c r="BS604" s="1"/>
  <c r="BU604" s="1"/>
  <c r="BL608"/>
  <c r="BS608" s="1"/>
  <c r="BU608" s="1"/>
  <c r="BL433"/>
  <c r="BS433" s="1"/>
  <c r="BU433" s="1"/>
  <c r="BL455"/>
  <c r="BS455" s="1"/>
  <c r="BU455" s="1"/>
  <c r="BL470"/>
  <c r="BS470" s="1"/>
  <c r="BU470" s="1"/>
  <c r="BL476"/>
  <c r="BS476" s="1"/>
  <c r="BU476" s="1"/>
  <c r="BL483"/>
  <c r="BS483" s="1"/>
  <c r="BU483" s="1"/>
  <c r="BL549"/>
  <c r="BS549" s="1"/>
  <c r="BU549" s="1"/>
  <c r="BL557"/>
  <c r="BS557" s="1"/>
  <c r="BU557" s="1"/>
  <c r="AM107" i="1"/>
  <c r="BL107" i="2" s="1"/>
  <c r="BS107" s="1"/>
  <c r="BU107" s="1"/>
  <c r="AM133" i="1"/>
  <c r="BL133" i="2" s="1"/>
  <c r="BS133" s="1"/>
  <c r="BU133" s="1"/>
  <c r="AM134" i="1"/>
  <c r="BL134" i="2" s="1"/>
  <c r="BS134" s="1"/>
  <c r="BU134" s="1"/>
  <c r="AM219" i="1"/>
  <c r="BL396" i="2"/>
  <c r="BS396" s="1"/>
  <c r="BU396" s="1"/>
  <c r="AM410" i="1"/>
  <c r="AM94"/>
  <c r="AM285"/>
  <c r="AM286"/>
  <c r="BL286" i="2" s="1"/>
  <c r="BS286" s="1"/>
  <c r="BU286" s="1"/>
  <c r="AM289" i="1"/>
  <c r="AM291"/>
  <c r="BL291" i="2" s="1"/>
  <c r="BS291" s="1"/>
  <c r="BU291" s="1"/>
  <c r="AM293" i="1"/>
  <c r="BL293" i="2" s="1"/>
  <c r="BS293" s="1"/>
  <c r="BU293" s="1"/>
  <c r="AM296" i="1"/>
  <c r="BL296" i="2" s="1"/>
  <c r="BS296" s="1"/>
  <c r="BU296" s="1"/>
  <c r="AM298" i="1"/>
  <c r="AM300"/>
  <c r="BL300" i="2" s="1"/>
  <c r="BS300" s="1"/>
  <c r="BU300" s="1"/>
  <c r="AM307" i="1"/>
  <c r="AM317"/>
  <c r="BL317" i="2" s="1"/>
  <c r="BS317" s="1"/>
  <c r="BU317" s="1"/>
  <c r="AM585" i="1"/>
  <c r="BL582" i="2" s="1"/>
  <c r="BS582" s="1"/>
  <c r="BU582" s="1"/>
  <c r="AM600" i="1"/>
  <c r="AM602"/>
  <c r="BL599" i="2" s="1"/>
  <c r="BS599" s="1"/>
  <c r="BU599" s="1"/>
  <c r="AM604" i="1"/>
  <c r="AM606"/>
  <c r="AM629"/>
  <c r="BL629" i="2" s="1"/>
  <c r="BS629" s="1"/>
  <c r="BU629" s="1"/>
  <c r="AM183" i="1"/>
  <c r="BL180" i="2" s="1"/>
  <c r="BS180" s="1"/>
  <c r="BU180" s="1"/>
  <c r="AM186" i="1"/>
  <c r="AM188"/>
  <c r="BL188" i="2" s="1"/>
  <c r="BS188" s="1"/>
  <c r="BU188" s="1"/>
  <c r="AM190" i="1"/>
  <c r="AM196"/>
  <c r="AM372"/>
  <c r="AM240"/>
  <c r="BL240" i="2" s="1"/>
  <c r="BS240" s="1"/>
  <c r="BU240" s="1"/>
  <c r="AM427" i="1"/>
  <c r="AM431"/>
  <c r="BL428" i="2" s="1"/>
  <c r="BS428" s="1"/>
  <c r="BU428" s="1"/>
  <c r="AM433" i="1"/>
  <c r="BL430" i="2" s="1"/>
  <c r="BS430" s="1"/>
  <c r="BU430" s="1"/>
  <c r="AM435" i="1"/>
  <c r="BL432" i="2" s="1"/>
  <c r="BS432" s="1"/>
  <c r="BU432" s="1"/>
  <c r="AM442" i="1"/>
  <c r="AM454"/>
  <c r="BL454" i="2" s="1"/>
  <c r="BS454" s="1"/>
  <c r="BU454" s="1"/>
  <c r="AM472" i="1"/>
  <c r="AM473"/>
  <c r="BL473" i="2" s="1"/>
  <c r="BS473" s="1"/>
  <c r="BU473" s="1"/>
  <c r="AM480" i="1"/>
  <c r="AM540"/>
  <c r="BL540" i="2" s="1"/>
  <c r="BS540" s="1"/>
  <c r="BU540" s="1"/>
  <c r="AM560" i="1"/>
  <c r="AM569"/>
  <c r="BL566" i="2" s="1"/>
  <c r="BS566" s="1"/>
  <c r="BU566" s="1"/>
  <c r="AM577" i="1"/>
  <c r="AM489"/>
  <c r="BL486" i="2" s="1"/>
  <c r="BS486" s="1"/>
  <c r="BU486" s="1"/>
  <c r="AM498" i="1"/>
  <c r="AM504"/>
  <c r="AM505"/>
  <c r="BL502" i="2" s="1"/>
  <c r="BS502" s="1"/>
  <c r="BU502" s="1"/>
  <c r="AM508" i="1"/>
  <c r="AM510"/>
  <c r="AM511"/>
  <c r="BL508" i="2" s="1"/>
  <c r="BS508" s="1"/>
  <c r="BU508" s="1"/>
  <c r="AM513" i="1"/>
  <c r="AM514"/>
  <c r="AM515"/>
  <c r="AM517"/>
  <c r="AM518"/>
  <c r="AM519"/>
  <c r="AM520"/>
  <c r="AM525"/>
  <c r="BL522" i="2" s="1"/>
  <c r="BS522" s="1"/>
  <c r="BU522" s="1"/>
  <c r="AM527" i="1"/>
  <c r="AM266"/>
  <c r="BL263" i="2" s="1"/>
  <c r="BS263" s="1"/>
  <c r="BU263" s="1"/>
  <c r="AC619" i="14"/>
  <c r="AF183" i="16"/>
  <c r="AF201"/>
  <c r="AF211"/>
  <c r="AF243"/>
  <c r="AF323"/>
  <c r="AF334"/>
  <c r="AF341"/>
  <c r="AF345"/>
  <c r="AF353"/>
  <c r="AF360"/>
  <c r="AF364"/>
  <c r="AF396"/>
  <c r="AF404"/>
  <c r="AF408"/>
  <c r="AF412"/>
  <c r="AF420"/>
  <c r="AF438"/>
  <c r="AC425" i="26"/>
  <c r="AC427"/>
  <c r="AC540"/>
  <c r="AA111"/>
  <c r="BL219" i="2"/>
  <c r="BS219" s="1"/>
  <c r="BU219" s="1"/>
  <c r="BL421"/>
  <c r="BS421" s="1"/>
  <c r="BU421" s="1"/>
  <c r="AM365" i="1"/>
  <c r="AM367"/>
  <c r="AM370"/>
  <c r="BL370" i="2" s="1"/>
  <c r="BS370" s="1"/>
  <c r="BU370" s="1"/>
  <c r="BL578"/>
  <c r="BS578" s="1"/>
  <c r="BU578" s="1"/>
  <c r="AC356" i="14"/>
  <c r="BV102" i="25"/>
  <c r="AC87" i="26"/>
  <c r="AC89"/>
  <c r="AC91"/>
  <c r="AC93"/>
  <c r="AC95"/>
  <c r="AC99"/>
  <c r="AC101"/>
  <c r="AC103"/>
  <c r="AC105"/>
  <c r="AC107"/>
  <c r="AC109"/>
  <c r="AC111"/>
  <c r="AC113"/>
  <c r="AC116"/>
  <c r="AC118"/>
  <c r="AC120"/>
  <c r="AC123"/>
  <c r="AC127"/>
  <c r="AC129"/>
  <c r="AC131"/>
  <c r="AC133"/>
  <c r="AC135"/>
  <c r="AC137"/>
  <c r="AC140"/>
  <c r="AC160"/>
  <c r="AC216"/>
  <c r="AC218"/>
  <c r="AC220"/>
  <c r="AC229"/>
  <c r="AC231"/>
  <c r="AC233"/>
  <c r="AC237"/>
  <c r="AC239"/>
  <c r="AC241"/>
  <c r="AC243"/>
  <c r="AC245"/>
  <c r="AC247"/>
  <c r="AC249"/>
  <c r="AC251"/>
  <c r="AC253"/>
  <c r="AC255"/>
  <c r="AC276"/>
  <c r="AC278"/>
  <c r="AC423"/>
  <c r="AC434"/>
  <c r="AC85"/>
  <c r="BL289" i="2"/>
  <c r="BS289" s="1"/>
  <c r="BU289" s="1"/>
  <c r="AC142" i="14"/>
  <c r="AC248"/>
  <c r="AC256"/>
  <c r="AC290"/>
  <c r="AC294"/>
  <c r="AY458" i="17"/>
  <c r="BC458" s="1"/>
  <c r="BE458" s="1"/>
  <c r="AY450"/>
  <c r="BC450" s="1"/>
  <c r="BE450" s="1"/>
  <c r="AY341"/>
  <c r="BC341" s="1"/>
  <c r="BE341" s="1"/>
  <c r="AI167" i="15"/>
  <c r="AY167" i="17" s="1"/>
  <c r="BC167" s="1"/>
  <c r="BE167" s="1"/>
  <c r="AI291" i="15"/>
  <c r="AY291" i="17" s="1"/>
  <c r="BC291" s="1"/>
  <c r="BE291" s="1"/>
  <c r="AF124" i="16"/>
  <c r="AF151"/>
  <c r="AF168"/>
  <c r="AF197"/>
  <c r="AF206"/>
  <c r="AF215"/>
  <c r="AF230"/>
  <c r="AF247"/>
  <c r="AF321"/>
  <c r="AF327"/>
  <c r="AF332"/>
  <c r="AF339"/>
  <c r="AF343"/>
  <c r="AF347"/>
  <c r="AF351"/>
  <c r="AF358"/>
  <c r="AF362"/>
  <c r="AF378"/>
  <c r="AF384"/>
  <c r="AF388"/>
  <c r="AC291" i="14"/>
  <c r="AC289"/>
  <c r="AY289" i="17"/>
  <c r="BC289" s="1"/>
  <c r="BE289" s="1"/>
  <c r="BL288" i="2"/>
  <c r="BS288" s="1"/>
  <c r="BU288" s="1"/>
  <c r="AC288" i="14"/>
  <c r="AC287"/>
  <c r="BL284" i="2"/>
  <c r="BS284" s="1"/>
  <c r="BU284" s="1"/>
  <c r="AF394" i="16"/>
  <c r="AF398"/>
  <c r="AF402"/>
  <c r="AF406"/>
  <c r="AF410"/>
  <c r="AF414"/>
  <c r="AF418"/>
  <c r="AF584"/>
  <c r="AF587"/>
  <c r="AF592"/>
  <c r="AF234"/>
  <c r="AC264" i="26"/>
  <c r="BL236" i="25"/>
  <c r="BT236" s="1"/>
  <c r="BV236" s="1"/>
  <c r="BL142" i="2"/>
  <c r="BS142" s="1"/>
  <c r="BU142" s="1"/>
  <c r="AM111" i="1"/>
  <c r="AM128"/>
  <c r="AM130"/>
  <c r="AM162"/>
  <c r="BL162" i="2" s="1"/>
  <c r="BS162" s="1"/>
  <c r="BU162" s="1"/>
  <c r="BL167"/>
  <c r="BS167" s="1"/>
  <c r="BU167" s="1"/>
  <c r="AM230" i="1"/>
  <c r="BL230" i="2" s="1"/>
  <c r="BS230" s="1"/>
  <c r="BU230" s="1"/>
  <c r="AM274" i="1"/>
  <c r="BL274" i="2" s="1"/>
  <c r="BS274" s="1"/>
  <c r="BU274" s="1"/>
  <c r="AM277" i="1"/>
  <c r="BL277" i="2" s="1"/>
  <c r="BS277" s="1"/>
  <c r="BU277" s="1"/>
  <c r="AM279" i="1"/>
  <c r="AC240" i="14"/>
  <c r="AC254"/>
  <c r="AC339"/>
  <c r="AC348"/>
  <c r="AC352"/>
  <c r="AC354"/>
  <c r="AC355"/>
  <c r="AC417"/>
  <c r="AC281"/>
  <c r="AC286"/>
  <c r="AC607"/>
  <c r="AC611"/>
  <c r="AC612"/>
  <c r="AC615"/>
  <c r="AC616"/>
  <c r="AC617"/>
  <c r="AC618"/>
  <c r="BU181" i="2"/>
  <c r="AC258" i="14"/>
  <c r="AC263"/>
  <c r="AI469" i="15"/>
  <c r="AY470" i="17" s="1"/>
  <c r="BC470" s="1"/>
  <c r="BE470" s="1"/>
  <c r="AY402"/>
  <c r="BC402" s="1"/>
  <c r="BE402" s="1"/>
  <c r="AY255"/>
  <c r="BC255" s="1"/>
  <c r="BE255" s="1"/>
  <c r="AF113" i="16"/>
  <c r="AF158"/>
  <c r="AF172"/>
  <c r="AF190"/>
  <c r="AF279"/>
  <c r="AF280"/>
  <c r="AF281"/>
  <c r="AF285"/>
  <c r="AC280" i="26"/>
  <c r="AC278" i="14"/>
  <c r="AY278" i="17"/>
  <c r="BC278" s="1"/>
  <c r="BE278" s="1"/>
  <c r="AI275" i="15"/>
  <c r="AY275" i="17" s="1"/>
  <c r="BC275" s="1"/>
  <c r="BE275" s="1"/>
  <c r="AF606" i="16"/>
  <c r="AF608"/>
  <c r="AF615"/>
  <c r="AF620"/>
  <c r="AF622"/>
  <c r="AF623"/>
  <c r="AF628"/>
  <c r="AF634"/>
  <c r="AF513"/>
  <c r="AF541"/>
  <c r="AF264"/>
  <c r="AC267" i="14"/>
  <c r="AC265" i="26"/>
  <c r="AC259" i="14"/>
  <c r="AI258" i="15"/>
  <c r="AY258" i="17" s="1"/>
  <c r="BC258" s="1"/>
  <c r="BE258" s="1"/>
  <c r="AF252" i="16"/>
  <c r="AF251"/>
  <c r="AM250" i="1"/>
  <c r="BL247" i="2" s="1"/>
  <c r="BS247" s="1"/>
  <c r="BU247" s="1"/>
  <c r="AY248" i="17"/>
  <c r="BC248" s="1"/>
  <c r="BE248" s="1"/>
  <c r="AC246" i="26"/>
  <c r="AC246" i="14"/>
  <c r="AC245"/>
  <c r="AC243"/>
  <c r="AC244"/>
  <c r="BL254" i="2"/>
  <c r="BS254" s="1"/>
  <c r="BU254" s="1"/>
  <c r="BL184" i="25"/>
  <c r="BT184" s="1"/>
  <c r="BV184" s="1"/>
  <c r="BL203"/>
  <c r="BT203" s="1"/>
  <c r="BV203" s="1"/>
  <c r="AC242" i="14"/>
  <c r="AM234" i="1"/>
  <c r="BL234" i="2" s="1"/>
  <c r="BS234" s="1"/>
  <c r="BU234" s="1"/>
  <c r="AC232" i="14"/>
  <c r="AC231"/>
  <c r="AC230"/>
  <c r="AC227" i="26"/>
  <c r="AC223" i="14"/>
  <c r="AC222" i="26"/>
  <c r="AC214" i="14"/>
  <c r="AI214" i="15"/>
  <c r="AY214" i="17" s="1"/>
  <c r="BC214" s="1"/>
  <c r="BE214" s="1"/>
  <c r="AM149" i="1"/>
  <c r="BL149" i="2" s="1"/>
  <c r="BS149" s="1"/>
  <c r="BU149" s="1"/>
  <c r="AM153" i="1"/>
  <c r="BL153" i="2" s="1"/>
  <c r="BS153" s="1"/>
  <c r="BU153" s="1"/>
  <c r="AM203" i="1"/>
  <c r="BL203" i="2" s="1"/>
  <c r="BS203" s="1"/>
  <c r="BU203" s="1"/>
  <c r="BL195"/>
  <c r="BS195" s="1"/>
  <c r="BU195" s="1"/>
  <c r="AM347" i="1"/>
  <c r="BU147" i="2"/>
  <c r="BL145"/>
  <c r="BS145" s="1"/>
  <c r="BU145" s="1"/>
  <c r="AM185" i="1"/>
  <c r="BL182" i="2" s="1"/>
  <c r="BS182" s="1"/>
  <c r="BU182" s="1"/>
  <c r="AM154" i="1"/>
  <c r="BL154" i="2" s="1"/>
  <c r="BS154" s="1"/>
  <c r="BU154" s="1"/>
  <c r="AM168" i="1"/>
  <c r="BL165" i="2" s="1"/>
  <c r="BS165" s="1"/>
  <c r="BU165" s="1"/>
  <c r="AM333" i="1"/>
  <c r="BL330" i="2" s="1"/>
  <c r="BS330" s="1"/>
  <c r="BU330" s="1"/>
  <c r="AM339" i="1"/>
  <c r="BL336" i="2" s="1"/>
  <c r="BS336" s="1"/>
  <c r="BU336" s="1"/>
  <c r="AM341" i="1"/>
  <c r="BL338" i="2" s="1"/>
  <c r="BS338" s="1"/>
  <c r="BU338" s="1"/>
  <c r="AM342" i="1"/>
  <c r="BL339" i="2" s="1"/>
  <c r="BS339" s="1"/>
  <c r="BU339" s="1"/>
  <c r="AM343" i="1"/>
  <c r="AM344"/>
  <c r="BL341" i="2" s="1"/>
  <c r="BS341" s="1"/>
  <c r="BU341" s="1"/>
  <c r="AM345" i="1"/>
  <c r="BL388" i="2"/>
  <c r="BS388" s="1"/>
  <c r="BU388" s="1"/>
  <c r="BL390"/>
  <c r="BS390" s="1"/>
  <c r="BU390" s="1"/>
  <c r="AM320" i="1"/>
  <c r="BL320" i="2" s="1"/>
  <c r="BS320" s="1"/>
  <c r="BU320" s="1"/>
  <c r="BU174"/>
  <c r="AY473" i="17"/>
  <c r="BC473" s="1"/>
  <c r="BE473" s="1"/>
  <c r="AY406"/>
  <c r="BC406" s="1"/>
  <c r="BE406" s="1"/>
  <c r="BL206" i="2"/>
  <c r="BS206" s="1"/>
  <c r="BU206" s="1"/>
  <c r="AC87" i="14"/>
  <c r="AC104"/>
  <c r="AC123"/>
  <c r="AC215"/>
  <c r="AC219"/>
  <c r="AC221"/>
  <c r="AC329"/>
  <c r="AC334"/>
  <c r="AC335"/>
  <c r="AC337"/>
  <c r="AC338"/>
  <c r="AC408"/>
  <c r="AC412"/>
  <c r="AC413"/>
  <c r="AC414"/>
  <c r="AC415"/>
  <c r="AC421"/>
  <c r="AC422"/>
  <c r="AC627"/>
  <c r="AC631"/>
  <c r="AC632"/>
  <c r="AC633"/>
  <c r="AC634"/>
  <c r="AC582"/>
  <c r="AC444"/>
  <c r="AC452"/>
  <c r="AC453"/>
  <c r="AC454"/>
  <c r="AC456"/>
  <c r="AY205" i="17"/>
  <c r="BC205" s="1"/>
  <c r="BE205" s="1"/>
  <c r="AC194" i="14"/>
  <c r="AI311" i="15"/>
  <c r="AY308" i="17" s="1"/>
  <c r="BC308" s="1"/>
  <c r="BE308" s="1"/>
  <c r="AI310" i="15"/>
  <c r="AY307" i="17" s="1"/>
  <c r="BC307" s="1"/>
  <c r="BE307" s="1"/>
  <c r="AI306" i="15"/>
  <c r="AY306" i="17" s="1"/>
  <c r="BC306" s="1"/>
  <c r="BE306" s="1"/>
  <c r="AI301" i="15"/>
  <c r="AY301" i="17" s="1"/>
  <c r="BC301" s="1"/>
  <c r="BE301" s="1"/>
  <c r="AI111" i="15"/>
  <c r="AI430"/>
  <c r="AI584"/>
  <c r="AI593"/>
  <c r="AY594" i="17" s="1"/>
  <c r="BC594" s="1"/>
  <c r="BE594" s="1"/>
  <c r="AI594" i="15"/>
  <c r="AI618"/>
  <c r="AY619" i="17" s="1"/>
  <c r="BC619" s="1"/>
  <c r="BE619" s="1"/>
  <c r="AI616" i="15"/>
  <c r="AY617" i="17" s="1"/>
  <c r="BC617" s="1"/>
  <c r="BE617" s="1"/>
  <c r="AI610" i="15"/>
  <c r="AY608" i="17" s="1"/>
  <c r="BC608" s="1"/>
  <c r="BE608" s="1"/>
  <c r="AI609" i="15"/>
  <c r="AY607" i="17" s="1"/>
  <c r="BC607" s="1"/>
  <c r="BE607" s="1"/>
  <c r="AI608" i="15"/>
  <c r="AY606" i="17" s="1"/>
  <c r="BC606" s="1"/>
  <c r="BE606" s="1"/>
  <c r="AI607" i="15"/>
  <c r="AY605" i="17" s="1"/>
  <c r="BC605" s="1"/>
  <c r="BE605" s="1"/>
  <c r="AI606" i="15"/>
  <c r="AY604" i="17" s="1"/>
  <c r="BC604" s="1"/>
  <c r="BE604" s="1"/>
  <c r="AI601" i="15"/>
  <c r="BC601" i="17" s="1"/>
  <c r="BE601" s="1"/>
  <c r="AI599" i="15"/>
  <c r="AY600" i="17" s="1"/>
  <c r="BC600" s="1"/>
  <c r="BE600" s="1"/>
  <c r="AI544" i="15"/>
  <c r="AY545" i="17" s="1"/>
  <c r="BC545" s="1"/>
  <c r="BE545" s="1"/>
  <c r="AI487" i="15"/>
  <c r="AY488" i="17" s="1"/>
  <c r="BC488" s="1"/>
  <c r="BE488" s="1"/>
  <c r="AI486" i="15"/>
  <c r="AY487" i="17" s="1"/>
  <c r="BC487" s="1"/>
  <c r="BE487" s="1"/>
  <c r="AI484" i="15"/>
  <c r="AY485" i="17" s="1"/>
  <c r="BC485" s="1"/>
  <c r="BE485" s="1"/>
  <c r="AI483" i="15"/>
  <c r="AY484" i="17" s="1"/>
  <c r="BC484" s="1"/>
  <c r="BE484" s="1"/>
  <c r="AI482" i="15"/>
  <c r="AY483" i="17" s="1"/>
  <c r="BC483" s="1"/>
  <c r="BE483" s="1"/>
  <c r="AI479" i="15"/>
  <c r="AY480" i="17" s="1"/>
  <c r="BC480" s="1"/>
  <c r="BE480" s="1"/>
  <c r="AI471" i="15"/>
  <c r="AY472" i="17" s="1"/>
  <c r="BC472" s="1"/>
  <c r="BE472" s="1"/>
  <c r="AI470" i="15"/>
  <c r="AY471" i="17" s="1"/>
  <c r="BC471" s="1"/>
  <c r="BE471" s="1"/>
  <c r="AI467" i="15"/>
  <c r="AY468" i="17" s="1"/>
  <c r="BC468" s="1"/>
  <c r="BE468" s="1"/>
  <c r="AI465" i="15"/>
  <c r="AY463" i="17" s="1"/>
  <c r="BC463" s="1"/>
  <c r="BE463" s="1"/>
  <c r="AI463" i="15"/>
  <c r="AY461" i="17" s="1"/>
  <c r="BC461" s="1"/>
  <c r="BE461" s="1"/>
  <c r="AI461" i="15"/>
  <c r="AY459" i="17" s="1"/>
  <c r="BC459" s="1"/>
  <c r="BE459" s="1"/>
  <c r="AI456" i="15"/>
  <c r="AY457" i="17" s="1"/>
  <c r="BC457" s="1"/>
  <c r="BE457" s="1"/>
  <c r="AI454" i="15"/>
  <c r="AY455" i="17" s="1"/>
  <c r="BC455" s="1"/>
  <c r="BE455" s="1"/>
  <c r="AI453" i="15"/>
  <c r="AY454" i="17" s="1"/>
  <c r="BC454" s="1"/>
  <c r="BE454" s="1"/>
  <c r="AI446" i="15"/>
  <c r="AI442"/>
  <c r="AY443" i="17" s="1"/>
  <c r="BC443" s="1"/>
  <c r="BE443" s="1"/>
  <c r="AI434" i="15"/>
  <c r="AI418"/>
  <c r="AY419" i="17" s="1"/>
  <c r="BC419" s="1"/>
  <c r="BE419" s="1"/>
  <c r="AI416" i="15"/>
  <c r="AY417" i="17" s="1"/>
  <c r="BC417" s="1"/>
  <c r="BE417" s="1"/>
  <c r="AI415" i="15"/>
  <c r="AY416" i="17" s="1"/>
  <c r="BC416" s="1"/>
  <c r="BE416" s="1"/>
  <c r="AI410" i="15"/>
  <c r="AY411" i="17" s="1"/>
  <c r="BC411" s="1"/>
  <c r="BE411" s="1"/>
  <c r="AI409" i="15"/>
  <c r="AY410" i="17" s="1"/>
  <c r="BC410" s="1"/>
  <c r="BE410" s="1"/>
  <c r="AY403"/>
  <c r="BC403" s="1"/>
  <c r="BE403" s="1"/>
  <c r="AY401"/>
  <c r="BC401" s="1"/>
  <c r="BE401" s="1"/>
  <c r="AY400"/>
  <c r="BC400" s="1"/>
  <c r="BE400" s="1"/>
  <c r="AY399"/>
  <c r="BC399" s="1"/>
  <c r="BE399" s="1"/>
  <c r="AY395"/>
  <c r="BC395" s="1"/>
  <c r="BE395" s="1"/>
  <c r="AY391"/>
  <c r="BC391" s="1"/>
  <c r="BE391" s="1"/>
  <c r="AY386"/>
  <c r="BC386" s="1"/>
  <c r="BE386" s="1"/>
  <c r="AY385"/>
  <c r="BC385" s="1"/>
  <c r="BE385" s="1"/>
  <c r="AY384"/>
  <c r="BC384" s="1"/>
  <c r="BE384" s="1"/>
  <c r="AY383"/>
  <c r="BC383" s="1"/>
  <c r="BE383" s="1"/>
  <c r="AY382"/>
  <c r="BC382" s="1"/>
  <c r="BE382" s="1"/>
  <c r="AY379"/>
  <c r="BC379" s="1"/>
  <c r="BE379" s="1"/>
  <c r="AY375"/>
  <c r="BC375" s="1"/>
  <c r="BE375" s="1"/>
  <c r="AI372" i="15"/>
  <c r="AY372" i="17" s="1"/>
  <c r="BC372" s="1"/>
  <c r="BE372" s="1"/>
  <c r="AI371" i="15"/>
  <c r="AY371" i="17" s="1"/>
  <c r="BC371" s="1"/>
  <c r="BE371" s="1"/>
  <c r="AI367" i="15"/>
  <c r="AI366"/>
  <c r="AY366" i="17" s="1"/>
  <c r="BC366" s="1"/>
  <c r="BE366" s="1"/>
  <c r="AI364" i="15"/>
  <c r="AY364" i="17" s="1"/>
  <c r="BC364" s="1"/>
  <c r="BE364" s="1"/>
  <c r="BC189"/>
  <c r="BE189" s="1"/>
  <c r="AF249" i="16"/>
  <c r="AF256"/>
  <c r="AM181" i="1"/>
  <c r="BL178" i="2" s="1"/>
  <c r="BS178" s="1"/>
  <c r="BU178" s="1"/>
  <c r="AC179" i="14"/>
  <c r="AY179" i="17"/>
  <c r="BC179" s="1"/>
  <c r="BE179" s="1"/>
  <c r="AI174" i="15"/>
  <c r="AY174" i="17" s="1"/>
  <c r="BC174" s="1"/>
  <c r="BE174" s="1"/>
  <c r="AC173" i="26"/>
  <c r="AI173" i="15"/>
  <c r="AY173" i="17" s="1"/>
  <c r="BC173" s="1"/>
  <c r="BE173" s="1"/>
  <c r="AC172" i="14"/>
  <c r="AI172" i="15"/>
  <c r="AY172" i="17" s="1"/>
  <c r="BC172" s="1"/>
  <c r="BE172" s="1"/>
  <c r="AI171" i="15"/>
  <c r="AY171" i="17" s="1"/>
  <c r="BC171" s="1"/>
  <c r="BE171" s="1"/>
  <c r="AC168" i="14"/>
  <c r="AI168" i="15"/>
  <c r="AY168" i="17" s="1"/>
  <c r="BC168" s="1"/>
  <c r="BE168" s="1"/>
  <c r="AM167" i="1"/>
  <c r="BL164" i="2" s="1"/>
  <c r="BS164" s="1"/>
  <c r="BU164" s="1"/>
  <c r="AM163" i="1"/>
  <c r="BL163" i="2" s="1"/>
  <c r="BS163" s="1"/>
  <c r="BU163" s="1"/>
  <c r="AI166" i="15"/>
  <c r="AY166" i="17" s="1"/>
  <c r="BC166" s="1"/>
  <c r="BE166" s="1"/>
  <c r="AC165" i="14"/>
  <c r="AC164"/>
  <c r="AC163"/>
  <c r="AI163" i="15"/>
  <c r="AY163" i="17" s="1"/>
  <c r="BC163" s="1"/>
  <c r="BE163" s="1"/>
  <c r="AC205" i="26"/>
  <c r="AC495"/>
  <c r="AC514"/>
  <c r="AC521"/>
  <c r="AI161" i="15"/>
  <c r="AY161" i="17" s="1"/>
  <c r="BC161" s="1"/>
  <c r="BE161" s="1"/>
  <c r="AM157" i="1"/>
  <c r="AI160" i="15"/>
  <c r="AY160" i="17" s="1"/>
  <c r="BC160" s="1"/>
  <c r="BE160" s="1"/>
  <c r="AI159" i="15"/>
  <c r="AY156" i="17" s="1"/>
  <c r="BC156" s="1"/>
  <c r="BE156" s="1"/>
  <c r="AI154" i="15"/>
  <c r="AY154" i="17" s="1"/>
  <c r="BC154" s="1"/>
  <c r="BE154" s="1"/>
  <c r="AI153" i="15"/>
  <c r="AY153" i="17" s="1"/>
  <c r="BC153" s="1"/>
  <c r="BE153" s="1"/>
  <c r="AY150"/>
  <c r="BC150" s="1"/>
  <c r="BE150" s="1"/>
  <c r="AY148"/>
  <c r="BC148" s="1"/>
  <c r="BE148" s="1"/>
  <c r="AC140" i="14"/>
  <c r="AY143" i="17"/>
  <c r="BC143" s="1"/>
  <c r="BE143" s="1"/>
  <c r="AM108" i="1"/>
  <c r="BL108" i="2" s="1"/>
  <c r="BS108" s="1"/>
  <c r="BU108" s="1"/>
  <c r="AM126" i="1"/>
  <c r="AM210"/>
  <c r="BL210" i="2" s="1"/>
  <c r="BS210" s="1"/>
  <c r="BU210" s="1"/>
  <c r="AM211" i="1"/>
  <c r="BL211" i="2" s="1"/>
  <c r="BS211" s="1"/>
  <c r="BU211" s="1"/>
  <c r="AM214" i="1"/>
  <c r="AM217"/>
  <c r="BL217" i="2" s="1"/>
  <c r="BS217" s="1"/>
  <c r="BU217" s="1"/>
  <c r="AM218" i="1"/>
  <c r="BL218" i="2" s="1"/>
  <c r="BS218" s="1"/>
  <c r="BU218" s="1"/>
  <c r="AM220" i="1"/>
  <c r="AM329"/>
  <c r="AM330"/>
  <c r="AM331"/>
  <c r="BL328" i="2" s="1"/>
  <c r="BS328" s="1"/>
  <c r="BU328" s="1"/>
  <c r="AM332" i="1"/>
  <c r="AM403"/>
  <c r="AM290"/>
  <c r="BL290" i="2" s="1"/>
  <c r="BS290" s="1"/>
  <c r="BU290" s="1"/>
  <c r="AM327" i="1"/>
  <c r="BL324" i="2" s="1"/>
  <c r="BS324" s="1"/>
  <c r="BU324" s="1"/>
  <c r="AM363" i="1"/>
  <c r="AM364"/>
  <c r="BL364" i="2" s="1"/>
  <c r="BS364" s="1"/>
  <c r="BU364" s="1"/>
  <c r="BL380"/>
  <c r="BS380" s="1"/>
  <c r="BU380" s="1"/>
  <c r="AM545" i="1"/>
  <c r="BL545" i="2" s="1"/>
  <c r="BS545" s="1"/>
  <c r="BU545" s="1"/>
  <c r="AF142" i="16"/>
  <c r="AC141" i="14"/>
  <c r="AY397" i="17"/>
  <c r="BC397" s="1"/>
  <c r="BE397" s="1"/>
  <c r="AY380"/>
  <c r="BC380" s="1"/>
  <c r="BE380" s="1"/>
  <c r="AY378"/>
  <c r="BC378" s="1"/>
  <c r="BE378" s="1"/>
  <c r="AY367"/>
  <c r="BC367" s="1"/>
  <c r="BE367" s="1"/>
  <c r="AY627"/>
  <c r="BC627" s="1"/>
  <c r="BE627" s="1"/>
  <c r="BL495" i="25"/>
  <c r="BT495" s="1"/>
  <c r="BV495" s="1"/>
  <c r="BL497"/>
  <c r="BT497" s="1"/>
  <c r="BV497" s="1"/>
  <c r="BL539"/>
  <c r="BT539" s="1"/>
  <c r="BV539" s="1"/>
  <c r="BL162"/>
  <c r="BT162" s="1"/>
  <c r="BV162" s="1"/>
  <c r="AC81" i="26"/>
  <c r="BL437" i="2"/>
  <c r="BS437" s="1"/>
  <c r="BU437" s="1"/>
  <c r="BL597"/>
  <c r="BS597" s="1"/>
  <c r="BU597" s="1"/>
  <c r="AM346" i="1"/>
  <c r="BL343" i="2" s="1"/>
  <c r="BS343" s="1"/>
  <c r="BU343" s="1"/>
  <c r="AM362" i="1"/>
  <c r="AM366"/>
  <c r="BL375" i="2"/>
  <c r="BS375" s="1"/>
  <c r="BU375" s="1"/>
  <c r="BL377"/>
  <c r="BS377" s="1"/>
  <c r="BU377" s="1"/>
  <c r="AM232" i="1"/>
  <c r="BL232" i="2" s="1"/>
  <c r="BS232" s="1"/>
  <c r="BU232" s="1"/>
  <c r="AM487" i="1"/>
  <c r="BL484" i="2" s="1"/>
  <c r="BS484" s="1"/>
  <c r="BU484" s="1"/>
  <c r="AM449" i="1"/>
  <c r="BL446" i="2" s="1"/>
  <c r="BS446" s="1"/>
  <c r="BU446" s="1"/>
  <c r="AM452" i="1"/>
  <c r="BL452" i="2" s="1"/>
  <c r="BS452" s="1"/>
  <c r="BU452" s="1"/>
  <c r="AM542" i="1"/>
  <c r="BL573" i="2"/>
  <c r="BS573" s="1"/>
  <c r="BU573" s="1"/>
  <c r="AM531" i="1"/>
  <c r="AM534"/>
  <c r="AM537"/>
  <c r="AM122"/>
  <c r="AM127"/>
  <c r="AM141"/>
  <c r="BL141" i="2" s="1"/>
  <c r="BS141" s="1"/>
  <c r="BU141" s="1"/>
  <c r="AM143" i="1"/>
  <c r="AM337"/>
  <c r="AM338"/>
  <c r="BL407" i="2"/>
  <c r="BS407" s="1"/>
  <c r="BU407" s="1"/>
  <c r="AM418" i="1"/>
  <c r="BL415" i="2" s="1"/>
  <c r="BS415" s="1"/>
  <c r="BU415" s="1"/>
  <c r="AM419" i="1"/>
  <c r="BL416" i="2" s="1"/>
  <c r="BS416" s="1"/>
  <c r="BU416" s="1"/>
  <c r="AM420" i="1"/>
  <c r="AM421"/>
  <c r="AM90"/>
  <c r="AM92"/>
  <c r="AM281"/>
  <c r="BL281" i="2" s="1"/>
  <c r="BS281" s="1"/>
  <c r="BU281" s="1"/>
  <c r="AM306" i="1"/>
  <c r="AM308"/>
  <c r="BL593" i="2"/>
  <c r="BS593" s="1"/>
  <c r="BU593" s="1"/>
  <c r="AM619" i="1"/>
  <c r="AM140"/>
  <c r="BL140" i="2" s="1"/>
  <c r="BS140" s="1"/>
  <c r="BU140" s="1"/>
  <c r="AM138" i="1"/>
  <c r="BL138" i="2" s="1"/>
  <c r="BS138" s="1"/>
  <c r="BU138" s="1"/>
  <c r="AC138" i="14"/>
  <c r="AI136" i="15"/>
  <c r="AI135"/>
  <c r="AY135" i="17" s="1"/>
  <c r="BC135" s="1"/>
  <c r="BE135" s="1"/>
  <c r="AC134" i="26"/>
  <c r="BL301" i="2"/>
  <c r="BS301" s="1"/>
  <c r="BU301" s="1"/>
  <c r="BL561"/>
  <c r="BS561" s="1"/>
  <c r="BU561" s="1"/>
  <c r="BL143"/>
  <c r="BS143" s="1"/>
  <c r="BU143" s="1"/>
  <c r="BL612"/>
  <c r="BS612" s="1"/>
  <c r="BU612" s="1"/>
  <c r="BL472"/>
  <c r="BS472" s="1"/>
  <c r="BU472" s="1"/>
  <c r="BL480"/>
  <c r="BS480" s="1"/>
  <c r="BU480" s="1"/>
  <c r="AM131" i="1"/>
  <c r="BL131" i="2" s="1"/>
  <c r="BS131" s="1"/>
  <c r="BU131" s="1"/>
  <c r="AC131" i="14"/>
  <c r="AI129" i="15"/>
  <c r="AY129" i="17" s="1"/>
  <c r="BC129" s="1"/>
  <c r="BE129" s="1"/>
  <c r="AI126" i="15"/>
  <c r="AY126" i="17" s="1"/>
  <c r="BC126" s="1"/>
  <c r="BE126" s="1"/>
  <c r="AC125" i="26"/>
  <c r="AI124" i="15"/>
  <c r="AY124" i="17" s="1"/>
  <c r="BC124" s="1"/>
  <c r="BE124" s="1"/>
  <c r="AC122" i="14"/>
  <c r="AI122" i="15"/>
  <c r="AM120" i="1"/>
  <c r="BL120" i="2" s="1"/>
  <c r="BS120" s="1"/>
  <c r="BU120" s="1"/>
  <c r="AC120" i="14"/>
  <c r="AM119" i="1"/>
  <c r="AC118" i="14"/>
  <c r="AM117" i="1"/>
  <c r="BL117" i="2" s="1"/>
  <c r="BS117" s="1"/>
  <c r="BU117" s="1"/>
  <c r="AC117" i="14"/>
  <c r="AI117" i="15"/>
  <c r="AY117" i="17" s="1"/>
  <c r="BC117" s="1"/>
  <c r="BE117" s="1"/>
  <c r="AM116" i="1"/>
  <c r="AM100"/>
  <c r="AC100" i="14"/>
  <c r="AM114" i="1"/>
  <c r="BL114" i="2" s="1"/>
  <c r="BS114" s="1"/>
  <c r="BU114" s="1"/>
  <c r="AF125" i="16"/>
  <c r="AF241"/>
  <c r="AF242"/>
  <c r="AF244"/>
  <c r="AF250"/>
  <c r="AF253"/>
  <c r="AF322"/>
  <c r="AF325"/>
  <c r="AF328"/>
  <c r="AF331"/>
  <c r="AF333"/>
  <c r="AF335"/>
  <c r="AF338"/>
  <c r="AF340"/>
  <c r="AF342"/>
  <c r="AF344"/>
  <c r="AF346"/>
  <c r="AF348"/>
  <c r="AF350"/>
  <c r="AF352"/>
  <c r="AF354"/>
  <c r="AF377"/>
  <c r="AF379"/>
  <c r="AF392"/>
  <c r="AF395"/>
  <c r="AF397"/>
  <c r="AF399"/>
  <c r="AF401"/>
  <c r="AF403"/>
  <c r="AF405"/>
  <c r="AF407"/>
  <c r="AF409"/>
  <c r="AF411"/>
  <c r="AF413"/>
  <c r="AF415"/>
  <c r="AF417"/>
  <c r="AF419"/>
  <c r="AM113" i="1"/>
  <c r="BL113" i="2" s="1"/>
  <c r="BS113" s="1"/>
  <c r="BU113" s="1"/>
  <c r="AC112" i="14"/>
  <c r="AM110" i="1"/>
  <c r="BL110" i="2" s="1"/>
  <c r="BS110" s="1"/>
  <c r="BU110" s="1"/>
  <c r="AM109" i="1"/>
  <c r="AM101"/>
  <c r="BL101" i="2" s="1"/>
  <c r="BS101" s="1"/>
  <c r="BU101" s="1"/>
  <c r="AC101" i="14"/>
  <c r="AY111" i="17"/>
  <c r="BC111" s="1"/>
  <c r="BE111" s="1"/>
  <c r="AF105" i="16"/>
  <c r="AM103" i="1"/>
  <c r="BL103" i="2" s="1"/>
  <c r="BS103" s="1"/>
  <c r="BU103" s="1"/>
  <c r="AC103" i="14"/>
  <c r="AC102" i="26"/>
  <c r="AM102" i="1"/>
  <c r="AC102" i="14"/>
  <c r="AI101" i="15"/>
  <c r="AY101" i="17" s="1"/>
  <c r="BC101" s="1"/>
  <c r="BE101" s="1"/>
  <c r="BL97" i="25"/>
  <c r="BT97" s="1"/>
  <c r="BV97" s="1"/>
  <c r="AC97" i="26"/>
  <c r="AC96" i="14"/>
  <c r="AF95" i="16"/>
  <c r="AM93" i="1"/>
  <c r="AI87" i="15"/>
  <c r="AY87" i="17" s="1"/>
  <c r="BC87" s="1"/>
  <c r="BE87" s="1"/>
  <c r="AM89" i="1"/>
  <c r="AC83" i="26"/>
  <c r="AF421" i="16"/>
  <c r="AF439"/>
  <c r="BL498" i="25"/>
  <c r="BT498" s="1"/>
  <c r="BV498" s="1"/>
  <c r="BL571" i="2"/>
  <c r="BS571" s="1"/>
  <c r="BU571" s="1"/>
  <c r="AM292" i="1"/>
  <c r="BL292" i="2" s="1"/>
  <c r="BS292" s="1"/>
  <c r="BU292" s="1"/>
  <c r="AC92" i="14"/>
  <c r="AC93"/>
  <c r="AC94"/>
  <c r="AC95"/>
  <c r="AC108"/>
  <c r="AC109"/>
  <c r="AC110"/>
  <c r="AC111"/>
  <c r="AC127"/>
  <c r="AC128"/>
  <c r="AC129"/>
  <c r="AC130"/>
  <c r="AC166"/>
  <c r="AC167"/>
  <c r="AC228"/>
  <c r="AC229"/>
  <c r="AC323"/>
  <c r="AC325"/>
  <c r="AC327"/>
  <c r="AC328"/>
  <c r="AC343"/>
  <c r="AC344"/>
  <c r="AC345"/>
  <c r="AC347"/>
  <c r="AC360"/>
  <c r="AC361"/>
  <c r="AC404"/>
  <c r="AC405"/>
  <c r="AC406"/>
  <c r="AC407"/>
  <c r="AM112" i="1"/>
  <c r="AM123"/>
  <c r="AM125"/>
  <c r="AM129"/>
  <c r="BL129" i="2" s="1"/>
  <c r="BS129" s="1"/>
  <c r="BU129" s="1"/>
  <c r="AM137" i="1"/>
  <c r="BL137" i="2" s="1"/>
  <c r="BS137" s="1"/>
  <c r="BU137" s="1"/>
  <c r="AM221" i="1"/>
  <c r="BL221" i="2" s="1"/>
  <c r="BS221" s="1"/>
  <c r="BU221" s="1"/>
  <c r="AM224" i="1"/>
  <c r="AM225"/>
  <c r="BL225" i="2" s="1"/>
  <c r="BS225" s="1"/>
  <c r="BU225" s="1"/>
  <c r="AM226" i="1"/>
  <c r="AM227"/>
  <c r="BL227" i="2" s="1"/>
  <c r="BS227" s="1"/>
  <c r="BU227" s="1"/>
  <c r="AM228" i="1"/>
  <c r="AM229"/>
  <c r="BL229" i="2" s="1"/>
  <c r="BS229" s="1"/>
  <c r="BU229" s="1"/>
  <c r="AM335" i="1"/>
  <c r="BL332" i="2" s="1"/>
  <c r="BS332" s="1"/>
  <c r="BU332" s="1"/>
  <c r="AM340" i="1"/>
  <c r="BL337" i="2" s="1"/>
  <c r="BS337" s="1"/>
  <c r="BU337" s="1"/>
  <c r="AM415" i="1"/>
  <c r="BL412" i="2" s="1"/>
  <c r="BS412" s="1"/>
  <c r="BU412" s="1"/>
  <c r="AM416" i="1"/>
  <c r="BL423" i="2"/>
  <c r="BS423" s="1"/>
  <c r="BU423" s="1"/>
  <c r="BL366"/>
  <c r="BS366" s="1"/>
  <c r="BU366" s="1"/>
  <c r="BL572"/>
  <c r="BS572" s="1"/>
  <c r="BU572" s="1"/>
  <c r="AM172" i="1"/>
  <c r="BL169" i="2" s="1"/>
  <c r="BS169" s="1"/>
  <c r="BU169" s="1"/>
  <c r="AM173" i="1"/>
  <c r="AM174"/>
  <c r="BL171" i="2" s="1"/>
  <c r="BS171" s="1"/>
  <c r="BU171" s="1"/>
  <c r="BL393"/>
  <c r="BS393" s="1"/>
  <c r="BU393" s="1"/>
  <c r="AM407" i="1"/>
  <c r="AM408"/>
  <c r="BL405" i="2" s="1"/>
  <c r="BS405" s="1"/>
  <c r="BU405" s="1"/>
  <c r="AM96" i="1"/>
  <c r="AC274" i="14"/>
  <c r="AC275"/>
  <c r="AC276"/>
  <c r="AC277"/>
  <c r="AM275" i="1"/>
  <c r="BL275" i="2" s="1"/>
  <c r="BS275" s="1"/>
  <c r="BU275" s="1"/>
  <c r="AM278" i="1"/>
  <c r="BL278" i="2" s="1"/>
  <c r="BS278" s="1"/>
  <c r="BU278" s="1"/>
  <c r="AM280" i="1"/>
  <c r="BL280" i="2" s="1"/>
  <c r="BS280" s="1"/>
  <c r="BU280" s="1"/>
  <c r="BL305"/>
  <c r="BS305" s="1"/>
  <c r="BU305" s="1"/>
  <c r="AM309" i="1"/>
  <c r="BL309" i="2" s="1"/>
  <c r="BS309" s="1"/>
  <c r="BU309" s="1"/>
  <c r="AM313" i="1"/>
  <c r="BL313" i="2" s="1"/>
  <c r="BS313" s="1"/>
  <c r="AM315" i="1"/>
  <c r="BL315" i="2" s="1"/>
  <c r="BS315" s="1"/>
  <c r="BU315" s="1"/>
  <c r="AM318" i="1"/>
  <c r="BL318" i="2" s="1"/>
  <c r="BS318" s="1"/>
  <c r="BU318" s="1"/>
  <c r="AC592" i="14"/>
  <c r="AC600"/>
  <c r="AC601"/>
  <c r="AC602"/>
  <c r="AC623"/>
  <c r="AC624"/>
  <c r="AC625"/>
  <c r="AC626"/>
  <c r="BL594" i="2"/>
  <c r="BS594" s="1"/>
  <c r="BU594" s="1"/>
  <c r="AM601" i="1"/>
  <c r="BL598" i="2" s="1"/>
  <c r="BS598" s="1"/>
  <c r="BU598" s="1"/>
  <c r="AM614" i="1"/>
  <c r="BL611" i="2" s="1"/>
  <c r="BS611" s="1"/>
  <c r="BU611" s="1"/>
  <c r="AM616" i="1"/>
  <c r="BL613" i="2" s="1"/>
  <c r="BS613" s="1"/>
  <c r="BU613" s="1"/>
  <c r="AM623" i="1"/>
  <c r="BL623" i="2" s="1"/>
  <c r="BS623" s="1"/>
  <c r="BU623" s="1"/>
  <c r="AM624" i="1"/>
  <c r="BL624" i="2" s="1"/>
  <c r="BS624" s="1"/>
  <c r="BU624" s="1"/>
  <c r="AM180" i="1"/>
  <c r="BL187" i="2"/>
  <c r="BS187" s="1"/>
  <c r="BU187" s="1"/>
  <c r="BL207"/>
  <c r="BS207" s="1"/>
  <c r="BU207" s="1"/>
  <c r="AM222" i="1"/>
  <c r="BL222" i="2" s="1"/>
  <c r="BS222" s="1"/>
  <c r="BU222" s="1"/>
  <c r="AM223" i="1"/>
  <c r="BL223" i="2" s="1"/>
  <c r="BS223" s="1"/>
  <c r="BU223" s="1"/>
  <c r="AM348" i="1"/>
  <c r="BL345" i="2" s="1"/>
  <c r="BS345" s="1"/>
  <c r="BU345" s="1"/>
  <c r="AM349" i="1"/>
  <c r="BL346" i="2" s="1"/>
  <c r="BS346" s="1"/>
  <c r="BU346" s="1"/>
  <c r="AM350" i="1"/>
  <c r="AM351"/>
  <c r="BL348" i="2" s="1"/>
  <c r="BS348" s="1"/>
  <c r="BU348" s="1"/>
  <c r="AM352" i="1"/>
  <c r="AM360"/>
  <c r="BL360" i="2" s="1"/>
  <c r="BS360" s="1"/>
  <c r="BU360" s="1"/>
  <c r="BL365"/>
  <c r="BS365" s="1"/>
  <c r="BU365" s="1"/>
  <c r="BL367"/>
  <c r="BS367" s="1"/>
  <c r="BU367" s="1"/>
  <c r="AM369" i="1"/>
  <c r="BL381" i="2"/>
  <c r="BS381" s="1"/>
  <c r="BU381" s="1"/>
  <c r="BL382"/>
  <c r="BS382" s="1"/>
  <c r="BU382" s="1"/>
  <c r="AM237" i="1"/>
  <c r="AM238"/>
  <c r="BL238" i="2" s="1"/>
  <c r="BS238" s="1"/>
  <c r="BU238" s="1"/>
  <c r="AM242" i="1"/>
  <c r="BL242" i="2" s="1"/>
  <c r="BS242" s="1"/>
  <c r="BU242" s="1"/>
  <c r="BL249"/>
  <c r="BS249" s="1"/>
  <c r="BU249" s="1"/>
  <c r="AM253" i="1"/>
  <c r="BL250" i="2" s="1"/>
  <c r="BS250" s="1"/>
  <c r="BU250" s="1"/>
  <c r="AM254" i="1"/>
  <c r="AM255"/>
  <c r="BL252" i="2" s="1"/>
  <c r="BS252" s="1"/>
  <c r="BU252" s="1"/>
  <c r="BU427"/>
  <c r="AF441" i="16"/>
  <c r="AF442"/>
  <c r="AF448"/>
  <c r="AF450"/>
  <c r="AF452"/>
  <c r="AF458"/>
  <c r="AF459"/>
  <c r="AF460"/>
  <c r="AF461"/>
  <c r="AF463"/>
  <c r="AF466"/>
  <c r="AF472"/>
  <c r="AF473"/>
  <c r="AF474"/>
  <c r="AF475"/>
  <c r="AF479"/>
  <c r="AF480"/>
  <c r="AC439" i="14"/>
  <c r="AC440"/>
  <c r="AC441"/>
  <c r="AC443"/>
  <c r="AC469"/>
  <c r="AC471"/>
  <c r="AC473"/>
  <c r="AC475"/>
  <c r="AC482"/>
  <c r="AC484"/>
  <c r="AC485"/>
  <c r="AC559"/>
  <c r="AC560"/>
  <c r="AC562"/>
  <c r="AC563"/>
  <c r="AM444" i="1"/>
  <c r="BL441" i="2" s="1"/>
  <c r="BS441" s="1"/>
  <c r="BU441" s="1"/>
  <c r="AM460" i="1"/>
  <c r="AM464"/>
  <c r="BL464" i="2" s="1"/>
  <c r="BS464" s="1"/>
  <c r="BU464" s="1"/>
  <c r="AM468" i="1"/>
  <c r="BL468" i="2" s="1"/>
  <c r="BS468" s="1"/>
  <c r="BU468" s="1"/>
  <c r="AM541" i="1"/>
  <c r="BL541" i="2" s="1"/>
  <c r="BS541" s="1"/>
  <c r="BU541" s="1"/>
  <c r="AM551" i="1"/>
  <c r="AM555"/>
  <c r="BL555" i="2" s="1"/>
  <c r="BS555" s="1"/>
  <c r="BU555" s="1"/>
  <c r="AI624" i="15"/>
  <c r="AI620"/>
  <c r="AY621" i="17" s="1"/>
  <c r="BC621" s="1"/>
  <c r="BE621" s="1"/>
  <c r="AI619" i="15"/>
  <c r="AI617"/>
  <c r="AY618" i="17" s="1"/>
  <c r="BC618" s="1"/>
  <c r="BE618" s="1"/>
  <c r="AI613" i="15"/>
  <c r="AY611" i="17" s="1"/>
  <c r="BC611" s="1"/>
  <c r="BE611" s="1"/>
  <c r="AI611" i="15"/>
  <c r="AY609" i="17" s="1"/>
  <c r="BC609" s="1"/>
  <c r="BE609" s="1"/>
  <c r="AI579" i="15"/>
  <c r="AY580" i="17" s="1"/>
  <c r="BC580" s="1"/>
  <c r="BE580" s="1"/>
  <c r="AI574" i="15"/>
  <c r="AY575" i="17" s="1"/>
  <c r="BC575" s="1"/>
  <c r="BE575" s="1"/>
  <c r="AI571" i="15"/>
  <c r="AI570"/>
  <c r="AY571" i="17" s="1"/>
  <c r="BC571" s="1"/>
  <c r="BE571" s="1"/>
  <c r="AI568" i="15"/>
  <c r="AY569" i="17" s="1"/>
  <c r="BC569" s="1"/>
  <c r="BE569" s="1"/>
  <c r="AI567" i="15"/>
  <c r="AY568" i="17" s="1"/>
  <c r="BC568" s="1"/>
  <c r="BE568" s="1"/>
  <c r="AI561" i="15"/>
  <c r="AI560"/>
  <c r="AY561" i="17" s="1"/>
  <c r="BC561" s="1"/>
  <c r="BE561" s="1"/>
  <c r="AI559" i="15"/>
  <c r="AY560" i="17" s="1"/>
  <c r="BC560" s="1"/>
  <c r="BE560" s="1"/>
  <c r="AI557" i="15"/>
  <c r="AY558" i="17" s="1"/>
  <c r="BC558" s="1"/>
  <c r="BE558" s="1"/>
  <c r="AI556" i="15"/>
  <c r="AY557" i="17" s="1"/>
  <c r="BC557" s="1"/>
  <c r="BE557" s="1"/>
  <c r="AI554" i="15"/>
  <c r="AY555" i="17" s="1"/>
  <c r="BC555" s="1"/>
  <c r="BE555" s="1"/>
  <c r="AI551" i="15"/>
  <c r="AI547"/>
  <c r="AY548" i="17" s="1"/>
  <c r="BC548" s="1"/>
  <c r="BE548" s="1"/>
  <c r="AI466" i="15"/>
  <c r="AI443"/>
  <c r="AY444" i="17" s="1"/>
  <c r="BC444" s="1"/>
  <c r="BE444" s="1"/>
  <c r="AI437" i="15"/>
  <c r="AI363"/>
  <c r="AY363" i="17" s="1"/>
  <c r="BC363" s="1"/>
  <c r="BE363" s="1"/>
  <c r="AI360" i="15"/>
  <c r="AY360" i="17" s="1"/>
  <c r="BC360" s="1"/>
  <c r="BE360" s="1"/>
  <c r="AI358" i="15"/>
  <c r="AY358" i="17" s="1"/>
  <c r="BC358" s="1"/>
  <c r="BE358" s="1"/>
  <c r="AI354" i="15"/>
  <c r="AY354" i="17" s="1"/>
  <c r="BC354" s="1"/>
  <c r="BE354" s="1"/>
  <c r="AI346" i="15"/>
  <c r="AY346" i="17" s="1"/>
  <c r="BC346" s="1"/>
  <c r="BE346" s="1"/>
  <c r="AI339" i="15"/>
  <c r="AI334"/>
  <c r="AY334" i="17" s="1"/>
  <c r="BC334" s="1"/>
  <c r="BE334" s="1"/>
  <c r="AI333" i="15"/>
  <c r="AI299"/>
  <c r="AY299" i="17" s="1"/>
  <c r="BC299" s="1"/>
  <c r="BE299" s="1"/>
  <c r="AI294" i="15"/>
  <c r="AY294" i="17" s="1"/>
  <c r="BC294" s="1"/>
  <c r="BE294" s="1"/>
  <c r="AI293" i="15"/>
  <c r="AY293" i="17" s="1"/>
  <c r="BC293" s="1"/>
  <c r="BE293" s="1"/>
  <c r="AI292" i="15"/>
  <c r="AY292" i="17" s="1"/>
  <c r="BC292" s="1"/>
  <c r="BE292" s="1"/>
  <c r="AI285" i="15"/>
  <c r="BL95" i="25"/>
  <c r="BT95" s="1"/>
  <c r="BV95" s="1"/>
  <c r="BL99"/>
  <c r="BT99" s="1"/>
  <c r="BV99" s="1"/>
  <c r="BL101"/>
  <c r="BT101" s="1"/>
  <c r="BV101" s="1"/>
  <c r="BL105"/>
  <c r="BT105" s="1"/>
  <c r="BV105" s="1"/>
  <c r="BL107"/>
  <c r="BT107" s="1"/>
  <c r="BV107" s="1"/>
  <c r="BL109"/>
  <c r="BT109" s="1"/>
  <c r="BV109" s="1"/>
  <c r="BL111"/>
  <c r="BT111" s="1"/>
  <c r="BV111" s="1"/>
  <c r="BL116"/>
  <c r="BT116" s="1"/>
  <c r="BV116" s="1"/>
  <c r="BL118"/>
  <c r="BT118" s="1"/>
  <c r="BV118" s="1"/>
  <c r="BL120"/>
  <c r="BT120" s="1"/>
  <c r="BV120" s="1"/>
  <c r="BL123"/>
  <c r="BT123" s="1"/>
  <c r="BV123" s="1"/>
  <c r="BL125"/>
  <c r="BT125" s="1"/>
  <c r="BV125" s="1"/>
  <c r="BL127"/>
  <c r="BT127" s="1"/>
  <c r="BV127" s="1"/>
  <c r="BL129"/>
  <c r="BT129" s="1"/>
  <c r="BV129" s="1"/>
  <c r="BL131"/>
  <c r="BT131" s="1"/>
  <c r="BV131" s="1"/>
  <c r="BL133"/>
  <c r="BT133" s="1"/>
  <c r="BV133" s="1"/>
  <c r="BL135"/>
  <c r="BT135" s="1"/>
  <c r="BV135" s="1"/>
  <c r="BL137"/>
  <c r="BT137" s="1"/>
  <c r="BV137" s="1"/>
  <c r="BL140"/>
  <c r="BT140" s="1"/>
  <c r="BV140" s="1"/>
  <c r="BL157"/>
  <c r="BT157" s="1"/>
  <c r="BV157" s="1"/>
  <c r="BL163"/>
  <c r="BT163" s="1"/>
  <c r="BV163" s="1"/>
  <c r="BL211"/>
  <c r="BT211" s="1"/>
  <c r="BV211" s="1"/>
  <c r="BL329"/>
  <c r="BT329" s="1"/>
  <c r="BV329" s="1"/>
  <c r="BL336"/>
  <c r="BT336" s="1"/>
  <c r="BV336" s="1"/>
  <c r="BL338"/>
  <c r="BT338" s="1"/>
  <c r="BV338" s="1"/>
  <c r="BL341"/>
  <c r="BT341" s="1"/>
  <c r="BV341" s="1"/>
  <c r="BL343"/>
  <c r="BT343" s="1"/>
  <c r="BV343" s="1"/>
  <c r="BL345"/>
  <c r="BT345" s="1"/>
  <c r="BV345" s="1"/>
  <c r="BL347"/>
  <c r="BT347" s="1"/>
  <c r="BV347" s="1"/>
  <c r="BL349"/>
  <c r="BT349" s="1"/>
  <c r="BV349" s="1"/>
  <c r="BL354"/>
  <c r="BT354" s="1"/>
  <c r="BV354" s="1"/>
  <c r="BL356"/>
  <c r="BT356" s="1"/>
  <c r="BV356" s="1"/>
  <c r="BL358"/>
  <c r="BT358" s="1"/>
  <c r="BV358" s="1"/>
  <c r="BL360"/>
  <c r="BT360" s="1"/>
  <c r="BV360" s="1"/>
  <c r="BL363"/>
  <c r="BT363" s="1"/>
  <c r="BV363" s="1"/>
  <c r="BL369"/>
  <c r="BT369" s="1"/>
  <c r="BV369" s="1"/>
  <c r="BL375"/>
  <c r="BT375" s="1"/>
  <c r="BV375" s="1"/>
  <c r="BL377"/>
  <c r="BT377" s="1"/>
  <c r="BV377" s="1"/>
  <c r="BL379"/>
  <c r="BT379" s="1"/>
  <c r="BV379" s="1"/>
  <c r="BL381"/>
  <c r="BT381" s="1"/>
  <c r="BV381" s="1"/>
  <c r="BL383"/>
  <c r="BT383" s="1"/>
  <c r="BV383" s="1"/>
  <c r="BL385"/>
  <c r="BT385" s="1"/>
  <c r="BV385" s="1"/>
  <c r="BL387"/>
  <c r="BT387" s="1"/>
  <c r="BV387" s="1"/>
  <c r="BL389"/>
  <c r="BT389" s="1"/>
  <c r="BV389" s="1"/>
  <c r="BL391"/>
  <c r="BT391" s="1"/>
  <c r="BV391" s="1"/>
  <c r="BL393"/>
  <c r="BT393" s="1"/>
  <c r="BV393" s="1"/>
  <c r="BL395"/>
  <c r="BT395" s="1"/>
  <c r="BV395" s="1"/>
  <c r="BL397"/>
  <c r="BT397" s="1"/>
  <c r="BV397" s="1"/>
  <c r="BL399"/>
  <c r="BT399" s="1"/>
  <c r="BV399" s="1"/>
  <c r="BL401"/>
  <c r="BT401" s="1"/>
  <c r="BV401" s="1"/>
  <c r="BL403"/>
  <c r="BT403" s="1"/>
  <c r="BV403" s="1"/>
  <c r="BL405"/>
  <c r="BT405" s="1"/>
  <c r="BV405" s="1"/>
  <c r="BL409"/>
  <c r="BT409" s="1"/>
  <c r="BV409" s="1"/>
  <c r="BL413"/>
  <c r="BT413" s="1"/>
  <c r="BV413" s="1"/>
  <c r="BL417"/>
  <c r="BT417" s="1"/>
  <c r="BV417" s="1"/>
  <c r="BL434"/>
  <c r="BT434" s="1"/>
  <c r="BV434" s="1"/>
  <c r="BL438"/>
  <c r="BT438" s="1"/>
  <c r="BV438" s="1"/>
  <c r="BL443"/>
  <c r="BT443" s="1"/>
  <c r="BV443" s="1"/>
  <c r="BL445"/>
  <c r="BT445" s="1"/>
  <c r="BV445" s="1"/>
  <c r="BL448"/>
  <c r="BT448" s="1"/>
  <c r="BV448" s="1"/>
  <c r="BL450"/>
  <c r="BT450" s="1"/>
  <c r="BV450" s="1"/>
  <c r="BL452"/>
  <c r="BT452" s="1"/>
  <c r="BV452" s="1"/>
  <c r="BL454"/>
  <c r="BT454" s="1"/>
  <c r="BV454" s="1"/>
  <c r="BL456"/>
  <c r="BT456" s="1"/>
  <c r="BV456" s="1"/>
  <c r="BL458"/>
  <c r="BT458" s="1"/>
  <c r="BV458" s="1"/>
  <c r="BL460"/>
  <c r="BT460" s="1"/>
  <c r="BV460" s="1"/>
  <c r="BL462"/>
  <c r="BT462" s="1"/>
  <c r="BV462" s="1"/>
  <c r="BL466"/>
  <c r="BT466" s="1"/>
  <c r="BV466" s="1"/>
  <c r="BL470"/>
  <c r="BT470" s="1"/>
  <c r="BV470" s="1"/>
  <c r="BL474"/>
  <c r="BT474" s="1"/>
  <c r="BV474" s="1"/>
  <c r="BL476"/>
  <c r="BT476" s="1"/>
  <c r="BV476" s="1"/>
  <c r="BL478"/>
  <c r="BT478" s="1"/>
  <c r="BV478" s="1"/>
  <c r="BL480"/>
  <c r="BT480" s="1"/>
  <c r="BV480" s="1"/>
  <c r="BL482"/>
  <c r="BT482" s="1"/>
  <c r="BV482" s="1"/>
  <c r="BL484"/>
  <c r="BT484" s="1"/>
  <c r="BV484" s="1"/>
  <c r="BL540"/>
  <c r="BT540" s="1"/>
  <c r="BV540" s="1"/>
  <c r="BL544"/>
  <c r="BT544" s="1"/>
  <c r="BV544" s="1"/>
  <c r="BL553"/>
  <c r="BT553" s="1"/>
  <c r="BV553" s="1"/>
  <c r="BL557"/>
  <c r="BT557" s="1"/>
  <c r="BV557" s="1"/>
  <c r="BL561"/>
  <c r="BT561" s="1"/>
  <c r="BV561" s="1"/>
  <c r="BL563"/>
  <c r="BT563" s="1"/>
  <c r="BV563" s="1"/>
  <c r="BL565"/>
  <c r="BT565" s="1"/>
  <c r="BV565" s="1"/>
  <c r="BL567"/>
  <c r="BT567" s="1"/>
  <c r="BV567" s="1"/>
  <c r="BL569"/>
  <c r="BT569" s="1"/>
  <c r="BV569" s="1"/>
  <c r="BL598"/>
  <c r="BT598" s="1"/>
  <c r="BV598" s="1"/>
  <c r="BL600"/>
  <c r="BT600" s="1"/>
  <c r="BV600" s="1"/>
  <c r="BL602"/>
  <c r="BT602" s="1"/>
  <c r="BV602" s="1"/>
  <c r="BL604"/>
  <c r="BT604" s="1"/>
  <c r="BV604" s="1"/>
  <c r="BL606"/>
  <c r="BT606" s="1"/>
  <c r="BV606" s="1"/>
  <c r="BL608"/>
  <c r="BT608" s="1"/>
  <c r="BV608" s="1"/>
  <c r="BL613"/>
  <c r="BT613" s="1"/>
  <c r="BV613" s="1"/>
  <c r="BL615"/>
  <c r="BT615" s="1"/>
  <c r="BV615" s="1"/>
  <c r="BL617"/>
  <c r="BT617" s="1"/>
  <c r="BV617" s="1"/>
  <c r="BL619"/>
  <c r="BT619" s="1"/>
  <c r="BV619" s="1"/>
  <c r="BL621"/>
  <c r="BT621" s="1"/>
  <c r="BV621" s="1"/>
  <c r="BL623"/>
  <c r="BT623" s="1"/>
  <c r="BV623" s="1"/>
  <c r="BL625"/>
  <c r="BT625" s="1"/>
  <c r="BV625" s="1"/>
  <c r="BL627"/>
  <c r="BT627" s="1"/>
  <c r="BV627" s="1"/>
  <c r="BL629"/>
  <c r="BT629" s="1"/>
  <c r="BV629" s="1"/>
  <c r="AI281" i="15"/>
  <c r="AY281" i="17" s="1"/>
  <c r="BC281" s="1"/>
  <c r="BE281" s="1"/>
  <c r="AI254" i="15"/>
  <c r="AY254" i="17" s="1"/>
  <c r="BC254" s="1"/>
  <c r="BE254" s="1"/>
  <c r="AI250" i="15"/>
  <c r="AY250" i="17" s="1"/>
  <c r="BC250" s="1"/>
  <c r="BE250" s="1"/>
  <c r="AI249" i="15"/>
  <c r="AY249" i="17" s="1"/>
  <c r="BC249" s="1"/>
  <c r="BE249" s="1"/>
  <c r="AI246" i="15"/>
  <c r="AY246" i="17" s="1"/>
  <c r="BC246" s="1"/>
  <c r="BE246" s="1"/>
  <c r="AI244" i="15"/>
  <c r="AY244" i="17" s="1"/>
  <c r="BC244" s="1"/>
  <c r="BE244" s="1"/>
  <c r="AY240"/>
  <c r="BC240" s="1"/>
  <c r="BE240" s="1"/>
  <c r="AI224" i="15"/>
  <c r="AY224" i="17" s="1"/>
  <c r="BC224" s="1"/>
  <c r="BE224" s="1"/>
  <c r="AI222" i="15"/>
  <c r="AY222" i="17" s="1"/>
  <c r="BC222" s="1"/>
  <c r="BE222" s="1"/>
  <c r="AI218" i="15"/>
  <c r="AY218" i="17" s="1"/>
  <c r="BC218" s="1"/>
  <c r="BE218" s="1"/>
  <c r="AY213"/>
  <c r="BC213" s="1"/>
  <c r="BE213" s="1"/>
  <c r="AI212" i="15"/>
  <c r="AY212" i="17" s="1"/>
  <c r="BC212" s="1"/>
  <c r="BE212" s="1"/>
  <c r="AI211" i="15"/>
  <c r="BL275" i="25"/>
  <c r="BT275" s="1"/>
  <c r="BV275" s="1"/>
  <c r="BL277"/>
  <c r="BL279"/>
  <c r="BT279" s="1"/>
  <c r="BV279" s="1"/>
  <c r="BL281"/>
  <c r="BL285"/>
  <c r="BT285" s="1"/>
  <c r="BV285" s="1"/>
  <c r="BL287"/>
  <c r="BL289"/>
  <c r="BT289" s="1"/>
  <c r="BV289" s="1"/>
  <c r="BL291"/>
  <c r="BL293"/>
  <c r="BT293" s="1"/>
  <c r="BV293" s="1"/>
  <c r="BL295"/>
  <c r="BT295" s="1"/>
  <c r="BV295" s="1"/>
  <c r="BL297"/>
  <c r="BT297" s="1"/>
  <c r="BV297" s="1"/>
  <c r="BL299"/>
  <c r="BT299" s="1"/>
  <c r="BV299" s="1"/>
  <c r="BL301"/>
  <c r="BT301" s="1"/>
  <c r="BV301" s="1"/>
  <c r="BL306"/>
  <c r="BT306" s="1"/>
  <c r="BV306" s="1"/>
  <c r="BL308"/>
  <c r="BT308" s="1"/>
  <c r="BV308" s="1"/>
  <c r="BL310"/>
  <c r="BT310" s="1"/>
  <c r="BV310" s="1"/>
  <c r="BL312"/>
  <c r="BT312" s="1"/>
  <c r="BV312" s="1"/>
  <c r="BL314"/>
  <c r="BT314" s="1"/>
  <c r="BV314" s="1"/>
  <c r="BL316"/>
  <c r="BT316" s="1"/>
  <c r="BV316" s="1"/>
  <c r="BL318"/>
  <c r="BT318" s="1"/>
  <c r="BV318" s="1"/>
  <c r="BL145"/>
  <c r="BT145" s="1"/>
  <c r="BV145" s="1"/>
  <c r="BL149"/>
  <c r="BT149" s="1"/>
  <c r="BV149" s="1"/>
  <c r="BL155"/>
  <c r="BT155" s="1"/>
  <c r="BV155" s="1"/>
  <c r="AI422" i="15"/>
  <c r="AI424"/>
  <c r="AY425" i="17" s="1"/>
  <c r="BC425" s="1"/>
  <c r="BE425" s="1"/>
  <c r="AI426" i="15"/>
  <c r="AY427" i="17" s="1"/>
  <c r="BC427" s="1"/>
  <c r="BE427" s="1"/>
  <c r="AI428" i="15"/>
  <c r="AY429" i="17" s="1"/>
  <c r="BC429" s="1"/>
  <c r="BE429" s="1"/>
  <c r="BL419" i="25"/>
  <c r="BT419" s="1"/>
  <c r="BV419" s="1"/>
  <c r="BL421"/>
  <c r="BT421" s="1"/>
  <c r="BV421" s="1"/>
  <c r="BL423"/>
  <c r="BT423" s="1"/>
  <c r="BV423" s="1"/>
  <c r="BL425"/>
  <c r="BT425" s="1"/>
  <c r="BV425" s="1"/>
  <c r="BL427"/>
  <c r="BT427" s="1"/>
  <c r="BV427" s="1"/>
  <c r="BL581"/>
  <c r="BT581" s="1"/>
  <c r="BV581" s="1"/>
  <c r="BL584"/>
  <c r="BT584" s="1"/>
  <c r="BV584" s="1"/>
  <c r="BL586"/>
  <c r="BT586" s="1"/>
  <c r="BV586" s="1"/>
  <c r="BL588"/>
  <c r="BT588" s="1"/>
  <c r="BV588" s="1"/>
  <c r="BL590"/>
  <c r="BT590" s="1"/>
  <c r="BV590" s="1"/>
  <c r="BL592"/>
  <c r="BT592" s="1"/>
  <c r="BV592" s="1"/>
  <c r="BL595"/>
  <c r="BT595" s="1"/>
  <c r="BV595" s="1"/>
  <c r="AC587" i="14"/>
  <c r="AC207" i="26"/>
  <c r="BL183" i="25"/>
  <c r="BT183" s="1"/>
  <c r="BV183" s="1"/>
  <c r="BL185"/>
  <c r="BT185" s="1"/>
  <c r="BV185" s="1"/>
  <c r="BL187"/>
  <c r="BT187" s="1"/>
  <c r="BV187" s="1"/>
  <c r="BL189"/>
  <c r="BT189" s="1"/>
  <c r="BV189" s="1"/>
  <c r="BL192"/>
  <c r="BT192" s="1"/>
  <c r="BV192" s="1"/>
  <c r="BL195"/>
  <c r="BT195" s="1"/>
  <c r="BV195" s="1"/>
  <c r="BL197"/>
  <c r="BT197" s="1"/>
  <c r="BV197" s="1"/>
  <c r="BL199"/>
  <c r="BT199" s="1"/>
  <c r="BV199" s="1"/>
  <c r="BL201"/>
  <c r="BT201" s="1"/>
  <c r="BV201" s="1"/>
  <c r="BL206"/>
  <c r="BT206" s="1"/>
  <c r="BV206" s="1"/>
  <c r="BL208"/>
  <c r="BT208" s="1"/>
  <c r="BV208" s="1"/>
  <c r="AF489" i="16"/>
  <c r="AF492"/>
  <c r="AF520"/>
  <c r="AF525"/>
  <c r="AF527"/>
  <c r="AF528"/>
  <c r="AF533"/>
  <c r="AF535"/>
  <c r="AM492" i="1"/>
  <c r="BL489" i="2" s="1"/>
  <c r="BS489" s="1"/>
  <c r="BU489" s="1"/>
  <c r="AM493" i="1"/>
  <c r="BL490" i="2" s="1"/>
  <c r="BS490" s="1"/>
  <c r="BU490" s="1"/>
  <c r="AM529" i="1"/>
  <c r="AM535"/>
  <c r="BL535" i="2" s="1"/>
  <c r="BS535" s="1"/>
  <c r="BU535" s="1"/>
  <c r="AC494" i="26"/>
  <c r="AC541"/>
  <c r="BL499" i="25"/>
  <c r="BT499" s="1"/>
  <c r="BV499" s="1"/>
  <c r="BL501"/>
  <c r="BT501" s="1"/>
  <c r="BV501" s="1"/>
  <c r="BL502"/>
  <c r="BT502" s="1"/>
  <c r="BV502" s="1"/>
  <c r="BL503"/>
  <c r="BT503" s="1"/>
  <c r="BV503" s="1"/>
  <c r="BL504"/>
  <c r="BT504" s="1"/>
  <c r="BV504" s="1"/>
  <c r="BL505"/>
  <c r="BT505" s="1"/>
  <c r="BV505" s="1"/>
  <c r="BL506"/>
  <c r="BT506" s="1"/>
  <c r="BV506" s="1"/>
  <c r="BL507"/>
  <c r="BT507" s="1"/>
  <c r="BV507" s="1"/>
  <c r="BL511"/>
  <c r="BT511" s="1"/>
  <c r="BV511" s="1"/>
  <c r="BL512"/>
  <c r="BT512" s="1"/>
  <c r="BV512" s="1"/>
  <c r="BL513"/>
  <c r="BT513" s="1"/>
  <c r="BV513" s="1"/>
  <c r="BL516"/>
  <c r="BT516" s="1"/>
  <c r="BV516" s="1"/>
  <c r="BL518"/>
  <c r="BT518" s="1"/>
  <c r="BV518" s="1"/>
  <c r="BL521"/>
  <c r="BT521" s="1"/>
  <c r="BV521" s="1"/>
  <c r="BL527"/>
  <c r="BT527" s="1"/>
  <c r="BV527" s="1"/>
  <c r="BL529"/>
  <c r="BT529" s="1"/>
  <c r="BV529" s="1"/>
  <c r="BL530"/>
  <c r="BT530" s="1"/>
  <c r="BV530" s="1"/>
  <c r="BL531"/>
  <c r="BT531" s="1"/>
  <c r="BV531" s="1"/>
  <c r="BL532"/>
  <c r="BT532" s="1"/>
  <c r="BV532" s="1"/>
  <c r="BL537"/>
  <c r="BT537" s="1"/>
  <c r="BV537" s="1"/>
  <c r="BL582"/>
  <c r="BT582" s="1"/>
  <c r="BV582" s="1"/>
  <c r="AF262" i="16"/>
  <c r="AF263"/>
  <c r="AC258" i="26"/>
  <c r="BL254" i="25"/>
  <c r="BT254" s="1"/>
  <c r="BV254" s="1"/>
  <c r="BL255"/>
  <c r="BT255" s="1"/>
  <c r="BV255" s="1"/>
  <c r="BL256"/>
  <c r="BT256" s="1"/>
  <c r="BV256" s="1"/>
  <c r="BL259"/>
  <c r="BT259" s="1"/>
  <c r="BV259" s="1"/>
  <c r="BL260"/>
  <c r="BT260" s="1"/>
  <c r="BV260" s="1"/>
  <c r="BL262"/>
  <c r="BT262" s="1"/>
  <c r="BV262" s="1"/>
  <c r="BL264"/>
  <c r="BT264" s="1"/>
  <c r="BV264" s="1"/>
  <c r="BL98"/>
  <c r="BT98" s="1"/>
  <c r="BV98" s="1"/>
  <c r="BL100"/>
  <c r="BT100" s="1"/>
  <c r="BV100" s="1"/>
  <c r="BL106"/>
  <c r="BT106" s="1"/>
  <c r="BV106" s="1"/>
  <c r="BL108"/>
  <c r="BT108" s="1"/>
  <c r="BV108" s="1"/>
  <c r="BL110"/>
  <c r="BT110" s="1"/>
  <c r="BV110" s="1"/>
  <c r="BL112"/>
  <c r="BT112" s="1"/>
  <c r="BV112" s="1"/>
  <c r="BL114"/>
  <c r="BT114" s="1"/>
  <c r="BV114" s="1"/>
  <c r="BL117"/>
  <c r="BT117" s="1"/>
  <c r="BV117" s="1"/>
  <c r="BV119"/>
  <c r="BL122"/>
  <c r="BT122" s="1"/>
  <c r="BV122" s="1"/>
  <c r="BL124"/>
  <c r="BT124" s="1"/>
  <c r="BV124" s="1"/>
  <c r="BL126"/>
  <c r="BT126" s="1"/>
  <c r="BV126" s="1"/>
  <c r="BL128"/>
  <c r="BT128" s="1"/>
  <c r="BV128" s="1"/>
  <c r="BL130"/>
  <c r="BT130" s="1"/>
  <c r="BV130" s="1"/>
  <c r="BL132"/>
  <c r="BT132" s="1"/>
  <c r="BV132" s="1"/>
  <c r="BL134"/>
  <c r="BT134" s="1"/>
  <c r="BV134" s="1"/>
  <c r="BL136"/>
  <c r="BT136" s="1"/>
  <c r="BV136" s="1"/>
  <c r="BL138"/>
  <c r="BT138" s="1"/>
  <c r="BV138" s="1"/>
  <c r="BL141"/>
  <c r="BT141" s="1"/>
  <c r="BV141" s="1"/>
  <c r="BL158"/>
  <c r="BT158" s="1"/>
  <c r="BV158" s="1"/>
  <c r="BL164"/>
  <c r="BT164" s="1"/>
  <c r="BV164" s="1"/>
  <c r="BL168"/>
  <c r="BT168" s="1"/>
  <c r="BV168" s="1"/>
  <c r="BL176"/>
  <c r="BT176" s="1"/>
  <c r="BV176" s="1"/>
  <c r="BL328"/>
  <c r="BT328" s="1"/>
  <c r="BV328" s="1"/>
  <c r="BL330"/>
  <c r="BT330" s="1"/>
  <c r="BV330" s="1"/>
  <c r="BL334"/>
  <c r="BT334" s="1"/>
  <c r="BV334" s="1"/>
  <c r="BL337"/>
  <c r="BT337" s="1"/>
  <c r="BV337" s="1"/>
  <c r="BL340"/>
  <c r="BT340" s="1"/>
  <c r="BV340" s="1"/>
  <c r="BL342"/>
  <c r="BT342" s="1"/>
  <c r="BV342" s="1"/>
  <c r="BL344"/>
  <c r="BT344" s="1"/>
  <c r="BV344" s="1"/>
  <c r="BL346"/>
  <c r="BT346" s="1"/>
  <c r="BV346" s="1"/>
  <c r="BL348"/>
  <c r="BT348" s="1"/>
  <c r="BV348" s="1"/>
  <c r="BL353"/>
  <c r="BT353" s="1"/>
  <c r="BV353" s="1"/>
  <c r="BL355"/>
  <c r="BT355" s="1"/>
  <c r="BV355" s="1"/>
  <c r="BL357"/>
  <c r="BT357" s="1"/>
  <c r="BV357" s="1"/>
  <c r="BL359"/>
  <c r="BT359" s="1"/>
  <c r="BV359" s="1"/>
  <c r="BL361"/>
  <c r="BT361" s="1"/>
  <c r="BV361" s="1"/>
  <c r="BL364"/>
  <c r="BT364" s="1"/>
  <c r="BV364" s="1"/>
  <c r="BL368"/>
  <c r="BT368" s="1"/>
  <c r="BV368" s="1"/>
  <c r="BL372"/>
  <c r="BT372" s="1"/>
  <c r="BV372" s="1"/>
  <c r="BL374"/>
  <c r="BT374" s="1"/>
  <c r="BV374" s="1"/>
  <c r="BL376"/>
  <c r="BT376" s="1"/>
  <c r="BV376" s="1"/>
  <c r="BL378"/>
  <c r="BT378" s="1"/>
  <c r="BV378" s="1"/>
  <c r="BL380"/>
  <c r="BT380" s="1"/>
  <c r="BV380" s="1"/>
  <c r="BL382"/>
  <c r="BT382" s="1"/>
  <c r="BV382" s="1"/>
  <c r="BL384"/>
  <c r="BT384" s="1"/>
  <c r="BV384" s="1"/>
  <c r="BL386"/>
  <c r="BT386" s="1"/>
  <c r="BV386" s="1"/>
  <c r="BL388"/>
  <c r="BT388" s="1"/>
  <c r="BV388" s="1"/>
  <c r="BL390"/>
  <c r="BT390" s="1"/>
  <c r="BV390" s="1"/>
  <c r="BL392"/>
  <c r="BT392" s="1"/>
  <c r="BV392" s="1"/>
  <c r="BL394"/>
  <c r="BT394" s="1"/>
  <c r="BV394" s="1"/>
  <c r="BL396"/>
  <c r="BT396" s="1"/>
  <c r="BV396" s="1"/>
  <c r="BL398"/>
  <c r="BT398" s="1"/>
  <c r="BV398" s="1"/>
  <c r="BL400"/>
  <c r="BT400" s="1"/>
  <c r="BV400" s="1"/>
  <c r="BL402"/>
  <c r="BT402" s="1"/>
  <c r="BV402" s="1"/>
  <c r="BL404"/>
  <c r="BT404" s="1"/>
  <c r="BV404" s="1"/>
  <c r="BL406"/>
  <c r="BT406" s="1"/>
  <c r="BV406" s="1"/>
  <c r="BL410"/>
  <c r="BT410" s="1"/>
  <c r="BV410" s="1"/>
  <c r="BL414"/>
  <c r="BT414" s="1"/>
  <c r="BV414" s="1"/>
  <c r="BL418"/>
  <c r="BT418" s="1"/>
  <c r="BV418" s="1"/>
  <c r="BL435"/>
  <c r="BT435" s="1"/>
  <c r="BV435" s="1"/>
  <c r="BL439"/>
  <c r="BT439" s="1"/>
  <c r="BV439" s="1"/>
  <c r="BL444"/>
  <c r="BT444" s="1"/>
  <c r="BV444" s="1"/>
  <c r="BL447"/>
  <c r="BT447" s="1"/>
  <c r="BV447" s="1"/>
  <c r="BL449"/>
  <c r="BT449" s="1"/>
  <c r="BV449" s="1"/>
  <c r="BL451"/>
  <c r="BT451" s="1"/>
  <c r="BV451" s="1"/>
  <c r="BL453"/>
  <c r="BT453" s="1"/>
  <c r="BV453" s="1"/>
  <c r="BL455"/>
  <c r="BT455" s="1"/>
  <c r="BV455" s="1"/>
  <c r="BL457"/>
  <c r="BT457" s="1"/>
  <c r="BV457" s="1"/>
  <c r="BL459"/>
  <c r="BT459" s="1"/>
  <c r="BV459" s="1"/>
  <c r="BL461"/>
  <c r="BT461" s="1"/>
  <c r="BV461" s="1"/>
  <c r="BL463"/>
  <c r="BT463" s="1"/>
  <c r="BV463" s="1"/>
  <c r="BL467"/>
  <c r="BT467" s="1"/>
  <c r="BV467" s="1"/>
  <c r="BL471"/>
  <c r="BT471" s="1"/>
  <c r="BV471" s="1"/>
  <c r="BL475"/>
  <c r="BT475" s="1"/>
  <c r="BV475" s="1"/>
  <c r="BL477"/>
  <c r="BT477" s="1"/>
  <c r="BV477" s="1"/>
  <c r="BL479"/>
  <c r="BT479" s="1"/>
  <c r="BV479" s="1"/>
  <c r="BL481"/>
  <c r="BT481" s="1"/>
  <c r="BV481" s="1"/>
  <c r="BL483"/>
  <c r="BT483" s="1"/>
  <c r="BV483" s="1"/>
  <c r="BL485"/>
  <c r="BT485" s="1"/>
  <c r="BV485" s="1"/>
  <c r="BL541"/>
  <c r="BT541" s="1"/>
  <c r="BV541" s="1"/>
  <c r="BL545"/>
  <c r="BT545" s="1"/>
  <c r="BV545" s="1"/>
  <c r="BL550"/>
  <c r="BT550" s="1"/>
  <c r="BV550" s="1"/>
  <c r="BL554"/>
  <c r="BT554" s="1"/>
  <c r="BV554" s="1"/>
  <c r="BL558"/>
  <c r="BT558" s="1"/>
  <c r="BV558" s="1"/>
  <c r="BL562"/>
  <c r="BT562" s="1"/>
  <c r="BV562" s="1"/>
  <c r="BL564"/>
  <c r="BT564" s="1"/>
  <c r="BV564" s="1"/>
  <c r="BL566"/>
  <c r="BT566" s="1"/>
  <c r="BV566" s="1"/>
  <c r="BL568"/>
  <c r="BT568" s="1"/>
  <c r="BV568" s="1"/>
  <c r="BL570"/>
  <c r="BT570" s="1"/>
  <c r="BV570" s="1"/>
  <c r="BL597"/>
  <c r="BT597" s="1"/>
  <c r="BV597" s="1"/>
  <c r="BL599"/>
  <c r="BT599" s="1"/>
  <c r="BV599" s="1"/>
  <c r="BL601"/>
  <c r="BT601" s="1"/>
  <c r="BV601" s="1"/>
  <c r="BL603"/>
  <c r="BT603" s="1"/>
  <c r="BV603" s="1"/>
  <c r="BL607"/>
  <c r="BT607" s="1"/>
  <c r="BV607" s="1"/>
  <c r="BL612"/>
  <c r="BT612" s="1"/>
  <c r="BV612" s="1"/>
  <c r="BL614"/>
  <c r="BT614" s="1"/>
  <c r="BV614" s="1"/>
  <c r="BL616"/>
  <c r="BT616" s="1"/>
  <c r="BV616" s="1"/>
  <c r="BL618"/>
  <c r="BT618" s="1"/>
  <c r="BV618" s="1"/>
  <c r="BL620"/>
  <c r="BT620" s="1"/>
  <c r="BV620" s="1"/>
  <c r="BL622"/>
  <c r="BT622" s="1"/>
  <c r="BV622" s="1"/>
  <c r="BL624"/>
  <c r="BT624" s="1"/>
  <c r="BV624" s="1"/>
  <c r="BL626"/>
  <c r="BT626" s="1"/>
  <c r="BV626" s="1"/>
  <c r="BL628"/>
  <c r="BT628" s="1"/>
  <c r="BV628" s="1"/>
  <c r="BL631"/>
  <c r="BT631" s="1"/>
  <c r="BV631" s="1"/>
  <c r="AI146" i="15"/>
  <c r="AY146" i="17" s="1"/>
  <c r="BC146" s="1"/>
  <c r="BE146" s="1"/>
  <c r="AY145"/>
  <c r="BC145" s="1"/>
  <c r="BE145" s="1"/>
  <c r="AY144"/>
  <c r="BC144" s="1"/>
  <c r="BE144" s="1"/>
  <c r="AI141" i="15"/>
  <c r="AY141" i="17" s="1"/>
  <c r="BC141" s="1"/>
  <c r="BE141" s="1"/>
  <c r="AI140" i="15"/>
  <c r="AY140" i="17" s="1"/>
  <c r="BC140" s="1"/>
  <c r="BE140" s="1"/>
  <c r="AI138" i="15"/>
  <c r="AY138" i="17" s="1"/>
  <c r="BC138" s="1"/>
  <c r="BE138" s="1"/>
  <c r="AI127" i="15"/>
  <c r="AY127" i="17" s="1"/>
  <c r="BC127" s="1"/>
  <c r="BE127" s="1"/>
  <c r="AY125"/>
  <c r="BC125" s="1"/>
  <c r="BE125" s="1"/>
  <c r="AI120" i="15"/>
  <c r="AY120" i="17" s="1"/>
  <c r="BC120" s="1"/>
  <c r="BE120" s="1"/>
  <c r="AI118" i="15"/>
  <c r="AY118" i="17" s="1"/>
  <c r="BC118" s="1"/>
  <c r="BE118" s="1"/>
  <c r="AI116" i="15"/>
  <c r="AY116" i="17" s="1"/>
  <c r="BC116" s="1"/>
  <c r="BE116" s="1"/>
  <c r="AI113" i="15"/>
  <c r="AY113" i="17" s="1"/>
  <c r="BC113" s="1"/>
  <c r="BE113" s="1"/>
  <c r="AI112" i="15"/>
  <c r="AY112" i="17" s="1"/>
  <c r="BC112" s="1"/>
  <c r="BE112" s="1"/>
  <c r="AI110" i="15"/>
  <c r="AY110" i="17" s="1"/>
  <c r="BC110" s="1"/>
  <c r="BE110" s="1"/>
  <c r="AI107" i="15"/>
  <c r="AY107" i="17" s="1"/>
  <c r="BC107" s="1"/>
  <c r="BE107" s="1"/>
  <c r="AI105" i="15"/>
  <c r="AY105" i="17" s="1"/>
  <c r="BC105" s="1"/>
  <c r="BE105" s="1"/>
  <c r="AI104" i="15"/>
  <c r="AY104" i="17" s="1"/>
  <c r="BC104" s="1"/>
  <c r="BE104" s="1"/>
  <c r="AI103" i="15"/>
  <c r="AY103" i="17" s="1"/>
  <c r="BC103" s="1"/>
  <c r="BE103" s="1"/>
  <c r="AI100" i="15"/>
  <c r="AY100" i="17" s="1"/>
  <c r="BC100" s="1"/>
  <c r="BE100" s="1"/>
  <c r="AI99" i="15"/>
  <c r="AY99" i="17" s="1"/>
  <c r="BC99" s="1"/>
  <c r="BE99" s="1"/>
  <c r="AI98" i="15"/>
  <c r="AY98" i="17" s="1"/>
  <c r="BC98" s="1"/>
  <c r="BE98" s="1"/>
  <c r="AI97" i="15"/>
  <c r="AY97" i="17" s="1"/>
  <c r="BC97" s="1"/>
  <c r="BE97" s="1"/>
  <c r="AI96" i="15"/>
  <c r="AY96" i="17" s="1"/>
  <c r="BC96" s="1"/>
  <c r="BE96" s="1"/>
  <c r="AI95" i="15"/>
  <c r="AY95" i="17" s="1"/>
  <c r="BC95" s="1"/>
  <c r="BE95" s="1"/>
  <c r="AI94" i="15"/>
  <c r="AY94" i="17" s="1"/>
  <c r="BC94" s="1"/>
  <c r="BE94" s="1"/>
  <c r="AI92" i="15"/>
  <c r="AY92" i="17" s="1"/>
  <c r="BC92" s="1"/>
  <c r="BE92" s="1"/>
  <c r="AI455" i="15"/>
  <c r="AI480"/>
  <c r="AY481" i="17" s="1"/>
  <c r="BC481" s="1"/>
  <c r="BE481" s="1"/>
  <c r="AI553" i="15"/>
  <c r="AY554" i="17" s="1"/>
  <c r="BC554" s="1"/>
  <c r="BE554" s="1"/>
  <c r="AI565" i="15"/>
  <c r="AY566" i="17" s="1"/>
  <c r="BC566" s="1"/>
  <c r="BE566" s="1"/>
  <c r="AI577" i="15"/>
  <c r="AI86"/>
  <c r="AY86" i="17" s="1"/>
  <c r="BC86" s="1"/>
  <c r="BE86" s="1"/>
  <c r="AI132" i="15"/>
  <c r="AY132" i="17" s="1"/>
  <c r="BC132" s="1"/>
  <c r="BE132" s="1"/>
  <c r="AI404" i="15"/>
  <c r="AI413"/>
  <c r="AY414" i="17" s="1"/>
  <c r="BC414" s="1"/>
  <c r="BE414" s="1"/>
  <c r="BL178" i="25"/>
  <c r="BT178" s="1"/>
  <c r="BV178" s="1"/>
  <c r="BL579"/>
  <c r="BT579" s="1"/>
  <c r="BV579" s="1"/>
  <c r="BL276"/>
  <c r="BT276" s="1"/>
  <c r="BV276" s="1"/>
  <c r="BL278"/>
  <c r="BT278" s="1"/>
  <c r="BV278" s="1"/>
  <c r="BL280"/>
  <c r="BT280" s="1"/>
  <c r="BV280" s="1"/>
  <c r="BT284"/>
  <c r="BV284" s="1"/>
  <c r="BL286"/>
  <c r="BT286" s="1"/>
  <c r="BV286" s="1"/>
  <c r="BL288"/>
  <c r="BT288" s="1"/>
  <c r="BV288" s="1"/>
  <c r="BL290"/>
  <c r="BT290" s="1"/>
  <c r="BV290" s="1"/>
  <c r="BL292"/>
  <c r="BT292" s="1"/>
  <c r="BV292" s="1"/>
  <c r="BL294"/>
  <c r="BT294" s="1"/>
  <c r="BV294" s="1"/>
  <c r="BL296"/>
  <c r="BT296" s="1"/>
  <c r="BV296" s="1"/>
  <c r="BL298"/>
  <c r="BT298" s="1"/>
  <c r="BV298" s="1"/>
  <c r="BL300"/>
  <c r="BT300" s="1"/>
  <c r="BV300" s="1"/>
  <c r="BL305"/>
  <c r="BT305" s="1"/>
  <c r="BV305" s="1"/>
  <c r="BL309"/>
  <c r="BT309" s="1"/>
  <c r="BV309" s="1"/>
  <c r="BL311"/>
  <c r="BT311" s="1"/>
  <c r="BV311" s="1"/>
  <c r="BL313"/>
  <c r="BT313" s="1"/>
  <c r="BV313" s="1"/>
  <c r="BL315"/>
  <c r="BT315" s="1"/>
  <c r="BV315" s="1"/>
  <c r="BL317"/>
  <c r="BT317" s="1"/>
  <c r="BV317" s="1"/>
  <c r="BL146"/>
  <c r="BT146" s="1"/>
  <c r="BV146" s="1"/>
  <c r="BL150"/>
  <c r="BT150" s="1"/>
  <c r="BV150" s="1"/>
  <c r="BL154"/>
  <c r="BT154" s="1"/>
  <c r="BV154" s="1"/>
  <c r="BL156"/>
  <c r="BT156" s="1"/>
  <c r="BV156" s="1"/>
  <c r="AF432" i="16"/>
  <c r="AF434"/>
  <c r="AF435"/>
  <c r="AF436"/>
  <c r="BL420" i="25"/>
  <c r="BT420" s="1"/>
  <c r="BV420" s="1"/>
  <c r="BL424"/>
  <c r="BT424" s="1"/>
  <c r="BV424" s="1"/>
  <c r="BL426"/>
  <c r="BT426" s="1"/>
  <c r="BV426" s="1"/>
  <c r="BL428"/>
  <c r="BT428" s="1"/>
  <c r="BV428" s="1"/>
  <c r="BL578"/>
  <c r="BT578" s="1"/>
  <c r="BV578" s="1"/>
  <c r="BL583"/>
  <c r="BT583" s="1"/>
  <c r="BV583" s="1"/>
  <c r="BL585"/>
  <c r="BT585" s="1"/>
  <c r="BV585" s="1"/>
  <c r="BL587"/>
  <c r="BT587" s="1"/>
  <c r="BV587" s="1"/>
  <c r="BL589"/>
  <c r="BT589" s="1"/>
  <c r="BV589" s="1"/>
  <c r="BL591"/>
  <c r="BT591" s="1"/>
  <c r="BV591" s="1"/>
  <c r="BL594"/>
  <c r="BT594" s="1"/>
  <c r="BV594" s="1"/>
  <c r="AI590" i="15"/>
  <c r="AY591" i="17" s="1"/>
  <c r="BC591" s="1"/>
  <c r="BE591" s="1"/>
  <c r="AI592" i="15"/>
  <c r="AY593" i="17" s="1"/>
  <c r="BC593" s="1"/>
  <c r="BE593" s="1"/>
  <c r="AF599" i="16"/>
  <c r="AF600"/>
  <c r="AI195" i="15"/>
  <c r="AI201"/>
  <c r="AI206"/>
  <c r="AI208"/>
  <c r="BL179" i="25"/>
  <c r="BT179" s="1"/>
  <c r="BV179" s="1"/>
  <c r="BL186"/>
  <c r="BT186" s="1"/>
  <c r="BV186" s="1"/>
  <c r="BL188"/>
  <c r="BT188" s="1"/>
  <c r="BV188" s="1"/>
  <c r="BL190"/>
  <c r="BT190" s="1"/>
  <c r="BV190" s="1"/>
  <c r="BL196"/>
  <c r="BT196" s="1"/>
  <c r="BV196" s="1"/>
  <c r="BL198"/>
  <c r="BT198" s="1"/>
  <c r="BV198" s="1"/>
  <c r="BL200"/>
  <c r="BT200" s="1"/>
  <c r="BV200" s="1"/>
  <c r="BL205"/>
  <c r="BT205" s="1"/>
  <c r="BV205" s="1"/>
  <c r="BL207"/>
  <c r="BT207" s="1"/>
  <c r="BV207" s="1"/>
  <c r="BL209"/>
  <c r="BT209" s="1"/>
  <c r="BV209" s="1"/>
  <c r="BL593"/>
  <c r="BT593" s="1"/>
  <c r="BV593" s="1"/>
  <c r="BL261"/>
  <c r="BT261" s="1"/>
  <c r="BV261" s="1"/>
  <c r="BL263"/>
  <c r="BT263" s="1"/>
  <c r="BV263" s="1"/>
  <c r="BL430"/>
  <c r="BT430" s="1"/>
  <c r="BV430" s="1"/>
  <c r="BL429"/>
  <c r="BT429" s="1"/>
  <c r="BV429" s="1"/>
  <c r="BL422"/>
  <c r="BT422" s="1"/>
  <c r="BV422" s="1"/>
  <c r="BL431"/>
  <c r="BT431" s="1"/>
  <c r="BV431" s="1"/>
  <c r="AC523" i="26"/>
  <c r="AC529"/>
  <c r="BL567" i="2"/>
  <c r="BS567" s="1"/>
  <c r="BU567" s="1"/>
  <c r="BS204"/>
  <c r="BU204" s="1"/>
  <c r="BL306"/>
  <c r="BS306" s="1"/>
  <c r="BU306" s="1"/>
  <c r="BL308"/>
  <c r="BL190"/>
  <c r="BS190" s="1"/>
  <c r="BU190" s="1"/>
  <c r="BL196"/>
  <c r="BS196" s="1"/>
  <c r="BU196" s="1"/>
  <c r="BL198"/>
  <c r="BS198" s="1"/>
  <c r="BU198" s="1"/>
  <c r="BL199"/>
  <c r="BS199" s="1"/>
  <c r="BU199" s="1"/>
  <c r="BL200"/>
  <c r="BS200" s="1"/>
  <c r="BU200" s="1"/>
  <c r="BL201"/>
  <c r="BS201" s="1"/>
  <c r="BU201" s="1"/>
  <c r="BL179"/>
  <c r="BS179" s="1"/>
  <c r="BU179" s="1"/>
  <c r="BL424"/>
  <c r="BS424" s="1"/>
  <c r="BU424" s="1"/>
  <c r="BL259"/>
  <c r="BS259" s="1"/>
  <c r="BU259" s="1"/>
  <c r="BL248"/>
  <c r="BS248" s="1"/>
  <c r="BU248" s="1"/>
  <c r="BL307"/>
  <c r="BS307" s="1"/>
  <c r="BU307" s="1"/>
  <c r="BL586"/>
  <c r="BS586" s="1"/>
  <c r="BU586" s="1"/>
  <c r="BL591"/>
  <c r="BS591" s="1"/>
  <c r="BU591" s="1"/>
  <c r="BL595"/>
  <c r="BS595" s="1"/>
  <c r="BU595" s="1"/>
  <c r="BL429"/>
  <c r="BS429" s="1"/>
  <c r="BU429" s="1"/>
  <c r="BL109"/>
  <c r="BS109" s="1"/>
  <c r="BU109" s="1"/>
  <c r="BL127"/>
  <c r="BS127" s="1"/>
  <c r="BU127" s="1"/>
  <c r="AM171" i="1"/>
  <c r="BL168" i="2" s="1"/>
  <c r="AM334" i="1"/>
  <c r="BL331" i="2" s="1"/>
  <c r="BS331" s="1"/>
  <c r="BU331" s="1"/>
  <c r="BL335"/>
  <c r="BS335" s="1"/>
  <c r="BU335" s="1"/>
  <c r="BL404"/>
  <c r="BS404" s="1"/>
  <c r="BU404" s="1"/>
  <c r="AM409" i="1"/>
  <c r="BL406" i="2" s="1"/>
  <c r="BS406" s="1"/>
  <c r="BU406" s="1"/>
  <c r="AM319" i="1"/>
  <c r="BL319" i="2" s="1"/>
  <c r="BS319" s="1"/>
  <c r="BU319" s="1"/>
  <c r="BL601"/>
  <c r="BS601" s="1"/>
  <c r="BU601" s="1"/>
  <c r="BL349"/>
  <c r="BS349" s="1"/>
  <c r="BU349" s="1"/>
  <c r="AM371" i="1"/>
  <c r="AM239"/>
  <c r="BL239" i="2" s="1"/>
  <c r="BS239" s="1"/>
  <c r="BU239" s="1"/>
  <c r="AM241" i="1"/>
  <c r="BL445" i="2"/>
  <c r="BS445" s="1"/>
  <c r="BU445" s="1"/>
  <c r="AM478" i="1"/>
  <c r="BL478" i="2" s="1"/>
  <c r="BS478" s="1"/>
  <c r="BU478" s="1"/>
  <c r="BL542"/>
  <c r="BS542" s="1"/>
  <c r="BU542" s="1"/>
  <c r="AM559" i="1"/>
  <c r="BL559" i="2" s="1"/>
  <c r="BS559" s="1"/>
  <c r="BU559" s="1"/>
  <c r="AM571" i="1"/>
  <c r="BL568" i="2" s="1"/>
  <c r="BS568" s="1"/>
  <c r="BU568" s="1"/>
  <c r="AM532" i="1"/>
  <c r="BL529" i="2" s="1"/>
  <c r="BS529" s="1"/>
  <c r="BU529" s="1"/>
  <c r="BL504"/>
  <c r="BS504" s="1"/>
  <c r="BU504" s="1"/>
  <c r="BL511"/>
  <c r="BS511" s="1"/>
  <c r="BU511" s="1"/>
  <c r="BL515"/>
  <c r="BS515" s="1"/>
  <c r="BU515" s="1"/>
  <c r="BL517"/>
  <c r="BS517" s="1"/>
  <c r="BU517" s="1"/>
  <c r="BL519"/>
  <c r="BS519" s="1"/>
  <c r="BU519" s="1"/>
  <c r="BL523"/>
  <c r="BS523" s="1"/>
  <c r="BU523" s="1"/>
  <c r="BL531"/>
  <c r="BS531" s="1"/>
  <c r="BU531" s="1"/>
  <c r="BL536"/>
  <c r="BS536" s="1"/>
  <c r="BU536" s="1"/>
  <c r="BS265"/>
  <c r="BU265" s="1"/>
  <c r="BL279"/>
  <c r="BS279" s="1"/>
  <c r="BU279" s="1"/>
  <c r="BL285"/>
  <c r="BS285" s="1"/>
  <c r="BU285" s="1"/>
  <c r="AM104" i="1"/>
  <c r="BL104" i="2" s="1"/>
  <c r="BS104" s="1"/>
  <c r="BU104" s="1"/>
  <c r="AM105" i="1"/>
  <c r="AM106"/>
  <c r="BL106" i="2" s="1"/>
  <c r="BS106" s="1"/>
  <c r="BU106" s="1"/>
  <c r="AM118" i="1"/>
  <c r="BL118" i="2" s="1"/>
  <c r="BS118" s="1"/>
  <c r="BU118" s="1"/>
  <c r="BL123"/>
  <c r="BS123" s="1"/>
  <c r="BU123" s="1"/>
  <c r="AM124" i="1"/>
  <c r="BL124" i="2" s="1"/>
  <c r="BS124" s="1"/>
  <c r="BU124" s="1"/>
  <c r="BL128"/>
  <c r="BS128" s="1"/>
  <c r="BU128" s="1"/>
  <c r="AM135" i="1"/>
  <c r="AM136"/>
  <c r="BL136" i="2" s="1"/>
  <c r="BS136" s="1"/>
  <c r="BU136" s="1"/>
  <c r="BL214"/>
  <c r="BS214" s="1"/>
  <c r="BU214" s="1"/>
  <c r="BL216"/>
  <c r="BS216" s="1"/>
  <c r="BU216" s="1"/>
  <c r="BL226"/>
  <c r="BS226" s="1"/>
  <c r="BU226" s="1"/>
  <c r="BL334"/>
  <c r="BL389"/>
  <c r="BS389" s="1"/>
  <c r="BU389" s="1"/>
  <c r="BL397"/>
  <c r="BS397" s="1"/>
  <c r="BU397" s="1"/>
  <c r="AM401" i="1"/>
  <c r="AM402"/>
  <c r="BL402" i="2" s="1"/>
  <c r="BS402" s="1"/>
  <c r="BU402" s="1"/>
  <c r="AM412" i="1"/>
  <c r="BL409" i="2" s="1"/>
  <c r="BS409" s="1"/>
  <c r="BU409" s="1"/>
  <c r="AM413" i="1"/>
  <c r="AM414"/>
  <c r="BL411" i="2" s="1"/>
  <c r="BS411" s="1"/>
  <c r="BU411" s="1"/>
  <c r="BL418"/>
  <c r="BS418" s="1"/>
  <c r="BU418" s="1"/>
  <c r="BL387"/>
  <c r="BS387" s="1"/>
  <c r="BU387" s="1"/>
  <c r="AM91" i="1"/>
  <c r="AM98"/>
  <c r="BL98" i="2" s="1"/>
  <c r="BS98" s="1"/>
  <c r="BU98" s="1"/>
  <c r="BL100"/>
  <c r="BS100" s="1"/>
  <c r="BU100" s="1"/>
  <c r="AM294" i="1"/>
  <c r="BL294" i="2" s="1"/>
  <c r="BS294" s="1"/>
  <c r="BU294" s="1"/>
  <c r="AM617" i="1"/>
  <c r="AM627"/>
  <c r="BL627" i="2" s="1"/>
  <c r="BS627" s="1"/>
  <c r="BU627" s="1"/>
  <c r="BL631"/>
  <c r="BS631" s="1"/>
  <c r="BU631" s="1"/>
  <c r="AM353" i="1"/>
  <c r="AM354"/>
  <c r="BL351" i="2" s="1"/>
  <c r="BS351" s="1"/>
  <c r="BU351" s="1"/>
  <c r="AM355" i="1"/>
  <c r="BL352" i="2" s="1"/>
  <c r="BS352" s="1"/>
  <c r="BU352" s="1"/>
  <c r="AM356" i="1"/>
  <c r="AM357"/>
  <c r="AM361"/>
  <c r="BL361" i="2" s="1"/>
  <c r="BS361" s="1"/>
  <c r="BU361" s="1"/>
  <c r="BL363"/>
  <c r="BS363" s="1"/>
  <c r="BU363" s="1"/>
  <c r="AM368" i="1"/>
  <c r="BL368" i="2" s="1"/>
  <c r="BS368" s="1"/>
  <c r="BU368" s="1"/>
  <c r="BL383"/>
  <c r="BS383" s="1"/>
  <c r="BU383" s="1"/>
  <c r="BL384"/>
  <c r="BS384" s="1"/>
  <c r="BU384" s="1"/>
  <c r="BL233"/>
  <c r="BS233" s="1"/>
  <c r="BU233" s="1"/>
  <c r="BU236"/>
  <c r="BL241"/>
  <c r="BS241" s="1"/>
  <c r="BU241" s="1"/>
  <c r="BL439"/>
  <c r="BS439" s="1"/>
  <c r="BU439" s="1"/>
  <c r="AM443" i="1"/>
  <c r="AM459"/>
  <c r="BL459" i="2" s="1"/>
  <c r="BS459" s="1"/>
  <c r="BU459" s="1"/>
  <c r="AM565" i="1"/>
  <c r="BL562" i="2" s="1"/>
  <c r="BS562" s="1"/>
  <c r="BU562" s="1"/>
  <c r="BL495"/>
  <c r="BS495" s="1"/>
  <c r="BU495" s="1"/>
  <c r="BL501"/>
  <c r="BS501" s="1"/>
  <c r="BU501" s="1"/>
  <c r="BL507"/>
  <c r="BS507" s="1"/>
  <c r="BU507" s="1"/>
  <c r="BL510"/>
  <c r="BS510" s="1"/>
  <c r="BU510" s="1"/>
  <c r="BL512"/>
  <c r="BS512" s="1"/>
  <c r="BU512" s="1"/>
  <c r="BL516"/>
  <c r="BS516" s="1"/>
  <c r="BU516" s="1"/>
  <c r="BL524"/>
  <c r="BS524" s="1"/>
  <c r="BU524" s="1"/>
  <c r="BL526"/>
  <c r="BS526" s="1"/>
  <c r="BU526" s="1"/>
  <c r="BL528"/>
  <c r="BS528" s="1"/>
  <c r="BU528" s="1"/>
  <c r="BL530"/>
  <c r="BS530" s="1"/>
  <c r="BU530" s="1"/>
  <c r="BL537"/>
  <c r="BS537" s="1"/>
  <c r="BU537" s="1"/>
  <c r="BL298"/>
  <c r="BS298" s="1"/>
  <c r="BU298" s="1"/>
  <c r="AC88" i="14"/>
  <c r="AC89"/>
  <c r="AC91"/>
  <c r="AC97"/>
  <c r="AC98"/>
  <c r="AC99"/>
  <c r="AC105"/>
  <c r="AC106"/>
  <c r="AC107"/>
  <c r="AC113"/>
  <c r="AC114"/>
  <c r="AC116"/>
  <c r="AC124"/>
  <c r="AC125"/>
  <c r="AC126"/>
  <c r="AC135"/>
  <c r="AC136"/>
  <c r="AC137"/>
  <c r="AC160"/>
  <c r="AC161"/>
  <c r="AC174"/>
  <c r="AC225"/>
  <c r="AC226"/>
  <c r="AC227"/>
  <c r="AC236"/>
  <c r="AC237"/>
  <c r="AC241"/>
  <c r="AC321"/>
  <c r="AC322"/>
  <c r="AC331"/>
  <c r="AC332"/>
  <c r="AC333"/>
  <c r="AC340"/>
  <c r="AC341"/>
  <c r="AC342"/>
  <c r="AC349"/>
  <c r="AC350"/>
  <c r="AC351"/>
  <c r="AC357"/>
  <c r="AC358"/>
  <c r="AC359"/>
  <c r="AC409"/>
  <c r="AC410"/>
  <c r="AC411"/>
  <c r="AC418"/>
  <c r="AC419"/>
  <c r="AC435"/>
  <c r="AC436"/>
  <c r="AC90"/>
  <c r="AC346"/>
  <c r="AC280"/>
  <c r="AC292"/>
  <c r="AC293"/>
  <c r="AC296"/>
  <c r="AC297"/>
  <c r="AC298"/>
  <c r="AC299"/>
  <c r="AC300"/>
  <c r="AC301"/>
  <c r="AC306"/>
  <c r="AC310"/>
  <c r="AC312"/>
  <c r="AC313"/>
  <c r="AC314"/>
  <c r="AC315"/>
  <c r="AC316"/>
  <c r="AC317"/>
  <c r="AC318"/>
  <c r="AC319"/>
  <c r="AC320"/>
  <c r="AC591"/>
  <c r="AC608"/>
  <c r="AC609"/>
  <c r="AC610"/>
  <c r="AC564"/>
  <c r="AC565"/>
  <c r="AC566"/>
  <c r="AC567"/>
  <c r="AC568"/>
  <c r="AC569"/>
  <c r="AC570"/>
  <c r="AC572"/>
  <c r="AC573"/>
  <c r="AC574"/>
  <c r="AC576"/>
  <c r="AC577"/>
  <c r="AC578"/>
  <c r="AC580"/>
  <c r="AC589"/>
  <c r="AC511"/>
  <c r="AC613"/>
  <c r="AC614"/>
  <c r="AC620"/>
  <c r="AC621"/>
  <c r="AC622"/>
  <c r="AC628"/>
  <c r="AC629"/>
  <c r="AC630"/>
  <c r="AC438"/>
  <c r="AC448"/>
  <c r="AC449"/>
  <c r="AC450"/>
  <c r="AC463"/>
  <c r="AC467"/>
  <c r="AC468"/>
  <c r="AC477"/>
  <c r="AC479"/>
  <c r="AC487"/>
  <c r="AC543"/>
  <c r="AC544"/>
  <c r="AC545"/>
  <c r="AC546"/>
  <c r="AC555"/>
  <c r="AC556"/>
  <c r="AC557"/>
  <c r="AY456" i="17"/>
  <c r="BC456" s="1"/>
  <c r="BE456" s="1"/>
  <c r="AY578"/>
  <c r="BC578" s="1"/>
  <c r="BE578" s="1"/>
  <c r="AY405"/>
  <c r="BC405" s="1"/>
  <c r="BE405" s="1"/>
  <c r="AY423"/>
  <c r="BC423" s="1"/>
  <c r="BE423" s="1"/>
  <c r="AY431"/>
  <c r="BC431" s="1"/>
  <c r="BE431" s="1"/>
  <c r="AY585"/>
  <c r="BC585" s="1"/>
  <c r="BE585" s="1"/>
  <c r="AY195"/>
  <c r="BC195" s="1"/>
  <c r="BE195" s="1"/>
  <c r="AY201"/>
  <c r="BC201" s="1"/>
  <c r="BE201" s="1"/>
  <c r="AY206"/>
  <c r="BC206" s="1"/>
  <c r="BE206" s="1"/>
  <c r="AY208"/>
  <c r="BC208" s="1"/>
  <c r="BE208" s="1"/>
  <c r="AY620"/>
  <c r="BC620" s="1"/>
  <c r="BE620" s="1"/>
  <c r="AY574"/>
  <c r="BC574" s="1"/>
  <c r="BE574" s="1"/>
  <c r="AY572"/>
  <c r="BC572" s="1"/>
  <c r="BE572" s="1"/>
  <c r="AY562"/>
  <c r="BC562" s="1"/>
  <c r="BE562" s="1"/>
  <c r="AY552"/>
  <c r="BC552" s="1"/>
  <c r="BE552" s="1"/>
  <c r="AY333"/>
  <c r="BC333" s="1"/>
  <c r="BE333" s="1"/>
  <c r="AY274"/>
  <c r="BC274" s="1"/>
  <c r="BE274" s="1"/>
  <c r="AY211"/>
  <c r="BC211" s="1"/>
  <c r="BE211" s="1"/>
  <c r="AI450" i="15"/>
  <c r="AY451" i="17" s="1"/>
  <c r="BC451" s="1"/>
  <c r="BE451" s="1"/>
  <c r="AI468" i="15"/>
  <c r="AY469" i="17" s="1"/>
  <c r="BC469" s="1"/>
  <c r="BE469" s="1"/>
  <c r="AI478" i="15"/>
  <c r="AY479" i="17" s="1"/>
  <c r="BC479" s="1"/>
  <c r="BE479" s="1"/>
  <c r="AI582" i="15"/>
  <c r="AY583" i="17" s="1"/>
  <c r="BC583" s="1"/>
  <c r="BE583" s="1"/>
  <c r="AI580" i="15"/>
  <c r="AY581" i="17" s="1"/>
  <c r="BC581" s="1"/>
  <c r="BE581" s="1"/>
  <c r="AI296" i="15"/>
  <c r="AY296" i="17" s="1"/>
  <c r="BC296" s="1"/>
  <c r="BE296" s="1"/>
  <c r="AI295" i="15"/>
  <c r="AY295" i="17" s="1"/>
  <c r="BC295" s="1"/>
  <c r="BE295" s="1"/>
  <c r="AI286" i="15"/>
  <c r="AI439"/>
  <c r="AY440" i="17" s="1"/>
  <c r="BC440" s="1"/>
  <c r="BE440" s="1"/>
  <c r="AI420" i="15"/>
  <c r="AY421" i="17" s="1"/>
  <c r="BC421" s="1"/>
  <c r="BE421" s="1"/>
  <c r="AI407" i="15"/>
  <c r="AY408" i="17" s="1"/>
  <c r="BC408" s="1"/>
  <c r="BE408" s="1"/>
  <c r="AI406" i="15"/>
  <c r="AY407" i="17" s="1"/>
  <c r="BC407" s="1"/>
  <c r="BE407" s="1"/>
  <c r="AY392"/>
  <c r="BC392" s="1"/>
  <c r="BE392" s="1"/>
  <c r="AI370" i="15"/>
  <c r="AY370" i="17" s="1"/>
  <c r="BC370" s="1"/>
  <c r="BE370" s="1"/>
  <c r="AI365" i="15"/>
  <c r="AY365" i="17" s="1"/>
  <c r="BC365" s="1"/>
  <c r="BE365" s="1"/>
  <c r="AI359" i="15"/>
  <c r="AY359" i="17" s="1"/>
  <c r="BC359" s="1"/>
  <c r="BE359" s="1"/>
  <c r="AI348" i="15"/>
  <c r="AY348" i="17" s="1"/>
  <c r="BC348" s="1"/>
  <c r="BE348" s="1"/>
  <c r="AI345" i="15"/>
  <c r="AY345" i="17" s="1"/>
  <c r="BC345" s="1"/>
  <c r="BE345" s="1"/>
  <c r="AI330" i="15"/>
  <c r="AY330" i="17" s="1"/>
  <c r="BC330" s="1"/>
  <c r="BE330" s="1"/>
  <c r="AI305" i="15"/>
  <c r="AI300"/>
  <c r="AY300" i="17" s="1"/>
  <c r="BC300" s="1"/>
  <c r="BE300" s="1"/>
  <c r="AI164" i="15"/>
  <c r="AY164" i="17" s="1"/>
  <c r="BC164" s="1"/>
  <c r="BE164" s="1"/>
  <c r="AI431" i="15"/>
  <c r="AI585"/>
  <c r="AY586" i="17" s="1"/>
  <c r="BC586" s="1"/>
  <c r="BE586" s="1"/>
  <c r="AI586" i="15"/>
  <c r="AY587" i="17" s="1"/>
  <c r="BC587" s="1"/>
  <c r="BE587" s="1"/>
  <c r="AI587" i="15"/>
  <c r="AY588" i="17" s="1"/>
  <c r="BC588" s="1"/>
  <c r="BE588" s="1"/>
  <c r="AI588" i="15"/>
  <c r="AY589" i="17" s="1"/>
  <c r="BC589" s="1"/>
  <c r="BE589" s="1"/>
  <c r="AI589" i="15"/>
  <c r="AY590" i="17" s="1"/>
  <c r="BC590" s="1"/>
  <c r="BE590" s="1"/>
  <c r="AI541" i="15"/>
  <c r="AY542" i="17" s="1"/>
  <c r="BC542" s="1"/>
  <c r="BE542" s="1"/>
  <c r="AI539" i="15"/>
  <c r="AY540" i="17" s="1"/>
  <c r="BC540" s="1"/>
  <c r="BE540" s="1"/>
  <c r="AI537" i="15"/>
  <c r="AY535" i="17" s="1"/>
  <c r="BC535" s="1"/>
  <c r="BE535" s="1"/>
  <c r="AI488" i="15"/>
  <c r="AY489" i="17" s="1"/>
  <c r="BC489" s="1"/>
  <c r="BE489" s="1"/>
  <c r="AI491" i="15"/>
  <c r="AY492" i="17" s="1"/>
  <c r="BC492" s="1"/>
  <c r="BE492" s="1"/>
  <c r="BC256"/>
  <c r="BE256" s="1"/>
  <c r="AF245" i="16"/>
  <c r="AF255"/>
  <c r="AF337"/>
  <c r="AF359"/>
  <c r="AF361"/>
  <c r="AF363"/>
  <c r="AF383"/>
  <c r="AF385"/>
  <c r="AF387"/>
  <c r="AF389"/>
  <c r="AF375"/>
  <c r="AF586"/>
  <c r="AF596"/>
  <c r="AF598"/>
  <c r="AF509"/>
  <c r="AF516"/>
  <c r="AF518"/>
  <c r="AF523"/>
  <c r="AF536"/>
  <c r="AF538"/>
  <c r="AF259"/>
  <c r="AF155"/>
  <c r="AF381"/>
  <c r="AF87"/>
  <c r="AF88"/>
  <c r="AF89"/>
  <c r="AF92"/>
  <c r="AF93"/>
  <c r="AF96"/>
  <c r="AF98"/>
  <c r="AF99"/>
  <c r="AF100"/>
  <c r="AF101"/>
  <c r="AF102"/>
  <c r="AF103"/>
  <c r="AF104"/>
  <c r="AF106"/>
  <c r="AF107"/>
  <c r="AF108"/>
  <c r="AF109"/>
  <c r="AF111"/>
  <c r="AF112"/>
  <c r="AF114"/>
  <c r="AF116"/>
  <c r="AF117"/>
  <c r="AF118"/>
  <c r="AF119"/>
  <c r="AF120"/>
  <c r="AF123"/>
  <c r="AF126"/>
  <c r="AF127"/>
  <c r="AF129"/>
  <c r="AF131"/>
  <c r="AF132"/>
  <c r="AF134"/>
  <c r="AF135"/>
  <c r="AF136"/>
  <c r="AF137"/>
  <c r="AF140"/>
  <c r="AF141"/>
  <c r="AF143"/>
  <c r="AF144"/>
  <c r="AF148"/>
  <c r="AF149"/>
  <c r="AF152"/>
  <c r="AF153"/>
  <c r="AF156"/>
  <c r="AF157"/>
  <c r="AF159"/>
  <c r="AF164"/>
  <c r="AF166"/>
  <c r="AF174"/>
  <c r="AF180"/>
  <c r="AF181"/>
  <c r="AF184"/>
  <c r="AF185"/>
  <c r="AF187"/>
  <c r="AF188"/>
  <c r="AF189"/>
  <c r="AF192"/>
  <c r="AF194"/>
  <c r="AF196"/>
  <c r="AF198"/>
  <c r="AF199"/>
  <c r="AF200"/>
  <c r="AF204"/>
  <c r="AF205"/>
  <c r="AF207"/>
  <c r="AF208"/>
  <c r="AF209"/>
  <c r="AF213"/>
  <c r="AF214"/>
  <c r="AF218"/>
  <c r="AF223"/>
  <c r="AF226"/>
  <c r="AF228"/>
  <c r="AF232"/>
  <c r="AF235"/>
  <c r="AF237"/>
  <c r="AF90"/>
  <c r="AF268"/>
  <c r="AF292"/>
  <c r="AF294"/>
  <c r="AF295"/>
  <c r="AF302"/>
  <c r="AF303"/>
  <c r="AF304"/>
  <c r="AF217"/>
  <c r="AF597"/>
  <c r="AF86"/>
  <c r="AF85"/>
  <c r="AF498"/>
  <c r="AF510"/>
  <c r="AF514"/>
  <c r="AF517"/>
  <c r="AF522"/>
  <c r="AF539"/>
  <c r="BL169" i="25"/>
  <c r="BT169" s="1"/>
  <c r="BV169" s="1"/>
  <c r="BL170"/>
  <c r="BL171"/>
  <c r="BT171" s="1"/>
  <c r="BV171" s="1"/>
  <c r="BL177"/>
  <c r="BT177" s="1"/>
  <c r="BV177" s="1"/>
  <c r="BL210"/>
  <c r="BT210" s="1"/>
  <c r="BV210" s="1"/>
  <c r="BL212"/>
  <c r="BT212" s="1"/>
  <c r="BV212" s="1"/>
  <c r="BL214"/>
  <c r="BT214" s="1"/>
  <c r="BV214" s="1"/>
  <c r="BL216"/>
  <c r="BT216" s="1"/>
  <c r="BV216" s="1"/>
  <c r="BL218"/>
  <c r="BT218" s="1"/>
  <c r="BV218" s="1"/>
  <c r="BL220"/>
  <c r="BT220" s="1"/>
  <c r="BV220" s="1"/>
  <c r="BL222"/>
  <c r="BT222" s="1"/>
  <c r="BV222" s="1"/>
  <c r="BL224"/>
  <c r="BL226"/>
  <c r="BT226" s="1"/>
  <c r="BV226" s="1"/>
  <c r="BL228"/>
  <c r="BT228" s="1"/>
  <c r="BV228" s="1"/>
  <c r="BL232"/>
  <c r="BT232" s="1"/>
  <c r="BV232" s="1"/>
  <c r="BL234"/>
  <c r="BT234" s="1"/>
  <c r="BV234" s="1"/>
  <c r="BL238"/>
  <c r="BT238" s="1"/>
  <c r="BV238" s="1"/>
  <c r="BL240"/>
  <c r="BT240" s="1"/>
  <c r="BV240" s="1"/>
  <c r="BL242"/>
  <c r="BT242" s="1"/>
  <c r="BV242" s="1"/>
  <c r="BL244"/>
  <c r="BT244" s="1"/>
  <c r="BV244" s="1"/>
  <c r="BL246"/>
  <c r="BT246" s="1"/>
  <c r="BV246" s="1"/>
  <c r="BL248"/>
  <c r="BT248" s="1"/>
  <c r="BV248" s="1"/>
  <c r="BL250"/>
  <c r="BT250" s="1"/>
  <c r="BV250" s="1"/>
  <c r="BL252"/>
  <c r="BT252" s="1"/>
  <c r="BV252" s="1"/>
  <c r="BT287"/>
  <c r="BV287" s="1"/>
  <c r="BL571"/>
  <c r="BT571" s="1"/>
  <c r="BV571" s="1"/>
  <c r="BL573"/>
  <c r="BT573" s="1"/>
  <c r="BV573" s="1"/>
  <c r="BL575"/>
  <c r="BT575" s="1"/>
  <c r="BV575" s="1"/>
  <c r="BL577"/>
  <c r="BT577" s="1"/>
  <c r="BV577" s="1"/>
  <c r="BL215"/>
  <c r="BT215" s="1"/>
  <c r="BV215" s="1"/>
  <c r="BL217"/>
  <c r="BT217" s="1"/>
  <c r="BV217" s="1"/>
  <c r="BL219"/>
  <c r="BT219" s="1"/>
  <c r="BV219" s="1"/>
  <c r="BL221"/>
  <c r="BT221" s="1"/>
  <c r="BV221" s="1"/>
  <c r="BL223"/>
  <c r="BT223" s="1"/>
  <c r="BV223" s="1"/>
  <c r="BL225"/>
  <c r="BT225" s="1"/>
  <c r="BV225" s="1"/>
  <c r="BL227"/>
  <c r="BT227" s="1"/>
  <c r="BV227" s="1"/>
  <c r="BL229"/>
  <c r="BT229" s="1"/>
  <c r="BV229" s="1"/>
  <c r="BT231"/>
  <c r="BV231" s="1"/>
  <c r="BL233"/>
  <c r="BT233" s="1"/>
  <c r="BV233" s="1"/>
  <c r="BL235"/>
  <c r="BT235" s="1"/>
  <c r="BV235" s="1"/>
  <c r="BL239"/>
  <c r="BT239" s="1"/>
  <c r="BV239" s="1"/>
  <c r="BL241"/>
  <c r="BT241" s="1"/>
  <c r="BV241" s="1"/>
  <c r="BL243"/>
  <c r="BT243" s="1"/>
  <c r="BV243" s="1"/>
  <c r="BL245"/>
  <c r="BT245" s="1"/>
  <c r="BV245" s="1"/>
  <c r="BL247"/>
  <c r="BT247" s="1"/>
  <c r="BV247" s="1"/>
  <c r="BL249"/>
  <c r="BT249" s="1"/>
  <c r="BV249" s="1"/>
  <c r="BL251"/>
  <c r="BT251" s="1"/>
  <c r="BV251" s="1"/>
  <c r="BL253"/>
  <c r="BT253" s="1"/>
  <c r="BV253" s="1"/>
  <c r="BT277"/>
  <c r="BV277" s="1"/>
  <c r="BT281"/>
  <c r="BV281" s="1"/>
  <c r="BT291"/>
  <c r="BV291" s="1"/>
  <c r="BL572"/>
  <c r="BT572" s="1"/>
  <c r="BV572" s="1"/>
  <c r="BL574"/>
  <c r="BT574" s="1"/>
  <c r="BV574" s="1"/>
  <c r="BL580"/>
  <c r="BT580" s="1"/>
  <c r="BV580" s="1"/>
  <c r="BL538"/>
  <c r="BT538" s="1"/>
  <c r="BV538" s="1"/>
  <c r="BL492"/>
  <c r="BT492" s="1"/>
  <c r="BV492" s="1"/>
  <c r="BL486"/>
  <c r="BT486" s="1"/>
  <c r="BV486" s="1"/>
  <c r="BL487"/>
  <c r="BT487" s="1"/>
  <c r="BV487" s="1"/>
  <c r="BL517"/>
  <c r="BT517" s="1"/>
  <c r="BV517" s="1"/>
  <c r="BL519"/>
  <c r="BT519" s="1"/>
  <c r="BV519" s="1"/>
  <c r="BL520"/>
  <c r="BT520" s="1"/>
  <c r="BV520" s="1"/>
  <c r="BL528"/>
  <c r="BT528" s="1"/>
  <c r="BV528" s="1"/>
  <c r="BL533"/>
  <c r="BT533" s="1"/>
  <c r="BV533" s="1"/>
  <c r="BL534"/>
  <c r="BT534" s="1"/>
  <c r="BV534" s="1"/>
  <c r="BL500"/>
  <c r="BT500" s="1"/>
  <c r="BV500" s="1"/>
  <c r="BL489"/>
  <c r="BT489" s="1"/>
  <c r="BV489" s="1"/>
  <c r="BL490"/>
  <c r="BT490" s="1"/>
  <c r="BV490" s="1"/>
  <c r="BL491"/>
  <c r="BT491" s="1"/>
  <c r="BV491" s="1"/>
  <c r="BL493"/>
  <c r="BT493" s="1"/>
  <c r="BV493" s="1"/>
  <c r="BL496"/>
  <c r="BT496" s="1"/>
  <c r="BV496" s="1"/>
  <c r="BL508"/>
  <c r="BT508" s="1"/>
  <c r="BV508" s="1"/>
  <c r="BL510"/>
  <c r="BT510" s="1"/>
  <c r="BV510" s="1"/>
  <c r="BL514"/>
  <c r="BT514" s="1"/>
  <c r="BV514" s="1"/>
  <c r="BL515"/>
  <c r="BT515" s="1"/>
  <c r="BV515" s="1"/>
  <c r="BL522"/>
  <c r="BT522" s="1"/>
  <c r="BV522" s="1"/>
  <c r="BL523"/>
  <c r="BT523" s="1"/>
  <c r="BV523" s="1"/>
  <c r="BL535"/>
  <c r="BT535" s="1"/>
  <c r="BV535" s="1"/>
  <c r="BL536"/>
  <c r="BT536" s="1"/>
  <c r="BV536" s="1"/>
  <c r="AC424" i="26"/>
  <c r="AC430"/>
  <c r="AC435"/>
  <c r="AC584"/>
  <c r="AC585"/>
  <c r="AC591"/>
  <c r="AC593"/>
  <c r="AC598"/>
  <c r="AC600"/>
  <c r="AC186"/>
  <c r="AC197"/>
  <c r="AC201"/>
  <c r="AC491"/>
  <c r="AC505"/>
  <c r="AC507"/>
  <c r="AC509"/>
  <c r="AC522"/>
  <c r="AC527"/>
  <c r="AC531"/>
  <c r="AC537"/>
  <c r="AC80"/>
  <c r="AC257"/>
  <c r="AC267"/>
  <c r="AC432" i="14"/>
  <c r="AC268"/>
  <c r="AC423"/>
  <c r="AC426"/>
  <c r="AC428"/>
  <c r="AC431"/>
  <c r="AC595"/>
  <c r="AC598"/>
  <c r="AC148"/>
  <c r="AC434"/>
  <c r="AC588"/>
  <c r="AC590"/>
  <c r="AC593"/>
  <c r="AC596"/>
  <c r="AC597"/>
  <c r="AC265"/>
  <c r="AC266"/>
  <c r="BL431" i="2"/>
  <c r="BS431" s="1"/>
  <c r="BU431" s="1"/>
  <c r="BL538"/>
  <c r="BS538" s="1"/>
  <c r="BU538" s="1"/>
  <c r="BL506"/>
  <c r="BS506" s="1"/>
  <c r="BU506" s="1"/>
  <c r="BL212"/>
  <c r="BS212" s="1"/>
  <c r="BU212" s="1"/>
  <c r="BL539"/>
  <c r="BS539" s="1"/>
  <c r="BU539" s="1"/>
  <c r="BL558"/>
  <c r="BS558" s="1"/>
  <c r="BU558" s="1"/>
  <c r="BL475"/>
  <c r="BS475" s="1"/>
  <c r="BU475" s="1"/>
  <c r="BL444"/>
  <c r="BS444" s="1"/>
  <c r="BU444" s="1"/>
  <c r="BL469"/>
  <c r="BS469" s="1"/>
  <c r="BU469" s="1"/>
  <c r="BL621"/>
  <c r="BS621" s="1"/>
  <c r="BU621" s="1"/>
  <c r="BL135"/>
  <c r="BS135" s="1"/>
  <c r="BU135" s="1"/>
  <c r="BL209"/>
  <c r="BS209" s="1"/>
  <c r="BU209" s="1"/>
  <c r="BL224"/>
  <c r="BS224" s="1"/>
  <c r="BU224" s="1"/>
  <c r="BL228"/>
  <c r="BS228" s="1"/>
  <c r="BU228" s="1"/>
  <c r="BL329"/>
  <c r="BS329" s="1"/>
  <c r="BU329" s="1"/>
  <c r="BL413"/>
  <c r="BS413" s="1"/>
  <c r="BU413" s="1"/>
  <c r="BL584"/>
  <c r="BS584" s="1"/>
  <c r="BU584" s="1"/>
  <c r="BL585"/>
  <c r="BS585" s="1"/>
  <c r="BU585" s="1"/>
  <c r="BL587"/>
  <c r="BS587" s="1"/>
  <c r="BU587" s="1"/>
  <c r="BL590"/>
  <c r="BS590" s="1"/>
  <c r="BU590" s="1"/>
  <c r="BL592"/>
  <c r="BS592" s="1"/>
  <c r="BU592" s="1"/>
  <c r="BL513"/>
  <c r="BS513" s="1"/>
  <c r="BU513" s="1"/>
  <c r="BL525"/>
  <c r="BS525" s="1"/>
  <c r="BU525" s="1"/>
  <c r="BL503"/>
  <c r="BS503" s="1"/>
  <c r="BU503" s="1"/>
  <c r="BL552"/>
  <c r="BS552" s="1"/>
  <c r="BU552" s="1"/>
  <c r="BL477"/>
  <c r="BS477" s="1"/>
  <c r="BU477" s="1"/>
  <c r="BL461"/>
  <c r="BS461" s="1"/>
  <c r="BU461" s="1"/>
  <c r="BL379"/>
  <c r="BS379" s="1"/>
  <c r="BU379" s="1"/>
  <c r="BL546"/>
  <c r="BS546" s="1"/>
  <c r="BU546" s="1"/>
  <c r="BL463"/>
  <c r="BS463" s="1"/>
  <c r="BU463" s="1"/>
  <c r="BL456"/>
  <c r="BS456" s="1"/>
  <c r="BU456" s="1"/>
  <c r="BL170"/>
  <c r="BS170" s="1"/>
  <c r="BU170" s="1"/>
  <c r="BL220"/>
  <c r="BS220" s="1"/>
  <c r="BU220" s="1"/>
  <c r="BL327"/>
  <c r="BS327" s="1"/>
  <c r="BU327" s="1"/>
  <c r="BL505"/>
  <c r="BS505" s="1"/>
  <c r="BU505" s="1"/>
  <c r="BL514"/>
  <c r="BS514" s="1"/>
  <c r="BU514" s="1"/>
  <c r="BL119"/>
  <c r="BS119" s="1"/>
  <c r="BU119" s="1"/>
  <c r="BL122"/>
  <c r="BS122" s="1"/>
  <c r="BU122" s="1"/>
  <c r="BL105"/>
  <c r="BS105" s="1"/>
  <c r="BU105" s="1"/>
  <c r="BL111"/>
  <c r="BS111" s="1"/>
  <c r="BU111" s="1"/>
  <c r="BL112"/>
  <c r="BS112" s="1"/>
  <c r="BU112" s="1"/>
  <c r="BL116"/>
  <c r="BS116" s="1"/>
  <c r="BU116" s="1"/>
  <c r="BL125"/>
  <c r="BS125" s="1"/>
  <c r="BU125" s="1"/>
  <c r="BL126"/>
  <c r="BS126" s="1"/>
  <c r="BU126" s="1"/>
  <c r="BL130"/>
  <c r="BS130" s="1"/>
  <c r="BU130" s="1"/>
  <c r="BL326"/>
  <c r="BS326" s="1"/>
  <c r="BU326" s="1"/>
  <c r="BS146"/>
  <c r="BU146" s="1"/>
  <c r="BL148"/>
  <c r="BS148" s="1"/>
  <c r="BU148" s="1"/>
  <c r="BL150"/>
  <c r="BS150" s="1"/>
  <c r="BU150" s="1"/>
  <c r="BL156"/>
  <c r="BS156" s="1"/>
  <c r="BU156" s="1"/>
  <c r="BL157"/>
  <c r="BS157" s="1"/>
  <c r="BU157" s="1"/>
  <c r="BL208"/>
  <c r="BS208" s="1"/>
  <c r="BU208" s="1"/>
  <c r="BL340"/>
  <c r="BS340" s="1"/>
  <c r="BU340" s="1"/>
  <c r="BL342"/>
  <c r="BS342" s="1"/>
  <c r="BU342" s="1"/>
  <c r="BL394"/>
  <c r="BS394" s="1"/>
  <c r="BU394" s="1"/>
  <c r="BL395"/>
  <c r="BS395" s="1"/>
  <c r="BU395" s="1"/>
  <c r="BL398"/>
  <c r="BS398" s="1"/>
  <c r="BU398" s="1"/>
  <c r="BL400"/>
  <c r="BS400" s="1"/>
  <c r="BU400" s="1"/>
  <c r="BL401"/>
  <c r="BS401" s="1"/>
  <c r="BU401" s="1"/>
  <c r="BL403"/>
  <c r="BS403" s="1"/>
  <c r="BU403" s="1"/>
  <c r="BL410"/>
  <c r="BS410" s="1"/>
  <c r="BU410" s="1"/>
  <c r="BL419"/>
  <c r="BS419" s="1"/>
  <c r="BU419" s="1"/>
  <c r="BL102"/>
  <c r="BS102" s="1"/>
  <c r="BU102" s="1"/>
  <c r="BL588"/>
  <c r="BS588" s="1"/>
  <c r="BU588" s="1"/>
  <c r="BL603"/>
  <c r="BS603" s="1"/>
  <c r="BU603" s="1"/>
  <c r="BS175"/>
  <c r="BU175" s="1"/>
  <c r="BL186"/>
  <c r="BS186" s="1"/>
  <c r="BU186" s="1"/>
  <c r="BL350"/>
  <c r="BS350" s="1"/>
  <c r="BU350" s="1"/>
  <c r="BL354"/>
  <c r="BS354" s="1"/>
  <c r="BU354" s="1"/>
  <c r="BL362"/>
  <c r="BS362" s="1"/>
  <c r="BU362" s="1"/>
  <c r="BL369"/>
  <c r="BS369" s="1"/>
  <c r="BU369" s="1"/>
  <c r="BL371"/>
  <c r="BS371" s="1"/>
  <c r="BU371" s="1"/>
  <c r="BL372"/>
  <c r="BS372" s="1"/>
  <c r="BU372" s="1"/>
  <c r="BL374"/>
  <c r="BS374" s="1"/>
  <c r="BU374" s="1"/>
  <c r="BL376"/>
  <c r="BS376" s="1"/>
  <c r="BU376" s="1"/>
  <c r="BL246"/>
  <c r="BS246" s="1"/>
  <c r="BU246" s="1"/>
  <c r="BL251"/>
  <c r="BS251" s="1"/>
  <c r="BU251" s="1"/>
  <c r="BL460"/>
  <c r="BS460" s="1"/>
  <c r="BU460" s="1"/>
  <c r="BL551"/>
  <c r="BS551" s="1"/>
  <c r="BU551" s="1"/>
  <c r="BL417"/>
  <c r="BS417" s="1"/>
  <c r="BU417" s="1"/>
  <c r="BS308"/>
  <c r="BU308" s="1"/>
  <c r="BL614"/>
  <c r="BS614" s="1"/>
  <c r="BU614" s="1"/>
  <c r="BL616"/>
  <c r="BS616" s="1"/>
  <c r="BU616" s="1"/>
  <c r="BL176"/>
  <c r="BS176" s="1"/>
  <c r="BU176" s="1"/>
  <c r="BL177"/>
  <c r="BS177" s="1"/>
  <c r="BU177" s="1"/>
  <c r="BL197"/>
  <c r="BS197" s="1"/>
  <c r="BU197" s="1"/>
  <c r="BL344"/>
  <c r="BS344" s="1"/>
  <c r="BU344" s="1"/>
  <c r="BL347"/>
  <c r="BS347" s="1"/>
  <c r="BU347" s="1"/>
  <c r="BL353"/>
  <c r="BS353" s="1"/>
  <c r="BU353" s="1"/>
  <c r="BL237"/>
  <c r="BS237" s="1"/>
  <c r="BU237" s="1"/>
  <c r="BL244"/>
  <c r="BS244" s="1"/>
  <c r="BU244" s="1"/>
  <c r="BL440"/>
  <c r="BS440" s="1"/>
  <c r="BU440" s="1"/>
  <c r="BL560"/>
  <c r="BS560" s="1"/>
  <c r="BU560" s="1"/>
  <c r="BL574"/>
  <c r="BS574" s="1"/>
  <c r="BU574" s="1"/>
  <c r="AM438" i="1"/>
  <c r="BL435" i="2" s="1"/>
  <c r="BS435" s="1"/>
  <c r="BU435" s="1"/>
  <c r="AM441" i="1"/>
  <c r="BL438" i="2" s="1"/>
  <c r="BS438" s="1"/>
  <c r="BU438" s="1"/>
  <c r="AM451" i="1"/>
  <c r="BL451" i="2" s="1"/>
  <c r="BS451" s="1"/>
  <c r="BU451" s="1"/>
  <c r="AM467" i="1"/>
  <c r="BL467" i="2" s="1"/>
  <c r="BS467" s="1"/>
  <c r="BU467" s="1"/>
  <c r="AM481" i="1"/>
  <c r="BL481" i="2" s="1"/>
  <c r="BS481" s="1"/>
  <c r="BU481" s="1"/>
  <c r="AM482" i="1"/>
  <c r="BL482" i="2" s="1"/>
  <c r="BS482" s="1"/>
  <c r="BU482" s="1"/>
  <c r="AM547" i="1"/>
  <c r="BL547" i="2" s="1"/>
  <c r="BS547" s="1"/>
  <c r="BU547" s="1"/>
  <c r="AM550" i="1"/>
  <c r="BL550" i="2" s="1"/>
  <c r="BS550" s="1"/>
  <c r="BU550" s="1"/>
  <c r="AM554" i="1"/>
  <c r="BL554" i="2" s="1"/>
  <c r="BS554" s="1"/>
  <c r="BU554" s="1"/>
  <c r="AM556" i="1"/>
  <c r="BL556" i="2" s="1"/>
  <c r="BS556" s="1"/>
  <c r="BU556" s="1"/>
  <c r="AM567" i="1"/>
  <c r="BL564" i="2" s="1"/>
  <c r="BS564" s="1"/>
  <c r="BU564" s="1"/>
  <c r="AM568" i="1"/>
  <c r="BL565" i="2" s="1"/>
  <c r="BS565" s="1"/>
  <c r="BU565" s="1"/>
  <c r="AM572" i="1"/>
  <c r="BL569" i="2" s="1"/>
  <c r="BS569" s="1"/>
  <c r="BU569" s="1"/>
  <c r="AM491" i="1"/>
  <c r="BL488" i="2" s="1"/>
  <c r="BS488" s="1"/>
  <c r="BU488" s="1"/>
  <c r="AM499" i="1"/>
  <c r="BL496" i="2" s="1"/>
  <c r="BS496" s="1"/>
  <c r="BU496" s="1"/>
  <c r="AM500" i="1"/>
  <c r="BL497" i="2" s="1"/>
  <c r="BS497" s="1"/>
  <c r="BU497" s="1"/>
  <c r="AM501" i="1"/>
  <c r="BL498" i="2" s="1"/>
  <c r="BS498" s="1"/>
  <c r="BU498" s="1"/>
  <c r="AM502" i="1"/>
  <c r="BL499" i="2" s="1"/>
  <c r="BS499" s="1"/>
  <c r="BU499" s="1"/>
  <c r="AM503" i="1"/>
  <c r="BL500" i="2" s="1"/>
  <c r="BS500" s="1"/>
  <c r="BU500" s="1"/>
  <c r="AM521" i="1"/>
  <c r="BL518" i="2" s="1"/>
  <c r="BS518" s="1"/>
  <c r="BU518" s="1"/>
  <c r="AM523" i="1"/>
  <c r="BL520" i="2" s="1"/>
  <c r="BS520" s="1"/>
  <c r="BU520" s="1"/>
  <c r="AM524" i="1"/>
  <c r="BL521" i="2" s="1"/>
  <c r="BS521" s="1"/>
  <c r="BU521" s="1"/>
  <c r="AM530" i="1"/>
  <c r="BL527" i="2" s="1"/>
  <c r="BS527" s="1"/>
  <c r="BU527" s="1"/>
  <c r="AM258" i="1"/>
  <c r="BL255" i="2" s="1"/>
  <c r="BS255" s="1"/>
  <c r="BU255" s="1"/>
  <c r="AM259" i="1"/>
  <c r="BL256" i="2" s="1"/>
  <c r="BS256" s="1"/>
  <c r="BU256" s="1"/>
  <c r="AM263" i="1"/>
  <c r="BL260" i="2" s="1"/>
  <c r="BS260" s="1"/>
  <c r="BU260" s="1"/>
  <c r="AM264" i="1"/>
  <c r="BL261" i="2" s="1"/>
  <c r="BS261" s="1"/>
  <c r="BU261" s="1"/>
  <c r="AM265" i="1"/>
  <c r="BL262" i="2" s="1"/>
  <c r="BS262" s="1"/>
  <c r="BU262" s="1"/>
  <c r="AM215" i="1"/>
  <c r="BL215" i="2" s="1"/>
  <c r="BS215" s="1"/>
  <c r="BU215" s="1"/>
  <c r="AM328" i="1"/>
  <c r="BL325" i="2" s="1"/>
  <c r="BS325" s="1"/>
  <c r="BU325" s="1"/>
  <c r="BL399"/>
  <c r="BS399" s="1"/>
  <c r="BU399" s="1"/>
  <c r="AM411" i="1"/>
  <c r="BL408" i="2" s="1"/>
  <c r="BS408" s="1"/>
  <c r="BU408" s="1"/>
  <c r="AM95" i="1"/>
  <c r="AM276"/>
  <c r="AM605"/>
  <c r="BL602" i="2" s="1"/>
  <c r="BS602" s="1"/>
  <c r="BU602" s="1"/>
  <c r="AM608" i="1"/>
  <c r="BL605" i="2" s="1"/>
  <c r="BS605" s="1"/>
  <c r="BU605" s="1"/>
  <c r="AM612" i="1"/>
  <c r="BL609" i="2" s="1"/>
  <c r="BS609" s="1"/>
  <c r="BU609" s="1"/>
  <c r="AM618" i="1"/>
  <c r="BL615" i="2" s="1"/>
  <c r="BS615" s="1"/>
  <c r="BU615" s="1"/>
  <c r="AM620" i="1"/>
  <c r="BL617" i="2" s="1"/>
  <c r="BS617" s="1"/>
  <c r="BU617" s="1"/>
  <c r="AM626" i="1"/>
  <c r="BL626" i="2" s="1"/>
  <c r="BS626" s="1"/>
  <c r="BU626" s="1"/>
  <c r="AM628" i="1"/>
  <c r="BL628" i="2" s="1"/>
  <c r="BS628" s="1"/>
  <c r="BU628" s="1"/>
  <c r="AM359" i="1"/>
  <c r="BL356" i="2" s="1"/>
  <c r="BS356" s="1"/>
  <c r="BU356" s="1"/>
  <c r="BL378"/>
  <c r="BS378" s="1"/>
  <c r="BU378" s="1"/>
  <c r="BL385"/>
  <c r="BS385" s="1"/>
  <c r="BU385" s="1"/>
  <c r="AM231" i="1"/>
  <c r="BL231" i="2" s="1"/>
  <c r="BS231" s="1"/>
  <c r="BU231" s="1"/>
  <c r="AY207" i="17"/>
  <c r="BC207" s="1"/>
  <c r="BE207" s="1"/>
  <c r="AY136"/>
  <c r="BC136" s="1"/>
  <c r="BE136" s="1"/>
  <c r="AY128"/>
  <c r="BC128" s="1"/>
  <c r="BE128" s="1"/>
  <c r="AY122"/>
  <c r="BC122" s="1"/>
  <c r="BE122" s="1"/>
  <c r="AY361"/>
  <c r="BC361" s="1"/>
  <c r="BE361" s="1"/>
  <c r="AY625"/>
  <c r="BC625" s="1"/>
  <c r="BE625" s="1"/>
  <c r="AY596"/>
  <c r="BC596" s="1"/>
  <c r="BE596" s="1"/>
  <c r="AY592"/>
  <c r="BC592" s="1"/>
  <c r="BE592" s="1"/>
  <c r="AY464"/>
  <c r="BC464" s="1"/>
  <c r="BE464" s="1"/>
  <c r="AY438"/>
  <c r="BC438" s="1"/>
  <c r="BE438" s="1"/>
  <c r="AY435"/>
  <c r="BC435" s="1"/>
  <c r="BE435" s="1"/>
  <c r="AY394"/>
  <c r="BC394" s="1"/>
  <c r="BE394" s="1"/>
  <c r="AY343"/>
  <c r="BC343" s="1"/>
  <c r="BE343" s="1"/>
  <c r="AY339"/>
  <c r="BC339" s="1"/>
  <c r="BE339" s="1"/>
  <c r="AY338"/>
  <c r="BC338" s="1"/>
  <c r="BE338" s="1"/>
  <c r="AY331"/>
  <c r="BC331" s="1"/>
  <c r="BE331" s="1"/>
  <c r="AY432"/>
  <c r="BC432" s="1"/>
  <c r="BE432" s="1"/>
  <c r="AY595"/>
  <c r="BC595" s="1"/>
  <c r="BE595" s="1"/>
  <c r="AI89" i="15"/>
  <c r="AY89" i="17" s="1"/>
  <c r="BC89" s="1"/>
  <c r="BE89" s="1"/>
  <c r="AI498" i="15"/>
  <c r="AY499" i="17" s="1"/>
  <c r="BC499" s="1"/>
  <c r="BE499" s="1"/>
  <c r="AI510" i="15"/>
  <c r="AY511" i="17" s="1"/>
  <c r="BC511" s="1"/>
  <c r="BE511" s="1"/>
  <c r="AI257" i="15"/>
  <c r="AY257" i="17" s="1"/>
  <c r="BC257" s="1"/>
  <c r="BE257" s="1"/>
  <c r="AI259" i="15"/>
  <c r="AY259" i="17" s="1"/>
  <c r="BC259" s="1"/>
  <c r="BE259" s="1"/>
  <c r="AI262" i="15"/>
  <c r="AY262" i="17" s="1"/>
  <c r="BC262" s="1"/>
  <c r="BE262" s="1"/>
  <c r="AI629" i="15"/>
  <c r="AY630" i="17" s="1"/>
  <c r="BC630" s="1"/>
  <c r="BE630" s="1"/>
  <c r="AI627" i="15"/>
  <c r="AY628" i="17" s="1"/>
  <c r="BC628" s="1"/>
  <c r="BE628" s="1"/>
  <c r="AI328" i="15"/>
  <c r="AY328" i="17" s="1"/>
  <c r="BC328" s="1"/>
  <c r="BE328" s="1"/>
  <c r="AI325" i="15"/>
  <c r="AY325" i="17" s="1"/>
  <c r="BC325" s="1"/>
  <c r="BE325" s="1"/>
  <c r="AI322" i="15"/>
  <c r="AY322" i="17" s="1"/>
  <c r="BC322" s="1"/>
  <c r="BE322" s="1"/>
  <c r="AI251" i="15"/>
  <c r="AY251" i="17" s="1"/>
  <c r="BC251" s="1"/>
  <c r="BE251" s="1"/>
  <c r="AI266" i="15"/>
  <c r="AY266" i="17" s="1"/>
  <c r="BC266" s="1"/>
  <c r="BE266" s="1"/>
  <c r="AI268" i="15"/>
  <c r="AY268" i="17" s="1"/>
  <c r="BC268" s="1"/>
  <c r="BE268" s="1"/>
  <c r="AI628" i="15"/>
  <c r="AY629" i="17" s="1"/>
  <c r="BC629" s="1"/>
  <c r="BE629" s="1"/>
  <c r="AI621" i="15"/>
  <c r="AY622" i="17" s="1"/>
  <c r="BC622" s="1"/>
  <c r="BE622" s="1"/>
  <c r="AI440" i="15"/>
  <c r="AY441" i="17" s="1"/>
  <c r="BC441" s="1"/>
  <c r="BE441" s="1"/>
  <c r="AI438" i="15"/>
  <c r="AY439" i="17" s="1"/>
  <c r="BC439" s="1"/>
  <c r="BE439" s="1"/>
  <c r="AI435" i="15"/>
  <c r="AY436" i="17" s="1"/>
  <c r="BC436" s="1"/>
  <c r="BE436" s="1"/>
  <c r="AI403" i="15"/>
  <c r="AY404" i="17" s="1"/>
  <c r="BC404" s="1"/>
  <c r="BE404" s="1"/>
  <c r="AI351" i="15"/>
  <c r="AY351" i="17" s="1"/>
  <c r="BC351" s="1"/>
  <c r="BE351" s="1"/>
  <c r="AI344" i="15"/>
  <c r="AY344" i="17" s="1"/>
  <c r="BC344" s="1"/>
  <c r="BE344" s="1"/>
  <c r="AI332" i="15"/>
  <c r="AY332" i="17" s="1"/>
  <c r="BC332" s="1"/>
  <c r="BE332" s="1"/>
  <c r="AI329" i="15"/>
  <c r="AY329" i="17" s="1"/>
  <c r="BC329" s="1"/>
  <c r="BE329" s="1"/>
  <c r="AI327" i="15"/>
  <c r="AY327" i="17" s="1"/>
  <c r="BC327" s="1"/>
  <c r="BE327" s="1"/>
  <c r="AI323" i="15"/>
  <c r="AY323" i="17" s="1"/>
  <c r="BC323" s="1"/>
  <c r="BE323" s="1"/>
  <c r="AI313" i="15"/>
  <c r="AY310" i="17" s="1"/>
  <c r="BC310" s="1"/>
  <c r="BE310" s="1"/>
  <c r="AI220" i="15"/>
  <c r="AY220" i="17" s="1"/>
  <c r="BC220" s="1"/>
  <c r="BE220" s="1"/>
  <c r="AI165" i="15"/>
  <c r="AY165" i="17" s="1"/>
  <c r="BC165" s="1"/>
  <c r="BE165" s="1"/>
  <c r="AI432" i="15"/>
  <c r="AY433" i="17" s="1"/>
  <c r="BC433" s="1"/>
  <c r="BE433" s="1"/>
  <c r="AI543" i="15"/>
  <c r="AY544" i="17" s="1"/>
  <c r="BC544" s="1"/>
  <c r="BE544" s="1"/>
  <c r="AI489" i="15"/>
  <c r="AY490" i="17" s="1"/>
  <c r="BC490" s="1"/>
  <c r="BE490" s="1"/>
  <c r="AI505" i="15"/>
  <c r="AY506" i="17" s="1"/>
  <c r="BC506" s="1"/>
  <c r="BE506" s="1"/>
  <c r="AI512" i="15"/>
  <c r="AY513" i="17" s="1"/>
  <c r="BC513" s="1"/>
  <c r="BE513" s="1"/>
  <c r="AI263" i="15"/>
  <c r="AY263" i="17" s="1"/>
  <c r="BC263" s="1"/>
  <c r="BE263" s="1"/>
  <c r="AI264" i="15"/>
  <c r="AY264" i="17" s="1"/>
  <c r="BC264" s="1"/>
  <c r="BE264" s="1"/>
  <c r="AI265" i="15"/>
  <c r="AY265" i="17" s="1"/>
  <c r="BC265" s="1"/>
  <c r="BE265" s="1"/>
  <c r="AI267" i="15"/>
  <c r="AY267" i="17" s="1"/>
  <c r="BC267" s="1"/>
  <c r="BE267" s="1"/>
  <c r="AI119" i="15"/>
  <c r="AY119" i="17" s="1"/>
  <c r="BC119" s="1"/>
  <c r="BE119" s="1"/>
  <c r="AI108" i="15"/>
  <c r="AY108" i="17" s="1"/>
  <c r="BC108" s="1"/>
  <c r="BE108" s="1"/>
  <c r="AI433" i="15"/>
  <c r="AY434" i="17" s="1"/>
  <c r="BC434" s="1"/>
  <c r="BE434" s="1"/>
  <c r="AI542" i="15"/>
  <c r="AY543" i="17" s="1"/>
  <c r="BC543" s="1"/>
  <c r="BE543" s="1"/>
  <c r="AY602"/>
  <c r="BC602" s="1"/>
  <c r="BE602" s="1"/>
  <c r="AF481" i="16"/>
  <c r="AF486"/>
  <c r="AF487"/>
  <c r="AF488"/>
  <c r="AF544"/>
  <c r="AF545"/>
  <c r="AF546"/>
  <c r="AF547"/>
  <c r="AF548"/>
  <c r="AF550"/>
  <c r="AF553"/>
  <c r="AF554"/>
  <c r="AF556"/>
  <c r="AF559"/>
  <c r="AF562"/>
  <c r="AF567"/>
  <c r="AF568"/>
  <c r="AF574"/>
  <c r="AF575"/>
  <c r="AF576"/>
  <c r="AF577"/>
  <c r="AF578"/>
  <c r="AF583"/>
  <c r="AF160"/>
  <c r="AF165"/>
  <c r="AF167"/>
  <c r="AF171"/>
  <c r="AF173"/>
  <c r="AF179"/>
  <c r="AF212"/>
  <c r="AF216"/>
  <c r="AF219"/>
  <c r="AF227"/>
  <c r="AF229"/>
  <c r="AF233"/>
  <c r="AF236"/>
  <c r="AF239"/>
  <c r="AF128"/>
  <c r="AF393"/>
  <c r="AF186"/>
  <c r="AF195"/>
  <c r="AF246"/>
  <c r="AF440"/>
  <c r="AF478"/>
  <c r="AF429"/>
  <c r="AF431"/>
  <c r="AF433"/>
  <c r="AF437"/>
  <c r="AF589"/>
  <c r="AF591"/>
  <c r="AF593"/>
  <c r="AF601"/>
  <c r="AF491"/>
  <c r="AF493"/>
  <c r="AF499"/>
  <c r="AF504"/>
  <c r="AF526"/>
  <c r="AF530"/>
  <c r="AF534"/>
  <c r="AF537"/>
  <c r="AF542"/>
  <c r="AF80"/>
  <c r="AF81"/>
  <c r="AF82"/>
  <c r="AF83"/>
  <c r="AF84"/>
  <c r="AF257"/>
  <c r="AF265"/>
  <c r="BV103" i="25" l="1"/>
  <c r="BT170"/>
  <c r="BV170" s="1"/>
  <c r="AY447" i="17"/>
  <c r="BC447" s="1"/>
  <c r="BE447" s="1"/>
  <c r="BS334" i="2"/>
  <c r="BU334" s="1"/>
  <c r="BL332" i="25"/>
  <c r="BT332" s="1"/>
  <c r="BV332" s="1"/>
  <c r="BU313" i="2"/>
  <c r="AY305" i="17"/>
  <c r="BC305" s="1"/>
  <c r="BE305" s="1"/>
  <c r="AY286"/>
  <c r="BC286" s="1"/>
  <c r="BE286" s="1"/>
  <c r="AY285"/>
  <c r="BC285" s="1"/>
  <c r="BE285" s="1"/>
  <c r="BS267" i="2"/>
  <c r="BU267" s="1"/>
  <c r="BL194" i="25"/>
  <c r="BT194" s="1"/>
  <c r="BV194" s="1"/>
  <c r="BS168" i="2"/>
  <c r="BU168" s="1"/>
  <c r="BT224" i="25"/>
  <c r="BV224" s="1"/>
  <c r="BL304" i="2"/>
  <c r="BS304" s="1"/>
  <c r="BU304" s="1"/>
  <c r="BL276"/>
  <c r="BS276" s="1"/>
  <c r="BU276" s="1"/>
</calcChain>
</file>

<file path=xl/sharedStrings.xml><?xml version="1.0" encoding="utf-8"?>
<sst xmlns="http://schemas.openxmlformats.org/spreadsheetml/2006/main" count="16892" uniqueCount="1081">
  <si>
    <t>Charges for</t>
  </si>
  <si>
    <t>Inter-</t>
  </si>
  <si>
    <t>Special</t>
  </si>
  <si>
    <t>Total</t>
  </si>
  <si>
    <t>County</t>
  </si>
  <si>
    <t>Taxes</t>
  </si>
  <si>
    <t>Services</t>
  </si>
  <si>
    <t>governmental</t>
  </si>
  <si>
    <t>Revenue</t>
  </si>
  <si>
    <t>Revenues</t>
  </si>
  <si>
    <t>Allen</t>
  </si>
  <si>
    <t>Ashland</t>
  </si>
  <si>
    <t>Ashtabula</t>
  </si>
  <si>
    <t>Athens</t>
  </si>
  <si>
    <t>Auglaize</t>
  </si>
  <si>
    <t>Belmont</t>
  </si>
  <si>
    <t>Carroll</t>
  </si>
  <si>
    <t>Clark</t>
  </si>
  <si>
    <t>Clinton</t>
  </si>
  <si>
    <t>Coshocton</t>
  </si>
  <si>
    <t>Cuyahoga</t>
  </si>
  <si>
    <t>Darke</t>
  </si>
  <si>
    <t>Defiance</t>
  </si>
  <si>
    <t>Delaware</t>
  </si>
  <si>
    <t>Erie</t>
  </si>
  <si>
    <t>Fairfield</t>
  </si>
  <si>
    <t>Fayette</t>
  </si>
  <si>
    <t>Franklin</t>
  </si>
  <si>
    <t>Fulton</t>
  </si>
  <si>
    <t>Gallia</t>
  </si>
  <si>
    <t>Geauga</t>
  </si>
  <si>
    <t>Guernsey</t>
  </si>
  <si>
    <t>Hamilton</t>
  </si>
  <si>
    <t>Hancock</t>
  </si>
  <si>
    <t>Henry</t>
  </si>
  <si>
    <t>Hocking</t>
  </si>
  <si>
    <t>Holmes</t>
  </si>
  <si>
    <t>Huron</t>
  </si>
  <si>
    <t>Jackson</t>
  </si>
  <si>
    <t>Jefferson</t>
  </si>
  <si>
    <t>Knox</t>
  </si>
  <si>
    <t>Lake</t>
  </si>
  <si>
    <t>Licking</t>
  </si>
  <si>
    <t>Logan</t>
  </si>
  <si>
    <t>Lorain</t>
  </si>
  <si>
    <t>Mahoning</t>
  </si>
  <si>
    <t>Marion</t>
  </si>
  <si>
    <t>Medina</t>
  </si>
  <si>
    <t>Miami</t>
  </si>
  <si>
    <t>Monroe</t>
  </si>
  <si>
    <t>Montgomery</t>
  </si>
  <si>
    <t>Muskingum</t>
  </si>
  <si>
    <t>Noble</t>
  </si>
  <si>
    <t>Ottawa</t>
  </si>
  <si>
    <t>Pickaway</t>
  </si>
  <si>
    <t>Pike</t>
  </si>
  <si>
    <t>Portage</t>
  </si>
  <si>
    <t>Preble</t>
  </si>
  <si>
    <t>Ross</t>
  </si>
  <si>
    <t>Scioto</t>
  </si>
  <si>
    <t>Seneca</t>
  </si>
  <si>
    <t>Shelby</t>
  </si>
  <si>
    <t>Stark</t>
  </si>
  <si>
    <t>Summit</t>
  </si>
  <si>
    <t>Trumbull</t>
  </si>
  <si>
    <t>Tuscarawas</t>
  </si>
  <si>
    <t>Union</t>
  </si>
  <si>
    <t>Van Wert</t>
  </si>
  <si>
    <t>Vinton</t>
  </si>
  <si>
    <t>Warren</t>
  </si>
  <si>
    <t>Washington</t>
  </si>
  <si>
    <t>Wayne</t>
  </si>
  <si>
    <t>Wood</t>
  </si>
  <si>
    <t>Capital</t>
  </si>
  <si>
    <t>Expenditures</t>
  </si>
  <si>
    <t>Outlay</t>
  </si>
  <si>
    <t>Principal</t>
  </si>
  <si>
    <t>Brown</t>
  </si>
  <si>
    <t>Morrow</t>
  </si>
  <si>
    <t>Sandusky</t>
  </si>
  <si>
    <t>Long-Term Obligations</t>
  </si>
  <si>
    <t>General</t>
  </si>
  <si>
    <t>Other</t>
  </si>
  <si>
    <t>Obligation</t>
  </si>
  <si>
    <t>Bonds</t>
  </si>
  <si>
    <t>Loans</t>
  </si>
  <si>
    <t>Obligations</t>
  </si>
  <si>
    <t>Assets</t>
  </si>
  <si>
    <t>Reserved</t>
  </si>
  <si>
    <t>Cash and</t>
  </si>
  <si>
    <t>Deferred</t>
  </si>
  <si>
    <t>Fund</t>
  </si>
  <si>
    <t>Investments</t>
  </si>
  <si>
    <t>Liabilities</t>
  </si>
  <si>
    <t>Fund Balance</t>
  </si>
  <si>
    <t>Compensated</t>
  </si>
  <si>
    <t>Notes</t>
  </si>
  <si>
    <t>Leases</t>
  </si>
  <si>
    <t>Absences</t>
  </si>
  <si>
    <t>Payables</t>
  </si>
  <si>
    <t>GLTD</t>
  </si>
  <si>
    <t>Current</t>
  </si>
  <si>
    <t>Net Assets</t>
  </si>
  <si>
    <t>Invested in</t>
  </si>
  <si>
    <t>Restricted</t>
  </si>
  <si>
    <t>Unrestricted</t>
  </si>
  <si>
    <t>Program Revenues - Governmental Activities</t>
  </si>
  <si>
    <t>Property</t>
  </si>
  <si>
    <t>Investment</t>
  </si>
  <si>
    <t>Grants</t>
  </si>
  <si>
    <t>Earnings</t>
  </si>
  <si>
    <t>Contributions</t>
  </si>
  <si>
    <t>Richland</t>
  </si>
  <si>
    <t>Crawford</t>
  </si>
  <si>
    <t>Columbiana</t>
  </si>
  <si>
    <t>Clermont</t>
  </si>
  <si>
    <t>Greene</t>
  </si>
  <si>
    <t>Lucas</t>
  </si>
  <si>
    <t>One Year</t>
  </si>
  <si>
    <t>Summary Data from the General Fund Balance Sheet</t>
  </si>
  <si>
    <t>Out</t>
  </si>
  <si>
    <t>Change in</t>
  </si>
  <si>
    <t>and Interest</t>
  </si>
  <si>
    <t>Capital Assets</t>
  </si>
  <si>
    <t xml:space="preserve">                     Liabilities</t>
  </si>
  <si>
    <t>Expenses</t>
  </si>
  <si>
    <t>Grants,</t>
  </si>
  <si>
    <t>Expenses from the Statement of Activities - Governmental Activities</t>
  </si>
  <si>
    <t>Summary Data from the Statement of Net Assets - Governmental Activities</t>
  </si>
  <si>
    <t xml:space="preserve">                 General Revenues - Governmental Activities</t>
  </si>
  <si>
    <t>Unreserved</t>
  </si>
  <si>
    <t>General Fund Revenues - Modified Accrual Basis of Accounting</t>
  </si>
  <si>
    <t>All Other</t>
  </si>
  <si>
    <t>General Fund Expenditures - Modified Accrual Basis of Accounting</t>
  </si>
  <si>
    <t xml:space="preserve"> </t>
  </si>
  <si>
    <t>Revenues from the Statement of Activities - Governmental Activities</t>
  </si>
  <si>
    <t>Within 1 Year</t>
  </si>
  <si>
    <t>Long-term Liabilities</t>
  </si>
  <si>
    <t>More Than 1 Yr</t>
  </si>
  <si>
    <t>Statement</t>
  </si>
  <si>
    <t>Balances if</t>
  </si>
  <si>
    <t>Value is "0"</t>
  </si>
  <si>
    <t>Program</t>
  </si>
  <si>
    <t>Grants and</t>
  </si>
  <si>
    <t>Entitlements</t>
  </si>
  <si>
    <t>Payments in</t>
  </si>
  <si>
    <t>Lieu of</t>
  </si>
  <si>
    <t>Program and</t>
  </si>
  <si>
    <t>Vocational</t>
  </si>
  <si>
    <t>Instruction</t>
  </si>
  <si>
    <t>Support Services</t>
  </si>
  <si>
    <t>Instructional</t>
  </si>
  <si>
    <t>Staff</t>
  </si>
  <si>
    <t>Board of</t>
  </si>
  <si>
    <t>Education</t>
  </si>
  <si>
    <t>Administration</t>
  </si>
  <si>
    <t>Fiscal</t>
  </si>
  <si>
    <t>Operation and</t>
  </si>
  <si>
    <t>Maintenance</t>
  </si>
  <si>
    <t>of Plant</t>
  </si>
  <si>
    <t>Pupil</t>
  </si>
  <si>
    <t>Transportation</t>
  </si>
  <si>
    <t>Non-Instructional Services</t>
  </si>
  <si>
    <t>Food</t>
  </si>
  <si>
    <t>Service</t>
  </si>
  <si>
    <t>Extracurricular</t>
  </si>
  <si>
    <t>Activities</t>
  </si>
  <si>
    <t>Interest</t>
  </si>
  <si>
    <t>Transfers</t>
  </si>
  <si>
    <t>Beginning</t>
  </si>
  <si>
    <t>of Year</t>
  </si>
  <si>
    <t>End of</t>
  </si>
  <si>
    <t>Year</t>
  </si>
  <si>
    <t>and Activities</t>
  </si>
  <si>
    <t>Balance if</t>
  </si>
  <si>
    <t>All Schools Reporting Under GAAP</t>
  </si>
  <si>
    <t>Tuition</t>
  </si>
  <si>
    <t>and Fees</t>
  </si>
  <si>
    <t>Extra-</t>
  </si>
  <si>
    <t>curricular</t>
  </si>
  <si>
    <t>Payments</t>
  </si>
  <si>
    <t>in Lieu</t>
  </si>
  <si>
    <t>of Taxes</t>
  </si>
  <si>
    <t>and</t>
  </si>
  <si>
    <t>Donations</t>
  </si>
  <si>
    <t>Debt Service</t>
  </si>
  <si>
    <t>Other Financing Uses</t>
  </si>
  <si>
    <t>Advances</t>
  </si>
  <si>
    <t>Uses</t>
  </si>
  <si>
    <t>All</t>
  </si>
  <si>
    <t>Net</t>
  </si>
  <si>
    <t>Balance</t>
  </si>
  <si>
    <t>End</t>
  </si>
  <si>
    <t>Other Uses</t>
  </si>
  <si>
    <t>Other Financing Sources</t>
  </si>
  <si>
    <t>Transfers in</t>
  </si>
  <si>
    <t>Advances in</t>
  </si>
  <si>
    <t>Proceeds</t>
  </si>
  <si>
    <t>Bond</t>
  </si>
  <si>
    <t>Financing</t>
  </si>
  <si>
    <t>Sources</t>
  </si>
  <si>
    <t>and Other</t>
  </si>
  <si>
    <t>Fund Bal.</t>
  </si>
  <si>
    <t>Governmental Fund Revenues - Modified Accrual Basis of Accounting</t>
  </si>
  <si>
    <t>Summary Data from the Governmental Fund Balance Sheet</t>
  </si>
  <si>
    <t>IRN #</t>
  </si>
  <si>
    <t>School District</t>
  </si>
  <si>
    <t>Adams County/Ohio Valley Local</t>
  </si>
  <si>
    <t>Adams</t>
  </si>
  <si>
    <t>Bath Local SD</t>
  </si>
  <si>
    <t>Delphos City SD</t>
  </si>
  <si>
    <t>Perry Local SD</t>
  </si>
  <si>
    <t>Spencerville Local SD</t>
  </si>
  <si>
    <t>Ashland City SD</t>
  </si>
  <si>
    <t>Hillsdale Local SD</t>
  </si>
  <si>
    <t>Loudonville-Perrysville Ex Vil</t>
  </si>
  <si>
    <t>Mapleton Local SD</t>
  </si>
  <si>
    <t>Buckeye Local SD</t>
  </si>
  <si>
    <t>Conneaut Area City SD</t>
  </si>
  <si>
    <t>Geneva Schools City SD</t>
  </si>
  <si>
    <t>Grand Valley Local SD</t>
  </si>
  <si>
    <t>Jefferson Area Local SD</t>
  </si>
  <si>
    <t>Pymatuning Valley Local SD</t>
  </si>
  <si>
    <t>Athens City SD</t>
  </si>
  <si>
    <t>Nelsonville-York City SD</t>
  </si>
  <si>
    <t>Trimble Local SD</t>
  </si>
  <si>
    <t>Minster Local SD</t>
  </si>
  <si>
    <t>New Bremen Local SD</t>
  </si>
  <si>
    <t>New Knoxville Local SD</t>
  </si>
  <si>
    <t>St Marys City SD</t>
  </si>
  <si>
    <t>Waynesfield-Goshen Local SD</t>
  </si>
  <si>
    <t>Bellaire Local SD</t>
  </si>
  <si>
    <t>Bridgeport Ex Vill SD</t>
  </si>
  <si>
    <t>Martins Ferry City SD</t>
  </si>
  <si>
    <t>Shadyside Local SD</t>
  </si>
  <si>
    <t>St Clairsville-Richland City S</t>
  </si>
  <si>
    <t>Union Local SD</t>
  </si>
  <si>
    <t>Eastern Local SD</t>
  </si>
  <si>
    <t>Fayetteville-Perry Local SD</t>
  </si>
  <si>
    <t>Ripley-Union-Lewis-Huntington</t>
  </si>
  <si>
    <t>Western Brown Local SD</t>
  </si>
  <si>
    <t>Edgewood City SD</t>
  </si>
  <si>
    <t>Butler</t>
  </si>
  <si>
    <t>Fairfield City SD</t>
  </si>
  <si>
    <t>Hamilton City SD</t>
  </si>
  <si>
    <t>Lakota Local SD</t>
  </si>
  <si>
    <t>Madison Local SD</t>
  </si>
  <si>
    <t>Middletown City SD</t>
  </si>
  <si>
    <t>Monroe Local SD</t>
  </si>
  <si>
    <t>New Miami Local SD</t>
  </si>
  <si>
    <t>Ross Local SD</t>
  </si>
  <si>
    <t>Talawanda City SD</t>
  </si>
  <si>
    <t>Brown Local SD</t>
  </si>
  <si>
    <t>Carrollton Ex Vill SD</t>
  </si>
  <si>
    <t>Graham Local SD</t>
  </si>
  <si>
    <t>Champaign</t>
  </si>
  <si>
    <t>Mechanicsburg Ex Vill SD</t>
  </si>
  <si>
    <t>Triad Local SD</t>
  </si>
  <si>
    <t>Urbana City SD</t>
  </si>
  <si>
    <t>West Liberty-Salem Local SD</t>
  </si>
  <si>
    <t>Clark-Shawnee Local SD</t>
  </si>
  <si>
    <t>Greenon Local SD</t>
  </si>
  <si>
    <t>Northeastern Local SD</t>
  </si>
  <si>
    <t>Northwestern Local SD</t>
  </si>
  <si>
    <t>Southeastern Local SD</t>
  </si>
  <si>
    <t>Tecumseh Local SD</t>
  </si>
  <si>
    <t>Batavia Local SD</t>
  </si>
  <si>
    <t>Bethel-Tate Local SD</t>
  </si>
  <si>
    <t>Felicity-Franklin Local SD</t>
  </si>
  <si>
    <t>Goshen Local SD</t>
  </si>
  <si>
    <t>Milford Ex Vill SD</t>
  </si>
  <si>
    <t>New Richmond Ex Vill SD</t>
  </si>
  <si>
    <t>West Clermont Local SD</t>
  </si>
  <si>
    <t>Williamsburg Local SD</t>
  </si>
  <si>
    <t>Blanchester Local SD</t>
  </si>
  <si>
    <t>Clinton-Massie Local SD</t>
  </si>
  <si>
    <t>East Clinton Local SD</t>
  </si>
  <si>
    <t>Wilmington City SD</t>
  </si>
  <si>
    <t>Beaver Local SD</t>
  </si>
  <si>
    <t>Columbiana Ex Vill SD</t>
  </si>
  <si>
    <t>Crestview Local SD</t>
  </si>
  <si>
    <t>East Liverpool City SD</t>
  </si>
  <si>
    <t>East Palestine City SD</t>
  </si>
  <si>
    <t>Lisbon Ex Vill SD</t>
  </si>
  <si>
    <t>Southern Local SD</t>
  </si>
  <si>
    <t>United Local SD</t>
  </si>
  <si>
    <t>Wellsville Local SD</t>
  </si>
  <si>
    <t>Coshocton City SD</t>
  </si>
  <si>
    <t>Ridgewood Local SD</t>
  </si>
  <si>
    <t>River View Local SD</t>
  </si>
  <si>
    <t>Buckeye Central Local SD</t>
  </si>
  <si>
    <t>Bucyrus City SD</t>
  </si>
  <si>
    <t>Colonel Crawford Local SD</t>
  </si>
  <si>
    <t>Crestline Ex Vill SD</t>
  </si>
  <si>
    <t>Galion City SD</t>
  </si>
  <si>
    <t>Wynford Local SD</t>
  </si>
  <si>
    <t>Bay Village City SD</t>
  </si>
  <si>
    <t>Beachwood City SD</t>
  </si>
  <si>
    <t>Bedford City SD</t>
  </si>
  <si>
    <t>Berea City SD</t>
  </si>
  <si>
    <t>Brecksville-Broadview Heights</t>
  </si>
  <si>
    <t>Brooklyn City SD</t>
  </si>
  <si>
    <t>Chagrin Falls Ex Vill SD</t>
  </si>
  <si>
    <t>Cleveland Municipal SD</t>
  </si>
  <si>
    <t>Cuyahoga Heights Local SD</t>
  </si>
  <si>
    <t>East Cleveland City SD</t>
  </si>
  <si>
    <t>Euclid City SD</t>
  </si>
  <si>
    <t>Fairview Park City SD</t>
  </si>
  <si>
    <t>Garfield Heights City SD</t>
  </si>
  <si>
    <t>Independence Local SD</t>
  </si>
  <si>
    <t>Lakewood City SD</t>
  </si>
  <si>
    <t>Maple Heights City SD</t>
  </si>
  <si>
    <t>Mayfield City SD</t>
  </si>
  <si>
    <t>North Olmsted City SD</t>
  </si>
  <si>
    <t>North Royalton City SD</t>
  </si>
  <si>
    <t>Olmsted Falls City SD</t>
  </si>
  <si>
    <t>Orange City SD</t>
  </si>
  <si>
    <t>Parma City SD</t>
  </si>
  <si>
    <t>Richmond Heights Local SD</t>
  </si>
  <si>
    <t>Rocky River City SD</t>
  </si>
  <si>
    <t>Shaker Heights City SD</t>
  </si>
  <si>
    <t>Solon City SD</t>
  </si>
  <si>
    <t>South Euclid-Lyndhurst City SD</t>
  </si>
  <si>
    <t>Strongsville City SD</t>
  </si>
  <si>
    <t>Warrensville Heights City SD</t>
  </si>
  <si>
    <t>Westlake City SD</t>
  </si>
  <si>
    <t>Franklin Monroe Local SD</t>
  </si>
  <si>
    <t>Greenville City SD</t>
  </si>
  <si>
    <t>Mississinawa Valley Local SD</t>
  </si>
  <si>
    <t>Tri-Village Local SD</t>
  </si>
  <si>
    <t>Ayersville Local SD</t>
  </si>
  <si>
    <t>Defiance City SD</t>
  </si>
  <si>
    <t>Hicksville Ex Vill SD</t>
  </si>
  <si>
    <t>Big Walnut Local SD</t>
  </si>
  <si>
    <t>Buckeye Valley Local SD</t>
  </si>
  <si>
    <t>Olentangy Local SD</t>
  </si>
  <si>
    <t>Berlin-Milan Local SD</t>
  </si>
  <si>
    <t>Huron City SD</t>
  </si>
  <si>
    <t>Kelleys Island Local SD</t>
  </si>
  <si>
    <t>Margaretta Local SD</t>
  </si>
  <si>
    <t>Perkins Local SD</t>
  </si>
  <si>
    <t>Sandusky City SD</t>
  </si>
  <si>
    <t>Vermilion Local SD</t>
  </si>
  <si>
    <t>Amanda-Clearcreek Local SD</t>
  </si>
  <si>
    <t>Berne Union Local SD</t>
  </si>
  <si>
    <t>Bloom-Carroll Local SD</t>
  </si>
  <si>
    <t>Fairfield Union Local SD</t>
  </si>
  <si>
    <t>Lancaster City SD</t>
  </si>
  <si>
    <t>Liberty Union-Thurston Local S</t>
  </si>
  <si>
    <t>Pickerington Local SD</t>
  </si>
  <si>
    <t>Miami Trace Local SD</t>
  </si>
  <si>
    <t>Washington Court House City SD</t>
  </si>
  <si>
    <t>Bexley City SD</t>
  </si>
  <si>
    <t>Canal Winchester Local SD</t>
  </si>
  <si>
    <t>Columbus City SD</t>
  </si>
  <si>
    <t>Dublin City SD</t>
  </si>
  <si>
    <t>Gahanna-Jefferson City SD</t>
  </si>
  <si>
    <t>Grandview Heights City SD</t>
  </si>
  <si>
    <t>Groveport Madison Local SD</t>
  </si>
  <si>
    <t>Hamilton Local Local SD</t>
  </si>
  <si>
    <t>Hilliard City SD</t>
  </si>
  <si>
    <t>Plain Local SD</t>
  </si>
  <si>
    <t>Reynoldsburg City SD</t>
  </si>
  <si>
    <t>South-Western City SD</t>
  </si>
  <si>
    <t>Upper Arlington City SD</t>
  </si>
  <si>
    <t>Westerville City SD</t>
  </si>
  <si>
    <t>Whitehall City SD</t>
  </si>
  <si>
    <t>Worthington City SD</t>
  </si>
  <si>
    <t>Archbold-Area Local SD</t>
  </si>
  <si>
    <t>Evergreen Local SD</t>
  </si>
  <si>
    <t>Gorham Fayette Local SD</t>
  </si>
  <si>
    <t>Pettisville School Local SD</t>
  </si>
  <si>
    <t>Pike-Delta-York Local SD</t>
  </si>
  <si>
    <t>Swanton Local SD</t>
  </si>
  <si>
    <t>Wauseon Ex Vill SD</t>
  </si>
  <si>
    <t>Gallia County Local SD</t>
  </si>
  <si>
    <t>Gallipolis City SD</t>
  </si>
  <si>
    <t>Berkshire Local SD</t>
  </si>
  <si>
    <t>Cardinal Local SD</t>
  </si>
  <si>
    <t>Chardon Local SD</t>
  </si>
  <si>
    <t>Kenston Local SD</t>
  </si>
  <si>
    <t>Ledgemont Local SD</t>
  </si>
  <si>
    <t>Newbury Local SD</t>
  </si>
  <si>
    <t>West Geauga Local SD</t>
  </si>
  <si>
    <t>Beavercreek City SD</t>
  </si>
  <si>
    <t>Cedar Cliff Local SD</t>
  </si>
  <si>
    <t>Greeneview Local SD</t>
  </si>
  <si>
    <t>Sugarcreek Local SD</t>
  </si>
  <si>
    <t>Yellow Springs Ex Vill SD</t>
  </si>
  <si>
    <t>Cambridge City SD</t>
  </si>
  <si>
    <t>East Guernsey Local SD</t>
  </si>
  <si>
    <t>Rolling Hills Local SD</t>
  </si>
  <si>
    <t>Deer Park Community City SD</t>
  </si>
  <si>
    <t>Finneytown Local SD</t>
  </si>
  <si>
    <t>Forest Hills Local SD</t>
  </si>
  <si>
    <t>Indian Hill Ex Vill SD</t>
  </si>
  <si>
    <t>Lockland Local SD</t>
  </si>
  <si>
    <t>Loveland City SD</t>
  </si>
  <si>
    <t>Madeira City SD</t>
  </si>
  <si>
    <t>Mariemont City SD</t>
  </si>
  <si>
    <t>Mt Healthy City SD</t>
  </si>
  <si>
    <t>North College Hill City SD</t>
  </si>
  <si>
    <t>Northwest Local SD</t>
  </si>
  <si>
    <t>Norwood City Schools City SD</t>
  </si>
  <si>
    <t>Oak Hills Local SD</t>
  </si>
  <si>
    <t>Princeton City SD</t>
  </si>
  <si>
    <t>Reading Community City SD</t>
  </si>
  <si>
    <t>Southwest Local SD</t>
  </si>
  <si>
    <t>St Bernard-Elmwood Place City</t>
  </si>
  <si>
    <t>Sycamore Community City SD</t>
  </si>
  <si>
    <t>Three Rivers Local SD</t>
  </si>
  <si>
    <t>Winton Woods City SD</t>
  </si>
  <si>
    <t>Wyoming City SD</t>
  </si>
  <si>
    <t>Arcadia Local SD</t>
  </si>
  <si>
    <t>Arlington Local SD</t>
  </si>
  <si>
    <t>Cory-Rawson Local SD</t>
  </si>
  <si>
    <t>Findlay City SD</t>
  </si>
  <si>
    <t>Liberty-Benton Local SD</t>
  </si>
  <si>
    <t>McComb Local Local SD</t>
  </si>
  <si>
    <t>Van Buren Local SD</t>
  </si>
  <si>
    <t>Vanlue Local SD</t>
  </si>
  <si>
    <t>Hardin</t>
  </si>
  <si>
    <t>Hardin Northern Local SD</t>
  </si>
  <si>
    <t>Kenton City SD</t>
  </si>
  <si>
    <t>Ridgemont Local SD</t>
  </si>
  <si>
    <t>Riverdale Local SD</t>
  </si>
  <si>
    <t>Upper Scioto Valley Local SD</t>
  </si>
  <si>
    <t>Conotton Valley Union Local SD</t>
  </si>
  <si>
    <t>Harrison</t>
  </si>
  <si>
    <t>Harrison Hills City SD</t>
  </si>
  <si>
    <t>Holgate Local SD</t>
  </si>
  <si>
    <t>Liberty Center Local SD</t>
  </si>
  <si>
    <t>Napoleon Area City SD</t>
  </si>
  <si>
    <t>Patrick Henry Local SD</t>
  </si>
  <si>
    <t>Bright Local SD</t>
  </si>
  <si>
    <t>Highland</t>
  </si>
  <si>
    <t>Fairfield Local SD</t>
  </si>
  <si>
    <t>Greenfield Ex Vill SD</t>
  </si>
  <si>
    <t>Hillsboro City SD</t>
  </si>
  <si>
    <t>Lynchburg-Clay Local SD</t>
  </si>
  <si>
    <t>Logan-Hocking Local SD</t>
  </si>
  <si>
    <t>East Holmes Local SD</t>
  </si>
  <si>
    <t>West Holmes Local SD</t>
  </si>
  <si>
    <t>Bellevue City SD</t>
  </si>
  <si>
    <t>Monroeville Local SD</t>
  </si>
  <si>
    <t>New London Local SD</t>
  </si>
  <si>
    <t>Norwalk City SD</t>
  </si>
  <si>
    <t>Western Reserve Local SD</t>
  </si>
  <si>
    <t>Willard City SD</t>
  </si>
  <si>
    <t>Wellston City SD</t>
  </si>
  <si>
    <t>Edison Local SD</t>
  </si>
  <si>
    <t>Indian Creek Local SD</t>
  </si>
  <si>
    <t>Steubenville City SD</t>
  </si>
  <si>
    <t>Toronto City SD</t>
  </si>
  <si>
    <t>Centerburg Local SD</t>
  </si>
  <si>
    <t>Danville Local SD</t>
  </si>
  <si>
    <t>Fredericktown Local SD</t>
  </si>
  <si>
    <t>Mount Vernon City SD</t>
  </si>
  <si>
    <t>Fairport Harbor Ex Vill SD</t>
  </si>
  <si>
    <t>Kirtland Local SD</t>
  </si>
  <si>
    <t>Mentor Ex Vill SD</t>
  </si>
  <si>
    <t>Painesville City Local SD</t>
  </si>
  <si>
    <t>Painesville Township Local Loc</t>
  </si>
  <si>
    <t>Wickliffe City SD</t>
  </si>
  <si>
    <t>Willoughby-Eastlake City SD</t>
  </si>
  <si>
    <t>Chesapeake Union Ex Vill SD</t>
  </si>
  <si>
    <t>Lawrence</t>
  </si>
  <si>
    <t>Dawson-Bryant Local SD</t>
  </si>
  <si>
    <t>Fairland Local SD</t>
  </si>
  <si>
    <t>Ironton City SD</t>
  </si>
  <si>
    <t>Rock Hill Local SD</t>
  </si>
  <si>
    <t>South Point Local SD</t>
  </si>
  <si>
    <t>Symmes Valley Local SD</t>
  </si>
  <si>
    <t>Heath City SD</t>
  </si>
  <si>
    <t>Johnstown-Monroe Local SD</t>
  </si>
  <si>
    <t>Lakewood Local Local SD</t>
  </si>
  <si>
    <t>Licking Heights Local SD</t>
  </si>
  <si>
    <t>Licking Valley Local SD</t>
  </si>
  <si>
    <t>Newark City SD</t>
  </si>
  <si>
    <t>North Fork Local SD</t>
  </si>
  <si>
    <t>Northridge Local SD</t>
  </si>
  <si>
    <t>Southwest Licking Local SD</t>
  </si>
  <si>
    <t>Riverside Local SD</t>
  </si>
  <si>
    <t>Avon Lake City SD</t>
  </si>
  <si>
    <t>Avon Local SD</t>
  </si>
  <si>
    <t>Clearview Local SD</t>
  </si>
  <si>
    <t>Columbia Local SD</t>
  </si>
  <si>
    <t>Elyria City SD</t>
  </si>
  <si>
    <t>Firelands Local SD</t>
  </si>
  <si>
    <t>Keystone Local SD</t>
  </si>
  <si>
    <t>Lorain City SD</t>
  </si>
  <si>
    <t>Midview Local SD</t>
  </si>
  <si>
    <t>North Ridgeville City SD</t>
  </si>
  <si>
    <t>Oberlin City SD</t>
  </si>
  <si>
    <t>Sheffield-Sheffield Lake City</t>
  </si>
  <si>
    <t>Wellington Ex Vill SD</t>
  </si>
  <si>
    <t>Anthony Wayne Local SD</t>
  </si>
  <si>
    <t>Maumee City SD</t>
  </si>
  <si>
    <t>Oregon City SD</t>
  </si>
  <si>
    <t>Ottawa Hills Local SD</t>
  </si>
  <si>
    <t>Springfield Local SD</t>
  </si>
  <si>
    <t>Sylvania City SD</t>
  </si>
  <si>
    <t>Toledo City SD</t>
  </si>
  <si>
    <t>Washington Local SD</t>
  </si>
  <si>
    <t>Jefferson Local SD</t>
  </si>
  <si>
    <t>Madison</t>
  </si>
  <si>
    <t>Jonathan Alder Local SD</t>
  </si>
  <si>
    <t>London City SD</t>
  </si>
  <si>
    <t>Austintown Local SD</t>
  </si>
  <si>
    <t>Boardman Local SD</t>
  </si>
  <si>
    <t>Campbell City SD</t>
  </si>
  <si>
    <t>Canfield Local SD</t>
  </si>
  <si>
    <t>Jackson-Milton Local SD</t>
  </si>
  <si>
    <t>Lowellville Local SD</t>
  </si>
  <si>
    <t>Poland Local SD</t>
  </si>
  <si>
    <t>Sebring Local SD</t>
  </si>
  <si>
    <t>South Range Local SD</t>
  </si>
  <si>
    <t>Struthers City SD</t>
  </si>
  <si>
    <t>West Branch Local SD</t>
  </si>
  <si>
    <t>Youngstown City SD</t>
  </si>
  <si>
    <t>Elgin Local SD</t>
  </si>
  <si>
    <t>Marion City SD</t>
  </si>
  <si>
    <t>Pleasant Local SD</t>
  </si>
  <si>
    <t>Ridgedale Local SD</t>
  </si>
  <si>
    <t>River Valley Local SD</t>
  </si>
  <si>
    <t>Black River Local SD</t>
  </si>
  <si>
    <t>Brunswick City SD</t>
  </si>
  <si>
    <t>Cloverleaf Local SD</t>
  </si>
  <si>
    <t>Highland Local SD</t>
  </si>
  <si>
    <t>Medina City SD</t>
  </si>
  <si>
    <t>Wadsworth City SD</t>
  </si>
  <si>
    <t>Meigs</t>
  </si>
  <si>
    <t>Meigs Local SD</t>
  </si>
  <si>
    <t>Celina City SD</t>
  </si>
  <si>
    <t>Mercer</t>
  </si>
  <si>
    <t>Parkway Local SD</t>
  </si>
  <si>
    <t>Bethel Local SD</t>
  </si>
  <si>
    <t>Miami East Local SD</t>
  </si>
  <si>
    <t>Milton-Union Ex Vill SD</t>
  </si>
  <si>
    <t>Newton Local SD</t>
  </si>
  <si>
    <t>Piqua City SD</t>
  </si>
  <si>
    <t>Tipp City Ex Vill SD</t>
  </si>
  <si>
    <t>Troy City SD</t>
  </si>
  <si>
    <t>Switzerland Of Ohio Local SD</t>
  </si>
  <si>
    <t>Brookville Local SD</t>
  </si>
  <si>
    <t>Centerville City SD</t>
  </si>
  <si>
    <t>Dayton City SD</t>
  </si>
  <si>
    <t>Huber Heights City SD</t>
  </si>
  <si>
    <t>Jefferson Township Local SD</t>
  </si>
  <si>
    <t>Kettering City SD</t>
  </si>
  <si>
    <t>Mad River Local SD</t>
  </si>
  <si>
    <t>Miamisburg City SD</t>
  </si>
  <si>
    <t>New Lebanon Local SD</t>
  </si>
  <si>
    <t>Northmont City SD</t>
  </si>
  <si>
    <t>Oakwood City SD</t>
  </si>
  <si>
    <t>Trotwood-Madison City SD</t>
  </si>
  <si>
    <t>Valley View Local SD</t>
  </si>
  <si>
    <t>Vandalia-Butler City SD</t>
  </si>
  <si>
    <t>Morgan Local SD</t>
  </si>
  <si>
    <t>Morgan</t>
  </si>
  <si>
    <t>Cardington-Lincoln Local SD</t>
  </si>
  <si>
    <t>Mount Gilead Schools Ex Vill S</t>
  </si>
  <si>
    <t>Northmor Local SD</t>
  </si>
  <si>
    <t>East Muskingum Local SD</t>
  </si>
  <si>
    <t>Franklin Local SD</t>
  </si>
  <si>
    <t>Maysville Local SD</t>
  </si>
  <si>
    <t>Tri-Valley Local SD</t>
  </si>
  <si>
    <t>West Muskingum Local SD</t>
  </si>
  <si>
    <t>Zanesville City SD</t>
  </si>
  <si>
    <t>Caldwell Ex Vill SD</t>
  </si>
  <si>
    <t>Noble Local SD</t>
  </si>
  <si>
    <t>Benton Carroll Salem Local SD</t>
  </si>
  <si>
    <t>Danbury Local SD</t>
  </si>
  <si>
    <t>Genoa Area Local SD</t>
  </si>
  <si>
    <t>North Bass Local SD</t>
  </si>
  <si>
    <t>Port Clinton City SD</t>
  </si>
  <si>
    <t>Paulding</t>
  </si>
  <si>
    <t>Paulding Ex Vill SD</t>
  </si>
  <si>
    <t>Wayne Trace Local Local SD</t>
  </si>
  <si>
    <t>Perry</t>
  </si>
  <si>
    <t>New Lexington City SD</t>
  </si>
  <si>
    <t>Circleville City SD</t>
  </si>
  <si>
    <t>Logan Elm Local SD</t>
  </si>
  <si>
    <t>Teays Valley Local SD</t>
  </si>
  <si>
    <t>Westfall Local SD</t>
  </si>
  <si>
    <t>Scioto Valley Local SD</t>
  </si>
  <si>
    <t>Waverly City SD</t>
  </si>
  <si>
    <t>Western Local SD</t>
  </si>
  <si>
    <t>Aurora City SD</t>
  </si>
  <si>
    <t>Crestwood Local SD</t>
  </si>
  <si>
    <t>Field Local SD</t>
  </si>
  <si>
    <t>James A Garfield Local SD</t>
  </si>
  <si>
    <t>Kent City SD</t>
  </si>
  <si>
    <t>Rootstown Local SD</t>
  </si>
  <si>
    <t>Southeast Local SD</t>
  </si>
  <si>
    <t>Streetsboro City SD</t>
  </si>
  <si>
    <t>Waterloo Local SD</t>
  </si>
  <si>
    <t>Windham Ex Vill SD</t>
  </si>
  <si>
    <t>College Corner Local SD</t>
  </si>
  <si>
    <t>Preble Shawnee Local SD</t>
  </si>
  <si>
    <t>Tri-County North Local SD</t>
  </si>
  <si>
    <t>Twin Valley Community Local SD</t>
  </si>
  <si>
    <t>Columbus Grove Local SD</t>
  </si>
  <si>
    <t>Putnam</t>
  </si>
  <si>
    <t>Continental Local SD</t>
  </si>
  <si>
    <t>Miller City-New Cleveland Loca</t>
  </si>
  <si>
    <t>Ottawa-Glandorf Local SD</t>
  </si>
  <si>
    <t>Ottoville Local SD</t>
  </si>
  <si>
    <t>Pandora-Gilboa Local SD</t>
  </si>
  <si>
    <t>Clear Fork Valley Local SD</t>
  </si>
  <si>
    <t>Lexington Local SD</t>
  </si>
  <si>
    <t>Lucas Local Local SD</t>
  </si>
  <si>
    <t>Mansfield City SD</t>
  </si>
  <si>
    <t>Ontario Local SD</t>
  </si>
  <si>
    <t>Plymouth-Shiloh Local SD</t>
  </si>
  <si>
    <t>Shelby City SD</t>
  </si>
  <si>
    <t>Adena Local SD</t>
  </si>
  <si>
    <t>Chillicothe City SD</t>
  </si>
  <si>
    <t>Huntington Local SD</t>
  </si>
  <si>
    <t>Paint Valley Local SD</t>
  </si>
  <si>
    <t>Union-Scioto Local SD</t>
  </si>
  <si>
    <t>Zane Trace Local SD</t>
  </si>
  <si>
    <t>Clyde-Green Springs Ex Vill SD</t>
  </si>
  <si>
    <t>Fremont City SD</t>
  </si>
  <si>
    <t>Gibsonburg Ex Vill SD</t>
  </si>
  <si>
    <t>Woodmore Local SD</t>
  </si>
  <si>
    <t>Bloom-Vernon Local SD</t>
  </si>
  <si>
    <t>Clay Local SD</t>
  </si>
  <si>
    <t>Green Local SD</t>
  </si>
  <si>
    <t>Minford Local SD</t>
  </si>
  <si>
    <t>New Boston Local SD</t>
  </si>
  <si>
    <t>Portsmouth City SD</t>
  </si>
  <si>
    <t>Valley Local SD</t>
  </si>
  <si>
    <t>Washington-Nile Local SD</t>
  </si>
  <si>
    <t>Wheelersburg Local SD</t>
  </si>
  <si>
    <t>Bettsville Local SD</t>
  </si>
  <si>
    <t>Fostoria City SD</t>
  </si>
  <si>
    <t>New Riegel Local SD</t>
  </si>
  <si>
    <t>Old Fort Local SD</t>
  </si>
  <si>
    <t>Seneca East Local SD</t>
  </si>
  <si>
    <t>Tiffin City SD</t>
  </si>
  <si>
    <t>Anna Local SD</t>
  </si>
  <si>
    <t>Botkins Local SD</t>
  </si>
  <si>
    <t>Fairlawn Local SD</t>
  </si>
  <si>
    <t>Fort Loramie Local SD</t>
  </si>
  <si>
    <t>Hardin-Houston Local SD</t>
  </si>
  <si>
    <t>Russia Local SD</t>
  </si>
  <si>
    <t>Sidney City SD</t>
  </si>
  <si>
    <t>Alliance City SD</t>
  </si>
  <si>
    <t>Canton City SD</t>
  </si>
  <si>
    <t>Canton Local SD</t>
  </si>
  <si>
    <t>Fairless Local SD</t>
  </si>
  <si>
    <t>Jackson Local SD</t>
  </si>
  <si>
    <t>Lake Local SD</t>
  </si>
  <si>
    <t>Louisville City SD</t>
  </si>
  <si>
    <t>Marlington Local SD</t>
  </si>
  <si>
    <t>Massillon City SD</t>
  </si>
  <si>
    <t>Minerva Local SD</t>
  </si>
  <si>
    <t>North Canton City SD</t>
  </si>
  <si>
    <t>Osnaburg Local SD</t>
  </si>
  <si>
    <t>Sandy Valley Local SD</t>
  </si>
  <si>
    <t>Tuslaw Local SD</t>
  </si>
  <si>
    <t>Akron City SD</t>
  </si>
  <si>
    <t>Barberton City SD</t>
  </si>
  <si>
    <t>Copley-Fairlawn City SD</t>
  </si>
  <si>
    <t>Cuyahoga Falls City SD</t>
  </si>
  <si>
    <t>Hudson City SD</t>
  </si>
  <si>
    <t>Mogadore Local SD</t>
  </si>
  <si>
    <t>Nordonia Hills City SD</t>
  </si>
  <si>
    <t>Norton City SD</t>
  </si>
  <si>
    <t>Revere Local SD</t>
  </si>
  <si>
    <t>Stow-Munroe Falls City SD</t>
  </si>
  <si>
    <t>Tallmadge City SD</t>
  </si>
  <si>
    <t>Twinsburg City SD</t>
  </si>
  <si>
    <t>Woodridge Local SD</t>
  </si>
  <si>
    <t>Bloomfield-Mespo Local SD</t>
  </si>
  <si>
    <t>Bristol Local SD</t>
  </si>
  <si>
    <t>Brookfield Local SD</t>
  </si>
  <si>
    <t>Champion Local SD</t>
  </si>
  <si>
    <t>Girard City SD</t>
  </si>
  <si>
    <t>Howland Local SD</t>
  </si>
  <si>
    <t>Hubbard Ex Vill SD</t>
  </si>
  <si>
    <t>Joseph Badger Local SD</t>
  </si>
  <si>
    <t>LaBrae Local SD</t>
  </si>
  <si>
    <t>Lakeview Local SD</t>
  </si>
  <si>
    <t>Liberty Local SD</t>
  </si>
  <si>
    <t>Lordstown Local SD</t>
  </si>
  <si>
    <t>Maplewood Local SD</t>
  </si>
  <si>
    <t>Mathews Local SD</t>
  </si>
  <si>
    <t>Mcdonald Local SD</t>
  </si>
  <si>
    <t>Newton Falls Ex Vill SD</t>
  </si>
  <si>
    <t>Southington Local SD</t>
  </si>
  <si>
    <t>Warren City SD</t>
  </si>
  <si>
    <t>Weathersfield Local SD</t>
  </si>
  <si>
    <t>Claymont City SD</t>
  </si>
  <si>
    <t>Dover City SD</t>
  </si>
  <si>
    <t>Garaway Local SD</t>
  </si>
  <si>
    <t>Indian Valley Local SD</t>
  </si>
  <si>
    <t>New Philadelphia City SD</t>
  </si>
  <si>
    <t>Newcomerstown Ex Vill SD</t>
  </si>
  <si>
    <t>Strasburg-Franklin Local SD</t>
  </si>
  <si>
    <t>Tuscarawas Valley Local SD</t>
  </si>
  <si>
    <t>Fairbanks Local SD</t>
  </si>
  <si>
    <t>Marysville Ex Vill SD</t>
  </si>
  <si>
    <t>North Union Local SD</t>
  </si>
  <si>
    <t>Lincolnview Local SD</t>
  </si>
  <si>
    <t>Van Wert City SD</t>
  </si>
  <si>
    <t>Vinton County Local SD</t>
  </si>
  <si>
    <t>Carlisle Local SD</t>
  </si>
  <si>
    <t>Franklin City SD</t>
  </si>
  <si>
    <t>Kings Local SD</t>
  </si>
  <si>
    <t>Little Miami Local SD</t>
  </si>
  <si>
    <t>Mason City SD</t>
  </si>
  <si>
    <t>Springboro Community City SD</t>
  </si>
  <si>
    <t>Wayne Local SD</t>
  </si>
  <si>
    <t>Belpre City SD</t>
  </si>
  <si>
    <t>Fort Frye Local SD</t>
  </si>
  <si>
    <t>Frontier Local SD</t>
  </si>
  <si>
    <t>Marietta City SD</t>
  </si>
  <si>
    <t>Warren Local SD</t>
  </si>
  <si>
    <t>Wolf Creek Local SD</t>
  </si>
  <si>
    <t>Chippewa Local SD</t>
  </si>
  <si>
    <t>North Central Local SD</t>
  </si>
  <si>
    <t>Orrville City SD</t>
  </si>
  <si>
    <t>Rittman Ex Vill SD</t>
  </si>
  <si>
    <t>Triway Local SD</t>
  </si>
  <si>
    <t>Bryan City SD</t>
  </si>
  <si>
    <t>Williams</t>
  </si>
  <si>
    <t>Edgerton Local SD</t>
  </si>
  <si>
    <t>Edon-Northwest Local SD</t>
  </si>
  <si>
    <t>Millcreek-West Unity Local SD</t>
  </si>
  <si>
    <t>Montpelier Ex Vill SD</t>
  </si>
  <si>
    <t>Stryker Local SD</t>
  </si>
  <si>
    <t>Bowling Green City SD</t>
  </si>
  <si>
    <t>Eastwood Local SD</t>
  </si>
  <si>
    <t>North Baltimore Local SD</t>
  </si>
  <si>
    <t>Northwood Local SD</t>
  </si>
  <si>
    <t>Otsego Local SD</t>
  </si>
  <si>
    <t>Perrysburg Ex Vill SD</t>
  </si>
  <si>
    <t>Rossford Ex Vill SD</t>
  </si>
  <si>
    <t>Wyandot</t>
  </si>
  <si>
    <t>Mohawk Local SD</t>
  </si>
  <si>
    <t>Upper Sandusky Ex Vill SD</t>
  </si>
  <si>
    <t>Business</t>
  </si>
  <si>
    <t>Central</t>
  </si>
  <si>
    <t>capital</t>
  </si>
  <si>
    <t>outlay and</t>
  </si>
  <si>
    <t>debt</t>
  </si>
  <si>
    <t>principal</t>
  </si>
  <si>
    <t>Amounts</t>
  </si>
  <si>
    <t>Due within</t>
  </si>
  <si>
    <t>Due in More</t>
  </si>
  <si>
    <t>Than One Year/Tie</t>
  </si>
  <si>
    <t xml:space="preserve">to Statement of </t>
  </si>
  <si>
    <t>This Column</t>
  </si>
  <si>
    <t>Should not</t>
  </si>
  <si>
    <t>exist</t>
  </si>
  <si>
    <t xml:space="preserve">Income </t>
  </si>
  <si>
    <t>Income</t>
  </si>
  <si>
    <t>(including</t>
  </si>
  <si>
    <t>special items)</t>
  </si>
  <si>
    <t>Ashtabula Area City SD</t>
  </si>
  <si>
    <t>Extraordinary/</t>
  </si>
  <si>
    <t>Miscellaneous</t>
  </si>
  <si>
    <t>.</t>
  </si>
  <si>
    <t>in reserve for</t>
  </si>
  <si>
    <t>Inventory</t>
  </si>
  <si>
    <t>(Increase)/Decrease</t>
  </si>
  <si>
    <t>in Reserve for</t>
  </si>
  <si>
    <t>Pass-through</t>
  </si>
  <si>
    <t xml:space="preserve">Capital </t>
  </si>
  <si>
    <t xml:space="preserve">Refund of </t>
  </si>
  <si>
    <t>Prior Year's</t>
  </si>
  <si>
    <t>Refund of</t>
  </si>
  <si>
    <t>Receipts</t>
  </si>
  <si>
    <t>Amherst Ex Vill SD</t>
  </si>
  <si>
    <t>Retirement (2)</t>
  </si>
  <si>
    <t xml:space="preserve">Adena Local SD </t>
  </si>
  <si>
    <t xml:space="preserve">(1) Income taxes may be included in Property and Other Local taxes in some cases. </t>
  </si>
  <si>
    <t>Regular (1)</t>
  </si>
  <si>
    <t>Increase or</t>
  </si>
  <si>
    <t>(Decrease)</t>
  </si>
  <si>
    <t>Special Items</t>
  </si>
  <si>
    <t>Miscelleneous</t>
  </si>
  <si>
    <t xml:space="preserve">Designated </t>
  </si>
  <si>
    <t>Proceeds of</t>
  </si>
  <si>
    <t xml:space="preserve">Extraordinary/ </t>
  </si>
  <si>
    <t>Pupils (2)</t>
  </si>
  <si>
    <t>(1) In some instances, Regular Instruction total may include all Instruction types.</t>
  </si>
  <si>
    <t>(2) In some instances, Pupils total may include all Support Services types.</t>
  </si>
  <si>
    <t>Pupils(2)</t>
  </si>
  <si>
    <t>Retirement (3)</t>
  </si>
  <si>
    <t>Sheffield-Sheffield Lake City SD</t>
  </si>
  <si>
    <t>In / (Out)</t>
  </si>
  <si>
    <t>Central Local SD</t>
  </si>
  <si>
    <t>Designated</t>
  </si>
  <si>
    <t xml:space="preserve">Extraordinary </t>
  </si>
  <si>
    <t>Item</t>
  </si>
  <si>
    <t>Extraordinary</t>
  </si>
  <si>
    <t>Ravenna CSD SD</t>
  </si>
  <si>
    <t>Salam City SD</t>
  </si>
  <si>
    <t>Springfield CSD</t>
  </si>
  <si>
    <t>Earnings on</t>
  </si>
  <si>
    <t xml:space="preserve">Orrville City SD  </t>
  </si>
  <si>
    <t xml:space="preserve">Northwest Local SD    </t>
  </si>
  <si>
    <t>(Continued)</t>
  </si>
  <si>
    <t>Governmental Fund Expenditures - Modified Accrual Basis of Accounting</t>
  </si>
  <si>
    <t>Revenues,</t>
  </si>
  <si>
    <t>Undesignated</t>
  </si>
  <si>
    <t>Unreserved,</t>
  </si>
  <si>
    <t>Debt</t>
  </si>
  <si>
    <t>Sources, and</t>
  </si>
  <si>
    <t>Issued (2)</t>
  </si>
  <si>
    <t>(2) Includes Inception of Capital Leases</t>
  </si>
  <si>
    <t xml:space="preserve">Darke </t>
  </si>
  <si>
    <t>Barnesville Ex Vill SD</t>
  </si>
  <si>
    <t>Coventry Local SD</t>
  </si>
  <si>
    <t>Crooksville Ex Vill SD</t>
  </si>
  <si>
    <t>Crooksville Local SD</t>
  </si>
  <si>
    <t>Manchester Local SD</t>
  </si>
  <si>
    <t>Niles City SD</t>
  </si>
  <si>
    <t>Niles City Sd</t>
  </si>
  <si>
    <t>Salem City SD</t>
  </si>
  <si>
    <t>South Central Local LSD</t>
  </si>
  <si>
    <t>New Albany-Plain SD</t>
  </si>
  <si>
    <t>New Albany-Plan SD</t>
  </si>
  <si>
    <t>New Albany-Plain Local SD</t>
  </si>
  <si>
    <t xml:space="preserve"> Taxes (1)</t>
  </si>
  <si>
    <t>Dalton Local SD</t>
  </si>
  <si>
    <t>College Corner Local SD (CASH)</t>
  </si>
  <si>
    <t>Columbus Grove Local SD (CASH)</t>
  </si>
  <si>
    <t>Lebanon City SD (CASH)</t>
  </si>
  <si>
    <t>Marietta City SD (CASH)</t>
  </si>
  <si>
    <t>Millcreek-West Unity Local SD (CASH)</t>
  </si>
  <si>
    <t>Old Fort Local SD (CASH)</t>
  </si>
  <si>
    <t>Franklin Monroe Local SD (CASH)</t>
  </si>
  <si>
    <t>Fort Frye Local SD (CASH)</t>
  </si>
  <si>
    <t>Alexander Local SD (CASH)</t>
  </si>
  <si>
    <t>Carey Ex Vill SD (CASH)</t>
  </si>
  <si>
    <t>Celina City SD (CASH)</t>
  </si>
  <si>
    <t>Evergreen Local SD (CASH)</t>
  </si>
  <si>
    <t>Fairlawn Local SD (CASH)</t>
  </si>
  <si>
    <t>Mohawk Local SD (CASH)</t>
  </si>
  <si>
    <t>North Bass Local SD(CASH)</t>
  </si>
  <si>
    <t>Wickliffe City SD (CASH)</t>
  </si>
  <si>
    <t>Wooster City SD</t>
  </si>
  <si>
    <t>Wayne Trace Local Local SD (CASH)</t>
  </si>
  <si>
    <t>(1) In some instances, Regular Instruction may include all Instruction types.</t>
  </si>
  <si>
    <t>(2) In some instances, Pupils may include all Support Services types.</t>
  </si>
  <si>
    <t>Transfers and</t>
  </si>
  <si>
    <t>Other Financing</t>
  </si>
  <si>
    <t>Fairborn City SD</t>
  </si>
  <si>
    <t>Green</t>
  </si>
  <si>
    <t>Fairborn Local SD</t>
  </si>
  <si>
    <t>New Riegel Local SD - CASH</t>
  </si>
  <si>
    <t>`</t>
  </si>
  <si>
    <t>James A. Garfield Local SD</t>
  </si>
  <si>
    <t>Lucas Local SD</t>
  </si>
  <si>
    <t>Mount Gilead Ex Vill SD</t>
  </si>
  <si>
    <t>St. Clairsville-Richland City SD</t>
  </si>
  <si>
    <t>St. Bernard-Elmwood Place City SD</t>
  </si>
  <si>
    <t>Switzerland of Ohio Local SD</t>
  </si>
  <si>
    <t>Springfield City SD</t>
  </si>
  <si>
    <t>Lakewood Local SD</t>
  </si>
  <si>
    <t>Lakewood Local  SD</t>
  </si>
  <si>
    <t>Norwood City SD</t>
  </si>
  <si>
    <t>Ravenna City SD</t>
  </si>
  <si>
    <t>Ripley-Union-Lewis-Huntington LSD</t>
  </si>
  <si>
    <t>South Central Local SD</t>
  </si>
  <si>
    <t>Liberty Union-Thurston LSD</t>
  </si>
  <si>
    <t>St. Clairsville-Richland CSD</t>
  </si>
  <si>
    <t>St. Bernard-Elmwood Place CSD</t>
  </si>
  <si>
    <t>St Clairsville-Richland CSD</t>
  </si>
  <si>
    <t>Brecksville-Broadview Heights CSD</t>
  </si>
  <si>
    <t xml:space="preserve">Bay Village City SD </t>
  </si>
  <si>
    <t>Bluffton Ex Vill SD</t>
  </si>
  <si>
    <t>OCBOA</t>
  </si>
  <si>
    <t>Buckeye Online School for Success</t>
  </si>
  <si>
    <t xml:space="preserve">Southwest Licking Local SD </t>
  </si>
  <si>
    <t xml:space="preserve">Big Walnut Local SD </t>
  </si>
  <si>
    <t xml:space="preserve">Buckeye Valley Local SD </t>
  </si>
  <si>
    <t xml:space="preserve">Keystone Local SD </t>
  </si>
  <si>
    <t>McDonald Local SD</t>
  </si>
  <si>
    <t xml:space="preserve">Berkshire Local SD </t>
  </si>
  <si>
    <t>Mississinawa Valley Local SD  (CASH)</t>
  </si>
  <si>
    <t>McComb Local SD (Cash)</t>
  </si>
  <si>
    <t xml:space="preserve">Gahanna-Jefferson City SD </t>
  </si>
  <si>
    <t xml:space="preserve">Gallia County Local SD </t>
  </si>
  <si>
    <t>Geneva Area City SD</t>
  </si>
  <si>
    <t xml:space="preserve">Fremont City SD </t>
  </si>
  <si>
    <t xml:space="preserve">Southern Local SD </t>
  </si>
  <si>
    <t>Waynesfield-Goshen Local SD  (CASH)</t>
  </si>
  <si>
    <t>Jackson Center Local SD (Cash Basis)</t>
  </si>
  <si>
    <t>Jackson City SD (Cash Basis)</t>
  </si>
  <si>
    <t>As of June 30, 2009</t>
  </si>
  <si>
    <t>For the Fiscal Year Ended June 30, 2009</t>
  </si>
  <si>
    <t xml:space="preserve">Amherst Ex Vill SD </t>
  </si>
  <si>
    <t>some amounts rounded on statements</t>
  </si>
  <si>
    <t>Bluffton Ex Vill SD (OCBOA)</t>
  </si>
  <si>
    <t>instruction and support services are not broken out</t>
  </si>
  <si>
    <t>Bradford Ex Vill SD (cash)</t>
  </si>
  <si>
    <t>Buckeye Online School for Success (no report)</t>
  </si>
  <si>
    <t xml:space="preserve">Campbell City SD </t>
  </si>
  <si>
    <t xml:space="preserve">Cardinal Local SD </t>
  </si>
  <si>
    <t xml:space="preserve">Cedar Cliff Local SD </t>
  </si>
  <si>
    <t>(Report provided does not provide balanced totals.  Pulled correct report from Auditor's website)</t>
  </si>
  <si>
    <t xml:space="preserve">Centerburg Local SD </t>
  </si>
  <si>
    <t xml:space="preserve">Centerville City SD </t>
  </si>
  <si>
    <t>Cleveland Heights-University Heights City SD</t>
  </si>
  <si>
    <t>some numbers were rounded on report</t>
  </si>
  <si>
    <t>Cincinnati City SD/Cincinnati Public SD</t>
  </si>
  <si>
    <t>Clermont Northeastern Local SD</t>
  </si>
  <si>
    <t>instruction is not broken out</t>
  </si>
  <si>
    <t>Instruction is not broken out</t>
  </si>
  <si>
    <t>Coldwater Exempted Village SD (CASH)</t>
  </si>
  <si>
    <t>Covington Ex Village SD</t>
  </si>
  <si>
    <t>Crestline Ex Village SD</t>
  </si>
  <si>
    <t>Crestview Local SD (CASH)</t>
  </si>
  <si>
    <t>Govt totals do not balance.  Unable to locate correct copy on Auditor's webpage</t>
  </si>
  <si>
    <t xml:space="preserve"> (Report provided does not provide balanced totals.  Pulled correct report from Auditor's website)</t>
  </si>
  <si>
    <t xml:space="preserve">Cuyahoga Falls City SD </t>
  </si>
  <si>
    <t>Danville Local SD (CASH)</t>
  </si>
  <si>
    <t>numbers were rounded on report</t>
  </si>
  <si>
    <t>some numbers were combined - all were rounded on report</t>
  </si>
  <si>
    <t>Deer Park City SD</t>
  </si>
  <si>
    <t>Defiance City SD (CASH)</t>
  </si>
  <si>
    <t>Delaware City School District</t>
  </si>
  <si>
    <t>some numbers are rounded</t>
  </si>
  <si>
    <t>some numbers were rounded</t>
  </si>
  <si>
    <t>East Knox Local SD (CASH)</t>
  </si>
  <si>
    <t>Report submitted and on Auditor's webpage reflect a $40,000 difference but later in the report reflects the correct amount for Pupils.</t>
  </si>
  <si>
    <t>Eastern Local SD (CASH)</t>
  </si>
  <si>
    <t>Edgerton Local SD (CASH)</t>
  </si>
  <si>
    <t xml:space="preserve">Edgewood City SD </t>
  </si>
  <si>
    <t>Elida Local SD (CASH)</t>
  </si>
  <si>
    <t>some numbers were combined on report</t>
  </si>
  <si>
    <t>Fayette Local SD</t>
  </si>
  <si>
    <t>Federal Hocking LSD</t>
  </si>
  <si>
    <t>Fort Recovery LSD (CASH)</t>
  </si>
  <si>
    <t>Fredericktown Local SD (CASH)</t>
  </si>
  <si>
    <t>Georgetown Exempted Village SD (CASH)</t>
  </si>
  <si>
    <t>Gorham Fayette Local SD (NO REPORT)</t>
  </si>
  <si>
    <t>Granville Exempted Village SD</t>
  </si>
  <si>
    <t>some numbers are rounded from Net Assets</t>
  </si>
  <si>
    <t>instruction are not broken out</t>
  </si>
  <si>
    <t>Hicksville Ex Vill SD  (CASH)</t>
  </si>
  <si>
    <t>Hicksville Ex Vill SD (CASH)</t>
  </si>
  <si>
    <t>Indian Lake Local School District (CASH)</t>
  </si>
  <si>
    <t>Jackson Center Local SD (CASH)</t>
  </si>
  <si>
    <t>Jennings Local School District (CASH)</t>
  </si>
  <si>
    <t>No long term obligations.</t>
  </si>
  <si>
    <t>No Long Term Obligations</t>
  </si>
  <si>
    <t>numbers are rounded.</t>
  </si>
  <si>
    <t>numbers are rounded and some numbers are combined.</t>
  </si>
  <si>
    <t>Lebanon City SD (CASH) (Report provided does not provided balanced totals.  Pulled correct report from Auditor's website)</t>
  </si>
  <si>
    <t>(Report provided does not provided balanced totals.  Pulled correct report from Auditor's website)</t>
  </si>
  <si>
    <t>Totals pulled from AOS website.</t>
  </si>
  <si>
    <t xml:space="preserve">Ashtabula Area City SD </t>
  </si>
  <si>
    <t>Arcanum Butler Local SD (CASH)</t>
  </si>
  <si>
    <t>Expenses column on this report does not foot</t>
  </si>
  <si>
    <t>Bath Local SD (CASH)</t>
  </si>
  <si>
    <t>Bradford Ex Vill SD (cash) Two year audit</t>
  </si>
  <si>
    <t>Bettsville Local SD (CASH)</t>
  </si>
  <si>
    <t xml:space="preserve">Bridgeport Ex Vill SD </t>
  </si>
  <si>
    <t xml:space="preserve">Brookfield Local SD </t>
  </si>
  <si>
    <t xml:space="preserve">Brookville Local SD </t>
  </si>
  <si>
    <t>Bryan City SD (CASH)</t>
  </si>
  <si>
    <t>Attempted to pull report from AOS however report provided not containing statements needed.</t>
  </si>
  <si>
    <t xml:space="preserve">Buckeye Local SD </t>
  </si>
  <si>
    <t>Continental Local SD (CASH) Two year Audit</t>
  </si>
  <si>
    <t>Bradford Ex Vill SD (CASH) Two year audit</t>
  </si>
  <si>
    <t xml:space="preserve">Chippewa Local SD </t>
  </si>
  <si>
    <t>Fairport Harbor Ex Vill SD - Two Year Audit</t>
  </si>
  <si>
    <t>Name change in 2008 to drop Gorham.  See Fayette Local above.</t>
  </si>
  <si>
    <t>Eaton Community SD</t>
  </si>
  <si>
    <t>Totals pulled from AOS website.   Instruction not broken out.</t>
  </si>
  <si>
    <t>Totals pulled from AOS website.  Instruction not broken out.</t>
  </si>
  <si>
    <t xml:space="preserve">Elgin Local SD </t>
  </si>
  <si>
    <t xml:space="preserve">Totals pulled from AOS website.   </t>
  </si>
  <si>
    <t xml:space="preserve">Totals pulled from AOS website.  </t>
  </si>
  <si>
    <t xml:space="preserve">Garfield Heights City SD </t>
  </si>
  <si>
    <t xml:space="preserve">Hamilton Local Local SD </t>
  </si>
  <si>
    <t>Jackson City SD (CASH)</t>
  </si>
  <si>
    <t xml:space="preserve">Jackson City SD (CASH) </t>
  </si>
  <si>
    <t xml:space="preserve">Jefferson Area Local SD </t>
  </si>
  <si>
    <t xml:space="preserve">Jefferson Township Local SD </t>
  </si>
  <si>
    <t xml:space="preserve">Lakota Local SD </t>
  </si>
  <si>
    <t>Leipsic Local SD (CASH)</t>
  </si>
  <si>
    <t xml:space="preserve">Liberty Local SD </t>
  </si>
  <si>
    <t>Lima City School District (CASH)</t>
  </si>
  <si>
    <t>Lockland Local SD (CASH)  (Report provided does not provided balanced totals.  Pulled correct report from Auditor's website)</t>
  </si>
  <si>
    <t>Loudonville-Perrysville Exempted Village SD</t>
  </si>
  <si>
    <t xml:space="preserve">Lowellville Local SD </t>
  </si>
  <si>
    <t>Madison Local SD (CASH)</t>
  </si>
  <si>
    <t>(Report provided does not have this statement.  Copy is same as AOS website.)</t>
  </si>
  <si>
    <t>Lockland Local SD (CASH)  (Report provided does not provide balanced totals.  Pulled correct report from Auditor's website)</t>
  </si>
  <si>
    <t>Jennings Local School District (CASH) (Report provided does not provide balanced totals.  Pulled correct report from Auditor's website)</t>
  </si>
  <si>
    <t>Madison Local SD (CASH)  (Report provided does not have this statement.  Copy is same as AOS website.)</t>
  </si>
  <si>
    <t>Marion Local SD (CASH)</t>
  </si>
  <si>
    <t>Numbers are rounded</t>
  </si>
  <si>
    <t>Numbers are rounded on Statement of Net Assets</t>
  </si>
  <si>
    <t>Miller City-New Cleveland Local (Two year Audit)</t>
  </si>
  <si>
    <t>Buckeye Online School for Success (not correct report)</t>
  </si>
  <si>
    <t>Painesville Township Local Local - now RIVERSIDE LOCAL SCHOOL DISTRICT since 2007</t>
  </si>
  <si>
    <t>Pandora-Gilboa Local SD (CASH)  (Two year Audit)</t>
  </si>
  <si>
    <t>Parkway Local SD (CASH) (Two year Audit)</t>
  </si>
  <si>
    <t>numbers are rounded</t>
  </si>
  <si>
    <t>Paulding Ex Vill SD (CASH)</t>
  </si>
  <si>
    <t>Perry Local SD (CASH)</t>
  </si>
  <si>
    <t>instruction not broken out</t>
  </si>
  <si>
    <t>Plain Local SD - Name change</t>
  </si>
  <si>
    <t>Name change in 1999 - now New Albany-Plain Local SD - see above</t>
  </si>
  <si>
    <t>(Report provided does not provide balanced totals.  Report submitted to AOS &amp; on website has updated totals - however they are also not balanced.)</t>
  </si>
  <si>
    <t>Preble Shawnee Local SD (CASH)</t>
  </si>
  <si>
    <t>Report Cover Sheet was in the P-R box - but was clipped to the report of Stark Co ESC.  Pulled correct report from AOS.</t>
  </si>
  <si>
    <t>some numbers rounded. (Report provided does not provide balanced totals.  Pulled correct report from Auditor's website)</t>
  </si>
  <si>
    <t>some numbers were rounded on St of Net Assets. (Report provided does not provide balanced totals.  Pulled correct report from Auditor's website)</t>
  </si>
  <si>
    <t>no Services (instruction, support, or non instruction) are broken out</t>
  </si>
  <si>
    <t>Tri-Village Local SD (CASH)</t>
  </si>
  <si>
    <t>Ansonia Local SD (CASH)</t>
  </si>
  <si>
    <t>Elmwood Local SD (CASH)</t>
  </si>
  <si>
    <t>Kirtland Local SD (CASH)</t>
  </si>
  <si>
    <t xml:space="preserve">Kirtland Local SD (CASH) </t>
  </si>
  <si>
    <t xml:space="preserve">Madison Plains Local SD </t>
  </si>
  <si>
    <t>Toledo School for the Arts</t>
  </si>
  <si>
    <t>Twin Valley Community Local SD (CASH)</t>
  </si>
  <si>
    <t>Upper Sandusky Ex Vill SD (CASH)</t>
  </si>
  <si>
    <t>Upper Scioto Valley Local SD (CASH)</t>
  </si>
  <si>
    <t>Valley Local SD (CASH)</t>
  </si>
  <si>
    <t>Name changed in 2007 - now RIVERSIDE LOCAL SCHOOL DISTRICT.  See below</t>
  </si>
  <si>
    <t>Gorham Fayette Local SD - name changed to Fayette Local.  See below</t>
  </si>
  <si>
    <t>Vanlue Local SD (CASH)</t>
  </si>
  <si>
    <t>Versailles Exempted Village SD (CASH)</t>
  </si>
  <si>
    <t>Program revenue not broken out</t>
  </si>
  <si>
    <t>Shawnee Local SD (CASH)</t>
  </si>
  <si>
    <t>Southern Local SD (CASH)</t>
  </si>
  <si>
    <t>Springboro Community City SD (CASH)</t>
  </si>
  <si>
    <t>Spencerville Local SD (CASH)</t>
  </si>
  <si>
    <t>St Henry Consolidated Local SD (CASH)</t>
  </si>
  <si>
    <t>St Marys City SD (CASH)</t>
  </si>
  <si>
    <t>Strasburg-Franklin Local SD (CASH)</t>
  </si>
  <si>
    <t>New Knoxville Local SD (CASH)</t>
  </si>
  <si>
    <t>West Carrollton City SD</t>
  </si>
  <si>
    <t>Wayne Local SD (CASH)</t>
  </si>
  <si>
    <t>Northeastern Local SD (CASH)</t>
  </si>
  <si>
    <t xml:space="preserve">North College Hill City SD </t>
  </si>
  <si>
    <t>Ottoville Local SD (CASH)</t>
  </si>
  <si>
    <t>Ottawa-Glandorf Local SD (CASH)</t>
  </si>
  <si>
    <t>North Central Local SD (CASH)</t>
  </si>
  <si>
    <t>North Bass Local SD (CASH)</t>
  </si>
  <si>
    <t>New Riegel Local SD (CASH)</t>
  </si>
  <si>
    <t>New Lexington City SD (CASH)</t>
  </si>
  <si>
    <t xml:space="preserve">Central Local SD </t>
  </si>
  <si>
    <t xml:space="preserve">Cuyahoga Heights Local SD  </t>
  </si>
  <si>
    <t xml:space="preserve">Field Local SD  </t>
  </si>
  <si>
    <t xml:space="preserve">Mad River Local SD </t>
  </si>
  <si>
    <t xml:space="preserve">Mayfield City SD  </t>
  </si>
  <si>
    <t xml:space="preserve">Mt. Healthy City SD </t>
  </si>
  <si>
    <t xml:space="preserve">Ridgemont Local SD </t>
  </si>
  <si>
    <t xml:space="preserve">Rocky River City SD </t>
  </si>
  <si>
    <t xml:space="preserve">Ross Local SD </t>
  </si>
  <si>
    <t xml:space="preserve">Shaker Heights City SD </t>
  </si>
  <si>
    <t xml:space="preserve">Springfield Local SD </t>
  </si>
  <si>
    <t xml:space="preserve">Talawanda City SD </t>
  </si>
  <si>
    <t xml:space="preserve">Three Rivers Local SD  </t>
  </si>
  <si>
    <t xml:space="preserve">Toronto City SD </t>
  </si>
  <si>
    <t xml:space="preserve">Crestwood Local SD </t>
  </si>
  <si>
    <t xml:space="preserve">Cuyahoga Heights Local SD </t>
  </si>
  <si>
    <t xml:space="preserve">Field Local SD </t>
  </si>
  <si>
    <t xml:space="preserve">Kings Local SD  </t>
  </si>
  <si>
    <t xml:space="preserve">Maple Heights City SD </t>
  </si>
  <si>
    <t xml:space="preserve">Mayfield City SD </t>
  </si>
  <si>
    <t xml:space="preserve">Poland Local SD </t>
  </si>
  <si>
    <t xml:space="preserve">Three Rivers Local SD </t>
  </si>
  <si>
    <t xml:space="preserve">Toronto City SD  </t>
  </si>
  <si>
    <t>In some instances, numbers were rounded on the financial statements.</t>
  </si>
  <si>
    <t>Mt. Healthy City SD</t>
  </si>
  <si>
    <t xml:space="preserve">Mad River Local SD  </t>
  </si>
  <si>
    <t xml:space="preserve"> In some instances, numbers were rounded on the financial statements.</t>
  </si>
  <si>
    <t>(3) In some instances, Principal Retirement may include Debt Service Interest.</t>
  </si>
  <si>
    <t>(2) Debt Issued includes Inception of Capital Leases</t>
  </si>
</sst>
</file>

<file path=xl/styles.xml><?xml version="1.0" encoding="utf-8"?>
<styleSheet xmlns="http://schemas.openxmlformats.org/spreadsheetml/2006/main">
  <numFmts count="5">
    <numFmt numFmtId="5" formatCode="&quot;$&quot;#,##0_);\(&quot;$&quot;#,##0\)"/>
    <numFmt numFmtId="164" formatCode="&quot;$&quot;#,##0"/>
    <numFmt numFmtId="165" formatCode="0_);\(0\)"/>
    <numFmt numFmtId="166" formatCode="#,##0.0000_);\(#,##0.0000\)"/>
    <numFmt numFmtId="167" formatCode="#,##0;[Red]#,##0"/>
  </numFmts>
  <fonts count="18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b/>
      <sz val="9"/>
      <color indexed="9"/>
      <name val="Times New Roman"/>
      <family val="1"/>
    </font>
    <font>
      <i/>
      <sz val="9"/>
      <name val="Times New Roman"/>
      <family val="1"/>
    </font>
    <font>
      <sz val="9"/>
      <color indexed="10"/>
      <name val="Times New Roman"/>
      <family val="1"/>
    </font>
    <font>
      <sz val="9"/>
      <name val="MS Outlook"/>
      <charset val="2"/>
    </font>
    <font>
      <b/>
      <sz val="9"/>
      <name val="Marlett"/>
      <charset val="2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9"/>
      <color rgb="FF00B0F0"/>
      <name val="Times New Roman"/>
      <family val="1"/>
    </font>
    <font>
      <u/>
      <sz val="10"/>
      <name val="Arial"/>
      <family val="2"/>
    </font>
    <font>
      <sz val="7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11">
    <xf numFmtId="0" fontId="0" fillId="0" borderId="0">
      <alignment vertical="top"/>
    </xf>
    <xf numFmtId="4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14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0" fontId="12" fillId="0" borderId="0" applyFont="0" applyFill="0" applyBorder="0" applyAlignment="0" applyProtection="0"/>
    <xf numFmtId="0" fontId="12" fillId="0" borderId="1" applyNumberFormat="0" applyFont="0" applyBorder="0" applyAlignment="0" applyProtection="0"/>
  </cellStyleXfs>
  <cellXfs count="145">
    <xf numFmtId="0" fontId="0" fillId="0" borderId="0" xfId="0" applyAlignment="1"/>
    <xf numFmtId="37" fontId="6" fillId="0" borderId="2" xfId="0" applyNumberFormat="1" applyFont="1" applyFill="1" applyBorder="1" applyAlignment="1">
      <alignment horizontal="center"/>
    </xf>
    <xf numFmtId="37" fontId="6" fillId="0" borderId="3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" fontId="6" fillId="0" borderId="2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/>
    <xf numFmtId="37" fontId="6" fillId="0" borderId="0" xfId="0" applyNumberFormat="1" applyFont="1" applyFill="1" applyAlignment="1"/>
    <xf numFmtId="37" fontId="6" fillId="0" borderId="0" xfId="0" applyNumberFormat="1" applyFont="1" applyFill="1" applyAlignment="1">
      <alignment horizontal="right"/>
    </xf>
    <xf numFmtId="0" fontId="6" fillId="0" borderId="0" xfId="0" applyFont="1" applyFill="1" applyAlignment="1"/>
    <xf numFmtId="37" fontId="6" fillId="0" borderId="0" xfId="0" applyNumberFormat="1" applyFont="1" applyFill="1" applyBorder="1" applyAlignment="1"/>
    <xf numFmtId="0" fontId="6" fillId="0" borderId="0" xfId="0" applyFont="1" applyFill="1">
      <alignment vertical="top"/>
    </xf>
    <xf numFmtId="37" fontId="6" fillId="0" borderId="0" xfId="0" applyNumberFormat="1" applyFont="1" applyFill="1">
      <alignment vertical="top"/>
    </xf>
    <xf numFmtId="37" fontId="6" fillId="0" borderId="0" xfId="2" applyNumberFormat="1" applyFont="1" applyFill="1" applyBorder="1" applyAlignment="1">
      <alignment horizontal="right"/>
    </xf>
    <xf numFmtId="37" fontId="5" fillId="0" borderId="0" xfId="0" applyNumberFormat="1" applyFont="1" applyFill="1" applyAlignment="1"/>
    <xf numFmtId="37" fontId="6" fillId="0" borderId="0" xfId="0" applyNumberFormat="1" applyFont="1" applyFill="1" applyAlignment="1">
      <alignment horizontal="center"/>
    </xf>
    <xf numFmtId="37" fontId="5" fillId="0" borderId="0" xfId="0" applyNumberFormat="1" applyFont="1" applyFill="1" applyBorder="1" applyAlignment="1">
      <alignment horizontal="right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Continuous"/>
    </xf>
    <xf numFmtId="0" fontId="6" fillId="0" borderId="0" xfId="0" applyFont="1" applyFill="1" applyAlignment="1">
      <alignment horizontal="center"/>
    </xf>
    <xf numFmtId="37" fontId="6" fillId="0" borderId="0" xfId="2" applyNumberFormat="1" applyFont="1" applyFill="1" applyBorder="1"/>
    <xf numFmtId="37" fontId="7" fillId="0" borderId="0" xfId="0" applyNumberFormat="1" applyFont="1" applyFill="1" applyAlignment="1"/>
    <xf numFmtId="37" fontId="5" fillId="0" borderId="0" xfId="0" applyNumberFormat="1" applyFont="1" applyFill="1" applyBorder="1" applyAlignment="1">
      <alignment horizontal="centerContinuous"/>
    </xf>
    <xf numFmtId="37" fontId="6" fillId="0" borderId="0" xfId="0" applyNumberFormat="1" applyFont="1" applyFill="1" applyBorder="1" applyAlignment="1">
      <alignment horizontal="centerContinuous"/>
    </xf>
    <xf numFmtId="37" fontId="5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 vertical="justify"/>
    </xf>
    <xf numFmtId="37" fontId="5" fillId="0" borderId="0" xfId="0" applyNumberFormat="1" applyFont="1" applyFill="1" applyBorder="1" applyAlignment="1"/>
    <xf numFmtId="37" fontId="9" fillId="0" borderId="0" xfId="0" applyNumberFormat="1" applyFont="1" applyFill="1" applyAlignment="1"/>
    <xf numFmtId="37" fontId="6" fillId="0" borderId="0" xfId="0" applyNumberFormat="1" applyFont="1" applyFill="1" applyBorder="1" applyAlignment="1">
      <alignment horizontal="right" vertical="justify"/>
    </xf>
    <xf numFmtId="165" fontId="6" fillId="0" borderId="0" xfId="0" applyNumberFormat="1" applyFont="1" applyFill="1" applyAlignment="1"/>
    <xf numFmtId="165" fontId="6" fillId="0" borderId="0" xfId="0" applyNumberFormat="1" applyFont="1" applyFill="1" applyBorder="1" applyAlignment="1"/>
    <xf numFmtId="165" fontId="6" fillId="0" borderId="0" xfId="0" applyNumberFormat="1" applyFont="1" applyFill="1">
      <alignment vertical="top"/>
    </xf>
    <xf numFmtId="37" fontId="5" fillId="0" borderId="0" xfId="0" applyNumberFormat="1" applyFont="1" applyFill="1" applyAlignment="1">
      <alignment vertical="top"/>
    </xf>
    <xf numFmtId="5" fontId="6" fillId="0" borderId="0" xfId="0" applyNumberFormat="1" applyFont="1" applyFill="1">
      <alignment vertical="top"/>
    </xf>
    <xf numFmtId="5" fontId="6" fillId="0" borderId="0" xfId="0" applyNumberFormat="1" applyFont="1" applyFill="1" applyAlignment="1"/>
    <xf numFmtId="0" fontId="5" fillId="0" borderId="0" xfId="0" applyFont="1" applyFill="1" applyAlignment="1"/>
    <xf numFmtId="3" fontId="6" fillId="0" borderId="0" xfId="0" applyNumberFormat="1" applyFont="1" applyFill="1" applyAlignment="1">
      <alignment horizontal="right"/>
    </xf>
    <xf numFmtId="39" fontId="6" fillId="0" borderId="0" xfId="0" applyNumberFormat="1" applyFont="1" applyFill="1" applyBorder="1" applyAlignment="1">
      <alignment horizontal="centerContinuous"/>
    </xf>
    <xf numFmtId="37" fontId="0" fillId="0" borderId="0" xfId="0" applyNumberFormat="1" applyFill="1" applyAlignment="1"/>
    <xf numFmtId="39" fontId="5" fillId="0" borderId="0" xfId="0" applyNumberFormat="1" applyFont="1" applyFill="1" applyBorder="1" applyAlignment="1">
      <alignment horizontal="right"/>
    </xf>
    <xf numFmtId="39" fontId="6" fillId="0" borderId="0" xfId="0" applyNumberFormat="1" applyFont="1" applyFill="1" applyBorder="1" applyAlignment="1">
      <alignment horizontal="right"/>
    </xf>
    <xf numFmtId="5" fontId="6" fillId="0" borderId="0" xfId="0" applyNumberFormat="1" applyFont="1" applyFill="1" applyBorder="1" applyAlignment="1">
      <alignment horizontal="right"/>
    </xf>
    <xf numFmtId="5" fontId="6" fillId="0" borderId="0" xfId="0" applyNumberFormat="1" applyFont="1" applyFill="1" applyAlignment="1">
      <alignment horizontal="right" vertical="justify"/>
    </xf>
    <xf numFmtId="5" fontId="6" fillId="0" borderId="0" xfId="0" applyNumberFormat="1" applyFont="1" applyFill="1" applyAlignment="1">
      <alignment horizontal="right"/>
    </xf>
    <xf numFmtId="5" fontId="0" fillId="0" borderId="0" xfId="0" applyNumberFormat="1" applyFill="1" applyAlignment="1"/>
    <xf numFmtId="5" fontId="11" fillId="0" borderId="0" xfId="0" applyNumberFormat="1" applyFont="1" applyFill="1" applyAlignment="1">
      <alignment horizontal="center"/>
    </xf>
    <xf numFmtId="5" fontId="6" fillId="0" borderId="0" xfId="0" applyNumberFormat="1" applyFont="1" applyFill="1" applyBorder="1" applyAlignment="1"/>
    <xf numFmtId="164" fontId="6" fillId="0" borderId="0" xfId="0" applyNumberFormat="1" applyFont="1" applyFill="1">
      <alignment vertical="top"/>
    </xf>
    <xf numFmtId="164" fontId="6" fillId="0" borderId="0" xfId="0" applyNumberFormat="1" applyFont="1" applyFill="1" applyAlignment="1"/>
    <xf numFmtId="164" fontId="6" fillId="0" borderId="0" xfId="0" applyNumberFormat="1" applyFont="1" applyFill="1" applyAlignment="1">
      <alignment horizontal="right" vertical="justify"/>
    </xf>
    <xf numFmtId="37" fontId="6" fillId="0" borderId="0" xfId="0" applyNumberFormat="1" applyFont="1" applyFill="1" applyAlignment="1">
      <alignment horizontal="right" vertical="justify" wrapText="1"/>
    </xf>
    <xf numFmtId="37" fontId="5" fillId="0" borderId="0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/>
    <xf numFmtId="37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37" fontId="6" fillId="0" borderId="0" xfId="2" applyNumberFormat="1" applyFont="1" applyFill="1" applyAlignment="1">
      <alignment horizontal="right"/>
    </xf>
    <xf numFmtId="166" fontId="6" fillId="0" borderId="0" xfId="0" applyNumberFormat="1" applyFont="1" applyFill="1" applyBorder="1" applyAlignment="1"/>
    <xf numFmtId="165" fontId="5" fillId="0" borderId="0" xfId="0" applyNumberFormat="1" applyFont="1" applyFill="1" applyAlignment="1"/>
    <xf numFmtId="37" fontId="6" fillId="0" borderId="0" xfId="2" applyNumberFormat="1" applyFont="1" applyFill="1" applyBorder="1" applyAlignment="1">
      <alignment horizontal="right" vertical="justify"/>
    </xf>
    <xf numFmtId="10" fontId="6" fillId="0" borderId="0" xfId="9" applyFont="1" applyFill="1" applyBorder="1" applyAlignment="1">
      <alignment horizontal="center"/>
    </xf>
    <xf numFmtId="5" fontId="6" fillId="0" borderId="0" xfId="2" applyNumberFormat="1" applyFont="1" applyFill="1" applyBorder="1" applyAlignment="1">
      <alignment horizontal="right"/>
    </xf>
    <xf numFmtId="37" fontId="8" fillId="0" borderId="0" xfId="0" applyNumberFormat="1" applyFont="1" applyFill="1" applyAlignment="1"/>
    <xf numFmtId="3" fontId="5" fillId="0" borderId="0" xfId="0" applyNumberFormat="1" applyFont="1" applyFill="1" applyBorder="1" applyAlignment="1"/>
    <xf numFmtId="0" fontId="6" fillId="0" borderId="0" xfId="0" applyFont="1" applyFill="1" applyBorder="1" applyAlignment="1"/>
    <xf numFmtId="0" fontId="6" fillId="0" borderId="2" xfId="0" applyFont="1" applyFill="1" applyBorder="1" applyAlignment="1">
      <alignment horizontal="center"/>
    </xf>
    <xf numFmtId="0" fontId="10" fillId="0" borderId="0" xfId="0" applyFont="1" applyFill="1" applyAlignment="1"/>
    <xf numFmtId="0" fontId="6" fillId="0" borderId="0" xfId="0" applyFont="1" applyFill="1" applyBorder="1" applyAlignment="1">
      <alignment horizontal="center"/>
    </xf>
    <xf numFmtId="0" fontId="0" fillId="0" borderId="0" xfId="0" applyFill="1" applyAlignment="1"/>
    <xf numFmtId="37" fontId="6" fillId="0" borderId="0" xfId="0" applyNumberFormat="1" applyFont="1" applyFill="1" applyAlignment="1">
      <alignment horizontal="centerContinuous"/>
    </xf>
    <xf numFmtId="37" fontId="5" fillId="0" borderId="0" xfId="0" applyNumberFormat="1" applyFont="1" applyFill="1">
      <alignment vertical="top"/>
    </xf>
    <xf numFmtId="165" fontId="5" fillId="0" borderId="0" xfId="0" applyNumberFormat="1" applyFont="1" applyFill="1">
      <alignment vertical="top"/>
    </xf>
    <xf numFmtId="37" fontId="5" fillId="0" borderId="0" xfId="0" applyNumberFormat="1" applyFont="1" applyFill="1" applyAlignment="1">
      <alignment horizontal="right" vertical="justify"/>
    </xf>
    <xf numFmtId="37" fontId="5" fillId="0" borderId="0" xfId="0" applyNumberFormat="1" applyFont="1" applyFill="1" applyAlignment="1">
      <alignment horizontal="right" vertical="justify" wrapText="1"/>
    </xf>
    <xf numFmtId="0" fontId="5" fillId="0" borderId="0" xfId="0" applyFont="1" applyFill="1">
      <alignment vertical="top"/>
    </xf>
    <xf numFmtId="37" fontId="14" fillId="0" borderId="0" xfId="0" applyNumberFormat="1" applyFont="1" applyFill="1" applyAlignment="1"/>
    <xf numFmtId="0" fontId="14" fillId="0" borderId="0" xfId="0" applyFont="1" applyFill="1" applyAlignment="1"/>
    <xf numFmtId="0" fontId="13" fillId="0" borderId="0" xfId="0" applyFont="1" applyFill="1" applyAlignment="1"/>
    <xf numFmtId="165" fontId="13" fillId="0" borderId="0" xfId="0" applyNumberFormat="1" applyFont="1" applyFill="1" applyAlignment="1"/>
    <xf numFmtId="37" fontId="13" fillId="0" borderId="0" xfId="0" applyNumberFormat="1" applyFont="1" applyFill="1" applyAlignment="1">
      <alignment horizontal="center"/>
    </xf>
    <xf numFmtId="165" fontId="14" fillId="0" borderId="0" xfId="0" applyNumberFormat="1" applyFont="1" applyFill="1" applyAlignment="1"/>
    <xf numFmtId="37" fontId="13" fillId="0" borderId="0" xfId="0" applyNumberFormat="1" applyFont="1" applyFill="1" applyAlignment="1"/>
    <xf numFmtId="37" fontId="14" fillId="0" borderId="2" xfId="0" applyNumberFormat="1" applyFont="1" applyFill="1" applyBorder="1" applyAlignment="1">
      <alignment horizontal="centerContinuous"/>
    </xf>
    <xf numFmtId="37" fontId="1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37" fontId="6" fillId="2" borderId="0" xfId="0" applyNumberFormat="1" applyFont="1" applyFill="1">
      <alignment vertical="top"/>
    </xf>
    <xf numFmtId="165" fontId="6" fillId="2" borderId="0" xfId="0" applyNumberFormat="1" applyFont="1" applyFill="1">
      <alignment vertical="top"/>
    </xf>
    <xf numFmtId="37" fontId="6" fillId="2" borderId="0" xfId="0" applyNumberFormat="1" applyFont="1" applyFill="1" applyAlignment="1"/>
    <xf numFmtId="0" fontId="6" fillId="2" borderId="0" xfId="0" applyFont="1" applyFill="1">
      <alignment vertical="top"/>
    </xf>
    <xf numFmtId="37" fontId="6" fillId="2" borderId="0" xfId="0" applyNumberFormat="1" applyFont="1" applyFill="1" applyBorder="1" applyAlignment="1">
      <alignment horizontal="right"/>
    </xf>
    <xf numFmtId="37" fontId="6" fillId="2" borderId="0" xfId="2" applyNumberFormat="1" applyFont="1" applyFill="1" applyBorder="1" applyAlignment="1">
      <alignment horizontal="right"/>
    </xf>
    <xf numFmtId="37" fontId="6" fillId="0" borderId="2" xfId="0" applyNumberFormat="1" applyFont="1" applyFill="1" applyBorder="1">
      <alignment vertical="top"/>
    </xf>
    <xf numFmtId="165" fontId="6" fillId="0" borderId="2" xfId="0" applyNumberFormat="1" applyFont="1" applyFill="1" applyBorder="1">
      <alignment vertical="top"/>
    </xf>
    <xf numFmtId="37" fontId="6" fillId="0" borderId="2" xfId="0" applyNumberFormat="1" applyFont="1" applyFill="1" applyBorder="1" applyAlignment="1"/>
    <xf numFmtId="37" fontId="6" fillId="0" borderId="2" xfId="0" applyNumberFormat="1" applyFont="1" applyFill="1" applyBorder="1" applyAlignment="1">
      <alignment horizontal="right"/>
    </xf>
    <xf numFmtId="37" fontId="5" fillId="0" borderId="2" xfId="0" applyNumberFormat="1" applyFont="1" applyFill="1" applyBorder="1" applyAlignment="1"/>
    <xf numFmtId="3" fontId="6" fillId="0" borderId="0" xfId="0" applyNumberFormat="1" applyFont="1" applyFill="1" applyAlignment="1"/>
    <xf numFmtId="37" fontId="12" fillId="0" borderId="0" xfId="0" applyNumberFormat="1" applyFont="1" applyFill="1" applyAlignment="1"/>
    <xf numFmtId="3" fontId="6" fillId="0" borderId="0" xfId="1" applyNumberFormat="1" applyFont="1" applyFill="1"/>
    <xf numFmtId="167" fontId="6" fillId="0" borderId="0" xfId="0" applyNumberFormat="1" applyFont="1" applyFill="1">
      <alignment vertical="top"/>
    </xf>
    <xf numFmtId="167" fontId="6" fillId="0" borderId="0" xfId="0" applyNumberFormat="1" applyFont="1" applyFill="1" applyAlignment="1"/>
    <xf numFmtId="0" fontId="6" fillId="0" borderId="0" xfId="0" applyFont="1" applyAlignment="1"/>
    <xf numFmtId="5" fontId="12" fillId="0" borderId="0" xfId="0" applyNumberFormat="1" applyFont="1" applyFill="1" applyAlignment="1"/>
    <xf numFmtId="37" fontId="6" fillId="0" borderId="2" xfId="0" applyNumberFormat="1" applyFont="1" applyFill="1" applyBorder="1" applyAlignment="1">
      <alignment horizontal="center"/>
    </xf>
    <xf numFmtId="37" fontId="11" fillId="0" borderId="0" xfId="0" applyNumberFormat="1" applyFont="1" applyFill="1" applyAlignment="1">
      <alignment horizontal="center"/>
    </xf>
    <xf numFmtId="37" fontId="6" fillId="3" borderId="0" xfId="0" applyNumberFormat="1" applyFont="1" applyFill="1">
      <alignment vertical="top"/>
    </xf>
    <xf numFmtId="165" fontId="6" fillId="3" borderId="0" xfId="0" applyNumberFormat="1" applyFont="1" applyFill="1">
      <alignment vertical="top"/>
    </xf>
    <xf numFmtId="37" fontId="6" fillId="3" borderId="0" xfId="0" applyNumberFormat="1" applyFont="1" applyFill="1" applyAlignment="1"/>
    <xf numFmtId="37" fontId="6" fillId="3" borderId="0" xfId="0" applyNumberFormat="1" applyFont="1" applyFill="1" applyAlignment="1">
      <alignment horizontal="right"/>
    </xf>
    <xf numFmtId="0" fontId="15" fillId="3" borderId="0" xfId="0" applyFont="1" applyFill="1">
      <alignment vertical="top"/>
    </xf>
    <xf numFmtId="37" fontId="15" fillId="3" borderId="0" xfId="0" applyNumberFormat="1" applyFont="1" applyFill="1">
      <alignment vertical="top"/>
    </xf>
    <xf numFmtId="165" fontId="15" fillId="3" borderId="0" xfId="0" applyNumberFormat="1" applyFont="1" applyFill="1">
      <alignment vertical="top"/>
    </xf>
    <xf numFmtId="37" fontId="15" fillId="3" borderId="0" xfId="0" applyNumberFormat="1" applyFont="1" applyFill="1" applyAlignment="1"/>
    <xf numFmtId="37" fontId="15" fillId="3" borderId="0" xfId="0" applyNumberFormat="1" applyFont="1" applyFill="1" applyAlignment="1">
      <alignment horizontal="right"/>
    </xf>
    <xf numFmtId="0" fontId="6" fillId="3" borderId="0" xfId="0" applyFont="1" applyFill="1">
      <alignment vertical="top"/>
    </xf>
    <xf numFmtId="0" fontId="5" fillId="3" borderId="0" xfId="0" applyFont="1" applyFill="1">
      <alignment vertical="top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2" xfId="0" applyNumberFormat="1" applyFont="1" applyFill="1" applyBorder="1" applyAlignment="1">
      <alignment horizontal="center"/>
    </xf>
    <xf numFmtId="37" fontId="16" fillId="0" borderId="0" xfId="8" applyNumberFormat="1" applyFont="1" applyFill="1" applyAlignment="1" applyProtection="1"/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left"/>
    </xf>
    <xf numFmtId="5" fontId="6" fillId="0" borderId="0" xfId="0" applyNumberFormat="1" applyFont="1" applyFill="1" applyAlignment="1">
      <alignment horizontal="left" vertical="top"/>
    </xf>
    <xf numFmtId="5" fontId="6" fillId="0" borderId="0" xfId="0" applyNumberFormat="1" applyFont="1" applyFill="1" applyAlignment="1">
      <alignment horizontal="right" vertical="top"/>
    </xf>
    <xf numFmtId="5" fontId="6" fillId="0" borderId="0" xfId="0" applyNumberFormat="1" applyFont="1" applyFill="1" applyBorder="1" applyAlignment="1">
      <alignment horizontal="right" vertical="justify"/>
    </xf>
    <xf numFmtId="5" fontId="6" fillId="0" borderId="0" xfId="0" applyNumberFormat="1" applyFont="1" applyFill="1" applyAlignment="1">
      <alignment horizontal="right" vertical="justify" wrapText="1"/>
    </xf>
    <xf numFmtId="37" fontId="6" fillId="0" borderId="0" xfId="0" applyNumberFormat="1" applyFont="1" applyFill="1" applyAlignment="1">
      <alignment horizontal="left" vertical="justify"/>
    </xf>
    <xf numFmtId="165" fontId="6" fillId="0" borderId="0" xfId="0" applyNumberFormat="1" applyFont="1" applyFill="1" applyAlignment="1">
      <alignment horizontal="right"/>
    </xf>
    <xf numFmtId="37" fontId="17" fillId="0" borderId="0" xfId="0" applyNumberFormat="1" applyFont="1" applyFill="1" applyAlignment="1"/>
    <xf numFmtId="0" fontId="17" fillId="0" borderId="0" xfId="0" applyFont="1" applyFill="1" applyAlignment="1"/>
    <xf numFmtId="37" fontId="6" fillId="0" borderId="0" xfId="2" applyNumberFormat="1" applyFont="1" applyFill="1" applyBorder="1" applyAlignment="1">
      <alignment horizontal="left"/>
    </xf>
    <xf numFmtId="37" fontId="6" fillId="0" borderId="0" xfId="0" applyNumberFormat="1" applyFont="1" applyFill="1" applyAlignment="1">
      <alignment horizontal="left" vertical="justify" wrapText="1"/>
    </xf>
    <xf numFmtId="37" fontId="14" fillId="4" borderId="0" xfId="0" applyNumberFormat="1" applyFont="1" applyFill="1" applyAlignment="1"/>
    <xf numFmtId="37" fontId="6" fillId="4" borderId="0" xfId="0" applyNumberFormat="1" applyFont="1" applyFill="1" applyBorder="1" applyAlignment="1">
      <alignment horizontal="center"/>
    </xf>
    <xf numFmtId="37" fontId="6" fillId="4" borderId="0" xfId="0" applyNumberFormat="1" applyFont="1" applyFill="1" applyAlignment="1"/>
    <xf numFmtId="5" fontId="6" fillId="4" borderId="0" xfId="0" applyNumberFormat="1" applyFont="1" applyFill="1" applyAlignment="1"/>
    <xf numFmtId="0" fontId="6" fillId="4" borderId="0" xfId="0" applyFont="1" applyFill="1" applyAlignment="1"/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37" fontId="6" fillId="0" borderId="0" xfId="0" applyNumberFormat="1" applyFont="1" applyFill="1" applyAlignment="1">
      <alignment horizontal="left"/>
    </xf>
  </cellXfs>
  <cellStyles count="11">
    <cellStyle name="Comma" xfId="1" builtinId="3"/>
    <cellStyle name="Comma0" xfId="2"/>
    <cellStyle name="Currency0" xfId="3"/>
    <cellStyle name="Date" xfId="4"/>
    <cellStyle name="Fixed" xfId="5"/>
    <cellStyle name="Heading 1" xfId="6" builtinId="16" customBuiltin="1"/>
    <cellStyle name="Heading 2" xfId="7" builtinId="17" customBuiltin="1"/>
    <cellStyle name="Hyperlink" xfId="8" builtinId="8"/>
    <cellStyle name="Normal" xfId="0" builtinId="0"/>
    <cellStyle name="Percent" xfId="9" builtinId="5"/>
    <cellStyle name="Total" xfId="10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9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AH634"/>
  <sheetViews>
    <sheetView tabSelected="1" view="pageBreakPreview" zoomScaleNormal="100" zoomScaleSheetLayoutView="100" workbookViewId="0">
      <pane xSplit="5" ySplit="9" topLeftCell="F223" activePane="bottomRight" state="frozen"/>
      <selection sqref="A1:IV65536"/>
      <selection pane="topRight" sqref="A1:IV65536"/>
      <selection pane="bottomLeft" sqref="A1:IV65536"/>
      <selection pane="bottomRight" activeCell="A238" sqref="A238"/>
    </sheetView>
  </sheetViews>
  <sheetFormatPr defaultColWidth="9.140625" defaultRowHeight="12"/>
  <cols>
    <col min="1" max="1" width="32" style="8" customWidth="1"/>
    <col min="2" max="2" width="1.7109375" style="8" customWidth="1"/>
    <col min="3" max="3" width="11.7109375" style="8" customWidth="1"/>
    <col min="4" max="4" width="1.7109375" style="8" hidden="1" customWidth="1"/>
    <col min="5" max="5" width="11.7109375" style="30" hidden="1" customWidth="1"/>
    <col min="6" max="6" width="1.7109375" style="8" customWidth="1"/>
    <col min="7" max="7" width="11.7109375" style="8" customWidth="1"/>
    <col min="8" max="8" width="1.7109375" style="8" customWidth="1"/>
    <col min="9" max="9" width="11.7109375" style="8" customWidth="1"/>
    <col min="10" max="10" width="1.7109375" style="8" customWidth="1"/>
    <col min="11" max="11" width="12.5703125" style="8" customWidth="1"/>
    <col min="12" max="12" width="1.7109375" style="8" customWidth="1"/>
    <col min="13" max="13" width="11.7109375" style="8" customWidth="1"/>
    <col min="14" max="14" width="1.7109375" style="8" customWidth="1"/>
    <col min="15" max="15" width="11.7109375" style="8" customWidth="1"/>
    <col min="16" max="16" width="1.7109375" style="8" customWidth="1"/>
    <col min="17" max="17" width="11.7109375" style="8" customWidth="1"/>
    <col min="18" max="18" width="1.7109375" style="8" customWidth="1"/>
    <col min="19" max="19" width="12" style="8" customWidth="1"/>
    <col min="20" max="20" width="1.7109375" style="8" customWidth="1"/>
    <col min="21" max="21" width="11.7109375" style="8" customWidth="1"/>
    <col min="22" max="22" width="1.7109375" style="8" customWidth="1"/>
    <col min="23" max="23" width="11.7109375" style="8" customWidth="1"/>
    <col min="24" max="24" width="1.7109375" style="8" customWidth="1"/>
    <col min="25" max="25" width="11.7109375" style="8" customWidth="1"/>
    <col min="26" max="26" width="1.7109375" style="8" customWidth="1"/>
    <col min="27" max="27" width="11.7109375" style="8" customWidth="1"/>
    <col min="28" max="28" width="1.7109375" style="8" customWidth="1"/>
    <col min="29" max="29" width="15.7109375" style="8" customWidth="1"/>
    <col min="30" max="30" width="11.7109375" style="8" customWidth="1"/>
    <col min="31" max="31" width="1.7109375" style="8" customWidth="1"/>
    <col min="32" max="32" width="11.7109375" style="8" customWidth="1"/>
    <col min="33" max="33" width="1.7109375" style="8" customWidth="1"/>
    <col min="34" max="34" width="11.7109375" style="8" customWidth="1"/>
    <col min="35" max="35" width="9.85546875" style="8" bestFit="1" customWidth="1"/>
    <col min="36" max="36" width="9.140625" style="8"/>
    <col min="37" max="37" width="9.28515625" style="8" bestFit="1" customWidth="1"/>
    <col min="38" max="16384" width="9.140625" style="8"/>
  </cols>
  <sheetData>
    <row r="1" spans="1:34">
      <c r="A1" s="141" t="s">
        <v>128</v>
      </c>
      <c r="B1" s="141"/>
      <c r="C1" s="141"/>
      <c r="D1" s="141"/>
      <c r="E1" s="141"/>
      <c r="F1" s="141"/>
      <c r="G1" s="141"/>
      <c r="H1" s="141"/>
      <c r="I1" s="141"/>
    </row>
    <row r="2" spans="1:34">
      <c r="A2" s="15" t="s">
        <v>894</v>
      </c>
    </row>
    <row r="3" spans="1:34" ht="12.75">
      <c r="A3" s="15" t="s">
        <v>805</v>
      </c>
      <c r="I3" s="71"/>
    </row>
    <row r="4" spans="1:34" ht="12.75">
      <c r="A4" s="36" t="s">
        <v>175</v>
      </c>
      <c r="I4" s="71"/>
    </row>
    <row r="5" spans="1:34">
      <c r="A5" s="22"/>
    </row>
    <row r="6" spans="1:34" s="15" customFormat="1">
      <c r="A6" s="132" t="s">
        <v>1075</v>
      </c>
      <c r="B6" s="8"/>
      <c r="C6" s="8"/>
      <c r="D6" s="8"/>
      <c r="E6" s="8"/>
      <c r="F6" s="8"/>
      <c r="G6" s="8"/>
      <c r="H6" s="8"/>
      <c r="I6" s="8"/>
      <c r="J6" s="8"/>
      <c r="K6" s="8"/>
      <c r="L6" s="18"/>
      <c r="M6" s="18"/>
      <c r="N6" s="18"/>
      <c r="O6" s="18"/>
      <c r="P6" s="18"/>
      <c r="Q6" s="18"/>
      <c r="R6" s="18"/>
      <c r="S6" s="18"/>
      <c r="AH6" s="33" t="s">
        <v>805</v>
      </c>
    </row>
    <row r="7" spans="1:34">
      <c r="G7" s="142" t="s">
        <v>87</v>
      </c>
      <c r="H7" s="142"/>
      <c r="I7" s="142"/>
      <c r="J7" s="142"/>
      <c r="K7" s="24"/>
      <c r="M7" s="142" t="s">
        <v>124</v>
      </c>
      <c r="N7" s="142"/>
      <c r="O7" s="142"/>
      <c r="P7" s="1"/>
      <c r="Q7" s="1"/>
      <c r="R7" s="24"/>
      <c r="S7" s="24"/>
      <c r="U7" s="142" t="s">
        <v>102</v>
      </c>
      <c r="V7" s="142"/>
      <c r="W7" s="142"/>
      <c r="X7" s="142"/>
      <c r="Y7" s="142"/>
      <c r="Z7" s="24"/>
      <c r="AA7" s="24"/>
      <c r="AD7" s="8" t="s">
        <v>139</v>
      </c>
      <c r="AF7" s="8" t="s">
        <v>139</v>
      </c>
    </row>
    <row r="8" spans="1:34">
      <c r="F8" s="5"/>
      <c r="G8" s="16" t="s">
        <v>101</v>
      </c>
      <c r="H8" s="16"/>
      <c r="I8" s="16" t="s">
        <v>73</v>
      </c>
      <c r="J8" s="16"/>
      <c r="K8" s="5" t="s">
        <v>3</v>
      </c>
      <c r="M8" s="16" t="s">
        <v>101</v>
      </c>
      <c r="N8" s="16"/>
      <c r="O8" s="72" t="s">
        <v>137</v>
      </c>
      <c r="P8" s="72"/>
      <c r="Q8" s="72"/>
      <c r="R8" s="5"/>
      <c r="S8" s="5" t="s">
        <v>3</v>
      </c>
      <c r="U8" s="5" t="s">
        <v>103</v>
      </c>
      <c r="V8" s="5"/>
      <c r="W8" s="5"/>
      <c r="X8" s="5"/>
      <c r="Y8" s="5"/>
      <c r="Z8" s="5"/>
      <c r="AA8" s="5" t="s">
        <v>3</v>
      </c>
      <c r="AD8" s="8" t="s">
        <v>140</v>
      </c>
      <c r="AF8" s="8" t="s">
        <v>140</v>
      </c>
    </row>
    <row r="9" spans="1:34">
      <c r="A9" s="1" t="s">
        <v>206</v>
      </c>
      <c r="B9" s="16"/>
      <c r="C9" s="1" t="s">
        <v>4</v>
      </c>
      <c r="D9" s="16"/>
      <c r="E9" s="58" t="s">
        <v>205</v>
      </c>
      <c r="F9" s="5"/>
      <c r="G9" s="1" t="s">
        <v>87</v>
      </c>
      <c r="H9" s="5"/>
      <c r="I9" s="1" t="s">
        <v>87</v>
      </c>
      <c r="J9" s="5"/>
      <c r="K9" s="1" t="s">
        <v>87</v>
      </c>
      <c r="L9" s="11"/>
      <c r="M9" s="1" t="s">
        <v>93</v>
      </c>
      <c r="N9" s="5"/>
      <c r="O9" s="1" t="s">
        <v>136</v>
      </c>
      <c r="P9" s="5"/>
      <c r="Q9" s="1" t="s">
        <v>138</v>
      </c>
      <c r="R9" s="5"/>
      <c r="S9" s="1" t="s">
        <v>93</v>
      </c>
      <c r="T9" s="11"/>
      <c r="U9" s="1" t="s">
        <v>123</v>
      </c>
      <c r="V9" s="5"/>
      <c r="W9" s="1" t="s">
        <v>104</v>
      </c>
      <c r="X9" s="5"/>
      <c r="Y9" s="1" t="s">
        <v>105</v>
      </c>
      <c r="Z9" s="5"/>
      <c r="AA9" s="1" t="s">
        <v>102</v>
      </c>
      <c r="AD9" s="8" t="s">
        <v>141</v>
      </c>
      <c r="AF9" s="8" t="s">
        <v>141</v>
      </c>
    </row>
    <row r="10" spans="1:34">
      <c r="A10" s="13"/>
      <c r="B10" s="13"/>
      <c r="C10" s="13"/>
      <c r="D10" s="13"/>
      <c r="E10" s="32"/>
      <c r="F10" s="5"/>
      <c r="G10" s="5"/>
      <c r="H10" s="5"/>
      <c r="I10" s="5"/>
      <c r="J10" s="5"/>
      <c r="K10" s="5"/>
      <c r="M10" s="5"/>
      <c r="N10" s="5"/>
      <c r="O10" s="5"/>
      <c r="P10" s="5"/>
      <c r="Q10" s="5"/>
      <c r="R10" s="5"/>
      <c r="S10" s="5"/>
      <c r="U10" s="5"/>
      <c r="V10" s="5"/>
      <c r="W10" s="5"/>
      <c r="X10" s="5"/>
      <c r="Y10" s="5"/>
      <c r="Z10" s="5"/>
      <c r="AA10" s="5"/>
    </row>
    <row r="11" spans="1:34" s="35" customFormat="1">
      <c r="A11" s="34" t="s">
        <v>207</v>
      </c>
      <c r="B11" s="34"/>
      <c r="C11" s="34" t="s">
        <v>208</v>
      </c>
      <c r="D11" s="34"/>
      <c r="E11" s="34">
        <v>61903</v>
      </c>
      <c r="F11" s="47"/>
      <c r="G11" s="35">
        <f>+K11-I11</f>
        <v>101410684</v>
      </c>
      <c r="I11" s="35">
        <f>35793508+922379</f>
        <v>36715887</v>
      </c>
      <c r="K11" s="35">
        <v>138126571</v>
      </c>
      <c r="M11" s="35">
        <f>+S11-O11-Q11</f>
        <v>19465121</v>
      </c>
      <c r="O11" s="35">
        <v>1462954</v>
      </c>
      <c r="Q11" s="35">
        <v>36199784</v>
      </c>
      <c r="S11" s="35">
        <v>57127859</v>
      </c>
      <c r="U11" s="35">
        <v>69064489</v>
      </c>
      <c r="W11" s="35">
        <f>AA11-Y11-U11</f>
        <v>8396479</v>
      </c>
      <c r="Y11" s="35">
        <v>3537744</v>
      </c>
      <c r="AA11" s="35">
        <v>80998712</v>
      </c>
      <c r="AD11" s="35">
        <f t="shared" ref="AD11:AD43" si="0">+K11-S11-AA11</f>
        <v>0</v>
      </c>
      <c r="AF11" s="35">
        <f>+G11+I11+-M11-O11-U11-W11-Y11-Q11</f>
        <v>0</v>
      </c>
    </row>
    <row r="12" spans="1:34">
      <c r="A12" s="13" t="s">
        <v>777</v>
      </c>
      <c r="B12" s="13"/>
      <c r="C12" s="13" t="s">
        <v>58</v>
      </c>
      <c r="D12" s="13"/>
      <c r="E12" s="32">
        <v>49494</v>
      </c>
      <c r="G12" s="8">
        <f t="shared" ref="G12:G80" si="1">+K12-I12</f>
        <v>7048244</v>
      </c>
      <c r="I12" s="8">
        <f>677044+19430327</f>
        <v>20107371</v>
      </c>
      <c r="K12" s="8">
        <v>27155615</v>
      </c>
      <c r="M12" s="8">
        <f t="shared" ref="M12:M80" si="2">+S12-O12-Q12</f>
        <v>3041862</v>
      </c>
      <c r="O12" s="8">
        <v>177884</v>
      </c>
      <c r="Q12" s="8">
        <v>2465876</v>
      </c>
      <c r="S12" s="8">
        <v>5685622</v>
      </c>
      <c r="U12" s="8">
        <v>18050940</v>
      </c>
      <c r="W12" s="8">
        <f t="shared" ref="W12:W80" si="3">AA12-Y12-U12</f>
        <v>1400288</v>
      </c>
      <c r="Y12" s="8">
        <v>2018765</v>
      </c>
      <c r="AA12" s="8">
        <v>21469993</v>
      </c>
      <c r="AD12" s="8">
        <f t="shared" si="0"/>
        <v>0</v>
      </c>
      <c r="AF12" s="35">
        <f>+G12+I12+-M12-O12-U12-W12-Y12-Q12</f>
        <v>0</v>
      </c>
    </row>
    <row r="13" spans="1:34">
      <c r="A13" s="13" t="s">
        <v>662</v>
      </c>
      <c r="B13" s="13"/>
      <c r="C13" s="13" t="s">
        <v>63</v>
      </c>
      <c r="D13" s="13"/>
      <c r="E13" s="32">
        <v>43489</v>
      </c>
      <c r="G13" s="8">
        <f t="shared" si="1"/>
        <v>434633137</v>
      </c>
      <c r="I13" s="8">
        <f>29415306+130428364</f>
        <v>159843670</v>
      </c>
      <c r="K13" s="8">
        <v>594476807</v>
      </c>
      <c r="M13" s="8">
        <f t="shared" si="2"/>
        <v>262789656</v>
      </c>
      <c r="O13" s="8">
        <v>1647298</v>
      </c>
      <c r="Q13" s="8">
        <v>24585107</v>
      </c>
      <c r="S13" s="8">
        <v>289022061</v>
      </c>
      <c r="U13" s="8">
        <v>159843670</v>
      </c>
      <c r="W13" s="8">
        <v>118919773</v>
      </c>
      <c r="Y13" s="8">
        <v>26691303</v>
      </c>
      <c r="AA13" s="8">
        <f>+Y13+W13+U13</f>
        <v>305454746</v>
      </c>
      <c r="AD13" s="8">
        <f t="shared" si="0"/>
        <v>0</v>
      </c>
      <c r="AF13" s="35">
        <f t="shared" ref="AF13:AF81" si="4">+G13+I13+-M13-O13-U13-W13-Y13-Q13</f>
        <v>0</v>
      </c>
    </row>
    <row r="14" spans="1:34" hidden="1">
      <c r="A14" s="108" t="s">
        <v>837</v>
      </c>
      <c r="B14" s="13"/>
      <c r="C14" s="13" t="s">
        <v>13</v>
      </c>
      <c r="D14" s="13"/>
      <c r="E14" s="32">
        <v>45906</v>
      </c>
      <c r="F14" s="11"/>
      <c r="G14" s="8">
        <f t="shared" si="1"/>
        <v>0</v>
      </c>
      <c r="M14" s="8">
        <f t="shared" si="2"/>
        <v>0</v>
      </c>
      <c r="W14" s="8">
        <f t="shared" si="3"/>
        <v>2788398</v>
      </c>
      <c r="Y14" s="8">
        <v>3057281</v>
      </c>
      <c r="AA14" s="8">
        <v>5845679</v>
      </c>
      <c r="AD14" s="8">
        <f t="shared" si="0"/>
        <v>-5845679</v>
      </c>
      <c r="AF14" s="35">
        <f t="shared" si="4"/>
        <v>-5845679</v>
      </c>
      <c r="AH14" s="8" t="s">
        <v>956</v>
      </c>
    </row>
    <row r="15" spans="1:34">
      <c r="A15" s="13" t="s">
        <v>648</v>
      </c>
      <c r="B15" s="13"/>
      <c r="C15" s="13" t="s">
        <v>62</v>
      </c>
      <c r="D15" s="13"/>
      <c r="E15" s="32">
        <v>43497</v>
      </c>
      <c r="G15" s="8">
        <f t="shared" si="1"/>
        <v>18903306</v>
      </c>
      <c r="I15" s="8">
        <f>2322643+45873203</f>
        <v>48195846</v>
      </c>
      <c r="K15" s="8">
        <v>67099152</v>
      </c>
      <c r="M15" s="8">
        <f t="shared" si="2"/>
        <v>12459724</v>
      </c>
      <c r="O15" s="8">
        <v>615117</v>
      </c>
      <c r="Q15" s="8">
        <v>12574722</v>
      </c>
      <c r="S15" s="8">
        <v>25649563</v>
      </c>
      <c r="U15" s="8">
        <v>40216973</v>
      </c>
      <c r="W15" s="8">
        <f t="shared" si="3"/>
        <v>3755528</v>
      </c>
      <c r="Y15" s="8">
        <v>-2522912</v>
      </c>
      <c r="AA15" s="8">
        <v>41449589</v>
      </c>
      <c r="AD15" s="8">
        <f t="shared" si="0"/>
        <v>0</v>
      </c>
      <c r="AF15" s="35">
        <f t="shared" si="4"/>
        <v>0</v>
      </c>
    </row>
    <row r="16" spans="1:34">
      <c r="A16" s="13" t="s">
        <v>343</v>
      </c>
      <c r="B16" s="13"/>
      <c r="C16" s="13" t="s">
        <v>25</v>
      </c>
      <c r="D16" s="13"/>
      <c r="E16" s="32">
        <v>46847</v>
      </c>
      <c r="G16" s="8">
        <f t="shared" si="1"/>
        <v>7086474</v>
      </c>
      <c r="I16" s="8">
        <f>306573+31013584</f>
        <v>31320157</v>
      </c>
      <c r="K16" s="8">
        <v>38406631</v>
      </c>
      <c r="M16" s="8">
        <f t="shared" si="2"/>
        <v>4587922</v>
      </c>
      <c r="O16" s="8">
        <v>308499</v>
      </c>
      <c r="Q16" s="8">
        <v>4104582</v>
      </c>
      <c r="S16" s="8">
        <v>9001003</v>
      </c>
      <c r="U16" s="8">
        <v>27873502</v>
      </c>
      <c r="W16" s="8">
        <f t="shared" si="3"/>
        <v>1311674</v>
      </c>
      <c r="Y16" s="8">
        <v>220452</v>
      </c>
      <c r="AA16" s="8">
        <v>29405628</v>
      </c>
      <c r="AD16" s="8">
        <f t="shared" si="0"/>
        <v>0</v>
      </c>
      <c r="AF16" s="35">
        <f t="shared" si="4"/>
        <v>0</v>
      </c>
    </row>
    <row r="17" spans="1:34">
      <c r="A17" s="13" t="s">
        <v>896</v>
      </c>
      <c r="B17" s="13"/>
      <c r="C17" s="13" t="s">
        <v>44</v>
      </c>
      <c r="D17" s="13"/>
      <c r="E17" s="13">
        <v>45195</v>
      </c>
      <c r="F17" s="5"/>
      <c r="G17" s="8">
        <f>+K17-I17</f>
        <v>25863138</v>
      </c>
      <c r="I17" s="8">
        <f>1155952+26254686</f>
        <v>27410638</v>
      </c>
      <c r="K17" s="8">
        <v>53273776</v>
      </c>
      <c r="M17" s="8">
        <f>+S17-O17-Q17</f>
        <v>20527892</v>
      </c>
      <c r="O17" s="8">
        <v>1388011</v>
      </c>
      <c r="Q17" s="8">
        <v>23558721</v>
      </c>
      <c r="S17" s="8">
        <v>45474624</v>
      </c>
      <c r="U17" s="8">
        <v>5931203</v>
      </c>
      <c r="W17" s="8">
        <f>AA17-Y17-U17</f>
        <v>3073035</v>
      </c>
      <c r="Y17" s="8">
        <v>-1205086</v>
      </c>
      <c r="AA17" s="8">
        <v>7799152</v>
      </c>
      <c r="AD17" s="8">
        <f t="shared" si="0"/>
        <v>0</v>
      </c>
      <c r="AF17" s="35">
        <f t="shared" si="4"/>
        <v>0</v>
      </c>
    </row>
    <row r="18" spans="1:34">
      <c r="A18" s="13" t="s">
        <v>641</v>
      </c>
      <c r="B18" s="13"/>
      <c r="C18" s="13" t="s">
        <v>61</v>
      </c>
      <c r="D18" s="13"/>
      <c r="E18" s="32">
        <v>49759</v>
      </c>
      <c r="G18" s="8">
        <f t="shared" si="1"/>
        <v>8871616</v>
      </c>
      <c r="I18" s="8">
        <f>10555638+840933</f>
        <v>11396571</v>
      </c>
      <c r="K18" s="8">
        <v>20268187</v>
      </c>
      <c r="M18" s="8">
        <f t="shared" si="2"/>
        <v>3007501</v>
      </c>
      <c r="O18" s="8">
        <v>267896</v>
      </c>
      <c r="Q18" s="8">
        <v>4430612</v>
      </c>
      <c r="S18" s="8">
        <v>7706009</v>
      </c>
      <c r="U18" s="8">
        <v>7258892</v>
      </c>
      <c r="W18" s="8">
        <f t="shared" si="3"/>
        <v>2471377</v>
      </c>
      <c r="Y18" s="8">
        <v>2831909</v>
      </c>
      <c r="AA18" s="8">
        <v>12562178</v>
      </c>
      <c r="AD18" s="8">
        <f t="shared" si="0"/>
        <v>0</v>
      </c>
      <c r="AF18" s="35">
        <f t="shared" si="4"/>
        <v>0</v>
      </c>
    </row>
    <row r="19" spans="1:34" hidden="1">
      <c r="A19" s="13" t="s">
        <v>1019</v>
      </c>
      <c r="B19" s="13"/>
      <c r="C19" s="13" t="s">
        <v>814</v>
      </c>
      <c r="D19" s="13"/>
      <c r="E19" s="32"/>
      <c r="G19" s="8">
        <f t="shared" si="1"/>
        <v>1397973</v>
      </c>
      <c r="K19" s="8">
        <v>1397973</v>
      </c>
      <c r="W19" s="8">
        <f t="shared" si="3"/>
        <v>562729</v>
      </c>
      <c r="Y19" s="8">
        <v>835244</v>
      </c>
      <c r="AA19" s="8">
        <v>1397973</v>
      </c>
      <c r="AD19" s="8">
        <f t="shared" si="0"/>
        <v>0</v>
      </c>
      <c r="AF19" s="35">
        <f t="shared" si="4"/>
        <v>0</v>
      </c>
    </row>
    <row r="20" spans="1:34">
      <c r="A20" s="13" t="s">
        <v>496</v>
      </c>
      <c r="B20" s="13"/>
      <c r="C20" s="13" t="s">
        <v>117</v>
      </c>
      <c r="D20" s="13"/>
      <c r="E20" s="32">
        <v>48207</v>
      </c>
      <c r="G20" s="8">
        <f t="shared" si="1"/>
        <v>33857118</v>
      </c>
      <c r="I20" s="8">
        <f>1848060+23331531</f>
        <v>25179591</v>
      </c>
      <c r="K20" s="8">
        <v>59036709</v>
      </c>
      <c r="M20" s="8">
        <f t="shared" si="2"/>
        <v>26347096</v>
      </c>
      <c r="O20" s="8">
        <v>2313136</v>
      </c>
      <c r="Q20" s="8">
        <v>25084128</v>
      </c>
      <c r="S20" s="8">
        <v>53744360</v>
      </c>
      <c r="U20" s="8">
        <v>2728682</v>
      </c>
      <c r="W20" s="8">
        <f t="shared" si="3"/>
        <v>4737922</v>
      </c>
      <c r="Y20" s="8">
        <v>-2174255</v>
      </c>
      <c r="AA20" s="8">
        <v>5292349</v>
      </c>
      <c r="AD20" s="8">
        <f t="shared" si="0"/>
        <v>0</v>
      </c>
      <c r="AF20" s="35">
        <f t="shared" si="4"/>
        <v>0</v>
      </c>
    </row>
    <row r="21" spans="1:34">
      <c r="A21" s="13" t="s">
        <v>413</v>
      </c>
      <c r="B21" s="13"/>
      <c r="C21" s="13" t="s">
        <v>33</v>
      </c>
      <c r="D21" s="13"/>
      <c r="E21" s="32">
        <v>47415</v>
      </c>
      <c r="G21" s="8">
        <f t="shared" si="1"/>
        <v>5293931</v>
      </c>
      <c r="I21" s="8">
        <f>27410+1611001</f>
        <v>1638411</v>
      </c>
      <c r="K21" s="8">
        <v>6932342</v>
      </c>
      <c r="M21" s="8">
        <f t="shared" si="2"/>
        <v>2367333</v>
      </c>
      <c r="O21" s="8">
        <v>29827</v>
      </c>
      <c r="Q21" s="8">
        <v>317998</v>
      </c>
      <c r="S21" s="8">
        <v>2715158</v>
      </c>
      <c r="U21" s="8">
        <v>1638411</v>
      </c>
      <c r="W21" s="8">
        <f t="shared" si="3"/>
        <v>333414</v>
      </c>
      <c r="Y21" s="8">
        <v>2245359</v>
      </c>
      <c r="AA21" s="8">
        <v>4217184</v>
      </c>
      <c r="AD21" s="8">
        <f t="shared" si="0"/>
        <v>0</v>
      </c>
      <c r="AF21" s="35">
        <f t="shared" si="4"/>
        <v>0</v>
      </c>
    </row>
    <row r="22" spans="1:34" hidden="1">
      <c r="A22" s="108" t="s">
        <v>958</v>
      </c>
      <c r="B22" s="13"/>
      <c r="C22" s="13" t="s">
        <v>21</v>
      </c>
      <c r="D22" s="13"/>
      <c r="E22" s="32">
        <v>46631</v>
      </c>
      <c r="G22" s="8">
        <f t="shared" si="1"/>
        <v>23664962</v>
      </c>
      <c r="K22" s="8">
        <v>23664962</v>
      </c>
      <c r="M22" s="8">
        <f t="shared" si="2"/>
        <v>0</v>
      </c>
      <c r="W22" s="8">
        <f t="shared" si="3"/>
        <v>21939548</v>
      </c>
      <c r="Y22" s="8">
        <v>1725414</v>
      </c>
      <c r="AA22" s="8">
        <v>23664962</v>
      </c>
      <c r="AD22" s="8">
        <f t="shared" si="0"/>
        <v>0</v>
      </c>
      <c r="AF22" s="35">
        <f t="shared" si="4"/>
        <v>0</v>
      </c>
      <c r="AH22" s="8" t="s">
        <v>956</v>
      </c>
    </row>
    <row r="23" spans="1:34">
      <c r="A23" s="13" t="s">
        <v>368</v>
      </c>
      <c r="B23" s="13"/>
      <c r="C23" s="13" t="s">
        <v>28</v>
      </c>
      <c r="D23" s="13"/>
      <c r="E23" s="32">
        <v>47043</v>
      </c>
      <c r="G23" s="8">
        <f t="shared" si="1"/>
        <v>17141936</v>
      </c>
      <c r="I23" s="8">
        <f>583053+17106824</f>
        <v>17689877</v>
      </c>
      <c r="K23" s="8">
        <v>34831813</v>
      </c>
      <c r="M23" s="8">
        <f t="shared" si="2"/>
        <v>8260290</v>
      </c>
      <c r="O23" s="8">
        <v>1251631</v>
      </c>
      <c r="Q23" s="8">
        <v>12090003</v>
      </c>
      <c r="S23" s="8">
        <v>21601924</v>
      </c>
      <c r="U23" s="8">
        <v>6962911</v>
      </c>
      <c r="W23" s="8">
        <f t="shared" si="3"/>
        <v>4000119</v>
      </c>
      <c r="Y23" s="8">
        <v>2266859</v>
      </c>
      <c r="AA23" s="8">
        <v>13229889</v>
      </c>
      <c r="AD23" s="8">
        <f t="shared" si="0"/>
        <v>0</v>
      </c>
      <c r="AF23" s="35">
        <f t="shared" si="4"/>
        <v>0</v>
      </c>
    </row>
    <row r="24" spans="1:34">
      <c r="A24" s="13" t="s">
        <v>414</v>
      </c>
      <c r="B24" s="13"/>
      <c r="C24" s="13" t="s">
        <v>33</v>
      </c>
      <c r="D24" s="13"/>
      <c r="E24" s="32">
        <v>47423</v>
      </c>
      <c r="G24" s="8">
        <f t="shared" si="1"/>
        <v>4997707</v>
      </c>
      <c r="I24" s="8">
        <f>309090+4023815</f>
        <v>4332905</v>
      </c>
      <c r="K24" s="8">
        <v>9330612</v>
      </c>
      <c r="M24" s="8">
        <f t="shared" si="2"/>
        <v>1805344</v>
      </c>
      <c r="O24" s="8">
        <v>30118</v>
      </c>
      <c r="Q24" s="8">
        <v>950352</v>
      </c>
      <c r="S24" s="8">
        <v>2785814</v>
      </c>
      <c r="U24" s="8">
        <v>3882025</v>
      </c>
      <c r="W24" s="8">
        <f t="shared" si="3"/>
        <v>549951</v>
      </c>
      <c r="Y24" s="8">
        <v>2112822</v>
      </c>
      <c r="AA24" s="8">
        <v>6544798</v>
      </c>
      <c r="AD24" s="8">
        <f t="shared" si="0"/>
        <v>0</v>
      </c>
      <c r="AF24" s="35">
        <f t="shared" si="4"/>
        <v>0</v>
      </c>
    </row>
    <row r="25" spans="1:34" ht="11.25" customHeight="1">
      <c r="A25" s="13" t="s">
        <v>213</v>
      </c>
      <c r="B25" s="13"/>
      <c r="C25" s="13" t="s">
        <v>11</v>
      </c>
      <c r="D25" s="13"/>
      <c r="E25" s="32">
        <v>43505</v>
      </c>
      <c r="F25" s="11"/>
      <c r="G25" s="8">
        <f t="shared" si="1"/>
        <v>26415932</v>
      </c>
      <c r="I25" s="8">
        <f>757979+10839650</f>
        <v>11597629</v>
      </c>
      <c r="K25" s="8">
        <v>38013561</v>
      </c>
      <c r="M25" s="8">
        <f t="shared" si="2"/>
        <v>14815437</v>
      </c>
      <c r="O25" s="8">
        <v>1012829</v>
      </c>
      <c r="Q25" s="8">
        <v>5785491</v>
      </c>
      <c r="S25" s="8">
        <v>21613757</v>
      </c>
      <c r="U25" s="8">
        <v>7193629</v>
      </c>
      <c r="W25" s="8">
        <f t="shared" si="3"/>
        <v>1160288</v>
      </c>
      <c r="Y25" s="8">
        <v>8045887</v>
      </c>
      <c r="AA25" s="8">
        <v>16399804</v>
      </c>
      <c r="AD25" s="8">
        <f t="shared" si="0"/>
        <v>0</v>
      </c>
      <c r="AF25" s="35">
        <f t="shared" si="4"/>
        <v>0</v>
      </c>
    </row>
    <row r="26" spans="1:34">
      <c r="A26" s="13" t="s">
        <v>957</v>
      </c>
      <c r="B26" s="13"/>
      <c r="C26" s="13" t="s">
        <v>12</v>
      </c>
      <c r="D26" s="13"/>
      <c r="E26" s="32">
        <v>43513</v>
      </c>
      <c r="F26" s="11"/>
      <c r="G26" s="8">
        <f t="shared" si="1"/>
        <v>45572481</v>
      </c>
      <c r="I26" s="8">
        <v>69904437</v>
      </c>
      <c r="K26" s="8">
        <v>115476918</v>
      </c>
      <c r="M26" s="8">
        <f t="shared" si="2"/>
        <v>11198464</v>
      </c>
      <c r="O26" s="8">
        <v>2375939</v>
      </c>
      <c r="Q26" s="8">
        <v>42249903</v>
      </c>
      <c r="S26" s="8">
        <v>55824306</v>
      </c>
      <c r="U26" s="8">
        <v>30855063</v>
      </c>
      <c r="W26" s="8">
        <f t="shared" si="3"/>
        <v>27316161</v>
      </c>
      <c r="Y26" s="8">
        <v>1481388</v>
      </c>
      <c r="AA26" s="8">
        <v>59652612</v>
      </c>
      <c r="AD26" s="8">
        <f t="shared" si="0"/>
        <v>0</v>
      </c>
      <c r="AF26" s="35">
        <f t="shared" si="4"/>
        <v>0</v>
      </c>
      <c r="AH26" s="8" t="s">
        <v>956</v>
      </c>
    </row>
    <row r="27" spans="1:34">
      <c r="A27" s="13" t="s">
        <v>223</v>
      </c>
      <c r="B27" s="13"/>
      <c r="C27" s="13" t="s">
        <v>13</v>
      </c>
      <c r="D27" s="13"/>
      <c r="E27" s="32">
        <v>43521</v>
      </c>
      <c r="F27" s="11"/>
      <c r="G27" s="8">
        <f t="shared" si="1"/>
        <v>43601123</v>
      </c>
      <c r="I27" s="8">
        <v>20666370</v>
      </c>
      <c r="K27" s="8">
        <v>64267493</v>
      </c>
      <c r="M27" s="8">
        <f t="shared" si="2"/>
        <v>24160758</v>
      </c>
      <c r="O27" s="8">
        <v>911283</v>
      </c>
      <c r="Q27" s="8">
        <v>15577858</v>
      </c>
      <c r="S27" s="8">
        <v>40649899</v>
      </c>
      <c r="U27" s="8">
        <v>6735851</v>
      </c>
      <c r="W27" s="8">
        <f t="shared" si="3"/>
        <v>7014279</v>
      </c>
      <c r="Y27" s="8">
        <v>9867464</v>
      </c>
      <c r="AA27" s="8">
        <v>23617594</v>
      </c>
      <c r="AD27" s="8">
        <f t="shared" si="0"/>
        <v>0</v>
      </c>
      <c r="AF27" s="35">
        <f t="shared" si="4"/>
        <v>0</v>
      </c>
      <c r="AH27" s="8" t="s">
        <v>956</v>
      </c>
    </row>
    <row r="28" spans="1:34">
      <c r="A28" s="13" t="s">
        <v>588</v>
      </c>
      <c r="B28" s="13"/>
      <c r="C28" s="13" t="s">
        <v>56</v>
      </c>
      <c r="D28" s="13"/>
      <c r="E28" s="32">
        <v>49171</v>
      </c>
      <c r="G28" s="8">
        <f t="shared" si="1"/>
        <v>28048378</v>
      </c>
      <c r="I28" s="8">
        <f>2025550+18478442</f>
        <v>20503992</v>
      </c>
      <c r="K28" s="8">
        <v>48552370</v>
      </c>
      <c r="M28" s="8">
        <f t="shared" si="2"/>
        <v>5497688</v>
      </c>
      <c r="O28" s="8">
        <v>1342760</v>
      </c>
      <c r="Q28" s="8">
        <v>38988692</v>
      </c>
      <c r="S28" s="8">
        <v>45829140</v>
      </c>
      <c r="U28" s="8">
        <v>572669</v>
      </c>
      <c r="W28" s="8">
        <f t="shared" si="3"/>
        <v>779516</v>
      </c>
      <c r="Y28" s="8">
        <v>1371045</v>
      </c>
      <c r="AA28" s="8">
        <v>2723230</v>
      </c>
      <c r="AD28" s="8">
        <f t="shared" si="0"/>
        <v>0</v>
      </c>
      <c r="AF28" s="35">
        <f t="shared" si="4"/>
        <v>0</v>
      </c>
    </row>
    <row r="29" spans="1:34">
      <c r="A29" s="13" t="s">
        <v>508</v>
      </c>
      <c r="B29" s="13"/>
      <c r="C29" s="13" t="s">
        <v>45</v>
      </c>
      <c r="D29" s="13"/>
      <c r="E29" s="32">
        <v>48298</v>
      </c>
      <c r="G29" s="8">
        <f t="shared" si="1"/>
        <v>27057465</v>
      </c>
      <c r="I29" s="8">
        <v>36109203</v>
      </c>
      <c r="K29" s="8">
        <v>63166668</v>
      </c>
      <c r="M29" s="8">
        <f t="shared" si="2"/>
        <v>22249475</v>
      </c>
      <c r="O29" s="8">
        <f>1232000+875</f>
        <v>1232875</v>
      </c>
      <c r="Q29" s="8">
        <f>28192274+875</f>
        <v>28193149</v>
      </c>
      <c r="S29" s="8">
        <v>51675499</v>
      </c>
      <c r="U29" s="8">
        <v>11836332</v>
      </c>
      <c r="W29" s="8">
        <f t="shared" si="3"/>
        <v>2557821</v>
      </c>
      <c r="Y29" s="8">
        <v>-2902984</v>
      </c>
      <c r="AA29" s="8">
        <v>11491169</v>
      </c>
      <c r="AD29" s="8">
        <f t="shared" si="0"/>
        <v>0</v>
      </c>
      <c r="AF29" s="35">
        <f t="shared" si="4"/>
        <v>0</v>
      </c>
      <c r="AH29" s="8" t="s">
        <v>956</v>
      </c>
    </row>
    <row r="30" spans="1:34">
      <c r="A30" s="13" t="s">
        <v>483</v>
      </c>
      <c r="B30" s="13"/>
      <c r="C30" s="13" t="s">
        <v>44</v>
      </c>
      <c r="D30" s="13"/>
      <c r="E30" s="32">
        <v>48124</v>
      </c>
      <c r="G30" s="8">
        <f t="shared" si="1"/>
        <v>60730656</v>
      </c>
      <c r="I30" s="8">
        <v>48588714</v>
      </c>
      <c r="K30" s="8">
        <v>109319370</v>
      </c>
      <c r="M30" s="8">
        <f t="shared" si="2"/>
        <v>36041900</v>
      </c>
      <c r="O30" s="8">
        <v>1712020</v>
      </c>
      <c r="Q30" s="8">
        <v>44039294</v>
      </c>
      <c r="S30" s="8">
        <v>81793214</v>
      </c>
      <c r="U30" s="8">
        <v>10893237</v>
      </c>
      <c r="W30" s="8">
        <f t="shared" si="3"/>
        <v>4855418</v>
      </c>
      <c r="Y30" s="8">
        <v>11777501</v>
      </c>
      <c r="AA30" s="8">
        <v>27526156</v>
      </c>
      <c r="AD30" s="8">
        <f t="shared" si="0"/>
        <v>0</v>
      </c>
      <c r="AF30" s="35">
        <f t="shared" si="4"/>
        <v>0</v>
      </c>
      <c r="AH30" s="8" t="s">
        <v>956</v>
      </c>
    </row>
    <row r="31" spans="1:34">
      <c r="A31" s="13" t="s">
        <v>484</v>
      </c>
      <c r="B31" s="13"/>
      <c r="C31" s="13" t="s">
        <v>44</v>
      </c>
      <c r="D31" s="13"/>
      <c r="E31" s="32">
        <v>48116</v>
      </c>
      <c r="G31" s="8">
        <f t="shared" si="1"/>
        <v>37474029</v>
      </c>
      <c r="I31" s="8">
        <v>54005952</v>
      </c>
      <c r="K31" s="8">
        <v>91479981</v>
      </c>
      <c r="M31" s="8">
        <f t="shared" si="2"/>
        <v>28134240</v>
      </c>
      <c r="O31" s="8">
        <v>2756092</v>
      </c>
      <c r="Q31" s="8">
        <v>42639614</v>
      </c>
      <c r="S31" s="8">
        <v>73529946</v>
      </c>
      <c r="U31" s="8">
        <v>12838255</v>
      </c>
      <c r="W31" s="8">
        <f t="shared" si="3"/>
        <v>4434847</v>
      </c>
      <c r="Y31" s="8">
        <v>676933</v>
      </c>
      <c r="AA31" s="8">
        <v>17950035</v>
      </c>
      <c r="AD31" s="8">
        <f t="shared" si="0"/>
        <v>0</v>
      </c>
      <c r="AF31" s="35">
        <f t="shared" si="4"/>
        <v>0</v>
      </c>
      <c r="AH31" s="8" t="s">
        <v>956</v>
      </c>
    </row>
    <row r="32" spans="1:34">
      <c r="A32" s="13" t="s">
        <v>330</v>
      </c>
      <c r="B32" s="13"/>
      <c r="C32" s="13" t="s">
        <v>22</v>
      </c>
      <c r="D32" s="13"/>
      <c r="E32" s="32">
        <v>46706</v>
      </c>
      <c r="G32" s="8">
        <f t="shared" si="1"/>
        <v>6273927</v>
      </c>
      <c r="I32" s="8">
        <v>2664754</v>
      </c>
      <c r="K32" s="8">
        <v>8938681</v>
      </c>
      <c r="M32" s="8">
        <f t="shared" si="2"/>
        <v>2919937</v>
      </c>
      <c r="O32" s="8">
        <v>141712</v>
      </c>
      <c r="Q32" s="8">
        <v>798310</v>
      </c>
      <c r="S32" s="8">
        <v>3859959</v>
      </c>
      <c r="U32" s="8">
        <v>2532513</v>
      </c>
      <c r="W32" s="8">
        <f t="shared" si="3"/>
        <v>371866</v>
      </c>
      <c r="Y32" s="8">
        <v>2174343</v>
      </c>
      <c r="AA32" s="8">
        <v>5078722</v>
      </c>
      <c r="AD32" s="8">
        <f t="shared" si="0"/>
        <v>0</v>
      </c>
      <c r="AF32" s="35">
        <f t="shared" si="4"/>
        <v>0</v>
      </c>
      <c r="AH32" s="8" t="s">
        <v>956</v>
      </c>
    </row>
    <row r="33" spans="1:34">
      <c r="A33" s="13" t="s">
        <v>663</v>
      </c>
      <c r="B33" s="13"/>
      <c r="C33" s="13" t="s">
        <v>63</v>
      </c>
      <c r="D33" s="13"/>
      <c r="E33" s="32">
        <v>43539</v>
      </c>
      <c r="G33" s="8">
        <f t="shared" si="1"/>
        <v>105361188</v>
      </c>
      <c r="I33" s="8">
        <f>15755923+5457005+38278206</f>
        <v>59491134</v>
      </c>
      <c r="K33" s="8">
        <v>164852322</v>
      </c>
      <c r="M33" s="8">
        <f t="shared" si="2"/>
        <v>18619058</v>
      </c>
      <c r="O33" s="8">
        <v>2942023</v>
      </c>
      <c r="Q33" s="8">
        <v>59065498</v>
      </c>
      <c r="S33" s="8">
        <v>80626579</v>
      </c>
      <c r="U33" s="8">
        <v>32759052</v>
      </c>
      <c r="W33" s="8">
        <f t="shared" si="3"/>
        <v>44055600</v>
      </c>
      <c r="Y33" s="8">
        <v>7411091</v>
      </c>
      <c r="AA33" s="8">
        <v>84225743</v>
      </c>
      <c r="AD33" s="8">
        <f t="shared" si="0"/>
        <v>0</v>
      </c>
      <c r="AF33" s="35">
        <f t="shared" si="4"/>
        <v>0</v>
      </c>
    </row>
    <row r="34" spans="1:34">
      <c r="A34" s="13" t="s">
        <v>815</v>
      </c>
      <c r="B34" s="13"/>
      <c r="C34" s="13" t="s">
        <v>15</v>
      </c>
      <c r="D34" s="13"/>
      <c r="E34" s="32"/>
      <c r="G34" s="8">
        <f t="shared" si="1"/>
        <v>5998268</v>
      </c>
      <c r="I34" s="8">
        <f>272950+16263184</f>
        <v>16536134</v>
      </c>
      <c r="K34" s="8">
        <v>22534402</v>
      </c>
      <c r="M34" s="8">
        <f t="shared" si="2"/>
        <v>3256770</v>
      </c>
      <c r="O34" s="8">
        <v>206429</v>
      </c>
      <c r="Q34" s="8">
        <v>3253151</v>
      </c>
      <c r="S34" s="8">
        <v>6716350</v>
      </c>
      <c r="U34" s="8">
        <v>13874601</v>
      </c>
      <c r="W34" s="8">
        <f t="shared" si="3"/>
        <v>904248</v>
      </c>
      <c r="Y34" s="8">
        <v>1039203</v>
      </c>
      <c r="AA34" s="8">
        <v>15818052</v>
      </c>
      <c r="AD34" s="8">
        <f t="shared" si="0"/>
        <v>0</v>
      </c>
      <c r="AF34" s="35">
        <f t="shared" si="4"/>
        <v>0</v>
      </c>
    </row>
    <row r="35" spans="1:34">
      <c r="A35" s="13" t="s">
        <v>266</v>
      </c>
      <c r="B35" s="13"/>
      <c r="C35" s="13" t="s">
        <v>115</v>
      </c>
      <c r="D35" s="13"/>
      <c r="E35" s="32">
        <v>46300</v>
      </c>
      <c r="F35" s="11"/>
      <c r="G35" s="8">
        <f t="shared" si="1"/>
        <v>11355454</v>
      </c>
      <c r="I35" s="8">
        <f>1230447+8103434</f>
        <v>9333881</v>
      </c>
      <c r="K35" s="8">
        <v>20689335</v>
      </c>
      <c r="M35" s="8">
        <f t="shared" si="2"/>
        <v>8272252</v>
      </c>
      <c r="O35" s="8">
        <v>545164</v>
      </c>
      <c r="Q35" s="8">
        <f>7677243-545164</f>
        <v>7132079</v>
      </c>
      <c r="S35" s="8">
        <v>15949495</v>
      </c>
      <c r="U35" s="8">
        <v>2269636</v>
      </c>
      <c r="W35" s="8">
        <f t="shared" si="3"/>
        <v>2714966</v>
      </c>
      <c r="Y35" s="8">
        <v>-244762</v>
      </c>
      <c r="AA35" s="8">
        <v>4739840</v>
      </c>
      <c r="AD35" s="8">
        <f t="shared" si="0"/>
        <v>0</v>
      </c>
      <c r="AF35" s="35">
        <f t="shared" si="4"/>
        <v>0</v>
      </c>
    </row>
    <row r="36" spans="1:34" ht="12" hidden="1" customHeight="1">
      <c r="A36" s="108" t="s">
        <v>960</v>
      </c>
      <c r="B36" s="13"/>
      <c r="C36" s="13" t="s">
        <v>10</v>
      </c>
      <c r="D36" s="13"/>
      <c r="E36" s="32">
        <v>45765</v>
      </c>
      <c r="F36" s="11"/>
      <c r="G36" s="8">
        <f t="shared" si="1"/>
        <v>1880030</v>
      </c>
      <c r="I36" s="8">
        <v>12464888</v>
      </c>
      <c r="K36" s="8">
        <v>14344918</v>
      </c>
      <c r="M36" s="8">
        <f t="shared" si="2"/>
        <v>0</v>
      </c>
      <c r="W36" s="8">
        <f t="shared" si="3"/>
        <v>2317555</v>
      </c>
      <c r="Y36" s="8">
        <v>12027363</v>
      </c>
      <c r="AA36" s="8">
        <v>14344918</v>
      </c>
      <c r="AD36" s="8">
        <f t="shared" si="0"/>
        <v>0</v>
      </c>
      <c r="AF36" s="35">
        <f t="shared" si="4"/>
        <v>0</v>
      </c>
      <c r="AH36" s="8" t="s">
        <v>956</v>
      </c>
    </row>
    <row r="37" spans="1:34">
      <c r="A37" s="13" t="s">
        <v>874</v>
      </c>
      <c r="B37" s="13"/>
      <c r="C37" s="13" t="s">
        <v>20</v>
      </c>
      <c r="D37" s="13"/>
      <c r="E37" s="32">
        <v>43547</v>
      </c>
      <c r="G37" s="8">
        <f t="shared" si="1"/>
        <v>31849319</v>
      </c>
      <c r="I37" s="8">
        <f>617400+28417544</f>
        <v>29034944</v>
      </c>
      <c r="K37" s="8">
        <v>60884263</v>
      </c>
      <c r="M37" s="8">
        <f t="shared" si="2"/>
        <v>21926031</v>
      </c>
      <c r="O37" s="8">
        <v>1426469</v>
      </c>
      <c r="Q37" s="8">
        <v>20129678</v>
      </c>
      <c r="S37" s="8">
        <v>43482178</v>
      </c>
      <c r="U37" s="8">
        <v>10670167</v>
      </c>
      <c r="W37" s="8">
        <f t="shared" si="3"/>
        <v>3871850</v>
      </c>
      <c r="Y37" s="8">
        <v>2860068</v>
      </c>
      <c r="AA37" s="8">
        <v>17402085</v>
      </c>
      <c r="AD37" s="8">
        <f t="shared" si="0"/>
        <v>0</v>
      </c>
      <c r="AF37" s="35">
        <f t="shared" si="4"/>
        <v>0</v>
      </c>
    </row>
    <row r="38" spans="1:34">
      <c r="A38" s="13" t="s">
        <v>297</v>
      </c>
      <c r="B38" s="13"/>
      <c r="C38" s="13" t="s">
        <v>20</v>
      </c>
      <c r="D38" s="13"/>
      <c r="E38" s="32">
        <v>43554</v>
      </c>
      <c r="G38" s="8">
        <f t="shared" si="1"/>
        <v>45807738</v>
      </c>
      <c r="I38" s="8">
        <f>831499+28627576</f>
        <v>29459075</v>
      </c>
      <c r="K38" s="8">
        <v>75266813</v>
      </c>
      <c r="M38" s="8">
        <f t="shared" si="2"/>
        <v>22786674</v>
      </c>
      <c r="O38" s="8">
        <v>1772866</v>
      </c>
      <c r="Q38" s="8">
        <v>15820867</v>
      </c>
      <c r="S38" s="8">
        <v>40380407</v>
      </c>
      <c r="U38" s="8">
        <v>15016809</v>
      </c>
      <c r="W38" s="8">
        <f t="shared" si="3"/>
        <v>2802805</v>
      </c>
      <c r="Y38" s="8">
        <v>17066792</v>
      </c>
      <c r="AA38" s="8">
        <v>34886406</v>
      </c>
      <c r="AD38" s="8">
        <f t="shared" si="0"/>
        <v>0</v>
      </c>
      <c r="AF38" s="35">
        <f t="shared" si="4"/>
        <v>0</v>
      </c>
    </row>
    <row r="39" spans="1:34">
      <c r="A39" s="13" t="s">
        <v>278</v>
      </c>
      <c r="B39" s="13"/>
      <c r="C39" s="13" t="s">
        <v>114</v>
      </c>
      <c r="D39" s="13"/>
      <c r="E39" s="32">
        <v>46425</v>
      </c>
      <c r="G39" s="8">
        <v>5906762</v>
      </c>
      <c r="I39" s="8">
        <v>2759467</v>
      </c>
      <c r="K39" s="8">
        <v>8666229</v>
      </c>
      <c r="M39" s="8">
        <v>7810472</v>
      </c>
      <c r="O39" s="8">
        <v>78847</v>
      </c>
      <c r="Q39" s="8">
        <f>1460321-78847</f>
        <v>1381474</v>
      </c>
      <c r="S39" s="8">
        <v>9270793</v>
      </c>
      <c r="U39" s="8">
        <v>2750056</v>
      </c>
      <c r="W39" s="8">
        <f>AA39-Y39-U39</f>
        <v>282471</v>
      </c>
      <c r="Y39" s="8">
        <v>-3637091</v>
      </c>
      <c r="AA39" s="8">
        <v>-604564</v>
      </c>
      <c r="AD39" s="8">
        <f t="shared" si="0"/>
        <v>0</v>
      </c>
      <c r="AF39" s="35">
        <f t="shared" si="4"/>
        <v>0</v>
      </c>
    </row>
    <row r="40" spans="1:34">
      <c r="A40" s="13" t="s">
        <v>384</v>
      </c>
      <c r="B40" s="13"/>
      <c r="C40" s="13" t="s">
        <v>116</v>
      </c>
      <c r="D40" s="13"/>
      <c r="E40" s="32">
        <v>47241</v>
      </c>
      <c r="G40" s="8">
        <f t="shared" si="1"/>
        <v>260249627</v>
      </c>
      <c r="I40" s="8">
        <f>759834+31151639</f>
        <v>31911473</v>
      </c>
      <c r="K40" s="8">
        <v>292161100</v>
      </c>
      <c r="M40" s="8">
        <f t="shared" si="2"/>
        <v>57269619</v>
      </c>
      <c r="O40" s="8">
        <v>88431478</v>
      </c>
      <c r="Q40" s="8">
        <f>204339925-88431478</f>
        <v>115908447</v>
      </c>
      <c r="S40" s="8">
        <v>261609544</v>
      </c>
      <c r="U40" s="8">
        <v>-73151446</v>
      </c>
      <c r="W40" s="8">
        <f t="shared" si="3"/>
        <v>92082514</v>
      </c>
      <c r="Y40" s="8">
        <v>11620488</v>
      </c>
      <c r="AA40" s="8">
        <v>30551556</v>
      </c>
      <c r="AD40" s="8">
        <f t="shared" si="0"/>
        <v>0</v>
      </c>
      <c r="AF40" s="35">
        <f t="shared" si="4"/>
        <v>0</v>
      </c>
    </row>
    <row r="41" spans="1:34">
      <c r="A41" s="13" t="s">
        <v>298</v>
      </c>
      <c r="B41" s="13"/>
      <c r="C41" s="13" t="s">
        <v>20</v>
      </c>
      <c r="D41" s="13"/>
      <c r="E41" s="32">
        <v>43562</v>
      </c>
      <c r="G41" s="8">
        <f t="shared" si="1"/>
        <v>49236638</v>
      </c>
      <c r="I41" s="8">
        <v>20982548</v>
      </c>
      <c r="K41" s="8">
        <v>70219186</v>
      </c>
      <c r="M41" s="8">
        <f t="shared" si="2"/>
        <v>27010224</v>
      </c>
      <c r="O41" s="8">
        <v>2578161</v>
      </c>
      <c r="Q41" s="8">
        <f>11329474-2578161</f>
        <v>8751313</v>
      </c>
      <c r="S41" s="8">
        <v>38339698</v>
      </c>
      <c r="U41" s="8">
        <v>13426705</v>
      </c>
      <c r="W41" s="8">
        <f t="shared" si="3"/>
        <v>4144524</v>
      </c>
      <c r="Y41" s="8">
        <v>14308259</v>
      </c>
      <c r="AA41" s="8">
        <v>31879488</v>
      </c>
      <c r="AD41" s="8">
        <f t="shared" si="0"/>
        <v>0</v>
      </c>
      <c r="AF41" s="35">
        <f t="shared" si="4"/>
        <v>0</v>
      </c>
    </row>
    <row r="42" spans="1:34">
      <c r="A42" s="13" t="s">
        <v>231</v>
      </c>
      <c r="B42" s="13"/>
      <c r="C42" s="13" t="s">
        <v>15</v>
      </c>
      <c r="D42" s="13"/>
      <c r="E42" s="32">
        <v>43570</v>
      </c>
      <c r="F42" s="11"/>
      <c r="G42" s="8">
        <f t="shared" si="1"/>
        <v>4662183</v>
      </c>
      <c r="I42" s="8">
        <v>21873238</v>
      </c>
      <c r="K42" s="8">
        <v>26535421</v>
      </c>
      <c r="M42" s="8">
        <f t="shared" si="2"/>
        <v>5041131</v>
      </c>
      <c r="O42" s="8">
        <v>332146</v>
      </c>
      <c r="Q42" s="8">
        <f>4847434-332146</f>
        <v>4515288</v>
      </c>
      <c r="S42" s="8">
        <v>9888565</v>
      </c>
      <c r="U42" s="8">
        <v>18905519</v>
      </c>
      <c r="W42" s="8">
        <f t="shared" si="3"/>
        <v>2906485</v>
      </c>
      <c r="Y42" s="8">
        <v>-5165148</v>
      </c>
      <c r="AA42" s="8">
        <v>16646856</v>
      </c>
      <c r="AD42" s="8">
        <f t="shared" si="0"/>
        <v>0</v>
      </c>
      <c r="AF42" s="35">
        <f t="shared" si="4"/>
        <v>0</v>
      </c>
    </row>
    <row r="43" spans="1:34">
      <c r="A43" s="13" t="s">
        <v>443</v>
      </c>
      <c r="B43" s="13"/>
      <c r="C43" s="13" t="s">
        <v>37</v>
      </c>
      <c r="D43" s="13"/>
      <c r="E43" s="32">
        <v>43596</v>
      </c>
      <c r="G43" s="8">
        <f t="shared" si="1"/>
        <v>11414682</v>
      </c>
      <c r="I43" s="8">
        <v>4954280</v>
      </c>
      <c r="K43" s="8">
        <v>16368962</v>
      </c>
      <c r="M43" s="8">
        <f t="shared" si="2"/>
        <v>7717318</v>
      </c>
      <c r="O43" s="8">
        <v>512162</v>
      </c>
      <c r="Q43" s="8">
        <f>2017904-512162</f>
        <v>1505742</v>
      </c>
      <c r="S43" s="8">
        <v>9735222</v>
      </c>
      <c r="U43" s="8">
        <v>4605394</v>
      </c>
      <c r="W43" s="8">
        <f t="shared" si="3"/>
        <v>611176</v>
      </c>
      <c r="Y43" s="8">
        <v>1417170</v>
      </c>
      <c r="AA43" s="8">
        <v>6633740</v>
      </c>
      <c r="AD43" s="8">
        <f t="shared" si="0"/>
        <v>0</v>
      </c>
      <c r="AF43" s="35">
        <f t="shared" si="4"/>
        <v>0</v>
      </c>
    </row>
    <row r="44" spans="1:34">
      <c r="A44" s="13" t="s">
        <v>715</v>
      </c>
      <c r="B44" s="13"/>
      <c r="C44" s="13" t="s">
        <v>70</v>
      </c>
      <c r="D44" s="13"/>
      <c r="E44" s="32">
        <v>43604</v>
      </c>
      <c r="G44" s="8">
        <f t="shared" si="1"/>
        <v>5656275</v>
      </c>
      <c r="I44" s="8">
        <v>5663352</v>
      </c>
      <c r="K44" s="8">
        <v>11319627</v>
      </c>
      <c r="M44" s="8">
        <f t="shared" si="2"/>
        <v>4956615</v>
      </c>
      <c r="O44" s="8">
        <v>34000</v>
      </c>
      <c r="Q44" s="8">
        <v>536483</v>
      </c>
      <c r="S44" s="8">
        <v>5527098</v>
      </c>
      <c r="U44" s="8">
        <v>5596503</v>
      </c>
      <c r="W44" s="8">
        <f t="shared" si="3"/>
        <v>248882</v>
      </c>
      <c r="Y44" s="8">
        <v>-52856</v>
      </c>
      <c r="AA44" s="8">
        <v>5792529</v>
      </c>
      <c r="AD44" s="8">
        <f t="shared" ref="AD44:AD75" si="5">+K44-S44-AA44</f>
        <v>0</v>
      </c>
      <c r="AF44" s="35">
        <f t="shared" si="4"/>
        <v>0</v>
      </c>
    </row>
    <row r="45" spans="1:34">
      <c r="A45" s="13" t="s">
        <v>571</v>
      </c>
      <c r="B45" s="13"/>
      <c r="C45" s="13" t="s">
        <v>53</v>
      </c>
      <c r="D45" s="13"/>
      <c r="E45" s="32">
        <v>48926</v>
      </c>
      <c r="G45" s="8">
        <f t="shared" si="1"/>
        <v>17229300</v>
      </c>
      <c r="I45" s="8">
        <v>11683351</v>
      </c>
      <c r="K45" s="8">
        <v>28912651</v>
      </c>
      <c r="M45" s="8">
        <f t="shared" si="2"/>
        <v>10308961</v>
      </c>
      <c r="O45" s="8">
        <v>131648</v>
      </c>
      <c r="Q45" s="8">
        <f>1528973-131648</f>
        <v>1397325</v>
      </c>
      <c r="S45" s="8">
        <v>11837934</v>
      </c>
      <c r="U45" s="8">
        <v>11683351</v>
      </c>
      <c r="W45" s="8">
        <f t="shared" si="3"/>
        <v>3160069</v>
      </c>
      <c r="Y45" s="8">
        <v>2231297</v>
      </c>
      <c r="AA45" s="8">
        <v>17074717</v>
      </c>
      <c r="AD45" s="8">
        <f t="shared" si="5"/>
        <v>0</v>
      </c>
      <c r="AF45" s="35">
        <f t="shared" si="4"/>
        <v>0</v>
      </c>
    </row>
    <row r="46" spans="1:34">
      <c r="A46" s="13" t="s">
        <v>299</v>
      </c>
      <c r="B46" s="13"/>
      <c r="C46" s="13" t="s">
        <v>20</v>
      </c>
      <c r="D46" s="13"/>
      <c r="E46" s="32">
        <v>43612</v>
      </c>
      <c r="G46" s="8">
        <f t="shared" si="1"/>
        <v>104000000</v>
      </c>
      <c r="I46" s="8">
        <v>27700000</v>
      </c>
      <c r="K46" s="8">
        <v>131700000</v>
      </c>
      <c r="M46" s="8">
        <f t="shared" si="2"/>
        <v>62732575</v>
      </c>
      <c r="O46" s="8">
        <v>1881190</v>
      </c>
      <c r="Q46" s="8">
        <f>18067425-1881190</f>
        <v>16186235</v>
      </c>
      <c r="S46" s="8">
        <v>80800000</v>
      </c>
      <c r="U46" s="8">
        <v>13400000</v>
      </c>
      <c r="W46" s="8">
        <f t="shared" si="3"/>
        <v>5800000</v>
      </c>
      <c r="Y46" s="8">
        <v>31700000</v>
      </c>
      <c r="AA46" s="8">
        <v>50900000</v>
      </c>
      <c r="AD46" s="8">
        <f t="shared" si="5"/>
        <v>0</v>
      </c>
      <c r="AF46" s="35">
        <f t="shared" si="4"/>
        <v>0</v>
      </c>
    </row>
    <row r="47" spans="1:34">
      <c r="A47" s="13" t="s">
        <v>883</v>
      </c>
      <c r="B47" s="13"/>
      <c r="C47" s="13" t="s">
        <v>30</v>
      </c>
      <c r="D47" s="13"/>
      <c r="E47" s="32">
        <v>47167</v>
      </c>
      <c r="G47" s="8">
        <f t="shared" si="1"/>
        <v>8784358</v>
      </c>
      <c r="I47" s="8">
        <v>2742560</v>
      </c>
      <c r="K47" s="8">
        <v>11526918</v>
      </c>
      <c r="M47" s="8">
        <f t="shared" si="2"/>
        <v>5095422</v>
      </c>
      <c r="O47" s="8">
        <v>138620</v>
      </c>
      <c r="Q47" s="8">
        <f>830788-138620</f>
        <v>692168</v>
      </c>
      <c r="S47" s="8">
        <v>5926210</v>
      </c>
      <c r="U47" s="8">
        <v>2742560</v>
      </c>
      <c r="W47" s="8">
        <f t="shared" si="3"/>
        <v>448377</v>
      </c>
      <c r="Y47" s="8">
        <v>2409771</v>
      </c>
      <c r="AA47" s="8">
        <v>5600708</v>
      </c>
      <c r="AD47" s="8">
        <f t="shared" si="5"/>
        <v>0</v>
      </c>
      <c r="AF47" s="35">
        <f t="shared" si="4"/>
        <v>0</v>
      </c>
    </row>
    <row r="48" spans="1:34">
      <c r="A48" s="13" t="s">
        <v>336</v>
      </c>
      <c r="B48" s="13"/>
      <c r="C48" s="13" t="s">
        <v>24</v>
      </c>
      <c r="D48" s="13"/>
      <c r="E48" s="32">
        <v>46789</v>
      </c>
      <c r="G48" s="8">
        <f t="shared" si="1"/>
        <v>14387347</v>
      </c>
      <c r="I48" s="8">
        <v>3659191</v>
      </c>
      <c r="K48" s="8">
        <v>18046538</v>
      </c>
      <c r="M48" s="8">
        <f t="shared" si="2"/>
        <v>8494550</v>
      </c>
      <c r="O48" s="8">
        <v>194959</v>
      </c>
      <c r="Q48" s="8">
        <f>843499-194959</f>
        <v>648540</v>
      </c>
      <c r="S48" s="8">
        <v>9338049</v>
      </c>
      <c r="U48" s="8">
        <v>3659191</v>
      </c>
      <c r="W48" s="8">
        <f t="shared" si="3"/>
        <v>1552843</v>
      </c>
      <c r="Y48" s="8">
        <v>3496455</v>
      </c>
      <c r="AA48" s="8">
        <v>8708489</v>
      </c>
      <c r="AD48" s="8">
        <f t="shared" si="5"/>
        <v>0</v>
      </c>
      <c r="AF48" s="35">
        <f t="shared" si="4"/>
        <v>0</v>
      </c>
    </row>
    <row r="49" spans="1:34">
      <c r="A49" s="13" t="s">
        <v>344</v>
      </c>
      <c r="B49" s="13"/>
      <c r="C49" s="13" t="s">
        <v>25</v>
      </c>
      <c r="D49" s="13"/>
      <c r="E49" s="32">
        <v>46854</v>
      </c>
      <c r="G49" s="8">
        <f t="shared" si="1"/>
        <v>7206544</v>
      </c>
      <c r="I49" s="8">
        <v>8284403</v>
      </c>
      <c r="K49" s="8">
        <v>15490947</v>
      </c>
      <c r="M49" s="8">
        <f t="shared" si="2"/>
        <v>3850768</v>
      </c>
      <c r="O49" s="8">
        <v>421054</v>
      </c>
      <c r="Q49" s="8">
        <f>3510600-421054</f>
        <v>3089546</v>
      </c>
      <c r="S49" s="8">
        <v>7361368</v>
      </c>
      <c r="U49" s="8">
        <v>5278945</v>
      </c>
      <c r="W49" s="8">
        <f t="shared" si="3"/>
        <v>890211</v>
      </c>
      <c r="Y49" s="8">
        <v>1960423</v>
      </c>
      <c r="AA49" s="8">
        <v>8129579</v>
      </c>
      <c r="AD49" s="8">
        <f t="shared" si="5"/>
        <v>0</v>
      </c>
      <c r="AF49" s="35">
        <f t="shared" si="4"/>
        <v>0</v>
      </c>
    </row>
    <row r="50" spans="1:34">
      <c r="A50" s="13" t="s">
        <v>536</v>
      </c>
      <c r="B50" s="13"/>
      <c r="C50" s="13" t="s">
        <v>48</v>
      </c>
      <c r="D50" s="13"/>
      <c r="E50" s="32">
        <v>48611</v>
      </c>
      <c r="G50" s="8">
        <f t="shared" si="1"/>
        <v>5805265</v>
      </c>
      <c r="I50" s="8">
        <v>4202977</v>
      </c>
      <c r="K50" s="8">
        <v>10008242</v>
      </c>
      <c r="M50" s="8">
        <f t="shared" si="2"/>
        <v>3844180</v>
      </c>
      <c r="O50" s="8">
        <v>22000</v>
      </c>
      <c r="Q50" s="8">
        <f>1256413-22000</f>
        <v>1234413</v>
      </c>
      <c r="S50" s="8">
        <v>5100593</v>
      </c>
      <c r="U50" s="8">
        <v>3309977</v>
      </c>
      <c r="W50" s="8">
        <f t="shared" si="3"/>
        <v>483965</v>
      </c>
      <c r="Y50" s="8">
        <v>1113707</v>
      </c>
      <c r="AA50" s="8">
        <v>4907649</v>
      </c>
      <c r="AD50" s="8">
        <f t="shared" si="5"/>
        <v>0</v>
      </c>
      <c r="AF50" s="35">
        <f t="shared" si="4"/>
        <v>0</v>
      </c>
    </row>
    <row r="51" spans="1:34">
      <c r="A51" s="13" t="s">
        <v>267</v>
      </c>
      <c r="B51" s="13"/>
      <c r="C51" s="13" t="s">
        <v>115</v>
      </c>
      <c r="D51" s="13"/>
      <c r="E51" s="32">
        <v>46318</v>
      </c>
      <c r="F51" s="11"/>
      <c r="G51" s="8">
        <f t="shared" si="1"/>
        <v>7589674</v>
      </c>
      <c r="I51" s="8">
        <v>27532299</v>
      </c>
      <c r="K51" s="8">
        <v>35121973</v>
      </c>
      <c r="M51" s="8">
        <f t="shared" si="2"/>
        <v>5151780</v>
      </c>
      <c r="O51" s="8">
        <v>383762</v>
      </c>
      <c r="Q51" s="8">
        <f>8129407-383762</f>
        <v>7745645</v>
      </c>
      <c r="S51" s="8">
        <v>13281187</v>
      </c>
      <c r="U51" s="8">
        <v>20442483</v>
      </c>
      <c r="W51" s="8">
        <f t="shared" si="3"/>
        <v>2046200</v>
      </c>
      <c r="Y51" s="8">
        <v>-647897</v>
      </c>
      <c r="AA51" s="8">
        <v>21840786</v>
      </c>
      <c r="AD51" s="8">
        <f t="shared" si="5"/>
        <v>0</v>
      </c>
      <c r="AF51" s="35">
        <f t="shared" si="4"/>
        <v>0</v>
      </c>
    </row>
    <row r="52" spans="1:34" ht="12.75" hidden="1" customHeight="1">
      <c r="A52" s="108" t="s">
        <v>962</v>
      </c>
      <c r="B52" s="13"/>
      <c r="C52" s="13" t="s">
        <v>60</v>
      </c>
      <c r="D52" s="13"/>
      <c r="E52" s="32">
        <v>49692</v>
      </c>
      <c r="G52" s="8">
        <f t="shared" si="1"/>
        <v>958677</v>
      </c>
      <c r="K52" s="8">
        <v>958677</v>
      </c>
      <c r="M52" s="8">
        <f t="shared" si="2"/>
        <v>0</v>
      </c>
      <c r="W52" s="8">
        <f t="shared" si="3"/>
        <v>833808</v>
      </c>
      <c r="Y52" s="8">
        <v>124869</v>
      </c>
      <c r="AA52" s="8">
        <v>958677</v>
      </c>
      <c r="AD52" s="8">
        <f t="shared" si="5"/>
        <v>0</v>
      </c>
      <c r="AF52" s="35">
        <f t="shared" si="4"/>
        <v>0</v>
      </c>
      <c r="AH52" s="8" t="s">
        <v>956</v>
      </c>
    </row>
    <row r="53" spans="1:34">
      <c r="A53" s="13" t="s">
        <v>352</v>
      </c>
      <c r="B53" s="13"/>
      <c r="C53" s="13" t="s">
        <v>27</v>
      </c>
      <c r="D53" s="13"/>
      <c r="E53" s="32">
        <v>43620</v>
      </c>
      <c r="G53" s="8">
        <f t="shared" si="1"/>
        <v>43212851</v>
      </c>
      <c r="I53" s="8">
        <v>38325376</v>
      </c>
      <c r="K53" s="8">
        <v>81538227</v>
      </c>
      <c r="M53" s="8">
        <f t="shared" si="2"/>
        <v>17562234</v>
      </c>
      <c r="O53" s="8">
        <v>2175000</v>
      </c>
      <c r="Q53" s="8">
        <f>30132241-2175000</f>
        <v>27957241</v>
      </c>
      <c r="S53" s="8">
        <v>47694475</v>
      </c>
      <c r="U53" s="8">
        <v>11903231</v>
      </c>
      <c r="W53" s="8">
        <f t="shared" si="3"/>
        <v>2545854</v>
      </c>
      <c r="Y53" s="8">
        <v>19394667</v>
      </c>
      <c r="AA53" s="8">
        <v>33843752</v>
      </c>
      <c r="AD53" s="8">
        <f t="shared" si="5"/>
        <v>0</v>
      </c>
      <c r="AF53" s="35">
        <f t="shared" si="4"/>
        <v>0</v>
      </c>
    </row>
    <row r="54" spans="1:34" ht="12.75" customHeight="1">
      <c r="A54" s="13" t="s">
        <v>879</v>
      </c>
      <c r="B54" s="13"/>
      <c r="C54" s="13" t="s">
        <v>23</v>
      </c>
      <c r="D54" s="13"/>
      <c r="E54" s="32">
        <v>46748</v>
      </c>
      <c r="G54" s="8">
        <f t="shared" si="1"/>
        <v>30709389</v>
      </c>
      <c r="I54" s="8">
        <v>25440462</v>
      </c>
      <c r="K54" s="8">
        <v>56149851</v>
      </c>
      <c r="M54" s="8">
        <f t="shared" si="2"/>
        <v>17702136</v>
      </c>
      <c r="O54" s="8">
        <v>1293771</v>
      </c>
      <c r="Q54" s="8">
        <f>30348218-1293771</f>
        <v>29054447</v>
      </c>
      <c r="S54" s="8">
        <v>48050354</v>
      </c>
      <c r="U54" s="8">
        <v>8781299</v>
      </c>
      <c r="W54" s="8">
        <f t="shared" si="3"/>
        <v>2146043</v>
      </c>
      <c r="Y54" s="8">
        <v>-2827845</v>
      </c>
      <c r="AA54" s="8">
        <v>8099497</v>
      </c>
      <c r="AD54" s="8">
        <f t="shared" si="5"/>
        <v>0</v>
      </c>
      <c r="AF54" s="35">
        <f>+G54+I54+-M54-O54-U54-W54-Y54-Q54</f>
        <v>0</v>
      </c>
    </row>
    <row r="55" spans="1:34">
      <c r="A55" s="13" t="s">
        <v>525</v>
      </c>
      <c r="B55" s="13"/>
      <c r="C55" s="13" t="s">
        <v>47</v>
      </c>
      <c r="D55" s="13"/>
      <c r="E55" s="32">
        <v>48462</v>
      </c>
      <c r="G55" s="8">
        <f t="shared" si="1"/>
        <v>6376370</v>
      </c>
      <c r="I55" s="8">
        <v>11030044</v>
      </c>
      <c r="K55" s="8">
        <v>17406414</v>
      </c>
      <c r="M55" s="8">
        <f t="shared" si="2"/>
        <v>5887551</v>
      </c>
      <c r="O55" s="8">
        <v>812659</v>
      </c>
      <c r="Q55" s="8">
        <f>4728308-812659</f>
        <v>3915649</v>
      </c>
      <c r="S55" s="8">
        <v>10615859</v>
      </c>
      <c r="U55" s="8">
        <v>7051259</v>
      </c>
      <c r="W55" s="8">
        <f t="shared" si="3"/>
        <v>608697</v>
      </c>
      <c r="Y55" s="8">
        <v>-869401</v>
      </c>
      <c r="AA55" s="8">
        <v>6790555</v>
      </c>
      <c r="AD55" s="8">
        <f t="shared" si="5"/>
        <v>0</v>
      </c>
      <c r="AF55" s="35">
        <f t="shared" si="4"/>
        <v>0</v>
      </c>
    </row>
    <row r="56" spans="1:34">
      <c r="A56" s="13" t="s">
        <v>274</v>
      </c>
      <c r="B56" s="13"/>
      <c r="C56" s="13" t="s">
        <v>18</v>
      </c>
      <c r="D56" s="13"/>
      <c r="E56" s="32">
        <v>46383</v>
      </c>
      <c r="F56" s="11"/>
      <c r="G56" s="8">
        <f t="shared" si="1"/>
        <v>6576746</v>
      </c>
      <c r="I56" s="8">
        <v>23093354</v>
      </c>
      <c r="K56" s="8">
        <v>29670100</v>
      </c>
      <c r="M56" s="8">
        <f t="shared" si="2"/>
        <v>-14330038</v>
      </c>
      <c r="O56" s="8">
        <v>614256</v>
      </c>
      <c r="Q56" s="8">
        <f>22773274-614256</f>
        <v>22159018</v>
      </c>
      <c r="S56" s="8">
        <v>8443236</v>
      </c>
      <c r="U56" s="8">
        <v>19803174</v>
      </c>
      <c r="W56" s="8">
        <f t="shared" si="3"/>
        <v>1408108</v>
      </c>
      <c r="Y56" s="8">
        <v>15582</v>
      </c>
      <c r="AA56" s="8">
        <v>21226864</v>
      </c>
      <c r="AD56" s="8">
        <f t="shared" si="5"/>
        <v>0</v>
      </c>
      <c r="AF56" s="35">
        <f t="shared" si="4"/>
        <v>0</v>
      </c>
    </row>
    <row r="57" spans="1:34">
      <c r="A57" s="13" t="s">
        <v>345</v>
      </c>
      <c r="B57" s="13"/>
      <c r="C57" s="13" t="s">
        <v>25</v>
      </c>
      <c r="D57" s="13"/>
      <c r="E57" s="32">
        <v>46862</v>
      </c>
      <c r="G57" s="8">
        <f t="shared" si="1"/>
        <v>9580636</v>
      </c>
      <c r="I57" s="8">
        <v>3898860</v>
      </c>
      <c r="K57" s="8">
        <v>13479496</v>
      </c>
      <c r="M57" s="8">
        <f t="shared" si="2"/>
        <v>6248841</v>
      </c>
      <c r="O57" s="8">
        <v>77722</v>
      </c>
      <c r="Q57" s="8">
        <f>733159-77722</f>
        <v>655437</v>
      </c>
      <c r="S57" s="8">
        <v>6982000</v>
      </c>
      <c r="U57" s="8">
        <v>3898860</v>
      </c>
      <c r="W57" s="8">
        <f t="shared" si="3"/>
        <v>106039</v>
      </c>
      <c r="Y57" s="8">
        <v>2492597</v>
      </c>
      <c r="AA57" s="8">
        <v>6497496</v>
      </c>
      <c r="AD57" s="8">
        <f t="shared" si="5"/>
        <v>0</v>
      </c>
      <c r="AF57" s="35">
        <f t="shared" si="4"/>
        <v>0</v>
      </c>
    </row>
    <row r="58" spans="1:34" ht="12.75" customHeight="1">
      <c r="A58" s="13" t="s">
        <v>675</v>
      </c>
      <c r="B58" s="13"/>
      <c r="C58" s="13" t="s">
        <v>64</v>
      </c>
      <c r="D58" s="13"/>
      <c r="E58" s="32">
        <v>50096</v>
      </c>
      <c r="G58" s="8">
        <f t="shared" si="1"/>
        <v>2799359</v>
      </c>
      <c r="I58" s="8">
        <v>659700</v>
      </c>
      <c r="K58" s="8">
        <v>3459059</v>
      </c>
      <c r="M58" s="8">
        <f t="shared" si="2"/>
        <v>1914552</v>
      </c>
      <c r="O58" s="8">
        <v>30376</v>
      </c>
      <c r="Q58" s="8">
        <f>244313-30376</f>
        <v>213937</v>
      </c>
      <c r="S58" s="8">
        <v>2158865</v>
      </c>
      <c r="U58" s="8">
        <v>620891</v>
      </c>
      <c r="W58" s="8">
        <f t="shared" si="3"/>
        <v>341824</v>
      </c>
      <c r="Y58" s="8">
        <v>337479</v>
      </c>
      <c r="AA58" s="8">
        <v>1300194</v>
      </c>
      <c r="AD58" s="8">
        <f t="shared" si="5"/>
        <v>0</v>
      </c>
      <c r="AF58" s="35">
        <f t="shared" si="4"/>
        <v>0</v>
      </c>
    </row>
    <row r="59" spans="1:34">
      <c r="A59" s="13" t="s">
        <v>626</v>
      </c>
      <c r="B59" s="13"/>
      <c r="C59" s="13" t="s">
        <v>59</v>
      </c>
      <c r="D59" s="13"/>
      <c r="E59" s="32">
        <v>49593</v>
      </c>
      <c r="F59" s="28"/>
      <c r="G59" s="8">
        <f>+K59-I59</f>
        <v>3128978</v>
      </c>
      <c r="I59" s="8">
        <v>17538042</v>
      </c>
      <c r="K59" s="8">
        <v>20667020</v>
      </c>
      <c r="M59" s="8">
        <f>+S59-O59-Q59</f>
        <v>2135414</v>
      </c>
      <c r="O59" s="8">
        <v>144036</v>
      </c>
      <c r="Q59" s="8">
        <f>1174044-144036</f>
        <v>1030008</v>
      </c>
      <c r="S59" s="8">
        <v>3309458</v>
      </c>
      <c r="U59" s="8">
        <v>16953042</v>
      </c>
      <c r="W59" s="8">
        <f>AA59-Y59-U59</f>
        <v>870614</v>
      </c>
      <c r="Y59" s="8">
        <v>-466094</v>
      </c>
      <c r="AA59" s="8">
        <v>17357562</v>
      </c>
      <c r="AD59" s="8">
        <f t="shared" si="5"/>
        <v>0</v>
      </c>
      <c r="AF59" s="35">
        <f>+G59+I59+-M59-O59-U59-W59-Y59-Q59</f>
        <v>0</v>
      </c>
    </row>
    <row r="60" spans="1:34" hidden="1">
      <c r="A60" s="108" t="s">
        <v>898</v>
      </c>
      <c r="B60" s="13"/>
      <c r="C60" s="13" t="s">
        <v>10</v>
      </c>
      <c r="D60" s="13"/>
      <c r="E60" s="32">
        <v>49593</v>
      </c>
      <c r="F60" s="28"/>
      <c r="G60" s="8">
        <f t="shared" si="1"/>
        <v>3224675</v>
      </c>
      <c r="K60" s="8">
        <v>3224675</v>
      </c>
      <c r="M60" s="8">
        <f t="shared" si="2"/>
        <v>0</v>
      </c>
      <c r="W60" s="8">
        <f t="shared" si="3"/>
        <v>1074509</v>
      </c>
      <c r="Y60" s="8">
        <v>2150166</v>
      </c>
      <c r="AA60" s="8">
        <v>3224675</v>
      </c>
      <c r="AD60" s="8">
        <f t="shared" si="5"/>
        <v>0</v>
      </c>
      <c r="AF60" s="35">
        <f t="shared" si="4"/>
        <v>0</v>
      </c>
      <c r="AH60" s="8" t="s">
        <v>956</v>
      </c>
    </row>
    <row r="61" spans="1:34">
      <c r="A61" s="13" t="s">
        <v>509</v>
      </c>
      <c r="B61" s="13"/>
      <c r="C61" s="13" t="s">
        <v>45</v>
      </c>
      <c r="D61" s="13"/>
      <c r="E61" s="32">
        <v>48306</v>
      </c>
      <c r="G61" s="8">
        <f t="shared" si="1"/>
        <v>49990742</v>
      </c>
      <c r="I61" s="8">
        <v>20728067</v>
      </c>
      <c r="K61" s="8">
        <v>70718809</v>
      </c>
      <c r="M61" s="8">
        <f t="shared" si="2"/>
        <v>33473701</v>
      </c>
      <c r="O61" s="8">
        <v>976718</v>
      </c>
      <c r="Q61" s="8">
        <v>10478008</v>
      </c>
      <c r="S61" s="8">
        <v>44928427</v>
      </c>
      <c r="U61" s="8">
        <v>15675207</v>
      </c>
      <c r="W61" s="8">
        <f t="shared" si="3"/>
        <v>2947486</v>
      </c>
      <c r="Y61" s="8">
        <v>7167689</v>
      </c>
      <c r="AA61" s="8">
        <v>25790382</v>
      </c>
      <c r="AD61" s="8">
        <f t="shared" si="5"/>
        <v>0</v>
      </c>
      <c r="AF61" s="35">
        <f t="shared" si="4"/>
        <v>0</v>
      </c>
    </row>
    <row r="62" spans="1:34">
      <c r="A62" s="13" t="s">
        <v>642</v>
      </c>
      <c r="B62" s="13"/>
      <c r="C62" s="13" t="s">
        <v>61</v>
      </c>
      <c r="D62" s="13"/>
      <c r="E62" s="32">
        <v>49767</v>
      </c>
      <c r="G62" s="8">
        <f t="shared" si="1"/>
        <v>2581674</v>
      </c>
      <c r="I62" s="8">
        <v>4318982</v>
      </c>
      <c r="K62" s="8">
        <v>6900656</v>
      </c>
      <c r="M62" s="8">
        <f t="shared" si="2"/>
        <v>1452550</v>
      </c>
      <c r="O62" s="8">
        <v>219352</v>
      </c>
      <c r="Q62" s="8">
        <f>618927-219352</f>
        <v>399575</v>
      </c>
      <c r="S62" s="8">
        <v>2071477</v>
      </c>
      <c r="U62" s="8">
        <v>3873982</v>
      </c>
      <c r="W62" s="8">
        <f t="shared" si="3"/>
        <v>863254</v>
      </c>
      <c r="Y62" s="8">
        <v>91943</v>
      </c>
      <c r="AA62" s="8">
        <v>4829179</v>
      </c>
      <c r="AD62" s="8">
        <f t="shared" si="5"/>
        <v>0</v>
      </c>
      <c r="AF62" s="35">
        <f t="shared" si="4"/>
        <v>0</v>
      </c>
    </row>
    <row r="63" spans="1:34">
      <c r="A63" s="12" t="s">
        <v>733</v>
      </c>
      <c r="B63" s="13"/>
      <c r="C63" s="13" t="s">
        <v>72</v>
      </c>
      <c r="D63" s="13"/>
      <c r="E63" s="32">
        <v>43638</v>
      </c>
      <c r="G63" s="8">
        <f t="shared" si="1"/>
        <v>39500743</v>
      </c>
      <c r="I63" s="8">
        <v>31031200</v>
      </c>
      <c r="K63" s="8">
        <v>70531943</v>
      </c>
      <c r="M63" s="8">
        <f t="shared" si="2"/>
        <v>19548610</v>
      </c>
      <c r="O63" s="8">
        <v>1253143</v>
      </c>
      <c r="Q63" s="8">
        <f>32030590-1253143</f>
        <v>30777447</v>
      </c>
      <c r="S63" s="8">
        <v>51579200</v>
      </c>
      <c r="U63" s="8">
        <v>12844640</v>
      </c>
      <c r="W63" s="8">
        <f t="shared" si="3"/>
        <v>9647099</v>
      </c>
      <c r="Y63" s="8">
        <v>-3538996</v>
      </c>
      <c r="AA63" s="8">
        <v>18952743</v>
      </c>
      <c r="AD63" s="8">
        <f t="shared" si="5"/>
        <v>0</v>
      </c>
      <c r="AF63" s="35">
        <f t="shared" si="4"/>
        <v>0</v>
      </c>
    </row>
    <row r="64" spans="1:34" hidden="1">
      <c r="A64" s="108" t="s">
        <v>970</v>
      </c>
      <c r="B64" s="13"/>
      <c r="C64" s="13" t="s">
        <v>48</v>
      </c>
      <c r="D64" s="13"/>
      <c r="E64" s="32">
        <v>43646</v>
      </c>
      <c r="G64" s="8">
        <f>+K64-I64</f>
        <v>0</v>
      </c>
      <c r="M64" s="8">
        <f>+S64-O64-Q64</f>
        <v>0</v>
      </c>
      <c r="W64" s="8">
        <f>AA64-Y64-U64</f>
        <v>0</v>
      </c>
      <c r="AD64" s="8">
        <f t="shared" si="5"/>
        <v>0</v>
      </c>
      <c r="AF64" s="35">
        <f>+G64+I64+-M64-O64-U64-W64-Y64-Q64</f>
        <v>0</v>
      </c>
    </row>
    <row r="65" spans="1:34">
      <c r="A65" s="13" t="s">
        <v>873</v>
      </c>
      <c r="B65" s="13"/>
      <c r="C65" s="13" t="s">
        <v>20</v>
      </c>
      <c r="D65" s="13"/>
      <c r="E65" s="32">
        <v>43646</v>
      </c>
      <c r="G65" s="8">
        <f t="shared" si="1"/>
        <v>59491855</v>
      </c>
      <c r="I65" s="8">
        <v>35574171</v>
      </c>
      <c r="K65" s="8">
        <v>95066026</v>
      </c>
      <c r="M65" s="8">
        <f t="shared" si="2"/>
        <v>38789409</v>
      </c>
      <c r="O65" s="8">
        <v>2221504</v>
      </c>
      <c r="Q65" s="8">
        <v>27847126</v>
      </c>
      <c r="S65" s="8">
        <v>68858039</v>
      </c>
      <c r="U65" s="8">
        <v>10473334</v>
      </c>
      <c r="W65" s="8">
        <f t="shared" si="3"/>
        <v>6059350</v>
      </c>
      <c r="Y65" s="8">
        <v>9675303</v>
      </c>
      <c r="AA65" s="8">
        <v>26207987</v>
      </c>
      <c r="AD65" s="8">
        <f t="shared" si="5"/>
        <v>0</v>
      </c>
      <c r="AF65" s="35">
        <f t="shared" si="4"/>
        <v>0</v>
      </c>
    </row>
    <row r="66" spans="1:34">
      <c r="A66" s="12" t="s">
        <v>232</v>
      </c>
      <c r="B66" s="12"/>
      <c r="C66" s="12" t="s">
        <v>15</v>
      </c>
      <c r="D66" s="12"/>
      <c r="E66" s="32">
        <v>45237</v>
      </c>
      <c r="G66" s="8">
        <f t="shared" si="1"/>
        <v>4422162</v>
      </c>
      <c r="I66" s="8">
        <v>19419677</v>
      </c>
      <c r="K66" s="8">
        <v>23841839</v>
      </c>
      <c r="M66" s="8">
        <f t="shared" si="2"/>
        <v>2479537</v>
      </c>
      <c r="O66" s="8">
        <v>288622</v>
      </c>
      <c r="Q66" s="8">
        <v>5279056</v>
      </c>
      <c r="S66" s="8">
        <v>8047215</v>
      </c>
      <c r="U66" s="8">
        <v>14666023</v>
      </c>
      <c r="W66" s="8">
        <f t="shared" si="3"/>
        <v>1540717</v>
      </c>
      <c r="Y66" s="8">
        <v>-412116</v>
      </c>
      <c r="AA66" s="8">
        <v>15794624</v>
      </c>
      <c r="AD66" s="8">
        <f t="shared" si="5"/>
        <v>0</v>
      </c>
      <c r="AF66" s="35">
        <f t="shared" si="4"/>
        <v>0</v>
      </c>
      <c r="AH66" s="8" t="s">
        <v>956</v>
      </c>
    </row>
    <row r="67" spans="1:34">
      <c r="A67" s="13" t="s">
        <v>434</v>
      </c>
      <c r="B67" s="13"/>
      <c r="C67" s="13" t="s">
        <v>435</v>
      </c>
      <c r="D67" s="13"/>
      <c r="E67" s="32">
        <v>47613</v>
      </c>
      <c r="G67" s="8">
        <f t="shared" si="1"/>
        <v>4922234</v>
      </c>
      <c r="I67" s="8">
        <v>14787315</v>
      </c>
      <c r="K67" s="8">
        <v>19709549</v>
      </c>
      <c r="M67" s="8">
        <f t="shared" si="2"/>
        <v>2647710</v>
      </c>
      <c r="O67" s="8">
        <v>96283</v>
      </c>
      <c r="Q67" s="8">
        <f>760391-96283</f>
        <v>664108</v>
      </c>
      <c r="S67" s="8">
        <v>3408101</v>
      </c>
      <c r="U67" s="8">
        <v>14222315</v>
      </c>
      <c r="W67" s="8">
        <f t="shared" si="3"/>
        <v>1140749</v>
      </c>
      <c r="Y67" s="8">
        <v>938384</v>
      </c>
      <c r="AA67" s="8">
        <v>16301448</v>
      </c>
      <c r="AD67" s="8">
        <f t="shared" si="5"/>
        <v>0</v>
      </c>
      <c r="AF67" s="35">
        <f t="shared" si="4"/>
        <v>0</v>
      </c>
    </row>
    <row r="68" spans="1:34">
      <c r="A68" s="13" t="s">
        <v>676</v>
      </c>
      <c r="B68" s="13"/>
      <c r="C68" s="13" t="s">
        <v>64</v>
      </c>
      <c r="D68" s="13"/>
      <c r="E68" s="32">
        <v>50112</v>
      </c>
      <c r="G68" s="8">
        <f t="shared" si="1"/>
        <v>5260275</v>
      </c>
      <c r="I68" s="8">
        <v>9355310</v>
      </c>
      <c r="K68" s="8">
        <v>14615585</v>
      </c>
      <c r="M68" s="8">
        <f t="shared" si="2"/>
        <v>3195829</v>
      </c>
      <c r="O68" s="8">
        <v>173914</v>
      </c>
      <c r="Q68" s="8">
        <f>2274867-173914</f>
        <v>2100953</v>
      </c>
      <c r="S68" s="8">
        <v>5470696</v>
      </c>
      <c r="U68" s="8">
        <v>7730310</v>
      </c>
      <c r="W68" s="8">
        <f t="shared" si="3"/>
        <v>810013</v>
      </c>
      <c r="Y68" s="8">
        <v>604566</v>
      </c>
      <c r="AA68" s="8">
        <v>9144889</v>
      </c>
      <c r="AD68" s="8">
        <f t="shared" si="5"/>
        <v>0</v>
      </c>
      <c r="AF68" s="35">
        <f t="shared" si="4"/>
        <v>0</v>
      </c>
    </row>
    <row r="69" spans="1:34">
      <c r="A69" s="13" t="s">
        <v>964</v>
      </c>
      <c r="B69" s="13"/>
      <c r="C69" s="13" t="s">
        <v>64</v>
      </c>
      <c r="D69" s="13"/>
      <c r="E69" s="32">
        <v>50120</v>
      </c>
      <c r="G69" s="8">
        <f t="shared" si="1"/>
        <v>38511113</v>
      </c>
      <c r="I69" s="8">
        <v>4503773</v>
      </c>
      <c r="K69" s="8">
        <v>43014886</v>
      </c>
      <c r="M69" s="8">
        <f t="shared" si="2"/>
        <v>5125626</v>
      </c>
      <c r="O69" s="8">
        <v>424426</v>
      </c>
      <c r="Q69" s="8">
        <v>16048011</v>
      </c>
      <c r="S69" s="8">
        <v>21598063</v>
      </c>
      <c r="U69" s="8">
        <v>3798634</v>
      </c>
      <c r="W69" s="8">
        <f t="shared" si="3"/>
        <v>19017329</v>
      </c>
      <c r="Y69" s="8">
        <v>-1399140</v>
      </c>
      <c r="AA69" s="8">
        <v>21416823</v>
      </c>
      <c r="AD69" s="8">
        <f t="shared" si="5"/>
        <v>0</v>
      </c>
      <c r="AF69" s="35">
        <f t="shared" si="4"/>
        <v>0</v>
      </c>
      <c r="AH69" s="8" t="s">
        <v>956</v>
      </c>
    </row>
    <row r="70" spans="1:34">
      <c r="A70" s="13" t="s">
        <v>301</v>
      </c>
      <c r="B70" s="13"/>
      <c r="C70" s="13" t="s">
        <v>20</v>
      </c>
      <c r="D70" s="13"/>
      <c r="E70" s="32">
        <v>43653</v>
      </c>
      <c r="G70" s="8">
        <f t="shared" si="1"/>
        <v>14179186</v>
      </c>
      <c r="I70" s="8">
        <v>3895494</v>
      </c>
      <c r="K70" s="8">
        <v>18074680</v>
      </c>
      <c r="M70" s="8">
        <f t="shared" si="2"/>
        <v>9431544</v>
      </c>
      <c r="O70" s="8">
        <v>156541</v>
      </c>
      <c r="Q70" s="8">
        <f>1091905-156541</f>
        <v>935364</v>
      </c>
      <c r="S70" s="8">
        <v>10523449</v>
      </c>
      <c r="U70" s="8">
        <v>3895494</v>
      </c>
      <c r="W70" s="8">
        <f t="shared" si="3"/>
        <v>251136</v>
      </c>
      <c r="Y70" s="8">
        <v>3404601</v>
      </c>
      <c r="AA70" s="8">
        <v>7551231</v>
      </c>
      <c r="AD70" s="8">
        <f t="shared" si="5"/>
        <v>0</v>
      </c>
      <c r="AF70" s="35">
        <f t="shared" si="4"/>
        <v>0</v>
      </c>
    </row>
    <row r="71" spans="1:34">
      <c r="A71" s="13" t="s">
        <v>544</v>
      </c>
      <c r="B71" s="13"/>
      <c r="C71" s="13" t="s">
        <v>50</v>
      </c>
      <c r="D71" s="13"/>
      <c r="E71" s="32">
        <v>48678</v>
      </c>
      <c r="G71" s="8">
        <f t="shared" si="1"/>
        <v>28618666</v>
      </c>
      <c r="I71" s="8">
        <v>26663474</v>
      </c>
      <c r="K71" s="8">
        <v>55282140</v>
      </c>
      <c r="M71" s="8">
        <f t="shared" si="2"/>
        <v>6559895</v>
      </c>
      <c r="O71" s="8">
        <v>614256</v>
      </c>
      <c r="Q71" s="8">
        <v>22773274</v>
      </c>
      <c r="S71" s="8">
        <v>29947425</v>
      </c>
      <c r="U71" s="8">
        <v>5053276</v>
      </c>
      <c r="W71" s="8">
        <f t="shared" si="3"/>
        <v>18558168</v>
      </c>
      <c r="Y71" s="8">
        <v>1723271</v>
      </c>
      <c r="AA71" s="8">
        <v>25334715</v>
      </c>
      <c r="AD71" s="8">
        <f t="shared" si="5"/>
        <v>0</v>
      </c>
      <c r="AF71" s="35">
        <f t="shared" si="4"/>
        <v>0</v>
      </c>
      <c r="AH71" s="8" t="s">
        <v>956</v>
      </c>
    </row>
    <row r="72" spans="1:34">
      <c r="A72" s="12" t="s">
        <v>252</v>
      </c>
      <c r="B72" s="12"/>
      <c r="C72" s="12" t="s">
        <v>16</v>
      </c>
      <c r="D72" s="12"/>
      <c r="E72" s="32">
        <v>46177</v>
      </c>
      <c r="G72" s="8">
        <f t="shared" si="1"/>
        <v>6618915</v>
      </c>
      <c r="I72" s="8">
        <v>1088214</v>
      </c>
      <c r="K72" s="8">
        <v>7707129</v>
      </c>
      <c r="M72" s="8">
        <f t="shared" si="2"/>
        <v>2627834</v>
      </c>
      <c r="O72" s="8">
        <v>57186</v>
      </c>
      <c r="Q72" s="8">
        <f>436136-57186</f>
        <v>378950</v>
      </c>
      <c r="S72" s="8">
        <v>3063970</v>
      </c>
      <c r="U72" s="8">
        <v>1017101</v>
      </c>
      <c r="W72" s="8">
        <f t="shared" si="3"/>
        <v>963310</v>
      </c>
      <c r="Y72" s="8">
        <v>2662748</v>
      </c>
      <c r="AA72" s="8">
        <v>4643159</v>
      </c>
      <c r="AD72" s="8">
        <f t="shared" si="5"/>
        <v>0</v>
      </c>
      <c r="AF72" s="35">
        <f t="shared" si="4"/>
        <v>0</v>
      </c>
    </row>
    <row r="73" spans="1:34">
      <c r="A73" s="13" t="s">
        <v>526</v>
      </c>
      <c r="B73" s="13"/>
      <c r="C73" s="13" t="s">
        <v>47</v>
      </c>
      <c r="D73" s="13"/>
      <c r="E73" s="32">
        <v>43661</v>
      </c>
      <c r="G73" s="8">
        <f t="shared" si="1"/>
        <v>54805810</v>
      </c>
      <c r="I73" s="8">
        <v>19192974</v>
      </c>
      <c r="K73" s="8">
        <v>73998784</v>
      </c>
      <c r="M73" s="8">
        <f t="shared" si="2"/>
        <v>41560152</v>
      </c>
      <c r="O73" s="8">
        <v>2832499</v>
      </c>
      <c r="Q73" s="8">
        <v>21560607</v>
      </c>
      <c r="S73" s="8">
        <v>65953258</v>
      </c>
      <c r="U73" s="8">
        <v>2195941</v>
      </c>
      <c r="W73" s="8">
        <f t="shared" si="3"/>
        <v>6731505</v>
      </c>
      <c r="Y73" s="8">
        <v>-881920</v>
      </c>
      <c r="AA73" s="8">
        <v>8045526</v>
      </c>
      <c r="AD73" s="8">
        <f t="shared" si="5"/>
        <v>0</v>
      </c>
      <c r="AF73" s="35">
        <f t="shared" si="4"/>
        <v>0</v>
      </c>
    </row>
    <row r="74" spans="1:34" hidden="1">
      <c r="A74" s="108" t="s">
        <v>966</v>
      </c>
      <c r="B74" s="13"/>
      <c r="C74" s="13" t="s">
        <v>727</v>
      </c>
      <c r="D74" s="13"/>
      <c r="E74" s="32">
        <v>43679</v>
      </c>
      <c r="G74" s="8">
        <f t="shared" si="1"/>
        <v>9792176</v>
      </c>
      <c r="K74" s="8">
        <v>9792176</v>
      </c>
      <c r="M74" s="8">
        <f t="shared" si="2"/>
        <v>0</v>
      </c>
      <c r="U74" s="8">
        <v>2111651</v>
      </c>
      <c r="W74" s="8">
        <f t="shared" si="3"/>
        <v>489821</v>
      </c>
      <c r="Y74" s="8">
        <v>7190704</v>
      </c>
      <c r="AA74" s="8">
        <v>9792176</v>
      </c>
      <c r="AB74" s="35"/>
      <c r="AD74" s="8">
        <f t="shared" si="5"/>
        <v>0</v>
      </c>
      <c r="AF74" s="35">
        <f t="shared" si="4"/>
        <v>0</v>
      </c>
      <c r="AH74" s="8" t="s">
        <v>956</v>
      </c>
    </row>
    <row r="75" spans="1:34">
      <c r="A75" s="13" t="s">
        <v>290</v>
      </c>
      <c r="B75" s="13"/>
      <c r="C75" s="13" t="s">
        <v>113</v>
      </c>
      <c r="D75" s="13"/>
      <c r="E75" s="32">
        <v>46508</v>
      </c>
      <c r="G75" s="8">
        <f t="shared" si="1"/>
        <v>15267430</v>
      </c>
      <c r="I75" s="8">
        <v>19870722</v>
      </c>
      <c r="K75" s="8">
        <v>35138152</v>
      </c>
      <c r="M75" s="8">
        <f t="shared" si="2"/>
        <v>4006570</v>
      </c>
      <c r="O75" s="8">
        <v>253067</v>
      </c>
      <c r="Q75" s="8">
        <f>9361640-253067</f>
        <v>9108573</v>
      </c>
      <c r="S75" s="8">
        <v>13368210</v>
      </c>
      <c r="U75" s="8">
        <v>16147776</v>
      </c>
      <c r="W75" s="8">
        <f t="shared" si="3"/>
        <v>3638668</v>
      </c>
      <c r="Y75" s="8">
        <v>1983498</v>
      </c>
      <c r="AA75" s="8">
        <v>21769942</v>
      </c>
      <c r="AD75" s="8">
        <f t="shared" si="5"/>
        <v>0</v>
      </c>
      <c r="AF75" s="35">
        <f t="shared" si="4"/>
        <v>0</v>
      </c>
    </row>
    <row r="76" spans="1:34">
      <c r="A76" s="13" t="s">
        <v>217</v>
      </c>
      <c r="B76" s="13"/>
      <c r="C76" s="13" t="s">
        <v>12</v>
      </c>
      <c r="D76" s="13"/>
      <c r="E76" s="32">
        <v>45856</v>
      </c>
      <c r="F76" s="11"/>
      <c r="G76" s="8">
        <f t="shared" si="1"/>
        <v>13105758</v>
      </c>
      <c r="I76" s="8">
        <v>3859780</v>
      </c>
      <c r="K76" s="8">
        <v>16965538</v>
      </c>
      <c r="M76" s="8">
        <f t="shared" si="2"/>
        <v>6686065</v>
      </c>
      <c r="O76" s="8">
        <v>89301</v>
      </c>
      <c r="Q76" s="8">
        <v>1148677</v>
      </c>
      <c r="S76" s="8">
        <v>7924043</v>
      </c>
      <c r="U76" s="8">
        <v>3699780</v>
      </c>
      <c r="W76" s="8">
        <f t="shared" si="3"/>
        <v>728153</v>
      </c>
      <c r="Y76" s="8">
        <v>4613562</v>
      </c>
      <c r="AA76" s="8">
        <v>9041495</v>
      </c>
      <c r="AD76" s="8">
        <f t="shared" ref="AD76:AD84" si="6">+K76-S76-AA76</f>
        <v>0</v>
      </c>
      <c r="AF76" s="35">
        <f t="shared" si="4"/>
        <v>0</v>
      </c>
    </row>
    <row r="77" spans="1:34">
      <c r="A77" s="13"/>
      <c r="B77" s="13"/>
      <c r="C77" s="13"/>
      <c r="D77" s="13"/>
      <c r="E77" s="32"/>
      <c r="F77" s="11"/>
      <c r="AF77" s="35"/>
    </row>
    <row r="78" spans="1:34">
      <c r="A78" s="13"/>
      <c r="B78" s="13"/>
      <c r="C78" s="13"/>
      <c r="D78" s="13"/>
      <c r="E78" s="32"/>
      <c r="F78" s="11"/>
      <c r="AA78" s="8" t="s">
        <v>805</v>
      </c>
      <c r="AF78" s="35"/>
    </row>
    <row r="79" spans="1:34">
      <c r="A79" s="13"/>
      <c r="B79" s="13"/>
      <c r="C79" s="13"/>
      <c r="D79" s="13"/>
      <c r="E79" s="32"/>
      <c r="F79" s="11"/>
      <c r="AF79" s="35"/>
    </row>
    <row r="80" spans="1:34">
      <c r="A80" s="13" t="s">
        <v>217</v>
      </c>
      <c r="B80" s="13"/>
      <c r="C80" s="13" t="s">
        <v>39</v>
      </c>
      <c r="D80" s="13"/>
      <c r="E80" s="32"/>
      <c r="F80" s="11"/>
      <c r="G80" s="35">
        <f t="shared" si="1"/>
        <v>10420078</v>
      </c>
      <c r="H80" s="35"/>
      <c r="I80" s="35">
        <v>10329180</v>
      </c>
      <c r="J80" s="35"/>
      <c r="K80" s="35">
        <v>20749258</v>
      </c>
      <c r="L80" s="35"/>
      <c r="M80" s="35">
        <f t="shared" si="2"/>
        <v>9456289</v>
      </c>
      <c r="N80" s="35"/>
      <c r="O80" s="35">
        <v>930506</v>
      </c>
      <c r="P80" s="35"/>
      <c r="Q80" s="35">
        <f>3730753-930506</f>
        <v>2800247</v>
      </c>
      <c r="R80" s="35"/>
      <c r="S80" s="35">
        <v>13187042</v>
      </c>
      <c r="T80" s="35"/>
      <c r="U80" s="35">
        <v>8108613</v>
      </c>
      <c r="V80" s="35"/>
      <c r="W80" s="35">
        <f t="shared" si="3"/>
        <v>-2961346</v>
      </c>
      <c r="X80" s="35"/>
      <c r="Y80" s="35">
        <v>2414949</v>
      </c>
      <c r="Z80" s="35"/>
      <c r="AA80" s="44">
        <v>7562216</v>
      </c>
      <c r="AD80" s="8">
        <f t="shared" si="6"/>
        <v>0</v>
      </c>
      <c r="AF80" s="35">
        <f t="shared" si="4"/>
        <v>0</v>
      </c>
    </row>
    <row r="81" spans="1:34">
      <c r="A81" s="13" t="s">
        <v>968</v>
      </c>
      <c r="B81" s="13"/>
      <c r="C81" s="13" t="s">
        <v>47</v>
      </c>
      <c r="D81" s="13"/>
      <c r="E81" s="13">
        <v>47787</v>
      </c>
      <c r="G81" s="8">
        <f>+K81-I81</f>
        <v>15745614</v>
      </c>
      <c r="I81" s="8">
        <v>26554660</v>
      </c>
      <c r="K81" s="8">
        <v>42300274</v>
      </c>
      <c r="M81" s="8">
        <f>+S81-O81-Q81</f>
        <v>11371861</v>
      </c>
      <c r="O81" s="8">
        <v>539753</v>
      </c>
      <c r="Q81" s="8">
        <v>19732223</v>
      </c>
      <c r="S81" s="8">
        <v>31643837</v>
      </c>
      <c r="U81" s="8">
        <v>7531660</v>
      </c>
      <c r="W81" s="8">
        <f>AA81-Y81-U81</f>
        <v>1695132</v>
      </c>
      <c r="Y81" s="8">
        <v>1429645</v>
      </c>
      <c r="AA81" s="8">
        <v>10656437</v>
      </c>
      <c r="AD81" s="8">
        <f t="shared" si="6"/>
        <v>0</v>
      </c>
      <c r="AF81" s="8">
        <f t="shared" si="4"/>
        <v>0</v>
      </c>
    </row>
    <row r="82" spans="1:34" hidden="1">
      <c r="A82" s="90" t="s">
        <v>1002</v>
      </c>
      <c r="C82" s="8" t="s">
        <v>114</v>
      </c>
      <c r="D82" s="13"/>
      <c r="E82" s="32">
        <v>48470</v>
      </c>
      <c r="G82" s="8">
        <f>+K82-I82</f>
        <v>0</v>
      </c>
      <c r="M82" s="8">
        <f>+S82-O82-Q82</f>
        <v>0</v>
      </c>
      <c r="W82" s="8">
        <f>AA82-Y82-U82</f>
        <v>0</v>
      </c>
      <c r="AD82" s="8">
        <f t="shared" si="6"/>
        <v>0</v>
      </c>
      <c r="AF82" s="8">
        <f>+G82+I82+-M82-O82-U82-W82-Y82-Q82</f>
        <v>0</v>
      </c>
      <c r="AH82" s="8" t="s">
        <v>967</v>
      </c>
    </row>
    <row r="83" spans="1:34">
      <c r="A83" s="13" t="s">
        <v>880</v>
      </c>
      <c r="B83" s="13"/>
      <c r="C83" s="13" t="s">
        <v>23</v>
      </c>
      <c r="D83" s="13"/>
      <c r="E83" s="32">
        <v>46755</v>
      </c>
      <c r="G83" s="8">
        <f>+K83-I83</f>
        <v>35471892</v>
      </c>
      <c r="I83" s="8">
        <v>18325837</v>
      </c>
      <c r="K83" s="8">
        <v>53797729</v>
      </c>
      <c r="M83" s="8">
        <f>+S83-O83-Q83</f>
        <v>12927344</v>
      </c>
      <c r="O83" s="8">
        <v>1636342</v>
      </c>
      <c r="Q83" s="8">
        <f>26860606-1636342</f>
        <v>25224264</v>
      </c>
      <c r="S83" s="8">
        <v>39787950</v>
      </c>
      <c r="U83" s="8">
        <v>8455505</v>
      </c>
      <c r="W83" s="8">
        <f>AA83-Y83-U83</f>
        <v>2119165</v>
      </c>
      <c r="Y83" s="8">
        <v>3435109</v>
      </c>
      <c r="AA83" s="8">
        <v>14009779</v>
      </c>
      <c r="AD83" s="8">
        <f t="shared" si="6"/>
        <v>0</v>
      </c>
      <c r="AF83" s="8">
        <f>+G83+I83+-M83-O83-U83-W83-Y83-Q83</f>
        <v>0</v>
      </c>
    </row>
    <row r="84" spans="1:34">
      <c r="A84" s="13" t="s">
        <v>291</v>
      </c>
      <c r="B84" s="13"/>
      <c r="C84" s="13" t="s">
        <v>113</v>
      </c>
      <c r="D84" s="13"/>
      <c r="E84" s="32">
        <v>43687</v>
      </c>
      <c r="F84" s="28"/>
      <c r="G84" s="8">
        <f>+K84-I84</f>
        <v>27045923</v>
      </c>
      <c r="I84" s="8">
        <v>32730170</v>
      </c>
      <c r="K84" s="8">
        <v>59776093</v>
      </c>
      <c r="M84" s="8">
        <f>+S84-O84-Q84</f>
        <v>8132058</v>
      </c>
      <c r="O84" s="8">
        <v>303770</v>
      </c>
      <c r="Q84" s="8">
        <f>14458399-303770</f>
        <v>14154629</v>
      </c>
      <c r="S84" s="8">
        <v>22590457</v>
      </c>
      <c r="U84" s="8">
        <v>20210334</v>
      </c>
      <c r="W84" s="8">
        <f>AA84-Y84-U84</f>
        <v>11198456</v>
      </c>
      <c r="Y84" s="8">
        <v>5776846</v>
      </c>
      <c r="AA84" s="8">
        <v>37185636</v>
      </c>
      <c r="AD84" s="8">
        <f t="shared" si="6"/>
        <v>0</v>
      </c>
      <c r="AF84" s="8">
        <f>+G84+I84+-M84-O84-U84-W84-Y84-Q84</f>
        <v>0</v>
      </c>
    </row>
    <row r="85" spans="1:34">
      <c r="A85" s="13" t="s">
        <v>569</v>
      </c>
      <c r="B85" s="13"/>
      <c r="C85" s="13" t="s">
        <v>52</v>
      </c>
      <c r="D85" s="13"/>
      <c r="E85" s="32">
        <v>45252</v>
      </c>
      <c r="G85" s="8">
        <f t="shared" ref="G85:G143" si="7">+K85-I85</f>
        <v>6296225</v>
      </c>
      <c r="I85" s="8">
        <v>5455906</v>
      </c>
      <c r="K85" s="8">
        <v>11752131</v>
      </c>
      <c r="M85" s="8">
        <f t="shared" ref="M85:M151" si="8">+S85-O85-Q85</f>
        <v>3224436</v>
      </c>
      <c r="O85" s="8">
        <v>11667</v>
      </c>
      <c r="Q85" s="8">
        <v>323572</v>
      </c>
      <c r="S85" s="8">
        <v>3559675</v>
      </c>
      <c r="U85" s="8">
        <v>5455906</v>
      </c>
      <c r="W85" s="8">
        <f t="shared" ref="W85:W151" si="9">AA85-Y85-U85</f>
        <v>488695</v>
      </c>
      <c r="Y85" s="8">
        <v>2247855</v>
      </c>
      <c r="AA85" s="8">
        <v>8192456</v>
      </c>
      <c r="AD85" s="8">
        <f t="shared" ref="AD85:AD154" si="10">+K85-S85-AA85</f>
        <v>0</v>
      </c>
      <c r="AF85" s="8">
        <f t="shared" ref="AF85:AF152" si="11">+G85+I85+-M85-O85-U85-W85-Y85-Q85</f>
        <v>0</v>
      </c>
    </row>
    <row r="86" spans="1:34">
      <c r="A86" s="13" t="s">
        <v>389</v>
      </c>
      <c r="B86" s="13"/>
      <c r="C86" s="13" t="s">
        <v>31</v>
      </c>
      <c r="D86" s="13"/>
      <c r="E86" s="32">
        <v>43695</v>
      </c>
      <c r="G86" s="8">
        <f t="shared" si="7"/>
        <v>14746387</v>
      </c>
      <c r="I86" s="8">
        <v>42102972</v>
      </c>
      <c r="K86" s="8">
        <v>56849359</v>
      </c>
      <c r="M86" s="8">
        <f t="shared" si="8"/>
        <v>8102319</v>
      </c>
      <c r="O86" s="8">
        <v>443868</v>
      </c>
      <c r="Q86" s="8">
        <v>7090158</v>
      </c>
      <c r="S86" s="8">
        <v>15636345</v>
      </c>
      <c r="U86" s="8">
        <v>36062962</v>
      </c>
      <c r="W86" s="8">
        <f t="shared" si="9"/>
        <v>4019961</v>
      </c>
      <c r="Y86" s="8">
        <v>1130091</v>
      </c>
      <c r="AA86" s="8">
        <v>41213014</v>
      </c>
      <c r="AD86" s="8">
        <f t="shared" si="10"/>
        <v>0</v>
      </c>
      <c r="AF86" s="8">
        <f t="shared" si="11"/>
        <v>0</v>
      </c>
    </row>
    <row r="87" spans="1:34">
      <c r="A87" s="13" t="s">
        <v>902</v>
      </c>
      <c r="B87" s="13"/>
      <c r="C87" s="13" t="s">
        <v>45</v>
      </c>
      <c r="D87" s="13"/>
      <c r="E87" s="32">
        <v>43703</v>
      </c>
      <c r="G87" s="8">
        <f t="shared" si="7"/>
        <v>5517391</v>
      </c>
      <c r="I87" s="8">
        <v>35386095</v>
      </c>
      <c r="K87" s="8">
        <v>40903486</v>
      </c>
      <c r="M87" s="8">
        <f t="shared" si="8"/>
        <v>4405752</v>
      </c>
      <c r="O87" s="8">
        <v>375041</v>
      </c>
      <c r="Q87" s="8">
        <v>4862652</v>
      </c>
      <c r="S87" s="8">
        <v>9643445</v>
      </c>
      <c r="U87" s="8">
        <v>31002561</v>
      </c>
      <c r="W87" s="8">
        <f t="shared" si="9"/>
        <v>759756</v>
      </c>
      <c r="Y87" s="8">
        <v>-502276</v>
      </c>
      <c r="AA87" s="8">
        <v>31260041</v>
      </c>
      <c r="AD87" s="8">
        <f t="shared" si="10"/>
        <v>0</v>
      </c>
      <c r="AF87" s="8">
        <f t="shared" si="11"/>
        <v>0</v>
      </c>
    </row>
    <row r="88" spans="1:34">
      <c r="A88" s="13" t="s">
        <v>353</v>
      </c>
      <c r="B88" s="13"/>
      <c r="C88" s="13" t="s">
        <v>27</v>
      </c>
      <c r="D88" s="13"/>
      <c r="E88" s="32">
        <v>46946</v>
      </c>
      <c r="G88" s="8">
        <f t="shared" si="7"/>
        <v>26136828</v>
      </c>
      <c r="I88" s="8">
        <v>72305301</v>
      </c>
      <c r="K88" s="8">
        <v>98442129</v>
      </c>
      <c r="M88" s="8">
        <f t="shared" si="8"/>
        <v>18181710</v>
      </c>
      <c r="O88" s="8">
        <v>4307548</v>
      </c>
      <c r="Q88" s="8">
        <f>66315118-4307548</f>
        <v>62007570</v>
      </c>
      <c r="S88" s="8">
        <v>84496828</v>
      </c>
      <c r="U88" s="8">
        <v>5298003</v>
      </c>
      <c r="W88" s="8">
        <f t="shared" si="9"/>
        <v>4590798</v>
      </c>
      <c r="Y88" s="8">
        <v>4056500</v>
      </c>
      <c r="AA88" s="8">
        <v>13945301</v>
      </c>
      <c r="AD88" s="8">
        <f t="shared" si="10"/>
        <v>0</v>
      </c>
      <c r="AF88" s="8">
        <f t="shared" si="11"/>
        <v>0</v>
      </c>
    </row>
    <row r="89" spans="1:34">
      <c r="A89" s="13" t="s">
        <v>511</v>
      </c>
      <c r="B89" s="13"/>
      <c r="C89" s="13" t="s">
        <v>45</v>
      </c>
      <c r="D89" s="13"/>
      <c r="E89" s="32">
        <v>48314</v>
      </c>
      <c r="G89" s="8">
        <f t="shared" si="7"/>
        <v>41626583</v>
      </c>
      <c r="I89" s="8">
        <v>1567919</v>
      </c>
      <c r="K89" s="8">
        <v>43194502</v>
      </c>
      <c r="M89" s="8">
        <f t="shared" si="8"/>
        <v>18666976</v>
      </c>
      <c r="O89" s="8">
        <v>273696</v>
      </c>
      <c r="Q89" s="8">
        <v>7929230</v>
      </c>
      <c r="S89" s="8">
        <v>26869902</v>
      </c>
      <c r="U89" s="8">
        <v>10261107</v>
      </c>
      <c r="W89" s="8">
        <f t="shared" si="9"/>
        <v>3317473</v>
      </c>
      <c r="Y89" s="8">
        <v>2746020</v>
      </c>
      <c r="AA89" s="8">
        <v>16324600</v>
      </c>
      <c r="AD89" s="8">
        <f t="shared" si="10"/>
        <v>0</v>
      </c>
      <c r="AF89" s="8">
        <f t="shared" si="11"/>
        <v>0</v>
      </c>
    </row>
    <row r="90" spans="1:34">
      <c r="A90" s="13" t="s">
        <v>650</v>
      </c>
      <c r="B90" s="13"/>
      <c r="C90" s="13" t="s">
        <v>62</v>
      </c>
      <c r="D90" s="13"/>
      <c r="E90" s="32">
        <v>43711</v>
      </c>
      <c r="G90" s="8">
        <f>+K90-I90</f>
        <v>10584222</v>
      </c>
      <c r="I90" s="8">
        <v>5534798</v>
      </c>
      <c r="K90" s="8">
        <v>16119020</v>
      </c>
      <c r="M90" s="8">
        <f>+S90-O90-Q90</f>
        <v>11773740</v>
      </c>
      <c r="O90" s="8">
        <v>719983</v>
      </c>
      <c r="Q90" s="8">
        <f>3953883-719983</f>
        <v>3233900</v>
      </c>
      <c r="S90" s="8">
        <v>15727623</v>
      </c>
      <c r="U90" s="8">
        <v>4837998</v>
      </c>
      <c r="W90" s="8">
        <f>AA90-Y90-U90</f>
        <v>366898</v>
      </c>
      <c r="Y90" s="8">
        <v>-4813499</v>
      </c>
      <c r="AA90" s="8">
        <v>391397</v>
      </c>
      <c r="AD90" s="8">
        <f>+K90-S90-AA90</f>
        <v>0</v>
      </c>
      <c r="AF90" s="8">
        <f>+G90+I90+-M90-O90-U90-W90-Y90-Q90</f>
        <v>0</v>
      </c>
    </row>
    <row r="91" spans="1:34">
      <c r="A91" s="13" t="s">
        <v>649</v>
      </c>
      <c r="B91" s="13"/>
      <c r="C91" s="13" t="s">
        <v>62</v>
      </c>
      <c r="D91" s="13"/>
      <c r="E91" s="32">
        <v>49833</v>
      </c>
      <c r="G91" s="8">
        <f>+K91-I91</f>
        <v>78360000</v>
      </c>
      <c r="I91" s="8">
        <v>187200000</v>
      </c>
      <c r="K91" s="8">
        <v>265560000</v>
      </c>
      <c r="M91" s="8">
        <f>+S91-O91-Q91</f>
        <v>39212000</v>
      </c>
      <c r="O91" s="8">
        <v>3632000</v>
      </c>
      <c r="Q91" s="8">
        <f>59644000-3632000</f>
        <v>56012000</v>
      </c>
      <c r="S91" s="8">
        <v>98856000</v>
      </c>
      <c r="U91" s="8">
        <v>142452000</v>
      </c>
      <c r="W91" s="8">
        <f>AA91-Y91-U91</f>
        <v>24394000</v>
      </c>
      <c r="Y91" s="8">
        <v>-142000</v>
      </c>
      <c r="AA91" s="8">
        <v>166704000</v>
      </c>
      <c r="AD91" s="8">
        <f>+K91-S91-AA91</f>
        <v>0</v>
      </c>
      <c r="AF91" s="8">
        <f>+G91+I91+-M91-O91-U91-W91-Y91-Q91</f>
        <v>0</v>
      </c>
    </row>
    <row r="92" spans="1:34">
      <c r="A92" s="13" t="s">
        <v>903</v>
      </c>
      <c r="B92" s="13"/>
      <c r="C92" s="13" t="s">
        <v>30</v>
      </c>
      <c r="D92" s="13"/>
      <c r="E92" s="32">
        <v>47175</v>
      </c>
      <c r="G92" s="8">
        <f t="shared" si="7"/>
        <v>11891998</v>
      </c>
      <c r="I92" s="8">
        <v>9929272</v>
      </c>
      <c r="K92" s="8">
        <v>21821270</v>
      </c>
      <c r="M92" s="8">
        <f t="shared" si="8"/>
        <v>8334235</v>
      </c>
      <c r="O92" s="8">
        <v>858447</v>
      </c>
      <c r="Q92" s="8">
        <v>10680799</v>
      </c>
      <c r="S92" s="8">
        <v>19873481</v>
      </c>
      <c r="U92" s="8">
        <v>2187044</v>
      </c>
      <c r="W92" s="8">
        <f t="shared" si="9"/>
        <v>2528853</v>
      </c>
      <c r="Y92" s="8">
        <v>-2768108</v>
      </c>
      <c r="AA92" s="8">
        <v>1947789</v>
      </c>
      <c r="AD92" s="8">
        <f t="shared" si="10"/>
        <v>0</v>
      </c>
      <c r="AF92" s="8">
        <f t="shared" si="11"/>
        <v>0</v>
      </c>
    </row>
    <row r="93" spans="1:34">
      <c r="A93" s="13" t="s">
        <v>560</v>
      </c>
      <c r="B93" s="13"/>
      <c r="C93" s="13" t="s">
        <v>78</v>
      </c>
      <c r="D93" s="13"/>
      <c r="E93" s="32">
        <v>48793</v>
      </c>
      <c r="G93" s="8">
        <f t="shared" si="7"/>
        <v>6673787</v>
      </c>
      <c r="I93" s="8">
        <v>28050812</v>
      </c>
      <c r="K93" s="8">
        <v>34724599</v>
      </c>
      <c r="M93" s="8">
        <f t="shared" si="8"/>
        <v>3259554</v>
      </c>
      <c r="O93" s="8">
        <v>373729</v>
      </c>
      <c r="Q93" s="8">
        <f>5704105-373729</f>
        <v>5330376</v>
      </c>
      <c r="S93" s="8">
        <v>8963659</v>
      </c>
      <c r="U93" s="8">
        <v>23295818</v>
      </c>
      <c r="W93" s="8">
        <f t="shared" si="9"/>
        <v>2574955</v>
      </c>
      <c r="Y93" s="8">
        <v>-109833</v>
      </c>
      <c r="AA93" s="8">
        <v>25760940</v>
      </c>
      <c r="AD93" s="8">
        <f t="shared" si="10"/>
        <v>0</v>
      </c>
      <c r="AF93" s="8">
        <f t="shared" si="11"/>
        <v>0</v>
      </c>
    </row>
    <row r="94" spans="1:34" hidden="1">
      <c r="A94" s="108" t="s">
        <v>838</v>
      </c>
      <c r="B94" s="13"/>
      <c r="C94" s="13" t="s">
        <v>740</v>
      </c>
      <c r="D94" s="13"/>
      <c r="E94" s="32">
        <v>45260</v>
      </c>
      <c r="G94" s="8">
        <f t="shared" si="7"/>
        <v>6139261</v>
      </c>
      <c r="K94" s="8">
        <v>6139261</v>
      </c>
      <c r="M94" s="8">
        <f t="shared" si="8"/>
        <v>0</v>
      </c>
      <c r="W94" s="8">
        <f t="shared" si="9"/>
        <v>621769</v>
      </c>
      <c r="Y94" s="8">
        <v>5517492</v>
      </c>
      <c r="AA94" s="8">
        <v>6139261</v>
      </c>
      <c r="AD94" s="8">
        <f t="shared" si="10"/>
        <v>0</v>
      </c>
      <c r="AF94" s="8">
        <f t="shared" si="11"/>
        <v>0</v>
      </c>
    </row>
    <row r="95" spans="1:34">
      <c r="A95" s="13" t="s">
        <v>708</v>
      </c>
      <c r="B95" s="13"/>
      <c r="C95" s="13" t="s">
        <v>69</v>
      </c>
      <c r="D95" s="13"/>
      <c r="E95" s="32">
        <v>50419</v>
      </c>
      <c r="G95" s="8">
        <f t="shared" si="7"/>
        <v>6527839</v>
      </c>
      <c r="I95" s="8">
        <v>2546013</v>
      </c>
      <c r="K95" s="8">
        <v>9073852</v>
      </c>
      <c r="M95" s="8">
        <f t="shared" si="8"/>
        <v>6260541</v>
      </c>
      <c r="O95" s="8">
        <v>201554</v>
      </c>
      <c r="Q95" s="8">
        <f>1175271-201554</f>
        <v>973717</v>
      </c>
      <c r="S95" s="8">
        <v>7435812</v>
      </c>
      <c r="U95" s="8">
        <v>2161910</v>
      </c>
      <c r="W95" s="8">
        <f t="shared" si="9"/>
        <v>7800018</v>
      </c>
      <c r="Y95" s="8">
        <v>-8323888</v>
      </c>
      <c r="AA95" s="8">
        <v>1638040</v>
      </c>
      <c r="AD95" s="8">
        <f t="shared" si="10"/>
        <v>0</v>
      </c>
      <c r="AF95" s="8">
        <f t="shared" si="11"/>
        <v>0</v>
      </c>
    </row>
    <row r="96" spans="1:34">
      <c r="A96" s="13" t="s">
        <v>253</v>
      </c>
      <c r="B96" s="13"/>
      <c r="C96" s="13" t="s">
        <v>16</v>
      </c>
      <c r="D96" s="13"/>
      <c r="E96" s="32">
        <v>45278</v>
      </c>
      <c r="F96" s="11"/>
      <c r="G96" s="8">
        <f t="shared" si="7"/>
        <v>12837210</v>
      </c>
      <c r="I96" s="8">
        <v>6079860</v>
      </c>
      <c r="K96" s="8">
        <v>18917070</v>
      </c>
      <c r="M96" s="8">
        <f t="shared" si="8"/>
        <v>8543147</v>
      </c>
      <c r="O96" s="8">
        <v>92622</v>
      </c>
      <c r="Q96" s="8">
        <f>1539976-92622</f>
        <v>1447354</v>
      </c>
      <c r="S96" s="8">
        <v>10083123</v>
      </c>
      <c r="U96" s="8">
        <v>6023938</v>
      </c>
      <c r="W96" s="8">
        <f t="shared" si="9"/>
        <v>47808</v>
      </c>
      <c r="Y96" s="8">
        <v>2762201</v>
      </c>
      <c r="AA96" s="8">
        <v>8833947</v>
      </c>
      <c r="AD96" s="8">
        <f t="shared" si="10"/>
        <v>0</v>
      </c>
      <c r="AF96" s="8">
        <f t="shared" si="11"/>
        <v>0</v>
      </c>
    </row>
    <row r="97" spans="1:34">
      <c r="A97" s="13" t="s">
        <v>904</v>
      </c>
      <c r="B97" s="13"/>
      <c r="C97" s="13" t="s">
        <v>116</v>
      </c>
      <c r="D97" s="13"/>
      <c r="E97" s="32">
        <v>47258</v>
      </c>
      <c r="G97" s="8">
        <f t="shared" si="7"/>
        <v>4648690</v>
      </c>
      <c r="I97" s="8">
        <v>1017234</v>
      </c>
      <c r="K97" s="8">
        <v>5665924</v>
      </c>
      <c r="M97" s="8">
        <f t="shared" si="8"/>
        <v>2317773</v>
      </c>
      <c r="O97" s="8">
        <v>14924</v>
      </c>
      <c r="Q97" s="8">
        <f>397954-14924</f>
        <v>383030</v>
      </c>
      <c r="S97" s="8">
        <v>2715727</v>
      </c>
      <c r="U97" s="8">
        <v>1017234</v>
      </c>
      <c r="W97" s="8">
        <f t="shared" si="9"/>
        <v>124494</v>
      </c>
      <c r="Y97" s="8">
        <v>1808469</v>
      </c>
      <c r="AA97" s="8">
        <v>2950197</v>
      </c>
      <c r="AD97" s="8">
        <f>+K97-S97-AA97</f>
        <v>0</v>
      </c>
      <c r="AF97" s="8">
        <f t="shared" si="11"/>
        <v>0</v>
      </c>
    </row>
    <row r="98" spans="1:34" hidden="1">
      <c r="A98" s="108" t="s">
        <v>839</v>
      </c>
      <c r="B98" s="13"/>
      <c r="C98" s="13" t="s">
        <v>534</v>
      </c>
      <c r="D98" s="13"/>
      <c r="E98" s="32">
        <v>43729</v>
      </c>
      <c r="G98" s="8">
        <f t="shared" si="7"/>
        <v>15325264</v>
      </c>
      <c r="K98" s="8">
        <v>15325264</v>
      </c>
      <c r="M98" s="8">
        <f t="shared" si="8"/>
        <v>0</v>
      </c>
      <c r="W98" s="8">
        <f t="shared" si="9"/>
        <v>3329818</v>
      </c>
      <c r="Y98" s="8">
        <v>11995446</v>
      </c>
      <c r="AA98" s="8">
        <v>15325264</v>
      </c>
      <c r="AD98" s="8">
        <f t="shared" si="10"/>
        <v>0</v>
      </c>
      <c r="AF98" s="8">
        <f t="shared" si="11"/>
        <v>0</v>
      </c>
      <c r="AH98" s="8" t="s">
        <v>956</v>
      </c>
    </row>
    <row r="99" spans="1:34">
      <c r="A99" s="13" t="s">
        <v>906</v>
      </c>
      <c r="B99" s="13"/>
      <c r="C99" s="13" t="s">
        <v>40</v>
      </c>
      <c r="D99" s="13"/>
      <c r="E99" s="32">
        <v>47829</v>
      </c>
      <c r="G99" s="8">
        <f t="shared" si="7"/>
        <v>8342659</v>
      </c>
      <c r="I99" s="8">
        <v>20654480</v>
      </c>
      <c r="K99" s="8">
        <v>28997139</v>
      </c>
      <c r="M99" s="8">
        <f t="shared" si="8"/>
        <v>2563090</v>
      </c>
      <c r="O99" s="8">
        <v>300661</v>
      </c>
      <c r="Q99" s="8">
        <v>5939443</v>
      </c>
      <c r="S99" s="8">
        <v>8803194</v>
      </c>
      <c r="U99" s="8">
        <v>15572485</v>
      </c>
      <c r="W99" s="8">
        <f t="shared" si="9"/>
        <v>1533000</v>
      </c>
      <c r="Y99" s="8">
        <v>3088460</v>
      </c>
      <c r="AA99" s="8">
        <v>20193945</v>
      </c>
      <c r="AD99" s="8">
        <f t="shared" si="10"/>
        <v>0</v>
      </c>
      <c r="AF99" s="8">
        <f t="shared" si="11"/>
        <v>0</v>
      </c>
    </row>
    <row r="100" spans="1:34" s="35" customFormat="1">
      <c r="A100" s="34" t="s">
        <v>907</v>
      </c>
      <c r="B100" s="34"/>
      <c r="C100" s="34" t="s">
        <v>50</v>
      </c>
      <c r="D100" s="34"/>
      <c r="E100" s="34">
        <v>43737</v>
      </c>
      <c r="G100" s="8">
        <f t="shared" si="7"/>
        <v>97089533</v>
      </c>
      <c r="H100" s="8"/>
      <c r="I100" s="8">
        <v>83706754</v>
      </c>
      <c r="J100" s="8"/>
      <c r="K100" s="8">
        <v>180796287</v>
      </c>
      <c r="L100" s="8"/>
      <c r="M100" s="8">
        <f t="shared" si="8"/>
        <v>58984320</v>
      </c>
      <c r="N100" s="8"/>
      <c r="O100" s="8">
        <v>4050144</v>
      </c>
      <c r="P100" s="8"/>
      <c r="Q100" s="8">
        <v>73650626</v>
      </c>
      <c r="R100" s="8"/>
      <c r="S100" s="8">
        <v>136685090</v>
      </c>
      <c r="T100" s="8"/>
      <c r="U100" s="8">
        <v>18184642</v>
      </c>
      <c r="V100" s="8"/>
      <c r="W100" s="8">
        <f t="shared" si="9"/>
        <v>15791775</v>
      </c>
      <c r="X100" s="8"/>
      <c r="Y100" s="8">
        <v>10134780</v>
      </c>
      <c r="Z100" s="8"/>
      <c r="AA100" s="8">
        <v>44111197</v>
      </c>
      <c r="AB100" s="8"/>
      <c r="AC100" s="8"/>
      <c r="AD100" s="8">
        <f t="shared" si="10"/>
        <v>0</v>
      </c>
      <c r="AE100" s="8"/>
      <c r="AF100" s="8">
        <f t="shared" si="11"/>
        <v>0</v>
      </c>
    </row>
    <row r="101" spans="1:34">
      <c r="A101" s="13" t="s">
        <v>1052</v>
      </c>
      <c r="B101" s="13"/>
      <c r="C101" s="13" t="s">
        <v>22</v>
      </c>
      <c r="D101" s="13"/>
      <c r="E101" s="32">
        <v>46714</v>
      </c>
      <c r="G101" s="8">
        <f t="shared" si="7"/>
        <v>5807567</v>
      </c>
      <c r="I101" s="8">
        <v>9814912</v>
      </c>
      <c r="K101" s="8">
        <v>15622479</v>
      </c>
      <c r="M101" s="8">
        <f t="shared" si="8"/>
        <v>2962995</v>
      </c>
      <c r="O101" s="8">
        <v>335998</v>
      </c>
      <c r="Q101" s="8">
        <v>3301144</v>
      </c>
      <c r="S101" s="8">
        <v>6600137</v>
      </c>
      <c r="U101" s="8">
        <v>7700137</v>
      </c>
      <c r="W101" s="8">
        <f t="shared" si="9"/>
        <v>850876</v>
      </c>
      <c r="Y101" s="8">
        <v>471329</v>
      </c>
      <c r="AA101" s="8">
        <v>9022342</v>
      </c>
      <c r="AD101" s="8">
        <f t="shared" si="10"/>
        <v>0</v>
      </c>
      <c r="AF101" s="8">
        <f t="shared" si="11"/>
        <v>0</v>
      </c>
      <c r="AH101" s="8" t="s">
        <v>905</v>
      </c>
    </row>
    <row r="102" spans="1:34">
      <c r="A102" s="13" t="s">
        <v>302</v>
      </c>
      <c r="B102" s="13"/>
      <c r="C102" s="13" t="s">
        <v>20</v>
      </c>
      <c r="D102" s="13"/>
      <c r="E102" s="32">
        <v>45286</v>
      </c>
      <c r="G102" s="8">
        <f t="shared" si="7"/>
        <v>28792022</v>
      </c>
      <c r="I102" s="8">
        <v>30150306</v>
      </c>
      <c r="K102" s="8">
        <v>58942328</v>
      </c>
      <c r="M102" s="8">
        <f t="shared" si="8"/>
        <v>18500121</v>
      </c>
      <c r="O102" s="8">
        <v>1649878</v>
      </c>
      <c r="Q102" s="8">
        <v>29383768</v>
      </c>
      <c r="S102" s="8">
        <v>49533767</v>
      </c>
      <c r="U102" s="8">
        <v>3607515</v>
      </c>
      <c r="W102" s="8">
        <f t="shared" si="9"/>
        <v>3143103</v>
      </c>
      <c r="Y102" s="8">
        <v>2657943</v>
      </c>
      <c r="AA102" s="8">
        <v>9408561</v>
      </c>
      <c r="AD102" s="8">
        <f t="shared" si="10"/>
        <v>0</v>
      </c>
      <c r="AF102" s="8">
        <f t="shared" si="11"/>
        <v>0</v>
      </c>
    </row>
    <row r="103" spans="1:34">
      <c r="A103" s="13" t="s">
        <v>678</v>
      </c>
      <c r="B103" s="13"/>
      <c r="C103" s="13" t="s">
        <v>64</v>
      </c>
      <c r="D103" s="13"/>
      <c r="E103" s="32">
        <v>50138</v>
      </c>
      <c r="G103" s="8">
        <f t="shared" si="7"/>
        <v>6395258</v>
      </c>
      <c r="I103" s="8">
        <v>2434389</v>
      </c>
      <c r="K103" s="8">
        <v>8829647</v>
      </c>
      <c r="M103" s="8">
        <f t="shared" si="8"/>
        <v>6265870</v>
      </c>
      <c r="O103" s="8">
        <v>259180</v>
      </c>
      <c r="Q103" s="8">
        <v>2092851</v>
      </c>
      <c r="S103" s="8">
        <v>8617901</v>
      </c>
      <c r="U103" s="8">
        <v>1210908</v>
      </c>
      <c r="W103" s="8">
        <f t="shared" si="9"/>
        <v>94958</v>
      </c>
      <c r="Y103" s="8">
        <v>-1094120</v>
      </c>
      <c r="AA103" s="8">
        <v>211746</v>
      </c>
      <c r="AD103" s="8">
        <f t="shared" si="10"/>
        <v>0</v>
      </c>
      <c r="AF103" s="8">
        <f t="shared" si="11"/>
        <v>0</v>
      </c>
    </row>
    <row r="104" spans="1:34">
      <c r="A104" s="13" t="s">
        <v>379</v>
      </c>
      <c r="B104" s="13"/>
      <c r="C104" s="13" t="s">
        <v>30</v>
      </c>
      <c r="D104" s="13"/>
      <c r="E104" s="32">
        <v>47183</v>
      </c>
      <c r="G104" s="8">
        <f t="shared" si="7"/>
        <v>25173406</v>
      </c>
      <c r="I104" s="8">
        <v>5441011</v>
      </c>
      <c r="K104" s="8">
        <v>30614417</v>
      </c>
      <c r="M104" s="8">
        <f t="shared" si="8"/>
        <v>17162672</v>
      </c>
      <c r="O104" s="8">
        <v>497296</v>
      </c>
      <c r="Q104" s="8">
        <v>2224373</v>
      </c>
      <c r="S104" s="8">
        <v>19884341</v>
      </c>
      <c r="U104" s="8">
        <v>5283786</v>
      </c>
      <c r="W104" s="8">
        <f t="shared" si="9"/>
        <v>1772210</v>
      </c>
      <c r="Y104" s="8">
        <v>3674080</v>
      </c>
      <c r="AA104" s="8">
        <v>10730076</v>
      </c>
      <c r="AD104" s="8">
        <f t="shared" si="10"/>
        <v>0</v>
      </c>
      <c r="AF104" s="8">
        <f t="shared" si="11"/>
        <v>0</v>
      </c>
    </row>
    <row r="105" spans="1:34">
      <c r="A105" s="13" t="s">
        <v>465</v>
      </c>
      <c r="B105" s="13"/>
      <c r="C105" s="13" t="s">
        <v>466</v>
      </c>
      <c r="D105" s="13"/>
      <c r="E105" s="32">
        <v>45294</v>
      </c>
      <c r="F105" s="35"/>
      <c r="G105" s="8">
        <f t="shared" si="7"/>
        <v>6871474</v>
      </c>
      <c r="I105" s="8">
        <v>20889440</v>
      </c>
      <c r="K105" s="8">
        <v>27760914</v>
      </c>
      <c r="M105" s="8">
        <f t="shared" si="8"/>
        <v>3291593</v>
      </c>
      <c r="O105" s="8">
        <v>312031</v>
      </c>
      <c r="Q105" s="8">
        <v>2649021</v>
      </c>
      <c r="S105" s="8">
        <v>6252645</v>
      </c>
      <c r="U105" s="8">
        <v>19004399</v>
      </c>
      <c r="W105" s="8">
        <f t="shared" si="9"/>
        <v>2436567</v>
      </c>
      <c r="Y105" s="8">
        <v>67303</v>
      </c>
      <c r="AA105" s="8">
        <v>21508269</v>
      </c>
      <c r="AD105" s="8">
        <f t="shared" si="10"/>
        <v>0</v>
      </c>
      <c r="AF105" s="8">
        <f t="shared" si="11"/>
        <v>0</v>
      </c>
    </row>
    <row r="106" spans="1:34">
      <c r="A106" s="13" t="s">
        <v>617</v>
      </c>
      <c r="B106" s="13"/>
      <c r="C106" s="13" t="s">
        <v>58</v>
      </c>
      <c r="D106" s="13"/>
      <c r="E106" s="32">
        <v>43745</v>
      </c>
      <c r="G106" s="8">
        <f t="shared" si="7"/>
        <v>21969640</v>
      </c>
      <c r="I106" s="8">
        <v>38484677</v>
      </c>
      <c r="K106" s="8">
        <v>60454317</v>
      </c>
      <c r="M106" s="8">
        <f t="shared" si="8"/>
        <v>12699969</v>
      </c>
      <c r="O106" s="8">
        <f>1327132+190000</f>
        <v>1517132</v>
      </c>
      <c r="Q106" s="8">
        <v>36801801</v>
      </c>
      <c r="S106" s="8">
        <v>51018902</v>
      </c>
      <c r="U106" s="8">
        <v>4117627</v>
      </c>
      <c r="W106" s="8">
        <f t="shared" si="9"/>
        <v>3703414</v>
      </c>
      <c r="Y106" s="8">
        <v>1614374</v>
      </c>
      <c r="AA106" s="8">
        <v>9435415</v>
      </c>
      <c r="AD106" s="8">
        <f t="shared" si="10"/>
        <v>0</v>
      </c>
      <c r="AF106" s="8">
        <f t="shared" si="11"/>
        <v>0</v>
      </c>
    </row>
    <row r="107" spans="1:34">
      <c r="A107" s="13" t="s">
        <v>721</v>
      </c>
      <c r="B107" s="13"/>
      <c r="C107" s="13" t="s">
        <v>71</v>
      </c>
      <c r="D107" s="13"/>
      <c r="E107" s="32">
        <v>50534</v>
      </c>
      <c r="G107" s="8">
        <f t="shared" si="7"/>
        <v>11115978</v>
      </c>
      <c r="I107" s="8">
        <v>3023978</v>
      </c>
      <c r="K107" s="8">
        <v>14139956</v>
      </c>
      <c r="M107" s="8">
        <f t="shared" si="8"/>
        <v>5205668</v>
      </c>
      <c r="O107" s="8">
        <v>33082</v>
      </c>
      <c r="Q107" s="8">
        <v>548661</v>
      </c>
      <c r="S107" s="8">
        <v>5787411</v>
      </c>
      <c r="U107" s="8">
        <v>3023978</v>
      </c>
      <c r="W107" s="8">
        <f t="shared" si="9"/>
        <v>830766</v>
      </c>
      <c r="Y107" s="8">
        <v>4497801</v>
      </c>
      <c r="AA107" s="8">
        <v>8352545</v>
      </c>
      <c r="AD107" s="8">
        <f t="shared" si="10"/>
        <v>0</v>
      </c>
      <c r="AF107" s="8">
        <f t="shared" si="11"/>
        <v>0</v>
      </c>
    </row>
    <row r="108" spans="1:34">
      <c r="A108" s="13" t="s">
        <v>910</v>
      </c>
      <c r="B108" s="13"/>
      <c r="C108" s="13" t="s">
        <v>32</v>
      </c>
      <c r="D108" s="13"/>
      <c r="E108" s="32">
        <v>43752</v>
      </c>
      <c r="G108" s="8">
        <f t="shared" si="7"/>
        <v>936107835</v>
      </c>
      <c r="I108" s="8">
        <v>681736839</v>
      </c>
      <c r="K108" s="8">
        <v>1617844674</v>
      </c>
      <c r="M108" s="8">
        <f t="shared" si="8"/>
        <v>291706121</v>
      </c>
      <c r="O108" s="8">
        <v>32048627</v>
      </c>
      <c r="Q108" s="8">
        <v>807380401</v>
      </c>
      <c r="S108" s="8">
        <v>1131135149</v>
      </c>
      <c r="U108" s="8">
        <v>326129887</v>
      </c>
      <c r="W108" s="8">
        <f t="shared" si="9"/>
        <v>70293363</v>
      </c>
      <c r="Y108" s="8">
        <v>90286275</v>
      </c>
      <c r="AA108" s="8">
        <v>486709525</v>
      </c>
      <c r="AD108" s="8">
        <f t="shared" si="10"/>
        <v>0</v>
      </c>
      <c r="AF108" s="8">
        <f t="shared" si="11"/>
        <v>0</v>
      </c>
    </row>
    <row r="109" spans="1:34">
      <c r="A109" s="13" t="s">
        <v>581</v>
      </c>
      <c r="B109" s="13"/>
      <c r="C109" s="13" t="s">
        <v>54</v>
      </c>
      <c r="D109" s="13"/>
      <c r="E109" s="32">
        <v>43760</v>
      </c>
      <c r="G109" s="8">
        <f t="shared" si="7"/>
        <v>26855957</v>
      </c>
      <c r="I109" s="8">
        <v>4855130</v>
      </c>
      <c r="K109" s="8">
        <v>31711087</v>
      </c>
      <c r="M109" s="8">
        <f t="shared" si="8"/>
        <v>9323637</v>
      </c>
      <c r="O109" s="8">
        <v>1300321</v>
      </c>
      <c r="Q109" s="8">
        <v>3294220</v>
      </c>
      <c r="S109" s="8">
        <v>13918178</v>
      </c>
      <c r="U109" s="8">
        <v>4223934</v>
      </c>
      <c r="W109" s="8">
        <f t="shared" si="9"/>
        <v>1085368</v>
      </c>
      <c r="Y109" s="8">
        <v>12483607</v>
      </c>
      <c r="AA109" s="8">
        <v>17792909</v>
      </c>
      <c r="AD109" s="8">
        <f t="shared" si="10"/>
        <v>0</v>
      </c>
      <c r="AF109" s="8">
        <f t="shared" si="11"/>
        <v>0</v>
      </c>
    </row>
    <row r="110" spans="1:34">
      <c r="A110" s="13" t="s">
        <v>260</v>
      </c>
      <c r="B110" s="13"/>
      <c r="C110" s="13" t="s">
        <v>17</v>
      </c>
      <c r="D110" s="13"/>
      <c r="E110" s="32">
        <v>46284</v>
      </c>
      <c r="F110" s="11"/>
      <c r="G110" s="8">
        <f t="shared" si="7"/>
        <v>14379129</v>
      </c>
      <c r="I110" s="8">
        <v>13116121</v>
      </c>
      <c r="K110" s="8">
        <v>27495250</v>
      </c>
      <c r="M110" s="8">
        <f t="shared" si="8"/>
        <v>9977930</v>
      </c>
      <c r="O110" s="8">
        <v>126543</v>
      </c>
      <c r="Q110" s="8">
        <v>1512571</v>
      </c>
      <c r="S110" s="8">
        <v>11617044</v>
      </c>
      <c r="U110" s="8">
        <v>13015206</v>
      </c>
      <c r="W110" s="8">
        <f t="shared" si="9"/>
        <v>1294108</v>
      </c>
      <c r="Y110" s="8">
        <v>1568892</v>
      </c>
      <c r="AA110" s="8">
        <v>15878206</v>
      </c>
      <c r="AD110" s="8">
        <f t="shared" si="10"/>
        <v>0</v>
      </c>
      <c r="AF110" s="8">
        <f t="shared" si="11"/>
        <v>0</v>
      </c>
    </row>
    <row r="111" spans="1:34">
      <c r="A111" s="13" t="s">
        <v>627</v>
      </c>
      <c r="B111" s="13"/>
      <c r="C111" s="13" t="s">
        <v>59</v>
      </c>
      <c r="D111" s="13"/>
      <c r="E111" s="32">
        <v>49601</v>
      </c>
      <c r="G111" s="8">
        <f t="shared" si="7"/>
        <v>25629752</v>
      </c>
      <c r="I111" s="8">
        <v>1596334</v>
      </c>
      <c r="K111" s="8">
        <v>27226086</v>
      </c>
      <c r="M111" s="8">
        <f t="shared" si="8"/>
        <v>1707701</v>
      </c>
      <c r="O111" s="8">
        <v>120187</v>
      </c>
      <c r="Q111" s="8">
        <v>6086753</v>
      </c>
      <c r="S111" s="8">
        <v>7914641</v>
      </c>
      <c r="U111" s="8">
        <v>1444334</v>
      </c>
      <c r="W111" s="8">
        <f t="shared" si="9"/>
        <v>18038295</v>
      </c>
      <c r="Y111" s="8">
        <v>-171184</v>
      </c>
      <c r="AA111" s="8">
        <v>19311445</v>
      </c>
      <c r="AD111" s="8">
        <f t="shared" si="10"/>
        <v>0</v>
      </c>
      <c r="AF111" s="8">
        <f t="shared" si="11"/>
        <v>0</v>
      </c>
    </row>
    <row r="112" spans="1:34">
      <c r="A112" s="13" t="s">
        <v>694</v>
      </c>
      <c r="B112" s="13"/>
      <c r="C112" s="13" t="s">
        <v>65</v>
      </c>
      <c r="D112" s="13"/>
      <c r="E112" s="32">
        <v>43778</v>
      </c>
      <c r="G112" s="8">
        <f t="shared" si="7"/>
        <v>9192400</v>
      </c>
      <c r="I112" s="8">
        <v>22581396</v>
      </c>
      <c r="K112" s="8">
        <v>31773796</v>
      </c>
      <c r="M112" s="8">
        <f t="shared" si="8"/>
        <v>5381129</v>
      </c>
      <c r="O112" s="8">
        <v>481594</v>
      </c>
      <c r="Q112" s="8">
        <v>4885910</v>
      </c>
      <c r="S112" s="8">
        <v>10748633</v>
      </c>
      <c r="U112" s="8">
        <v>18889578</v>
      </c>
      <c r="W112" s="8">
        <f t="shared" si="9"/>
        <v>1387338</v>
      </c>
      <c r="Y112" s="8">
        <v>748247</v>
      </c>
      <c r="AA112" s="8">
        <v>21025163</v>
      </c>
      <c r="AD112" s="8">
        <f t="shared" si="10"/>
        <v>0</v>
      </c>
      <c r="AF112" s="8">
        <f t="shared" si="11"/>
        <v>0</v>
      </c>
    </row>
    <row r="113" spans="1:32">
      <c r="A113" s="13" t="s">
        <v>609</v>
      </c>
      <c r="B113" s="13"/>
      <c r="C113" s="13" t="s">
        <v>112</v>
      </c>
      <c r="D113" s="13"/>
      <c r="E113" s="32">
        <v>49411</v>
      </c>
      <c r="G113" s="8">
        <f t="shared" si="7"/>
        <v>13194602</v>
      </c>
      <c r="I113" s="8">
        <v>9281876</v>
      </c>
      <c r="K113" s="8">
        <v>22476478</v>
      </c>
      <c r="M113" s="8">
        <f t="shared" si="8"/>
        <v>4766064</v>
      </c>
      <c r="O113" s="8">
        <v>385056</v>
      </c>
      <c r="Q113" s="8">
        <v>7657168</v>
      </c>
      <c r="S113" s="8">
        <v>12808288</v>
      </c>
      <c r="U113" s="8">
        <v>2794567</v>
      </c>
      <c r="W113" s="8">
        <f t="shared" si="9"/>
        <v>961555</v>
      </c>
      <c r="Y113" s="8">
        <v>5912068</v>
      </c>
      <c r="AA113" s="8">
        <v>9668190</v>
      </c>
      <c r="AD113" s="8">
        <f t="shared" si="10"/>
        <v>0</v>
      </c>
      <c r="AF113" s="8">
        <f t="shared" si="11"/>
        <v>0</v>
      </c>
    </row>
    <row r="114" spans="1:32">
      <c r="A114" s="13" t="s">
        <v>485</v>
      </c>
      <c r="B114" s="13"/>
      <c r="C114" s="13" t="s">
        <v>44</v>
      </c>
      <c r="D114" s="13"/>
      <c r="E114" s="32">
        <v>48132</v>
      </c>
      <c r="G114" s="8">
        <f t="shared" si="7"/>
        <v>5491119</v>
      </c>
      <c r="I114" s="8">
        <v>19621779</v>
      </c>
      <c r="K114" s="8">
        <v>25112898</v>
      </c>
      <c r="M114" s="8">
        <f t="shared" si="8"/>
        <v>4745967</v>
      </c>
      <c r="O114" s="8">
        <v>271844</v>
      </c>
      <c r="Q114" s="8">
        <v>5874497</v>
      </c>
      <c r="S114" s="8">
        <v>10892308</v>
      </c>
      <c r="U114" s="8">
        <v>14698763</v>
      </c>
      <c r="W114" s="8">
        <f t="shared" si="9"/>
        <v>627985</v>
      </c>
      <c r="Y114" s="8">
        <v>-1106158</v>
      </c>
      <c r="AA114" s="8">
        <v>14220590</v>
      </c>
      <c r="AD114" s="8">
        <f t="shared" si="10"/>
        <v>0</v>
      </c>
      <c r="AF114" s="8">
        <f t="shared" si="11"/>
        <v>0</v>
      </c>
    </row>
    <row r="115" spans="1:32">
      <c r="A115" s="13" t="s">
        <v>911</v>
      </c>
      <c r="B115" s="13"/>
      <c r="C115" s="13" t="s">
        <v>115</v>
      </c>
      <c r="D115" s="13"/>
      <c r="E115" s="32"/>
      <c r="G115" s="8">
        <f t="shared" si="7"/>
        <v>11722477</v>
      </c>
      <c r="I115" s="8">
        <v>5205332</v>
      </c>
      <c r="K115" s="8">
        <v>16927809</v>
      </c>
      <c r="M115" s="8">
        <f t="shared" si="8"/>
        <v>6883129</v>
      </c>
      <c r="O115" s="8">
        <v>616364</v>
      </c>
      <c r="Q115" s="8">
        <v>2776634</v>
      </c>
      <c r="S115" s="8">
        <v>10276127</v>
      </c>
      <c r="U115" s="8">
        <v>3535332</v>
      </c>
      <c r="W115" s="8">
        <f t="shared" si="9"/>
        <v>1370906</v>
      </c>
      <c r="Y115" s="8">
        <v>1745444</v>
      </c>
      <c r="AA115" s="8">
        <v>6651682</v>
      </c>
      <c r="AD115" s="8">
        <f t="shared" si="10"/>
        <v>0</v>
      </c>
      <c r="AF115" s="8">
        <f t="shared" si="11"/>
        <v>0</v>
      </c>
    </row>
    <row r="116" spans="1:32">
      <c r="A116" s="13" t="s">
        <v>908</v>
      </c>
      <c r="B116" s="13"/>
      <c r="C116" s="13" t="s">
        <v>20</v>
      </c>
      <c r="D116" s="13"/>
      <c r="E116" s="32">
        <v>43794</v>
      </c>
      <c r="G116" s="8">
        <f t="shared" si="7"/>
        <v>124715608</v>
      </c>
      <c r="I116" s="8">
        <f>39209161+655529</f>
        <v>39864690</v>
      </c>
      <c r="K116" s="8">
        <f>167664816-3084518</f>
        <v>164580298</v>
      </c>
      <c r="M116" s="8">
        <f t="shared" si="8"/>
        <v>43044101</v>
      </c>
      <c r="O116" s="8">
        <f>1859568+29326</f>
        <v>1888894</v>
      </c>
      <c r="Q116" s="8">
        <f>23697740+259514</f>
        <v>23957254</v>
      </c>
      <c r="S116" s="8">
        <f>68424998+465251</f>
        <v>68890249</v>
      </c>
      <c r="U116" s="8">
        <f>30310942+655529</f>
        <v>30966471</v>
      </c>
      <c r="W116" s="8">
        <f t="shared" si="9"/>
        <v>7877299</v>
      </c>
      <c r="Y116" s="8">
        <f>61051577-4205298</f>
        <v>56846279</v>
      </c>
      <c r="AA116" s="8">
        <f>99239818-3549769</f>
        <v>95690049</v>
      </c>
      <c r="AD116" s="8">
        <f t="shared" si="10"/>
        <v>0</v>
      </c>
      <c r="AF116" s="8">
        <f t="shared" si="11"/>
        <v>0</v>
      </c>
    </row>
    <row r="117" spans="1:32">
      <c r="A117" s="13" t="s">
        <v>303</v>
      </c>
      <c r="B117" s="13"/>
      <c r="C117" s="13" t="s">
        <v>20</v>
      </c>
      <c r="D117" s="13"/>
      <c r="E117" s="32">
        <v>43786</v>
      </c>
      <c r="G117" s="8">
        <f t="shared" si="7"/>
        <v>828700000</v>
      </c>
      <c r="I117" s="8">
        <v>592000000</v>
      </c>
      <c r="K117" s="8">
        <v>1420700000</v>
      </c>
      <c r="M117" s="8">
        <f t="shared" si="8"/>
        <v>231455619</v>
      </c>
      <c r="O117" s="8">
        <v>21255784</v>
      </c>
      <c r="Q117" s="8">
        <v>249788597</v>
      </c>
      <c r="S117" s="8">
        <v>502500000</v>
      </c>
      <c r="U117" s="8">
        <v>410800000</v>
      </c>
      <c r="W117" s="8">
        <f t="shared" si="9"/>
        <v>465600000</v>
      </c>
      <c r="Y117" s="8">
        <v>41800000</v>
      </c>
      <c r="AA117" s="8">
        <v>918200000</v>
      </c>
      <c r="AD117" s="8">
        <f t="shared" si="10"/>
        <v>0</v>
      </c>
      <c r="AF117" s="8">
        <f t="shared" si="11"/>
        <v>0</v>
      </c>
    </row>
    <row r="118" spans="1:32">
      <c r="A118" s="12" t="s">
        <v>275</v>
      </c>
      <c r="B118" s="12"/>
      <c r="C118" s="12" t="s">
        <v>18</v>
      </c>
      <c r="D118" s="12"/>
      <c r="E118" s="32">
        <v>46391</v>
      </c>
      <c r="G118" s="8">
        <f t="shared" si="7"/>
        <v>25614110</v>
      </c>
      <c r="I118" s="8">
        <v>45759868</v>
      </c>
      <c r="K118" s="8">
        <v>71373978</v>
      </c>
      <c r="M118" s="8">
        <f t="shared" si="8"/>
        <v>13421523</v>
      </c>
      <c r="O118" s="8">
        <v>523786</v>
      </c>
      <c r="Q118" s="8">
        <v>9308205</v>
      </c>
      <c r="S118" s="8">
        <v>23253514</v>
      </c>
      <c r="U118" s="8">
        <v>31103719</v>
      </c>
      <c r="W118" s="8">
        <f t="shared" si="9"/>
        <v>9290565</v>
      </c>
      <c r="Y118" s="8">
        <v>7726180</v>
      </c>
      <c r="AA118" s="8">
        <v>48120464</v>
      </c>
      <c r="AD118" s="8">
        <f t="shared" si="10"/>
        <v>0</v>
      </c>
      <c r="AF118" s="8">
        <f t="shared" si="11"/>
        <v>0</v>
      </c>
    </row>
    <row r="119" spans="1:32">
      <c r="A119" s="13" t="s">
        <v>527</v>
      </c>
      <c r="B119" s="13"/>
      <c r="C119" s="13" t="s">
        <v>47</v>
      </c>
      <c r="D119" s="13"/>
      <c r="E119" s="32">
        <v>48488</v>
      </c>
      <c r="G119" s="8">
        <f t="shared" si="7"/>
        <v>18235868</v>
      </c>
      <c r="I119" s="8">
        <v>11576204</v>
      </c>
      <c r="K119" s="8">
        <v>29812072</v>
      </c>
      <c r="M119" s="8">
        <f t="shared" si="8"/>
        <v>14884841</v>
      </c>
      <c r="O119" s="8">
        <v>322487</v>
      </c>
      <c r="Q119" s="8">
        <v>2457396</v>
      </c>
      <c r="S119" s="8">
        <v>17664724</v>
      </c>
      <c r="U119" s="8">
        <v>11576204</v>
      </c>
      <c r="W119" s="8">
        <f t="shared" si="9"/>
        <v>3429737</v>
      </c>
      <c r="Y119" s="8">
        <v>-2858593</v>
      </c>
      <c r="AA119" s="8">
        <v>12147348</v>
      </c>
      <c r="AD119" s="8">
        <f t="shared" si="10"/>
        <v>0</v>
      </c>
      <c r="AF119" s="8">
        <f t="shared" si="11"/>
        <v>0</v>
      </c>
    </row>
    <row r="120" spans="1:32">
      <c r="A120" s="13" t="s">
        <v>622</v>
      </c>
      <c r="B120" s="13"/>
      <c r="C120" s="13" t="s">
        <v>79</v>
      </c>
      <c r="D120" s="13"/>
      <c r="E120" s="32">
        <v>45302</v>
      </c>
      <c r="G120" s="8">
        <f t="shared" si="7"/>
        <v>66909914</v>
      </c>
      <c r="I120" s="8">
        <v>19238103</v>
      </c>
      <c r="K120" s="8">
        <v>86148017</v>
      </c>
      <c r="M120" s="8">
        <f t="shared" si="8"/>
        <v>10582190</v>
      </c>
      <c r="O120" s="8">
        <v>1059798</v>
      </c>
      <c r="Q120" s="8">
        <v>30132783</v>
      </c>
      <c r="S120" s="8">
        <v>41774771</v>
      </c>
      <c r="U120" s="8">
        <v>13485999</v>
      </c>
      <c r="W120" s="8">
        <f t="shared" si="9"/>
        <v>32141896</v>
      </c>
      <c r="Y120" s="8">
        <v>-1254649</v>
      </c>
      <c r="AA120" s="8">
        <v>44373246</v>
      </c>
      <c r="AD120" s="8">
        <f t="shared" si="10"/>
        <v>0</v>
      </c>
      <c r="AF120" s="8">
        <f t="shared" si="11"/>
        <v>0</v>
      </c>
    </row>
    <row r="121" spans="1:32" hidden="1">
      <c r="A121" s="108" t="s">
        <v>914</v>
      </c>
      <c r="B121" s="13"/>
      <c r="C121" s="13" t="s">
        <v>534</v>
      </c>
      <c r="D121" s="13"/>
      <c r="E121" s="32"/>
      <c r="G121" s="8">
        <f t="shared" si="7"/>
        <v>5316768</v>
      </c>
      <c r="K121" s="8">
        <v>5316768</v>
      </c>
      <c r="M121" s="8">
        <f t="shared" si="8"/>
        <v>0</v>
      </c>
      <c r="W121" s="8">
        <f t="shared" si="9"/>
        <v>2889276</v>
      </c>
      <c r="Y121" s="8">
        <v>2427492</v>
      </c>
      <c r="AA121" s="8">
        <v>5316768</v>
      </c>
      <c r="AD121" s="8">
        <f t="shared" si="10"/>
        <v>0</v>
      </c>
      <c r="AF121" s="8">
        <f t="shared" si="11"/>
        <v>0</v>
      </c>
    </row>
    <row r="122" spans="1:32" hidden="1">
      <c r="A122" s="108" t="s">
        <v>829</v>
      </c>
      <c r="B122" s="13"/>
      <c r="C122" s="13" t="s">
        <v>57</v>
      </c>
      <c r="D122" s="13"/>
      <c r="E122" s="32">
        <v>64964</v>
      </c>
      <c r="G122" s="8">
        <f t="shared" si="7"/>
        <v>2325240</v>
      </c>
      <c r="I122" s="8">
        <v>2508111</v>
      </c>
      <c r="K122" s="8">
        <v>4833351</v>
      </c>
      <c r="M122" s="8">
        <f t="shared" si="8"/>
        <v>0</v>
      </c>
      <c r="U122" s="8">
        <v>2508111</v>
      </c>
      <c r="W122" s="8">
        <f t="shared" si="9"/>
        <v>283012</v>
      </c>
      <c r="Y122" s="8">
        <v>2042228</v>
      </c>
      <c r="AA122" s="8">
        <v>4833351</v>
      </c>
      <c r="AD122" s="8">
        <f t="shared" si="10"/>
        <v>0</v>
      </c>
      <c r="AF122" s="8">
        <f t="shared" si="11"/>
        <v>0</v>
      </c>
    </row>
    <row r="123" spans="1:32">
      <c r="A123" s="13" t="s">
        <v>292</v>
      </c>
      <c r="B123" s="13"/>
      <c r="C123" s="13" t="s">
        <v>113</v>
      </c>
      <c r="D123" s="13"/>
      <c r="E123" s="32">
        <v>46516</v>
      </c>
      <c r="G123" s="8">
        <f t="shared" si="7"/>
        <v>6272487</v>
      </c>
      <c r="I123" s="8">
        <v>16621544</v>
      </c>
      <c r="K123" s="8">
        <v>22894031</v>
      </c>
      <c r="M123" s="8">
        <f t="shared" si="8"/>
        <v>3351542</v>
      </c>
      <c r="O123" s="8">
        <v>438497</v>
      </c>
      <c r="Q123" s="8">
        <v>14508259</v>
      </c>
      <c r="S123" s="8">
        <v>18298298</v>
      </c>
      <c r="U123" s="8">
        <v>3057648</v>
      </c>
      <c r="W123" s="8">
        <f t="shared" si="9"/>
        <v>1277604</v>
      </c>
      <c r="Y123" s="8">
        <v>260481</v>
      </c>
      <c r="AA123" s="8">
        <v>4595733</v>
      </c>
      <c r="AD123" s="8">
        <f t="shared" si="10"/>
        <v>0</v>
      </c>
      <c r="AF123" s="8">
        <f t="shared" si="11"/>
        <v>0</v>
      </c>
    </row>
    <row r="124" spans="1:32">
      <c r="A124" s="13" t="s">
        <v>486</v>
      </c>
      <c r="B124" s="13"/>
      <c r="C124" s="13" t="s">
        <v>44</v>
      </c>
      <c r="D124" s="13"/>
      <c r="E124" s="32">
        <v>48140</v>
      </c>
      <c r="G124" s="8">
        <f t="shared" si="7"/>
        <v>8480876</v>
      </c>
      <c r="I124" s="8">
        <v>2548655</v>
      </c>
      <c r="K124" s="8">
        <v>11029531</v>
      </c>
      <c r="M124" s="8">
        <f t="shared" si="8"/>
        <v>6709463</v>
      </c>
      <c r="O124" s="8">
        <v>145294</v>
      </c>
      <c r="Q124" s="8">
        <v>973884</v>
      </c>
      <c r="S124" s="8">
        <v>7828641</v>
      </c>
      <c r="U124" s="8">
        <v>2481655</v>
      </c>
      <c r="W124" s="8">
        <f t="shared" si="9"/>
        <v>397200</v>
      </c>
      <c r="Y124" s="8">
        <v>322035</v>
      </c>
      <c r="AA124" s="8">
        <v>3200890</v>
      </c>
      <c r="AD124" s="8">
        <f t="shared" si="10"/>
        <v>0</v>
      </c>
      <c r="AF124" s="8">
        <f t="shared" si="11"/>
        <v>0</v>
      </c>
    </row>
    <row r="125" spans="1:32">
      <c r="A125" s="13" t="s">
        <v>279</v>
      </c>
      <c r="B125" s="13"/>
      <c r="C125" s="13" t="s">
        <v>114</v>
      </c>
      <c r="D125" s="13"/>
      <c r="E125" s="32">
        <v>45328</v>
      </c>
      <c r="G125" s="8">
        <f t="shared" si="7"/>
        <v>9707862</v>
      </c>
      <c r="I125" s="8">
        <v>7875927</v>
      </c>
      <c r="K125" s="8">
        <v>17583789</v>
      </c>
      <c r="M125" s="8">
        <f t="shared" si="8"/>
        <v>4389188</v>
      </c>
      <c r="O125" s="8">
        <v>662102</v>
      </c>
      <c r="Q125" s="8">
        <v>10347045</v>
      </c>
      <c r="S125" s="8">
        <v>15398335</v>
      </c>
      <c r="U125" s="8">
        <v>472382</v>
      </c>
      <c r="W125" s="8">
        <f t="shared" si="9"/>
        <v>679419</v>
      </c>
      <c r="Y125" s="8">
        <v>1033653</v>
      </c>
      <c r="AA125" s="8">
        <v>2185454</v>
      </c>
      <c r="AD125" s="8">
        <f t="shared" si="10"/>
        <v>0</v>
      </c>
      <c r="AF125" s="8">
        <f t="shared" si="11"/>
        <v>0</v>
      </c>
    </row>
    <row r="126" spans="1:32">
      <c r="A126" s="13" t="s">
        <v>354</v>
      </c>
      <c r="B126" s="13"/>
      <c r="C126" s="13" t="s">
        <v>27</v>
      </c>
      <c r="D126" s="13"/>
      <c r="E126" s="32">
        <v>43802</v>
      </c>
      <c r="G126" s="8">
        <f t="shared" si="7"/>
        <v>994665714</v>
      </c>
      <c r="I126" s="8">
        <v>541967080</v>
      </c>
      <c r="K126" s="8">
        <v>1536632794</v>
      </c>
      <c r="M126" s="8">
        <f t="shared" si="8"/>
        <v>281878050</v>
      </c>
      <c r="O126" s="8">
        <v>99952193</v>
      </c>
      <c r="Q126" s="8">
        <v>680913904</v>
      </c>
      <c r="S126" s="8">
        <v>1062744147</v>
      </c>
      <c r="U126" s="8">
        <v>139336627</v>
      </c>
      <c r="W126" s="8">
        <f t="shared" si="9"/>
        <v>200846559</v>
      </c>
      <c r="Y126" s="8">
        <v>133705461</v>
      </c>
      <c r="AA126" s="8">
        <v>473888647</v>
      </c>
      <c r="AD126" s="8">
        <f t="shared" si="10"/>
        <v>0</v>
      </c>
      <c r="AF126" s="8">
        <f t="shared" si="11"/>
        <v>0</v>
      </c>
    </row>
    <row r="127" spans="1:32" hidden="1">
      <c r="A127" s="108" t="s">
        <v>830</v>
      </c>
      <c r="B127" s="13"/>
      <c r="C127" s="13" t="s">
        <v>603</v>
      </c>
      <c r="D127" s="13"/>
      <c r="E127" s="32">
        <v>49312</v>
      </c>
      <c r="G127" s="8">
        <f t="shared" si="7"/>
        <v>4115095</v>
      </c>
      <c r="K127" s="8">
        <v>4115095</v>
      </c>
      <c r="M127" s="8">
        <f t="shared" si="8"/>
        <v>0</v>
      </c>
      <c r="W127" s="8">
        <f t="shared" si="9"/>
        <v>834965</v>
      </c>
      <c r="Y127" s="8">
        <v>3280130</v>
      </c>
      <c r="AA127" s="8">
        <v>4115095</v>
      </c>
      <c r="AD127" s="8">
        <f>+K127-S127-AA127</f>
        <v>0</v>
      </c>
      <c r="AF127" s="8">
        <f t="shared" si="11"/>
        <v>0</v>
      </c>
    </row>
    <row r="128" spans="1:32">
      <c r="A128" s="12" t="s">
        <v>218</v>
      </c>
      <c r="B128" s="12"/>
      <c r="C128" s="12" t="s">
        <v>12</v>
      </c>
      <c r="D128" s="12"/>
      <c r="E128" s="32">
        <v>43810</v>
      </c>
      <c r="G128" s="8">
        <f t="shared" si="7"/>
        <v>13342780</v>
      </c>
      <c r="I128" s="8">
        <v>40482864</v>
      </c>
      <c r="K128" s="8">
        <v>53825644</v>
      </c>
      <c r="M128" s="8">
        <f t="shared" si="8"/>
        <v>4353864</v>
      </c>
      <c r="O128" s="8">
        <v>339478</v>
      </c>
      <c r="Q128" s="8">
        <v>6150832</v>
      </c>
      <c r="S128" s="8">
        <v>10844174</v>
      </c>
      <c r="U128" s="8">
        <v>35661969</v>
      </c>
      <c r="W128" s="8">
        <f t="shared" si="9"/>
        <v>5488657</v>
      </c>
      <c r="Y128" s="8">
        <v>1830844</v>
      </c>
      <c r="AA128" s="8">
        <v>42981470</v>
      </c>
      <c r="AD128" s="8">
        <f>+K128-S128-AA128</f>
        <v>0</v>
      </c>
      <c r="AF128" s="8">
        <f t="shared" si="11"/>
        <v>0</v>
      </c>
    </row>
    <row r="129" spans="1:34">
      <c r="A129" s="13" t="s">
        <v>427</v>
      </c>
      <c r="B129" s="13"/>
      <c r="C129" s="13" t="s">
        <v>428</v>
      </c>
      <c r="D129" s="13"/>
      <c r="E129" s="32">
        <v>47548</v>
      </c>
      <c r="G129" s="8">
        <f t="shared" si="7"/>
        <v>3521050</v>
      </c>
      <c r="I129" s="8">
        <v>543772</v>
      </c>
      <c r="K129" s="8">
        <v>4064822</v>
      </c>
      <c r="M129" s="8">
        <f t="shared" si="8"/>
        <v>2341732</v>
      </c>
      <c r="O129" s="8">
        <v>41954</v>
      </c>
      <c r="Q129" s="8">
        <v>304662</v>
      </c>
      <c r="S129" s="8">
        <v>2688348</v>
      </c>
      <c r="U129" s="8">
        <v>512927</v>
      </c>
      <c r="W129" s="8">
        <f t="shared" si="9"/>
        <v>224922</v>
      </c>
      <c r="Y129" s="8">
        <v>638625</v>
      </c>
      <c r="AA129" s="8">
        <v>1376474</v>
      </c>
      <c r="AD129" s="8">
        <f t="shared" si="10"/>
        <v>0</v>
      </c>
      <c r="AF129" s="8">
        <f t="shared" si="11"/>
        <v>0</v>
      </c>
    </row>
    <row r="130" spans="1:34" hidden="1">
      <c r="A130" s="108" t="s">
        <v>969</v>
      </c>
      <c r="B130" s="13"/>
      <c r="C130" s="13" t="s">
        <v>603</v>
      </c>
      <c r="D130" s="13"/>
      <c r="E130" s="32">
        <v>49320</v>
      </c>
      <c r="G130" s="8">
        <f t="shared" si="7"/>
        <v>0</v>
      </c>
      <c r="M130" s="8">
        <f t="shared" si="8"/>
        <v>0</v>
      </c>
      <c r="W130" s="8">
        <f t="shared" si="9"/>
        <v>0</v>
      </c>
      <c r="AD130" s="8">
        <f>+K130-S130-AA130</f>
        <v>0</v>
      </c>
      <c r="AF130" s="8">
        <f t="shared" si="11"/>
        <v>0</v>
      </c>
    </row>
    <row r="131" spans="1:34">
      <c r="A131" s="13" t="s">
        <v>664</v>
      </c>
      <c r="B131" s="13"/>
      <c r="C131" s="13" t="s">
        <v>63</v>
      </c>
      <c r="D131" s="13"/>
      <c r="E131" s="32">
        <v>49981</v>
      </c>
      <c r="G131" s="8">
        <f t="shared" si="7"/>
        <v>39173151</v>
      </c>
      <c r="I131" s="8">
        <v>20341603</v>
      </c>
      <c r="K131" s="8">
        <v>59514754</v>
      </c>
      <c r="M131" s="8">
        <f t="shared" si="8"/>
        <v>25061598</v>
      </c>
      <c r="O131" s="8">
        <v>1666894</v>
      </c>
      <c r="Q131" s="8">
        <v>9193912</v>
      </c>
      <c r="S131" s="8">
        <v>35922404</v>
      </c>
      <c r="U131" s="8">
        <v>13099278</v>
      </c>
      <c r="W131" s="8">
        <f t="shared" si="9"/>
        <v>1812659</v>
      </c>
      <c r="Y131" s="8">
        <v>8680413</v>
      </c>
      <c r="AA131" s="8">
        <v>23592350</v>
      </c>
      <c r="AD131" s="8">
        <f t="shared" si="10"/>
        <v>0</v>
      </c>
      <c r="AF131" s="8">
        <f t="shared" si="11"/>
        <v>0</v>
      </c>
    </row>
    <row r="132" spans="1:34">
      <c r="A132" s="13" t="s">
        <v>415</v>
      </c>
      <c r="B132" s="13"/>
      <c r="C132" s="13" t="s">
        <v>33</v>
      </c>
      <c r="D132" s="13"/>
      <c r="E132" s="32">
        <v>47431</v>
      </c>
      <c r="G132" s="8">
        <f t="shared" si="7"/>
        <v>2655458</v>
      </c>
      <c r="I132" s="8">
        <v>2476666</v>
      </c>
      <c r="K132" s="8">
        <v>5132124</v>
      </c>
      <c r="M132" s="8">
        <f t="shared" si="8"/>
        <v>2234457</v>
      </c>
      <c r="O132" s="8">
        <v>42639</v>
      </c>
      <c r="Q132" s="8">
        <v>532287</v>
      </c>
      <c r="S132" s="8">
        <v>2809383</v>
      </c>
      <c r="U132" s="8">
        <v>2471226</v>
      </c>
      <c r="W132" s="8">
        <f t="shared" si="9"/>
        <v>98000</v>
      </c>
      <c r="Y132" s="8">
        <v>-246485</v>
      </c>
      <c r="AA132" s="8">
        <v>2322741</v>
      </c>
      <c r="AD132" s="8">
        <f>+K132-S132-AA132</f>
        <v>0</v>
      </c>
      <c r="AF132" s="8">
        <f t="shared" si="11"/>
        <v>0</v>
      </c>
    </row>
    <row r="133" spans="1:34">
      <c r="A133" s="13" t="s">
        <v>287</v>
      </c>
      <c r="B133" s="13"/>
      <c r="C133" s="13" t="s">
        <v>19</v>
      </c>
      <c r="D133" s="13"/>
      <c r="E133" s="32">
        <v>43828</v>
      </c>
      <c r="G133" s="8">
        <f t="shared" si="7"/>
        <v>10236872</v>
      </c>
      <c r="I133" s="8">
        <v>4145221</v>
      </c>
      <c r="K133" s="8">
        <v>14382093</v>
      </c>
      <c r="M133" s="8">
        <f t="shared" si="8"/>
        <v>6646727</v>
      </c>
      <c r="O133" s="8">
        <v>88308</v>
      </c>
      <c r="Q133" s="8">
        <v>1380535</v>
      </c>
      <c r="S133" s="8">
        <v>8115570</v>
      </c>
      <c r="U133" s="8">
        <v>4054061</v>
      </c>
      <c r="W133" s="8">
        <f t="shared" si="9"/>
        <v>243942</v>
      </c>
      <c r="Y133" s="8">
        <v>1968520</v>
      </c>
      <c r="AA133" s="8">
        <v>6266523</v>
      </c>
      <c r="AD133" s="8">
        <f t="shared" si="10"/>
        <v>0</v>
      </c>
      <c r="AF133" s="8">
        <f t="shared" si="11"/>
        <v>0</v>
      </c>
    </row>
    <row r="134" spans="1:34">
      <c r="A134" s="13" t="s">
        <v>816</v>
      </c>
      <c r="B134" s="13"/>
      <c r="C134" s="13" t="s">
        <v>63</v>
      </c>
      <c r="D134" s="13"/>
      <c r="E134" s="32"/>
      <c r="G134" s="8">
        <f t="shared" si="7"/>
        <v>9933812</v>
      </c>
      <c r="I134" s="8">
        <v>4386112</v>
      </c>
      <c r="K134" s="8">
        <v>14319924</v>
      </c>
      <c r="M134" s="8">
        <f t="shared" si="8"/>
        <v>11027100</v>
      </c>
      <c r="O134" s="8">
        <v>566449</v>
      </c>
      <c r="Q134" s="8">
        <v>5980750</v>
      </c>
      <c r="S134" s="8">
        <v>17574299</v>
      </c>
      <c r="U134" s="8">
        <v>1483112</v>
      </c>
      <c r="W134" s="8">
        <f t="shared" si="9"/>
        <v>1249047</v>
      </c>
      <c r="Y134" s="8">
        <v>-5986534</v>
      </c>
      <c r="AA134" s="8">
        <v>-3254375</v>
      </c>
      <c r="AD134" s="8">
        <f>+K134-S134-AA134</f>
        <v>0</v>
      </c>
      <c r="AF134" s="8">
        <f t="shared" si="11"/>
        <v>0</v>
      </c>
    </row>
    <row r="135" spans="1:34">
      <c r="A135" s="13" t="s">
        <v>915</v>
      </c>
      <c r="B135" s="13"/>
      <c r="C135" s="13" t="s">
        <v>48</v>
      </c>
      <c r="D135" s="13"/>
      <c r="E135" s="32">
        <v>45336</v>
      </c>
      <c r="G135" s="8">
        <f t="shared" si="7"/>
        <v>4649117</v>
      </c>
      <c r="I135" s="8">
        <v>1513865</v>
      </c>
      <c r="K135" s="8">
        <v>6162982</v>
      </c>
      <c r="M135" s="8">
        <f t="shared" si="8"/>
        <v>2515034</v>
      </c>
      <c r="O135" s="8">
        <v>50960</v>
      </c>
      <c r="Q135" s="8">
        <v>743497</v>
      </c>
      <c r="S135" s="8">
        <v>3309491</v>
      </c>
      <c r="U135" s="8">
        <v>1367596</v>
      </c>
      <c r="W135" s="8">
        <f t="shared" si="9"/>
        <v>341827</v>
      </c>
      <c r="Y135" s="8">
        <v>1144068</v>
      </c>
      <c r="AA135" s="8">
        <v>2853491</v>
      </c>
      <c r="AD135" s="8">
        <f t="shared" si="10"/>
        <v>0</v>
      </c>
      <c r="AF135" s="8">
        <f t="shared" si="11"/>
        <v>0</v>
      </c>
    </row>
    <row r="136" spans="1:34">
      <c r="A136" s="13" t="s">
        <v>916</v>
      </c>
      <c r="B136" s="13"/>
      <c r="C136" s="13" t="s">
        <v>113</v>
      </c>
      <c r="D136" s="13"/>
      <c r="E136" s="32">
        <v>45344</v>
      </c>
      <c r="G136" s="8">
        <f t="shared" si="7"/>
        <v>5520612</v>
      </c>
      <c r="I136" s="8">
        <v>1649612</v>
      </c>
      <c r="K136" s="8">
        <v>7170224</v>
      </c>
      <c r="M136" s="8">
        <f t="shared" si="8"/>
        <v>2503614</v>
      </c>
      <c r="O136" s="8">
        <v>106916</v>
      </c>
      <c r="Q136" s="8">
        <v>528180</v>
      </c>
      <c r="S136" s="8">
        <v>3138710</v>
      </c>
      <c r="U136" s="8">
        <v>1649612</v>
      </c>
      <c r="W136" s="8">
        <f t="shared" si="9"/>
        <v>493677</v>
      </c>
      <c r="Y136" s="8">
        <v>1888225</v>
      </c>
      <c r="AA136" s="8">
        <v>4031514</v>
      </c>
      <c r="AD136" s="8">
        <f t="shared" si="10"/>
        <v>0</v>
      </c>
      <c r="AF136" s="8">
        <f t="shared" si="11"/>
        <v>0</v>
      </c>
    </row>
    <row r="137" spans="1:34">
      <c r="A137" s="13" t="s">
        <v>280</v>
      </c>
      <c r="B137" s="13"/>
      <c r="C137" s="13" t="s">
        <v>114</v>
      </c>
      <c r="D137" s="13"/>
      <c r="E137" s="32">
        <v>46433</v>
      </c>
      <c r="G137" s="8">
        <f t="shared" si="7"/>
        <v>5122142</v>
      </c>
      <c r="I137" s="8">
        <v>12730689</v>
      </c>
      <c r="K137" s="8">
        <v>17852831</v>
      </c>
      <c r="M137" s="8">
        <f t="shared" si="8"/>
        <v>3392338</v>
      </c>
      <c r="O137" s="8">
        <v>384613</v>
      </c>
      <c r="Q137" s="8">
        <v>2280498</v>
      </c>
      <c r="S137" s="8">
        <v>6057449</v>
      </c>
      <c r="U137" s="8">
        <v>10712692</v>
      </c>
      <c r="W137" s="8">
        <f t="shared" si="9"/>
        <v>761501</v>
      </c>
      <c r="Y137" s="8">
        <v>321189</v>
      </c>
      <c r="AA137" s="8">
        <v>11795382</v>
      </c>
      <c r="AD137" s="8">
        <f t="shared" si="10"/>
        <v>0</v>
      </c>
      <c r="AF137" s="8">
        <f t="shared" si="11"/>
        <v>0</v>
      </c>
    </row>
    <row r="138" spans="1:34">
      <c r="A138" s="13" t="s">
        <v>280</v>
      </c>
      <c r="B138" s="13"/>
      <c r="C138" s="13" t="s">
        <v>112</v>
      </c>
      <c r="D138" s="13"/>
      <c r="E138" s="32">
        <v>49429</v>
      </c>
      <c r="G138" s="8">
        <f t="shared" si="7"/>
        <v>9732542</v>
      </c>
      <c r="I138" s="8">
        <v>24721241</v>
      </c>
      <c r="K138" s="8">
        <v>34453783</v>
      </c>
      <c r="M138" s="8">
        <f t="shared" si="8"/>
        <v>3009302</v>
      </c>
      <c r="O138" s="8">
        <v>334212</v>
      </c>
      <c r="Q138" s="8">
        <v>4430956</v>
      </c>
      <c r="S138" s="8">
        <v>7774470</v>
      </c>
      <c r="U138" s="8">
        <v>21041623</v>
      </c>
      <c r="W138" s="8">
        <f t="shared" si="9"/>
        <v>1376214</v>
      </c>
      <c r="Y138" s="8">
        <v>4261476</v>
      </c>
      <c r="AA138" s="8">
        <v>26679313</v>
      </c>
      <c r="AD138" s="8">
        <f t="shared" si="10"/>
        <v>0</v>
      </c>
      <c r="AF138" s="8">
        <f t="shared" si="11"/>
        <v>0</v>
      </c>
    </row>
    <row r="139" spans="1:34" hidden="1">
      <c r="A139" s="108" t="s">
        <v>917</v>
      </c>
      <c r="B139" s="13"/>
      <c r="C139" s="13" t="s">
        <v>67</v>
      </c>
      <c r="D139" s="13"/>
      <c r="E139" s="32"/>
      <c r="G139" s="8">
        <f t="shared" si="7"/>
        <v>12639061</v>
      </c>
      <c r="K139" s="8">
        <v>12639061</v>
      </c>
      <c r="W139" s="8">
        <f t="shared" si="9"/>
        <v>11271726</v>
      </c>
      <c r="Y139" s="8">
        <v>1367335</v>
      </c>
      <c r="AA139" s="8">
        <v>12639061</v>
      </c>
      <c r="AD139" s="8">
        <f t="shared" si="10"/>
        <v>0</v>
      </c>
      <c r="AF139" s="8">
        <f t="shared" si="11"/>
        <v>0</v>
      </c>
    </row>
    <row r="140" spans="1:34">
      <c r="A140" s="13" t="s">
        <v>1066</v>
      </c>
      <c r="B140" s="13"/>
      <c r="C140" s="13" t="s">
        <v>56</v>
      </c>
      <c r="D140" s="13"/>
      <c r="E140" s="32">
        <v>49189</v>
      </c>
      <c r="G140" s="8">
        <f t="shared" si="7"/>
        <v>16210461</v>
      </c>
      <c r="I140" s="8">
        <v>23799154</v>
      </c>
      <c r="K140" s="8">
        <v>40009615</v>
      </c>
      <c r="M140" s="8">
        <f t="shared" si="8"/>
        <v>8887730</v>
      </c>
      <c r="O140" s="8">
        <v>435538</v>
      </c>
      <c r="Q140" s="8">
        <v>7821125</v>
      </c>
      <c r="S140" s="8">
        <v>17144393</v>
      </c>
      <c r="U140" s="8">
        <v>17377547</v>
      </c>
      <c r="W140" s="8">
        <f t="shared" si="9"/>
        <v>4674778</v>
      </c>
      <c r="Y140" s="8">
        <v>812897</v>
      </c>
      <c r="AA140" s="8">
        <v>22865222</v>
      </c>
      <c r="AD140" s="8">
        <f t="shared" si="10"/>
        <v>0</v>
      </c>
      <c r="AF140" s="8">
        <f t="shared" si="11"/>
        <v>0</v>
      </c>
      <c r="AH140" s="8" t="s">
        <v>919</v>
      </c>
    </row>
    <row r="141" spans="1:34">
      <c r="A141" s="13" t="s">
        <v>817</v>
      </c>
      <c r="B141" s="13"/>
      <c r="C141" s="13" t="s">
        <v>579</v>
      </c>
      <c r="D141" s="13"/>
      <c r="E141" s="32"/>
      <c r="G141" s="8">
        <f t="shared" si="7"/>
        <v>4910558</v>
      </c>
      <c r="I141" s="8">
        <v>10668495</v>
      </c>
      <c r="K141" s="8">
        <v>15579053</v>
      </c>
      <c r="M141" s="8">
        <f t="shared" si="8"/>
        <v>2528342</v>
      </c>
      <c r="O141" s="8">
        <v>215360</v>
      </c>
      <c r="Q141" s="8">
        <v>1722724</v>
      </c>
      <c r="S141" s="8">
        <v>4466426</v>
      </c>
      <c r="U141" s="8">
        <v>9442795</v>
      </c>
      <c r="W141" s="8">
        <f t="shared" si="9"/>
        <v>657369</v>
      </c>
      <c r="Y141" s="8">
        <v>1012463</v>
      </c>
      <c r="AA141" s="8">
        <v>11112627</v>
      </c>
      <c r="AD141" s="8">
        <f>+K141-S141-AA141</f>
        <v>0</v>
      </c>
      <c r="AF141" s="8">
        <f t="shared" si="11"/>
        <v>0</v>
      </c>
    </row>
    <row r="142" spans="1:34">
      <c r="A142" s="13" t="s">
        <v>920</v>
      </c>
      <c r="B142" s="13"/>
      <c r="C142" s="13" t="s">
        <v>63</v>
      </c>
      <c r="D142" s="13"/>
      <c r="E142" s="32">
        <v>43836</v>
      </c>
      <c r="G142" s="8">
        <f t="shared" si="7"/>
        <v>35650322</v>
      </c>
      <c r="I142" s="8">
        <v>9405349</v>
      </c>
      <c r="K142" s="8">
        <v>45055671</v>
      </c>
      <c r="M142" s="8">
        <f t="shared" si="8"/>
        <v>29090991</v>
      </c>
      <c r="O142" s="8">
        <v>899743</v>
      </c>
      <c r="Q142" s="8">
        <v>7690420</v>
      </c>
      <c r="S142" s="8">
        <v>37681154</v>
      </c>
      <c r="U142" s="8">
        <v>4136744</v>
      </c>
      <c r="W142" s="8">
        <f t="shared" si="9"/>
        <v>1286527</v>
      </c>
      <c r="Y142" s="8">
        <v>1951246</v>
      </c>
      <c r="AA142" s="8">
        <v>7374517</v>
      </c>
      <c r="AD142" s="8">
        <f t="shared" si="10"/>
        <v>0</v>
      </c>
      <c r="AF142" s="8">
        <f t="shared" si="11"/>
        <v>0</v>
      </c>
    </row>
    <row r="143" spans="1:34">
      <c r="A143" s="13" t="s">
        <v>1067</v>
      </c>
      <c r="B143" s="13"/>
      <c r="C143" s="13" t="s">
        <v>20</v>
      </c>
      <c r="D143" s="13"/>
      <c r="E143" s="32">
        <v>46557</v>
      </c>
      <c r="G143" s="8">
        <f t="shared" si="7"/>
        <v>18851116</v>
      </c>
      <c r="I143" s="8">
        <v>6944730</v>
      </c>
      <c r="K143" s="8">
        <v>25795846</v>
      </c>
      <c r="M143" s="8">
        <f t="shared" si="8"/>
        <v>8503960</v>
      </c>
      <c r="O143" s="8">
        <v>871962</v>
      </c>
      <c r="Q143" s="8">
        <v>5332004</v>
      </c>
      <c r="S143" s="8">
        <v>14707926</v>
      </c>
      <c r="U143" s="8">
        <v>3676695</v>
      </c>
      <c r="W143" s="8">
        <f t="shared" si="9"/>
        <v>1166983</v>
      </c>
      <c r="Y143" s="8">
        <v>6244242</v>
      </c>
      <c r="AA143" s="8">
        <v>11087920</v>
      </c>
      <c r="AD143" s="8">
        <f t="shared" si="10"/>
        <v>0</v>
      </c>
      <c r="AF143" s="8">
        <f t="shared" si="11"/>
        <v>0</v>
      </c>
      <c r="AH143" s="8" t="s">
        <v>919</v>
      </c>
    </row>
    <row r="144" spans="1:34">
      <c r="A144" s="13" t="s">
        <v>828</v>
      </c>
      <c r="B144" s="13"/>
      <c r="C144" s="13" t="s">
        <v>71</v>
      </c>
      <c r="D144" s="13"/>
      <c r="E144" s="32">
        <v>48934</v>
      </c>
      <c r="G144" s="8">
        <f t="shared" ref="G144:G154" si="12">+K144-I144</f>
        <v>4372934</v>
      </c>
      <c r="I144" s="8">
        <v>2407995</v>
      </c>
      <c r="K144" s="8">
        <v>6780929</v>
      </c>
      <c r="M144" s="8">
        <f t="shared" si="8"/>
        <v>3653585</v>
      </c>
      <c r="O144" s="8">
        <v>142564</v>
      </c>
      <c r="Q144" s="8">
        <v>866347</v>
      </c>
      <c r="S144" s="8">
        <v>4662496</v>
      </c>
      <c r="U144" s="8">
        <v>2351612</v>
      </c>
      <c r="W144" s="8">
        <f t="shared" si="9"/>
        <v>489212</v>
      </c>
      <c r="Y144" s="8">
        <v>-722391</v>
      </c>
      <c r="AA144" s="8">
        <v>2118433</v>
      </c>
      <c r="AD144" s="8">
        <f>+K144-S144-AA144</f>
        <v>0</v>
      </c>
      <c r="AF144" s="8">
        <f>+G144+I144+-M144-O144-U144-W144-Y144-Q144</f>
        <v>0</v>
      </c>
    </row>
    <row r="145" spans="1:34">
      <c r="A145" s="13"/>
      <c r="B145" s="13"/>
      <c r="C145" s="13"/>
      <c r="D145" s="13"/>
      <c r="E145" s="32"/>
      <c r="AF145" s="35"/>
    </row>
    <row r="146" spans="1:34">
      <c r="A146" s="13"/>
      <c r="B146" s="13"/>
      <c r="C146" s="13"/>
      <c r="D146" s="13"/>
      <c r="E146" s="32"/>
      <c r="AA146" s="8" t="s">
        <v>805</v>
      </c>
      <c r="AF146" s="35"/>
    </row>
    <row r="147" spans="1:34">
      <c r="A147" s="13"/>
      <c r="B147" s="13"/>
      <c r="C147" s="13"/>
      <c r="D147" s="13"/>
      <c r="E147" s="32"/>
      <c r="AF147" s="35"/>
    </row>
    <row r="148" spans="1:34">
      <c r="A148" s="13" t="s">
        <v>572</v>
      </c>
      <c r="B148" s="13"/>
      <c r="C148" s="13" t="s">
        <v>53</v>
      </c>
      <c r="D148" s="13"/>
      <c r="E148" s="32">
        <v>48934</v>
      </c>
      <c r="G148" s="35">
        <f t="shared" si="12"/>
        <v>10813136</v>
      </c>
      <c r="H148" s="35"/>
      <c r="I148" s="35">
        <v>6032543</v>
      </c>
      <c r="J148" s="35"/>
      <c r="K148" s="35">
        <v>16845679</v>
      </c>
      <c r="L148" s="35"/>
      <c r="M148" s="35">
        <f t="shared" si="8"/>
        <v>6541693</v>
      </c>
      <c r="N148" s="35"/>
      <c r="O148" s="35">
        <v>11514</v>
      </c>
      <c r="P148" s="35"/>
      <c r="Q148" s="35">
        <v>497572</v>
      </c>
      <c r="R148" s="35"/>
      <c r="S148" s="35">
        <v>7050779</v>
      </c>
      <c r="T148" s="35"/>
      <c r="U148" s="35">
        <v>6030830</v>
      </c>
      <c r="V148" s="35"/>
      <c r="W148" s="35">
        <f t="shared" si="9"/>
        <v>464704</v>
      </c>
      <c r="X148" s="35"/>
      <c r="Y148" s="35">
        <v>3299366</v>
      </c>
      <c r="Z148" s="35"/>
      <c r="AA148" s="35">
        <v>9794900</v>
      </c>
      <c r="AD148" s="8">
        <f>+K148-S148-AA148</f>
        <v>0</v>
      </c>
      <c r="AF148" s="35">
        <f t="shared" si="11"/>
        <v>0</v>
      </c>
    </row>
    <row r="149" spans="1:34" hidden="1">
      <c r="A149" s="108" t="s">
        <v>921</v>
      </c>
      <c r="B149" s="13"/>
      <c r="C149" s="13" t="s">
        <v>40</v>
      </c>
      <c r="D149" s="13"/>
      <c r="E149" s="32">
        <v>47837</v>
      </c>
      <c r="G149" s="8">
        <f t="shared" si="12"/>
        <v>2729870</v>
      </c>
      <c r="K149" s="8">
        <v>2729870</v>
      </c>
      <c r="M149" s="8">
        <f t="shared" si="8"/>
        <v>0</v>
      </c>
      <c r="S149" s="8">
        <v>0</v>
      </c>
      <c r="W149" s="8">
        <f t="shared" si="9"/>
        <v>464130</v>
      </c>
      <c r="Y149" s="8">
        <v>2265740</v>
      </c>
      <c r="AA149" s="8">
        <v>2729870</v>
      </c>
      <c r="AD149" s="8">
        <f t="shared" si="10"/>
        <v>0</v>
      </c>
      <c r="AF149" s="35">
        <f t="shared" si="11"/>
        <v>0</v>
      </c>
    </row>
    <row r="150" spans="1:34">
      <c r="A150" s="13" t="s">
        <v>467</v>
      </c>
      <c r="B150" s="13"/>
      <c r="C150" s="13" t="s">
        <v>466</v>
      </c>
      <c r="D150" s="13"/>
      <c r="E150" s="32">
        <v>47928</v>
      </c>
      <c r="F150" s="35"/>
      <c r="G150" s="8">
        <f t="shared" si="12"/>
        <v>7141238</v>
      </c>
      <c r="I150" s="8">
        <v>31560981</v>
      </c>
      <c r="K150" s="8">
        <v>38702219</v>
      </c>
      <c r="M150" s="8">
        <f t="shared" si="8"/>
        <v>2033914</v>
      </c>
      <c r="O150" s="8">
        <v>140315</v>
      </c>
      <c r="Q150" s="8">
        <v>1770115</v>
      </c>
      <c r="S150" s="8">
        <v>3944344</v>
      </c>
      <c r="U150" s="8">
        <v>30204047</v>
      </c>
      <c r="W150" s="8">
        <f t="shared" si="9"/>
        <v>1222692</v>
      </c>
      <c r="Y150" s="8">
        <v>3331136</v>
      </c>
      <c r="AA150" s="8">
        <v>34757875</v>
      </c>
      <c r="AD150" s="8">
        <f t="shared" si="10"/>
        <v>0</v>
      </c>
      <c r="AF150" s="8">
        <f t="shared" si="11"/>
        <v>0</v>
      </c>
    </row>
    <row r="151" spans="1:34">
      <c r="A151" s="13" t="s">
        <v>546</v>
      </c>
      <c r="B151" s="13"/>
      <c r="C151" s="13" t="s">
        <v>50</v>
      </c>
      <c r="D151" s="13"/>
      <c r="E151" s="32">
        <v>43844</v>
      </c>
      <c r="G151" s="8">
        <f t="shared" si="12"/>
        <v>365609000</v>
      </c>
      <c r="I151" s="8">
        <v>352262000</v>
      </c>
      <c r="K151" s="8">
        <v>717871000</v>
      </c>
      <c r="M151" s="8">
        <f t="shared" si="8"/>
        <v>79549896</v>
      </c>
      <c r="O151" s="8">
        <v>7884953</v>
      </c>
      <c r="Q151" s="8">
        <v>265639151</v>
      </c>
      <c r="S151" s="8">
        <v>353074000</v>
      </c>
      <c r="U151" s="8">
        <v>204396000</v>
      </c>
      <c r="W151" s="8">
        <f t="shared" si="9"/>
        <v>141858000</v>
      </c>
      <c r="Y151" s="8">
        <v>18543000</v>
      </c>
      <c r="AA151" s="8">
        <v>364797000</v>
      </c>
      <c r="AD151" s="8">
        <f t="shared" si="10"/>
        <v>0</v>
      </c>
      <c r="AF151" s="8">
        <f t="shared" si="11"/>
        <v>0</v>
      </c>
      <c r="AH151" s="15" t="s">
        <v>922</v>
      </c>
    </row>
    <row r="152" spans="1:34" ht="12.75" customHeight="1">
      <c r="A152" s="13" t="s">
        <v>924</v>
      </c>
      <c r="B152" s="13"/>
      <c r="C152" s="13" t="s">
        <v>32</v>
      </c>
      <c r="D152" s="13"/>
      <c r="E152" s="32">
        <v>43851</v>
      </c>
      <c r="G152" s="8">
        <f t="shared" si="12"/>
        <v>13317072</v>
      </c>
      <c r="I152" s="8">
        <v>3513819</v>
      </c>
      <c r="K152" s="8">
        <v>16830891</v>
      </c>
      <c r="M152" s="8">
        <f>+S152-O152-Q152</f>
        <v>6862509</v>
      </c>
      <c r="O152" s="8">
        <v>389305</v>
      </c>
      <c r="Q152" s="8">
        <v>1678722</v>
      </c>
      <c r="S152" s="8">
        <v>8930536</v>
      </c>
      <c r="U152" s="8">
        <v>2851619</v>
      </c>
      <c r="W152" s="8">
        <f>AA152-Y152-U152</f>
        <v>926560</v>
      </c>
      <c r="Y152" s="8">
        <v>4122176</v>
      </c>
      <c r="AA152" s="8">
        <v>7900355</v>
      </c>
      <c r="AD152" s="8">
        <f t="shared" si="10"/>
        <v>0</v>
      </c>
      <c r="AF152" s="8">
        <f t="shared" si="11"/>
        <v>0</v>
      </c>
    </row>
    <row r="153" spans="1:34" hidden="1">
      <c r="A153" s="108" t="s">
        <v>925</v>
      </c>
      <c r="B153" s="13"/>
      <c r="C153" s="13" t="s">
        <v>22</v>
      </c>
      <c r="D153" s="13"/>
      <c r="E153" s="32">
        <v>43869</v>
      </c>
      <c r="G153" s="8">
        <f t="shared" si="12"/>
        <v>6130713</v>
      </c>
      <c r="K153" s="8">
        <v>6130713</v>
      </c>
      <c r="M153" s="8">
        <f>+S153-O153-Q153</f>
        <v>0</v>
      </c>
      <c r="W153" s="8">
        <f>AA153-Y153-U153</f>
        <v>4317117</v>
      </c>
      <c r="Y153" s="8">
        <v>1813596</v>
      </c>
      <c r="AA153" s="8">
        <v>6130713</v>
      </c>
      <c r="AD153" s="8">
        <f t="shared" si="10"/>
        <v>0</v>
      </c>
      <c r="AF153" s="8">
        <f t="shared" ref="AF153:AF225" si="13">+G153+I153+-M153-O153-U153-W153-Y153-Q153</f>
        <v>0</v>
      </c>
    </row>
    <row r="154" spans="1:34">
      <c r="A154" s="13" t="s">
        <v>926</v>
      </c>
      <c r="B154" s="13"/>
      <c r="C154" s="13" t="s">
        <v>23</v>
      </c>
      <c r="D154" s="13"/>
      <c r="E154" s="32"/>
      <c r="G154" s="8">
        <f t="shared" si="12"/>
        <v>44237014</v>
      </c>
      <c r="I154" s="8">
        <v>38263354</v>
      </c>
      <c r="K154" s="8">
        <v>82500368</v>
      </c>
      <c r="M154" s="8">
        <f>+S154-O154-Q154</f>
        <v>28788054</v>
      </c>
      <c r="O154" s="8">
        <v>2414953</v>
      </c>
      <c r="Q154" s="8">
        <v>36878496</v>
      </c>
      <c r="S154" s="8">
        <v>68081503</v>
      </c>
      <c r="U154" s="8">
        <v>6591590</v>
      </c>
      <c r="W154" s="8">
        <f>AA154-Y154-U154</f>
        <v>3022404</v>
      </c>
      <c r="Y154" s="8">
        <v>4804871</v>
      </c>
      <c r="AA154" s="8">
        <v>14418865</v>
      </c>
      <c r="AD154" s="8">
        <f t="shared" si="10"/>
        <v>0</v>
      </c>
      <c r="AF154" s="8">
        <f t="shared" si="13"/>
        <v>0</v>
      </c>
    </row>
    <row r="155" spans="1:34">
      <c r="A155" s="13" t="s">
        <v>210</v>
      </c>
      <c r="B155" s="13"/>
      <c r="C155" s="13" t="s">
        <v>10</v>
      </c>
      <c r="D155" s="13"/>
      <c r="E155" s="13">
        <v>43885</v>
      </c>
      <c r="F155" s="11"/>
      <c r="G155" s="8">
        <f t="shared" ref="G155:G218" si="14">+K155-I155</f>
        <v>5495187</v>
      </c>
      <c r="I155" s="8">
        <v>4140180</v>
      </c>
      <c r="K155" s="8">
        <v>9635367</v>
      </c>
      <c r="M155" s="8">
        <f t="shared" ref="M155:M228" si="15">+S155-O155-Q155</f>
        <v>4936096</v>
      </c>
      <c r="O155" s="8">
        <v>55241</v>
      </c>
      <c r="Q155" s="8">
        <v>556592</v>
      </c>
      <c r="S155" s="8">
        <v>5547929</v>
      </c>
      <c r="U155" s="8">
        <v>4410180</v>
      </c>
      <c r="W155" s="8">
        <f t="shared" ref="W155:W228" si="16">AA155-Y155-U155</f>
        <v>494269</v>
      </c>
      <c r="Y155" s="8">
        <v>-817011</v>
      </c>
      <c r="AA155" s="8">
        <v>4087438</v>
      </c>
      <c r="AD155" s="8">
        <f t="shared" ref="AD155:AD227" si="17">+K155-S155-AA155</f>
        <v>0</v>
      </c>
      <c r="AF155" s="8">
        <f t="shared" si="13"/>
        <v>0</v>
      </c>
    </row>
    <row r="156" spans="1:34">
      <c r="A156" s="13" t="s">
        <v>695</v>
      </c>
      <c r="B156" s="13"/>
      <c r="C156" s="13" t="s">
        <v>65</v>
      </c>
      <c r="D156" s="13"/>
      <c r="E156" s="32">
        <v>43893</v>
      </c>
      <c r="G156" s="8">
        <f t="shared" si="14"/>
        <v>18756415</v>
      </c>
      <c r="I156" s="8">
        <v>9227712</v>
      </c>
      <c r="K156" s="8">
        <v>27984127</v>
      </c>
      <c r="M156" s="8">
        <f t="shared" si="15"/>
        <v>13086478</v>
      </c>
      <c r="O156" s="8">
        <v>671714</v>
      </c>
      <c r="Q156" s="8">
        <v>6351447</v>
      </c>
      <c r="S156" s="8">
        <v>20109639</v>
      </c>
      <c r="U156" s="8">
        <v>4789248</v>
      </c>
      <c r="W156" s="8">
        <f t="shared" si="16"/>
        <v>869662</v>
      </c>
      <c r="Y156" s="8">
        <v>2215578</v>
      </c>
      <c r="AA156" s="8">
        <v>7874488</v>
      </c>
      <c r="AD156" s="8">
        <f t="shared" si="17"/>
        <v>0</v>
      </c>
      <c r="AF156" s="8">
        <f t="shared" si="13"/>
        <v>0</v>
      </c>
    </row>
    <row r="157" spans="1:34">
      <c r="A157" s="13" t="s">
        <v>355</v>
      </c>
      <c r="B157" s="13"/>
      <c r="C157" s="13" t="s">
        <v>27</v>
      </c>
      <c r="D157" s="13"/>
      <c r="E157" s="32">
        <v>47027</v>
      </c>
      <c r="G157" s="8">
        <f t="shared" si="14"/>
        <v>317259000</v>
      </c>
      <c r="I157" s="8">
        <v>176804000</v>
      </c>
      <c r="K157" s="8">
        <v>494063000</v>
      </c>
      <c r="M157" s="8">
        <f t="shared" si="15"/>
        <v>178093895</v>
      </c>
      <c r="O157" s="8">
        <v>16588954</v>
      </c>
      <c r="Q157" s="8">
        <v>238547151</v>
      </c>
      <c r="S157" s="8">
        <v>433230000</v>
      </c>
      <c r="U157" s="8">
        <v>3624000</v>
      </c>
      <c r="W157" s="8">
        <f t="shared" si="16"/>
        <v>56370000</v>
      </c>
      <c r="Y157" s="8">
        <v>839000</v>
      </c>
      <c r="AA157" s="8">
        <v>60833000</v>
      </c>
      <c r="AD157" s="8">
        <f t="shared" si="17"/>
        <v>0</v>
      </c>
      <c r="AF157" s="8">
        <f t="shared" si="13"/>
        <v>0</v>
      </c>
      <c r="AH157" s="15" t="s">
        <v>927</v>
      </c>
    </row>
    <row r="158" spans="1:34">
      <c r="A158" s="13" t="s">
        <v>305</v>
      </c>
      <c r="B158" s="13"/>
      <c r="C158" s="13" t="s">
        <v>20</v>
      </c>
      <c r="D158" s="13"/>
      <c r="E158" s="32">
        <v>43901</v>
      </c>
      <c r="G158" s="8">
        <f t="shared" si="14"/>
        <v>59645571</v>
      </c>
      <c r="I158" s="8">
        <v>87705655</v>
      </c>
      <c r="K158" s="8">
        <v>147351226</v>
      </c>
      <c r="M158" s="8">
        <f t="shared" si="15"/>
        <v>6808055</v>
      </c>
      <c r="O158" s="8">
        <v>5091226</v>
      </c>
      <c r="Q158" s="8">
        <v>13884632</v>
      </c>
      <c r="S158" s="8">
        <v>25783913</v>
      </c>
      <c r="U158" s="8">
        <v>81467172</v>
      </c>
      <c r="W158" s="8">
        <f t="shared" si="16"/>
        <v>8271024</v>
      </c>
      <c r="Y158" s="8">
        <v>31829117</v>
      </c>
      <c r="AA158" s="8">
        <v>121567313</v>
      </c>
      <c r="AD158" s="8">
        <f t="shared" si="17"/>
        <v>0</v>
      </c>
      <c r="AF158" s="8">
        <f t="shared" si="13"/>
        <v>0</v>
      </c>
      <c r="AH158" s="8" t="s">
        <v>956</v>
      </c>
    </row>
    <row r="159" spans="1:34">
      <c r="A159" s="13" t="s">
        <v>276</v>
      </c>
      <c r="B159" s="13"/>
      <c r="C159" s="13" t="s">
        <v>18</v>
      </c>
      <c r="D159" s="13"/>
      <c r="E159" s="32">
        <v>46409</v>
      </c>
      <c r="F159" s="11"/>
      <c r="G159" s="8">
        <f t="shared" si="14"/>
        <v>6234030</v>
      </c>
      <c r="I159" s="8">
        <v>16080430</v>
      </c>
      <c r="K159" s="8">
        <v>22314460</v>
      </c>
      <c r="M159" s="8">
        <f t="shared" si="15"/>
        <v>4130261</v>
      </c>
      <c r="O159" s="8">
        <v>343533</v>
      </c>
      <c r="Q159" s="8">
        <v>2608051</v>
      </c>
      <c r="S159" s="8">
        <v>7081845</v>
      </c>
      <c r="U159" s="8">
        <v>14345270</v>
      </c>
      <c r="W159" s="8">
        <f t="shared" si="16"/>
        <v>1765963</v>
      </c>
      <c r="Y159" s="8">
        <v>-878618</v>
      </c>
      <c r="AA159" s="8">
        <v>15232615</v>
      </c>
      <c r="AD159" s="8">
        <f t="shared" si="17"/>
        <v>0</v>
      </c>
      <c r="AF159" s="8">
        <f t="shared" si="13"/>
        <v>0</v>
      </c>
    </row>
    <row r="160" spans="1:34">
      <c r="A160" s="13" t="s">
        <v>390</v>
      </c>
      <c r="B160" s="13"/>
      <c r="C160" s="13" t="s">
        <v>31</v>
      </c>
      <c r="D160" s="13"/>
      <c r="E160" s="32">
        <v>69682</v>
      </c>
      <c r="G160" s="8">
        <f t="shared" si="14"/>
        <v>9499629</v>
      </c>
      <c r="I160" s="8">
        <v>23158678</v>
      </c>
      <c r="K160" s="8">
        <v>32658307</v>
      </c>
      <c r="M160" s="8">
        <f t="shared" si="15"/>
        <v>3719965</v>
      </c>
      <c r="O160" s="8">
        <v>426490</v>
      </c>
      <c r="Q160" s="8">
        <v>4756007</v>
      </c>
      <c r="S160" s="8">
        <v>8902462</v>
      </c>
      <c r="U160" s="8">
        <v>19162669</v>
      </c>
      <c r="W160" s="8">
        <f t="shared" si="16"/>
        <v>2348618</v>
      </c>
      <c r="Y160" s="8">
        <v>2244558</v>
      </c>
      <c r="AA160" s="8">
        <v>23755845</v>
      </c>
      <c r="AD160" s="8">
        <f t="shared" si="17"/>
        <v>0</v>
      </c>
      <c r="AF160" s="8">
        <f t="shared" si="13"/>
        <v>0</v>
      </c>
    </row>
    <row r="161" spans="1:34">
      <c r="A161" s="13" t="s">
        <v>441</v>
      </c>
      <c r="B161" s="13"/>
      <c r="C161" s="13" t="s">
        <v>36</v>
      </c>
      <c r="D161" s="13"/>
      <c r="E161" s="32">
        <v>47688</v>
      </c>
      <c r="G161" s="8">
        <f t="shared" si="14"/>
        <v>15993905</v>
      </c>
      <c r="I161" s="8">
        <v>11721248</v>
      </c>
      <c r="K161" s="8">
        <v>27715153</v>
      </c>
      <c r="M161" s="8">
        <f t="shared" si="15"/>
        <v>10195108</v>
      </c>
      <c r="O161" s="8">
        <v>266623</v>
      </c>
      <c r="Q161" s="8">
        <v>3588170</v>
      </c>
      <c r="S161" s="8">
        <v>14049901</v>
      </c>
      <c r="U161" s="8">
        <v>9582296</v>
      </c>
      <c r="W161" s="8">
        <f t="shared" si="16"/>
        <v>1094165</v>
      </c>
      <c r="Y161" s="8">
        <v>2988791</v>
      </c>
      <c r="AA161" s="8">
        <v>13665252</v>
      </c>
      <c r="AD161" s="8">
        <f t="shared" si="17"/>
        <v>0</v>
      </c>
      <c r="AF161" s="8">
        <f t="shared" si="13"/>
        <v>0</v>
      </c>
    </row>
    <row r="162" spans="1:34" hidden="1">
      <c r="A162" s="108" t="s">
        <v>929</v>
      </c>
      <c r="B162" s="13"/>
      <c r="C162" s="13" t="s">
        <v>40</v>
      </c>
      <c r="D162" s="13"/>
      <c r="E162" s="32"/>
      <c r="G162" s="8">
        <f t="shared" si="14"/>
        <v>3585888</v>
      </c>
      <c r="K162" s="8">
        <v>3585888</v>
      </c>
      <c r="M162" s="8">
        <f t="shared" si="15"/>
        <v>0</v>
      </c>
      <c r="W162" s="8">
        <f t="shared" si="16"/>
        <v>1113421</v>
      </c>
      <c r="Y162" s="8">
        <v>2472467</v>
      </c>
      <c r="AA162" s="8">
        <v>3585888</v>
      </c>
      <c r="AD162" s="8">
        <f t="shared" si="17"/>
        <v>0</v>
      </c>
      <c r="AF162" s="8">
        <f t="shared" si="13"/>
        <v>0</v>
      </c>
    </row>
    <row r="163" spans="1:34">
      <c r="A163" s="13" t="s">
        <v>281</v>
      </c>
      <c r="B163" s="13"/>
      <c r="C163" s="13" t="s">
        <v>114</v>
      </c>
      <c r="D163" s="13"/>
      <c r="E163" s="32">
        <v>43919</v>
      </c>
      <c r="G163" s="8">
        <f t="shared" si="14"/>
        <v>37244435</v>
      </c>
      <c r="I163" s="8">
        <v>32208454</v>
      </c>
      <c r="K163" s="8">
        <v>69452889</v>
      </c>
      <c r="M163" s="8">
        <f t="shared" si="15"/>
        <v>7255117</v>
      </c>
      <c r="O163" s="8">
        <v>344888</v>
      </c>
      <c r="Q163" s="8">
        <v>9777132</v>
      </c>
      <c r="S163" s="8">
        <v>17377137</v>
      </c>
      <c r="U163" s="8">
        <v>6701326</v>
      </c>
      <c r="W163" s="8">
        <f t="shared" si="16"/>
        <v>32732156</v>
      </c>
      <c r="Y163" s="8">
        <v>12642270</v>
      </c>
      <c r="AA163" s="8">
        <v>52075752</v>
      </c>
      <c r="AD163" s="8">
        <f t="shared" si="17"/>
        <v>0</v>
      </c>
      <c r="AF163" s="8">
        <f t="shared" si="13"/>
        <v>0</v>
      </c>
    </row>
    <row r="164" spans="1:34">
      <c r="A164" s="13" t="s">
        <v>563</v>
      </c>
      <c r="B164" s="13"/>
      <c r="C164" s="13" t="s">
        <v>51</v>
      </c>
      <c r="D164" s="13"/>
      <c r="E164" s="32">
        <v>48835</v>
      </c>
      <c r="G164" s="8">
        <f t="shared" si="14"/>
        <v>14500475</v>
      </c>
      <c r="I164" s="8">
        <v>28704515</v>
      </c>
      <c r="K164" s="8">
        <v>43204990</v>
      </c>
      <c r="M164" s="8">
        <f t="shared" si="15"/>
        <v>7267992</v>
      </c>
      <c r="O164" s="8">
        <v>456317</v>
      </c>
      <c r="Q164" s="8">
        <v>8090463</v>
      </c>
      <c r="S164" s="8">
        <v>15814772</v>
      </c>
      <c r="U164" s="8">
        <v>22753520</v>
      </c>
      <c r="W164" s="8">
        <f t="shared" si="16"/>
        <v>2309125</v>
      </c>
      <c r="Y164" s="8">
        <v>2327573</v>
      </c>
      <c r="AA164" s="8">
        <v>27390218</v>
      </c>
      <c r="AD164" s="8">
        <f>+K164-S164-AA164</f>
        <v>0</v>
      </c>
      <c r="AF164" s="8">
        <f>+G164+I164+-M164-O164-U164-W164-Y164-Q164</f>
        <v>0</v>
      </c>
    </row>
    <row r="165" spans="1:34">
      <c r="A165" s="13" t="s">
        <v>282</v>
      </c>
      <c r="B165" s="13"/>
      <c r="C165" s="13" t="s">
        <v>114</v>
      </c>
      <c r="D165" s="13"/>
      <c r="E165" s="32">
        <v>43927</v>
      </c>
      <c r="G165" s="8">
        <f t="shared" si="14"/>
        <v>5831511</v>
      </c>
      <c r="I165" s="8">
        <v>24830065</v>
      </c>
      <c r="K165" s="8">
        <v>30661576</v>
      </c>
      <c r="M165" s="8">
        <f t="shared" si="15"/>
        <v>3650763</v>
      </c>
      <c r="O165" s="8">
        <v>919527</v>
      </c>
      <c r="Q165" s="8">
        <v>3546674</v>
      </c>
      <c r="S165" s="8">
        <v>8116964</v>
      </c>
      <c r="U165" s="8">
        <v>21867014</v>
      </c>
      <c r="W165" s="8">
        <f t="shared" si="16"/>
        <v>1414539</v>
      </c>
      <c r="Y165" s="8">
        <v>-736941</v>
      </c>
      <c r="AA165" s="8">
        <v>22544612</v>
      </c>
      <c r="AD165" s="8">
        <f t="shared" si="17"/>
        <v>0</v>
      </c>
      <c r="AF165" s="8">
        <f t="shared" si="13"/>
        <v>0</v>
      </c>
    </row>
    <row r="166" spans="1:34">
      <c r="A166" s="12" t="s">
        <v>237</v>
      </c>
      <c r="B166" s="12"/>
      <c r="C166" s="12" t="s">
        <v>77</v>
      </c>
      <c r="D166" s="12"/>
      <c r="E166" s="32">
        <v>46037</v>
      </c>
      <c r="G166" s="8">
        <f t="shared" si="14"/>
        <v>15508769</v>
      </c>
      <c r="I166" s="8">
        <v>41624433</v>
      </c>
      <c r="K166" s="8">
        <v>57133202</v>
      </c>
      <c r="M166" s="8">
        <f t="shared" si="15"/>
        <v>5496225</v>
      </c>
      <c r="O166" s="8">
        <v>445631</v>
      </c>
      <c r="Q166" s="8">
        <v>9895816</v>
      </c>
      <c r="S166" s="8">
        <v>15837672</v>
      </c>
      <c r="U166" s="8">
        <v>32467413</v>
      </c>
      <c r="W166" s="8">
        <f t="shared" si="16"/>
        <v>9691887</v>
      </c>
      <c r="Y166" s="8">
        <v>-863770</v>
      </c>
      <c r="AA166" s="8">
        <v>41295530</v>
      </c>
      <c r="AD166" s="8">
        <f t="shared" si="17"/>
        <v>0</v>
      </c>
      <c r="AF166" s="8">
        <f t="shared" si="13"/>
        <v>0</v>
      </c>
    </row>
    <row r="167" spans="1:34">
      <c r="A167" s="12" t="s">
        <v>237</v>
      </c>
      <c r="B167" s="12"/>
      <c r="C167" s="12" t="s">
        <v>531</v>
      </c>
      <c r="D167" s="12"/>
      <c r="E167" s="32">
        <v>48512</v>
      </c>
      <c r="G167" s="8">
        <f t="shared" si="14"/>
        <v>3912166</v>
      </c>
      <c r="I167" s="8">
        <v>8405169</v>
      </c>
      <c r="K167" s="8">
        <v>12317335</v>
      </c>
      <c r="M167" s="8">
        <f t="shared" si="15"/>
        <v>1365166</v>
      </c>
      <c r="O167" s="8">
        <v>114550</v>
      </c>
      <c r="Q167" s="8">
        <v>1258727</v>
      </c>
      <c r="S167" s="8">
        <v>2738443</v>
      </c>
      <c r="U167" s="8">
        <v>7415169</v>
      </c>
      <c r="W167" s="8">
        <f t="shared" si="16"/>
        <v>921085</v>
      </c>
      <c r="Y167" s="8">
        <v>1242638</v>
      </c>
      <c r="AA167" s="8">
        <v>9578892</v>
      </c>
      <c r="AD167" s="8">
        <f t="shared" si="17"/>
        <v>0</v>
      </c>
      <c r="AF167" s="8">
        <f t="shared" si="13"/>
        <v>0</v>
      </c>
    </row>
    <row r="168" spans="1:34" hidden="1">
      <c r="A168" s="108" t="s">
        <v>931</v>
      </c>
      <c r="B168" s="13"/>
      <c r="C168" s="13" t="s">
        <v>55</v>
      </c>
      <c r="D168" s="13"/>
      <c r="E168" s="32">
        <v>49122</v>
      </c>
      <c r="G168" s="8">
        <f t="shared" si="14"/>
        <v>2274769</v>
      </c>
      <c r="K168" s="8">
        <v>2274769</v>
      </c>
      <c r="M168" s="8">
        <f t="shared" si="15"/>
        <v>0</v>
      </c>
      <c r="W168" s="8">
        <f t="shared" si="16"/>
        <v>969329</v>
      </c>
      <c r="Y168" s="8">
        <v>1305440</v>
      </c>
      <c r="AA168" s="8">
        <v>2274769</v>
      </c>
      <c r="AD168" s="8">
        <f t="shared" si="17"/>
        <v>0</v>
      </c>
      <c r="AF168" s="8">
        <f t="shared" si="13"/>
        <v>0</v>
      </c>
    </row>
    <row r="169" spans="1:34">
      <c r="A169" s="12" t="s">
        <v>734</v>
      </c>
      <c r="B169" s="12"/>
      <c r="C169" s="12" t="s">
        <v>72</v>
      </c>
      <c r="D169" s="12"/>
      <c r="E169" s="32">
        <v>50674</v>
      </c>
      <c r="G169" s="8">
        <f t="shared" si="14"/>
        <v>12725472</v>
      </c>
      <c r="I169" s="8">
        <v>4939874</v>
      </c>
      <c r="K169" s="8">
        <v>17665346</v>
      </c>
      <c r="M169" s="8">
        <f t="shared" si="15"/>
        <v>6779177</v>
      </c>
      <c r="O169" s="8">
        <v>371193</v>
      </c>
      <c r="Q169" s="8">
        <v>4127186</v>
      </c>
      <c r="S169" s="8">
        <v>11277556</v>
      </c>
      <c r="U169" s="8">
        <v>1963836</v>
      </c>
      <c r="W169" s="8">
        <f t="shared" si="16"/>
        <v>624807</v>
      </c>
      <c r="Y169" s="8">
        <v>3799147</v>
      </c>
      <c r="AA169" s="8">
        <v>6387790</v>
      </c>
      <c r="AD169" s="8">
        <f t="shared" si="17"/>
        <v>0</v>
      </c>
      <c r="AF169" s="8">
        <f t="shared" si="13"/>
        <v>0</v>
      </c>
    </row>
    <row r="170" spans="1:34">
      <c r="A170" s="12" t="s">
        <v>974</v>
      </c>
      <c r="B170" s="12"/>
      <c r="C170" s="12" t="s">
        <v>57</v>
      </c>
      <c r="D170" s="12"/>
      <c r="E170" s="32">
        <v>43935</v>
      </c>
      <c r="G170" s="8">
        <f t="shared" si="14"/>
        <v>21469767</v>
      </c>
      <c r="I170" s="8">
        <v>31597848</v>
      </c>
      <c r="K170" s="8">
        <v>53067615</v>
      </c>
      <c r="M170" s="8">
        <f t="shared" si="15"/>
        <v>5933492</v>
      </c>
      <c r="O170" s="8">
        <v>742278</v>
      </c>
      <c r="Q170" s="8">
        <v>30211036</v>
      </c>
      <c r="S170" s="8">
        <v>36886806</v>
      </c>
      <c r="U170" s="8">
        <v>4216521</v>
      </c>
      <c r="W170" s="8">
        <f t="shared" si="16"/>
        <v>3026173</v>
      </c>
      <c r="Y170" s="8">
        <v>8938115</v>
      </c>
      <c r="AA170" s="8">
        <v>16180809</v>
      </c>
      <c r="AD170" s="8">
        <f t="shared" si="17"/>
        <v>0</v>
      </c>
      <c r="AF170" s="8">
        <f t="shared" si="13"/>
        <v>0</v>
      </c>
      <c r="AH170" s="8" t="s">
        <v>956</v>
      </c>
    </row>
    <row r="171" spans="1:34" hidden="1">
      <c r="A171" s="117" t="s">
        <v>932</v>
      </c>
      <c r="B171" s="12"/>
      <c r="C171" s="12" t="s">
        <v>727</v>
      </c>
      <c r="D171" s="12"/>
      <c r="E171" s="32">
        <v>50617</v>
      </c>
      <c r="G171" s="8">
        <f t="shared" si="14"/>
        <v>5256743</v>
      </c>
      <c r="K171" s="8">
        <v>5256743</v>
      </c>
      <c r="M171" s="8">
        <f t="shared" si="15"/>
        <v>0</v>
      </c>
      <c r="W171" s="8">
        <f t="shared" si="16"/>
        <v>3653584</v>
      </c>
      <c r="Y171" s="8">
        <v>1603159</v>
      </c>
      <c r="AA171" s="8">
        <v>5256743</v>
      </c>
      <c r="AD171" s="8">
        <f t="shared" si="17"/>
        <v>0</v>
      </c>
      <c r="AF171" s="8">
        <f t="shared" si="13"/>
        <v>0</v>
      </c>
    </row>
    <row r="172" spans="1:34">
      <c r="A172" s="12" t="s">
        <v>933</v>
      </c>
      <c r="B172" s="12"/>
      <c r="C172" s="12" t="s">
        <v>242</v>
      </c>
      <c r="D172" s="12"/>
      <c r="E172" s="32">
        <v>46094</v>
      </c>
      <c r="G172" s="8">
        <f t="shared" si="14"/>
        <v>25633347</v>
      </c>
      <c r="I172" s="8">
        <v>27050925</v>
      </c>
      <c r="K172" s="8">
        <v>52684272</v>
      </c>
      <c r="M172" s="8">
        <f t="shared" si="15"/>
        <v>17575234</v>
      </c>
      <c r="O172" s="8">
        <v>1830514</v>
      </c>
      <c r="Q172" s="8">
        <v>22616977</v>
      </c>
      <c r="S172" s="8">
        <v>42022725</v>
      </c>
      <c r="U172" s="8">
        <v>8828025</v>
      </c>
      <c r="W172" s="8">
        <f t="shared" si="16"/>
        <v>5074133</v>
      </c>
      <c r="Y172" s="8">
        <v>-3240611</v>
      </c>
      <c r="AA172" s="8">
        <v>10661547</v>
      </c>
      <c r="AD172" s="8">
        <f t="shared" si="17"/>
        <v>0</v>
      </c>
      <c r="AF172" s="8">
        <f t="shared" si="13"/>
        <v>0</v>
      </c>
    </row>
    <row r="173" spans="1:34">
      <c r="A173" s="12" t="s">
        <v>450</v>
      </c>
      <c r="B173" s="12"/>
      <c r="C173" s="12" t="s">
        <v>39</v>
      </c>
      <c r="D173" s="12"/>
      <c r="E173" s="32">
        <v>47795</v>
      </c>
      <c r="G173" s="8">
        <f t="shared" si="14"/>
        <v>10757875</v>
      </c>
      <c r="I173" s="8">
        <v>4160024</v>
      </c>
      <c r="K173" s="8">
        <v>14917899</v>
      </c>
      <c r="M173" s="8">
        <f t="shared" si="15"/>
        <v>9769282</v>
      </c>
      <c r="O173" s="8">
        <v>436389</v>
      </c>
      <c r="Q173" s="8">
        <v>2123058</v>
      </c>
      <c r="S173" s="8">
        <v>12328729</v>
      </c>
      <c r="U173" s="8">
        <v>3413894</v>
      </c>
      <c r="W173" s="8">
        <f t="shared" si="16"/>
        <v>512373</v>
      </c>
      <c r="Y173" s="8">
        <v>-1337097</v>
      </c>
      <c r="AA173" s="8">
        <v>2589170</v>
      </c>
      <c r="AD173" s="8">
        <f t="shared" si="17"/>
        <v>0</v>
      </c>
      <c r="AF173" s="8">
        <f t="shared" si="13"/>
        <v>0</v>
      </c>
    </row>
    <row r="174" spans="1:34">
      <c r="A174" s="12" t="s">
        <v>729</v>
      </c>
      <c r="B174" s="12"/>
      <c r="C174" s="12" t="s">
        <v>727</v>
      </c>
      <c r="D174" s="12"/>
      <c r="E174" s="32">
        <v>50625</v>
      </c>
      <c r="G174" s="8">
        <f t="shared" si="14"/>
        <v>5628883</v>
      </c>
      <c r="I174" s="8">
        <v>17822213</v>
      </c>
      <c r="K174" s="8">
        <v>23451096</v>
      </c>
      <c r="M174" s="8">
        <f t="shared" si="15"/>
        <v>2196886</v>
      </c>
      <c r="O174" s="8">
        <v>301961</v>
      </c>
      <c r="Q174" s="8">
        <v>3830783</v>
      </c>
      <c r="S174" s="8">
        <v>6329630</v>
      </c>
      <c r="U174" s="8">
        <v>14557603</v>
      </c>
      <c r="W174" s="8">
        <f t="shared" si="16"/>
        <v>1045881</v>
      </c>
      <c r="Y174" s="8">
        <v>1517982</v>
      </c>
      <c r="AA174" s="8">
        <v>17121466</v>
      </c>
      <c r="AD174" s="8">
        <f t="shared" si="17"/>
        <v>0</v>
      </c>
      <c r="AF174" s="8">
        <f t="shared" si="13"/>
        <v>0</v>
      </c>
    </row>
    <row r="175" spans="1:34" hidden="1">
      <c r="A175" s="108" t="s">
        <v>934</v>
      </c>
      <c r="B175" s="13"/>
      <c r="C175" s="13" t="s">
        <v>10</v>
      </c>
      <c r="D175" s="12"/>
      <c r="E175" s="32"/>
      <c r="G175" s="8">
        <f t="shared" si="14"/>
        <v>41417173</v>
      </c>
      <c r="K175" s="8">
        <v>41417173</v>
      </c>
      <c r="M175" s="8">
        <f t="shared" si="15"/>
        <v>0</v>
      </c>
      <c r="W175" s="8">
        <f t="shared" si="16"/>
        <v>37199060</v>
      </c>
      <c r="Y175" s="8">
        <v>4218113</v>
      </c>
      <c r="AA175" s="8">
        <v>41417173</v>
      </c>
      <c r="AD175" s="8">
        <f t="shared" si="17"/>
        <v>0</v>
      </c>
      <c r="AF175" s="8">
        <f t="shared" si="13"/>
        <v>0</v>
      </c>
    </row>
    <row r="176" spans="1:34">
      <c r="A176" s="12" t="s">
        <v>977</v>
      </c>
      <c r="B176" s="12"/>
      <c r="C176" s="12" t="s">
        <v>46</v>
      </c>
      <c r="D176" s="12"/>
      <c r="E176" s="32">
        <v>48413</v>
      </c>
      <c r="F176" s="11"/>
      <c r="G176" s="8">
        <f t="shared" si="14"/>
        <v>5224226</v>
      </c>
      <c r="I176" s="8">
        <v>2468425</v>
      </c>
      <c r="K176" s="8">
        <v>7692651</v>
      </c>
      <c r="M176" s="8">
        <f t="shared" si="15"/>
        <v>3849475</v>
      </c>
      <c r="O176" s="8">
        <v>47260</v>
      </c>
      <c r="Q176" s="8">
        <v>909618</v>
      </c>
      <c r="S176" s="8">
        <v>4806353</v>
      </c>
      <c r="U176" s="8">
        <v>2468425</v>
      </c>
      <c r="W176" s="8">
        <f t="shared" si="16"/>
        <v>495125</v>
      </c>
      <c r="Y176" s="8">
        <v>-77252</v>
      </c>
      <c r="AA176" s="8">
        <v>2886298</v>
      </c>
      <c r="AD176" s="8">
        <f t="shared" si="17"/>
        <v>0</v>
      </c>
      <c r="AF176" s="8">
        <f t="shared" si="13"/>
        <v>0</v>
      </c>
    </row>
    <row r="177" spans="1:34" hidden="1">
      <c r="A177" s="117" t="s">
        <v>1020</v>
      </c>
      <c r="B177" s="12"/>
      <c r="C177" s="12" t="s">
        <v>72</v>
      </c>
      <c r="D177" s="12"/>
      <c r="E177" s="32"/>
      <c r="F177" s="11"/>
      <c r="G177" s="8">
        <f t="shared" si="14"/>
        <v>6339992</v>
      </c>
      <c r="K177" s="8">
        <v>6339992</v>
      </c>
      <c r="W177" s="8">
        <f t="shared" si="16"/>
        <v>924900</v>
      </c>
      <c r="Y177" s="8">
        <v>5415092</v>
      </c>
      <c r="AA177" s="8">
        <v>6339992</v>
      </c>
      <c r="AD177" s="8">
        <f t="shared" si="17"/>
        <v>0</v>
      </c>
      <c r="AF177" s="8">
        <f t="shared" si="13"/>
        <v>0</v>
      </c>
      <c r="AH177" s="8" t="s">
        <v>967</v>
      </c>
    </row>
    <row r="178" spans="1:34">
      <c r="A178" s="12" t="s">
        <v>487</v>
      </c>
      <c r="B178" s="12"/>
      <c r="C178" s="12" t="s">
        <v>44</v>
      </c>
      <c r="D178" s="12"/>
      <c r="E178" s="32">
        <v>43943</v>
      </c>
      <c r="G178" s="8">
        <f t="shared" si="14"/>
        <v>100679057</v>
      </c>
      <c r="I178" s="8">
        <v>26697840</v>
      </c>
      <c r="K178" s="8">
        <v>127376897</v>
      </c>
      <c r="M178" s="8">
        <f t="shared" si="15"/>
        <v>39590656</v>
      </c>
      <c r="O178" s="8">
        <v>2248645</v>
      </c>
      <c r="Q178" s="8">
        <f>58204560+59425</f>
        <v>58263985</v>
      </c>
      <c r="S178" s="8">
        <v>100103286</v>
      </c>
      <c r="U178" s="8">
        <v>10607795</v>
      </c>
      <c r="W178" s="8">
        <f t="shared" si="16"/>
        <v>22854437</v>
      </c>
      <c r="Y178" s="8">
        <v>-6188621</v>
      </c>
      <c r="AA178" s="8">
        <v>27273611</v>
      </c>
      <c r="AD178" s="8">
        <f t="shared" si="17"/>
        <v>0</v>
      </c>
      <c r="AF178" s="8">
        <f t="shared" si="13"/>
        <v>0</v>
      </c>
    </row>
    <row r="179" spans="1:34">
      <c r="A179" s="12" t="s">
        <v>306</v>
      </c>
      <c r="B179" s="12"/>
      <c r="C179" s="12" t="s">
        <v>20</v>
      </c>
      <c r="D179" s="12"/>
      <c r="E179" s="32">
        <v>43950</v>
      </c>
      <c r="G179" s="8">
        <f t="shared" si="14"/>
        <v>63500783</v>
      </c>
      <c r="I179" s="8">
        <v>25919508</v>
      </c>
      <c r="K179" s="8">
        <v>89420291</v>
      </c>
      <c r="M179" s="8">
        <f t="shared" si="15"/>
        <v>36147882</v>
      </c>
      <c r="O179" s="8">
        <f>4377417+5777</f>
        <v>4383194</v>
      </c>
      <c r="Q179" s="8">
        <f>16976883+96284</f>
        <v>17073167</v>
      </c>
      <c r="S179" s="8">
        <v>57604243</v>
      </c>
      <c r="U179" s="8">
        <v>12905923</v>
      </c>
      <c r="W179" s="8">
        <f t="shared" si="16"/>
        <v>5610784</v>
      </c>
      <c r="Y179" s="8">
        <v>13299341</v>
      </c>
      <c r="AA179" s="8">
        <v>31816048</v>
      </c>
      <c r="AD179" s="8">
        <f t="shared" si="17"/>
        <v>0</v>
      </c>
      <c r="AF179" s="8">
        <f t="shared" si="13"/>
        <v>0</v>
      </c>
    </row>
    <row r="180" spans="1:34" hidden="1">
      <c r="A180" s="108" t="s">
        <v>840</v>
      </c>
      <c r="B180" s="12"/>
      <c r="C180" s="12" t="s">
        <v>28</v>
      </c>
      <c r="D180" s="12"/>
      <c r="E180" s="32">
        <v>47050</v>
      </c>
      <c r="G180" s="8">
        <f t="shared" si="14"/>
        <v>5971604</v>
      </c>
      <c r="K180" s="8">
        <v>5971604</v>
      </c>
      <c r="M180" s="8">
        <f t="shared" si="15"/>
        <v>0</v>
      </c>
      <c r="W180" s="8">
        <f t="shared" si="16"/>
        <v>2022949</v>
      </c>
      <c r="Y180" s="8">
        <v>3948655</v>
      </c>
      <c r="AA180" s="8">
        <v>5971604</v>
      </c>
      <c r="AD180" s="8">
        <f>+K180-S180-AA180</f>
        <v>0</v>
      </c>
      <c r="AF180" s="8">
        <f t="shared" si="13"/>
        <v>0</v>
      </c>
    </row>
    <row r="181" spans="1:34">
      <c r="A181" s="12" t="s">
        <v>702</v>
      </c>
      <c r="B181" s="12"/>
      <c r="C181" s="12" t="s">
        <v>66</v>
      </c>
      <c r="D181" s="12"/>
      <c r="E181" s="32">
        <v>50328</v>
      </c>
      <c r="G181" s="8">
        <f t="shared" si="14"/>
        <v>10033931</v>
      </c>
      <c r="I181" s="8">
        <v>15867514</v>
      </c>
      <c r="K181" s="8">
        <v>25901445</v>
      </c>
      <c r="M181" s="8">
        <f t="shared" si="15"/>
        <v>5894264</v>
      </c>
      <c r="O181" s="8">
        <v>649281</v>
      </c>
      <c r="Q181" s="8">
        <v>12642086</v>
      </c>
      <c r="S181" s="8">
        <v>19185631</v>
      </c>
      <c r="U181" s="8">
        <v>14462053</v>
      </c>
      <c r="W181" s="8">
        <f t="shared" si="16"/>
        <v>1654057</v>
      </c>
      <c r="Y181" s="8">
        <v>-9400296</v>
      </c>
      <c r="AA181" s="8">
        <v>6715814</v>
      </c>
      <c r="AD181" s="8">
        <f t="shared" si="17"/>
        <v>0</v>
      </c>
      <c r="AF181" s="8">
        <f t="shared" si="13"/>
        <v>0</v>
      </c>
    </row>
    <row r="182" spans="1:34" s="35" customFormat="1">
      <c r="A182" s="34" t="s">
        <v>851</v>
      </c>
      <c r="B182" s="34"/>
      <c r="C182" s="34" t="s">
        <v>116</v>
      </c>
      <c r="D182" s="34"/>
      <c r="E182" s="34">
        <v>46102</v>
      </c>
      <c r="G182" s="8">
        <f>+K182-I182</f>
        <v>27597728</v>
      </c>
      <c r="H182" s="8"/>
      <c r="I182" s="8">
        <v>15605226</v>
      </c>
      <c r="J182" s="8"/>
      <c r="K182" s="8">
        <v>43202954</v>
      </c>
      <c r="L182" s="8"/>
      <c r="M182" s="8">
        <f>+S182-O182-Q182</f>
        <v>19862588</v>
      </c>
      <c r="N182" s="8"/>
      <c r="O182" s="8">
        <v>1259784</v>
      </c>
      <c r="P182" s="8"/>
      <c r="Q182" s="8">
        <v>21801430</v>
      </c>
      <c r="R182" s="8"/>
      <c r="S182" s="8">
        <v>42923802</v>
      </c>
      <c r="T182" s="8"/>
      <c r="U182" s="8">
        <v>-2672027</v>
      </c>
      <c r="V182" s="8"/>
      <c r="W182" s="8">
        <f>AA182-Y182-U182</f>
        <v>2324206</v>
      </c>
      <c r="X182" s="8"/>
      <c r="Y182" s="8">
        <v>626973</v>
      </c>
      <c r="Z182" s="8"/>
      <c r="AA182" s="8">
        <v>279152</v>
      </c>
      <c r="AB182" s="8"/>
      <c r="AC182" s="8"/>
      <c r="AD182" s="8">
        <f>+K182-S182-AA182</f>
        <v>0</v>
      </c>
      <c r="AE182" s="8"/>
      <c r="AF182" s="8">
        <f>+G182+I182+-M182-O182-U182-W182-Y182-Q182</f>
        <v>0</v>
      </c>
      <c r="AG182" s="8"/>
      <c r="AH182" s="8"/>
    </row>
    <row r="183" spans="1:34">
      <c r="A183" s="12" t="s">
        <v>243</v>
      </c>
      <c r="B183" s="12"/>
      <c r="C183" s="12" t="s">
        <v>242</v>
      </c>
      <c r="D183" s="12"/>
      <c r="E183" s="32">
        <v>46102</v>
      </c>
      <c r="G183" s="8">
        <f t="shared" si="14"/>
        <v>75706499</v>
      </c>
      <c r="I183" s="8">
        <v>60906627</v>
      </c>
      <c r="K183" s="8">
        <v>136613126</v>
      </c>
      <c r="M183" s="8">
        <f t="shared" si="15"/>
        <v>57731665</v>
      </c>
      <c r="O183" s="8">
        <v>2996384</v>
      </c>
      <c r="Q183" s="8">
        <v>39739970</v>
      </c>
      <c r="S183" s="8">
        <v>100468019</v>
      </c>
      <c r="U183" s="8">
        <v>30902284</v>
      </c>
      <c r="W183" s="8">
        <f t="shared" si="16"/>
        <v>3521430</v>
      </c>
      <c r="Y183" s="8">
        <v>1721393</v>
      </c>
      <c r="AA183" s="8">
        <v>36145107</v>
      </c>
      <c r="AD183" s="8">
        <f t="shared" si="17"/>
        <v>0</v>
      </c>
      <c r="AF183" s="8">
        <f t="shared" si="13"/>
        <v>0</v>
      </c>
    </row>
    <row r="184" spans="1:34">
      <c r="A184" s="12" t="s">
        <v>436</v>
      </c>
      <c r="B184" s="12"/>
      <c r="C184" s="12" t="s">
        <v>435</v>
      </c>
      <c r="D184" s="12"/>
      <c r="E184" s="32">
        <v>47621</v>
      </c>
      <c r="G184" s="8">
        <f t="shared" si="14"/>
        <v>4083789</v>
      </c>
      <c r="I184" s="8">
        <v>15971070</v>
      </c>
      <c r="K184" s="8">
        <v>20054859</v>
      </c>
      <c r="M184" s="8">
        <f t="shared" si="15"/>
        <v>2806885</v>
      </c>
      <c r="O184" s="8">
        <v>147154</v>
      </c>
      <c r="Q184" s="8">
        <v>2441525</v>
      </c>
      <c r="S184" s="8">
        <v>5395564</v>
      </c>
      <c r="U184" s="8">
        <v>140907048</v>
      </c>
      <c r="W184" s="8">
        <f t="shared" si="16"/>
        <v>-126051753</v>
      </c>
      <c r="Y184" s="8">
        <v>-196000</v>
      </c>
      <c r="AA184" s="8">
        <v>14659295</v>
      </c>
      <c r="AD184" s="8">
        <f t="shared" si="17"/>
        <v>0</v>
      </c>
      <c r="AF184" s="8">
        <f t="shared" si="13"/>
        <v>0</v>
      </c>
    </row>
    <row r="185" spans="1:34">
      <c r="A185" s="12" t="s">
        <v>346</v>
      </c>
      <c r="B185" s="12"/>
      <c r="C185" s="12" t="s">
        <v>25</v>
      </c>
      <c r="D185" s="12"/>
      <c r="E185" s="32">
        <v>46870</v>
      </c>
      <c r="G185" s="8">
        <f t="shared" si="14"/>
        <v>42528810</v>
      </c>
      <c r="I185" s="8">
        <v>45050180</v>
      </c>
      <c r="K185" s="8">
        <v>87578990</v>
      </c>
      <c r="M185" s="8">
        <f t="shared" si="15"/>
        <v>7823090</v>
      </c>
      <c r="O185" s="8">
        <v>630978</v>
      </c>
      <c r="Q185" s="8">
        <v>29115249</v>
      </c>
      <c r="S185" s="8">
        <v>37569317</v>
      </c>
      <c r="U185" s="8">
        <v>17558379</v>
      </c>
      <c r="W185" s="8">
        <f t="shared" si="16"/>
        <v>27708363</v>
      </c>
      <c r="Y185" s="8">
        <v>4742931</v>
      </c>
      <c r="AA185" s="8">
        <v>50009673</v>
      </c>
      <c r="AD185" s="8">
        <f>+K185-S185-AA185</f>
        <v>0</v>
      </c>
      <c r="AF185" s="8">
        <f>+G185+I185+-M185-O185-U185-W185-Y185-Q185</f>
        <v>0</v>
      </c>
    </row>
    <row r="186" spans="1:34">
      <c r="A186" s="12" t="s">
        <v>468</v>
      </c>
      <c r="B186" s="12"/>
      <c r="C186" s="12" t="s">
        <v>466</v>
      </c>
      <c r="D186" s="12"/>
      <c r="E186" s="32">
        <v>47936</v>
      </c>
      <c r="G186" s="8">
        <f t="shared" si="14"/>
        <v>9821510</v>
      </c>
      <c r="I186" s="8">
        <v>32422132</v>
      </c>
      <c r="K186" s="8">
        <v>42243642</v>
      </c>
      <c r="M186" s="8">
        <f t="shared" si="15"/>
        <v>4483016</v>
      </c>
      <c r="O186" s="8">
        <v>195976</v>
      </c>
      <c r="Q186" s="8">
        <v>3579370</v>
      </c>
      <c r="S186" s="8">
        <v>8258362</v>
      </c>
      <c r="U186" s="8">
        <v>29647132</v>
      </c>
      <c r="W186" s="8">
        <f t="shared" si="16"/>
        <v>1854707</v>
      </c>
      <c r="Y186" s="8">
        <v>2483441</v>
      </c>
      <c r="AA186" s="8">
        <v>33985280</v>
      </c>
      <c r="AD186" s="8">
        <f>+K186-S186-AA186</f>
        <v>0</v>
      </c>
      <c r="AF186" s="8">
        <f>+G186+I186+-M186-O186-U186-W186-Y186-Q186</f>
        <v>0</v>
      </c>
    </row>
    <row r="187" spans="1:34" hidden="1">
      <c r="A187" s="117" t="s">
        <v>841</v>
      </c>
      <c r="B187" s="12"/>
      <c r="C187" s="12" t="s">
        <v>61</v>
      </c>
      <c r="D187" s="12"/>
      <c r="E187" s="32">
        <v>49775</v>
      </c>
      <c r="G187" s="8">
        <f t="shared" si="14"/>
        <v>10316903</v>
      </c>
      <c r="K187" s="8">
        <v>10316903</v>
      </c>
      <c r="M187" s="8">
        <f t="shared" si="15"/>
        <v>0</v>
      </c>
      <c r="W187" s="8">
        <f t="shared" si="16"/>
        <v>8145130</v>
      </c>
      <c r="Y187" s="8">
        <v>2171773</v>
      </c>
      <c r="AA187" s="8">
        <v>10316903</v>
      </c>
      <c r="AD187" s="8">
        <f>+K187-S187-AA187</f>
        <v>0</v>
      </c>
      <c r="AF187" s="8">
        <f t="shared" si="13"/>
        <v>0</v>
      </c>
    </row>
    <row r="188" spans="1:34">
      <c r="A188" s="12" t="s">
        <v>651</v>
      </c>
      <c r="B188" s="12"/>
      <c r="C188" s="12" t="s">
        <v>62</v>
      </c>
      <c r="D188" s="12"/>
      <c r="E188" s="32">
        <v>49841</v>
      </c>
      <c r="G188" s="8">
        <f t="shared" si="14"/>
        <v>12048307</v>
      </c>
      <c r="I188" s="8">
        <v>29535681</v>
      </c>
      <c r="K188" s="8">
        <v>41583988</v>
      </c>
      <c r="M188" s="8">
        <f t="shared" si="15"/>
        <v>7684497</v>
      </c>
      <c r="O188" s="8">
        <v>538568</v>
      </c>
      <c r="Q188" s="8">
        <v>13737820</v>
      </c>
      <c r="S188" s="8">
        <v>21960885</v>
      </c>
      <c r="U188" s="8">
        <v>16203918</v>
      </c>
      <c r="W188" s="8">
        <f t="shared" si="16"/>
        <v>1771501</v>
      </c>
      <c r="Y188" s="8">
        <v>1647684</v>
      </c>
      <c r="AA188" s="8">
        <v>19623103</v>
      </c>
      <c r="AD188" s="8">
        <f>+K188-S188-AA188</f>
        <v>0</v>
      </c>
      <c r="AF188" s="8">
        <f>+G188+I188+-M188-O188-U188-W188-Y188-Q188</f>
        <v>0</v>
      </c>
    </row>
    <row r="189" spans="1:34" hidden="1">
      <c r="A189" s="117" t="s">
        <v>972</v>
      </c>
      <c r="B189" s="12"/>
      <c r="C189" s="12" t="s">
        <v>41</v>
      </c>
      <c r="D189" s="12"/>
      <c r="E189" s="32">
        <v>45369</v>
      </c>
      <c r="F189" s="11"/>
      <c r="G189" s="8">
        <f t="shared" si="14"/>
        <v>0</v>
      </c>
      <c r="M189" s="8">
        <f t="shared" si="15"/>
        <v>0</v>
      </c>
      <c r="W189" s="8">
        <f t="shared" si="16"/>
        <v>0</v>
      </c>
      <c r="AD189" s="8">
        <f t="shared" si="17"/>
        <v>0</v>
      </c>
      <c r="AF189" s="8">
        <f t="shared" si="13"/>
        <v>0</v>
      </c>
    </row>
    <row r="190" spans="1:34">
      <c r="A190" s="12" t="s">
        <v>307</v>
      </c>
      <c r="B190" s="12"/>
      <c r="C190" s="12" t="s">
        <v>20</v>
      </c>
      <c r="D190" s="12"/>
      <c r="E190" s="32">
        <v>43976</v>
      </c>
      <c r="G190" s="8">
        <f t="shared" si="14"/>
        <v>35635284</v>
      </c>
      <c r="I190" s="8">
        <v>35118374</v>
      </c>
      <c r="K190" s="8">
        <v>70753658</v>
      </c>
      <c r="M190" s="8">
        <f t="shared" si="15"/>
        <v>16914217</v>
      </c>
      <c r="O190" s="8">
        <v>1885058</v>
      </c>
      <c r="Q190" s="8">
        <v>32308637</v>
      </c>
      <c r="S190" s="8">
        <v>51107912</v>
      </c>
      <c r="U190" s="8">
        <v>4082927</v>
      </c>
      <c r="W190" s="8">
        <f t="shared" si="16"/>
        <v>4828181</v>
      </c>
      <c r="Y190" s="8">
        <v>10734638</v>
      </c>
      <c r="AA190" s="8">
        <v>19645746</v>
      </c>
      <c r="AD190" s="8">
        <f t="shared" si="17"/>
        <v>0</v>
      </c>
      <c r="AF190" s="8">
        <f t="shared" si="13"/>
        <v>0</v>
      </c>
    </row>
    <row r="191" spans="1:34">
      <c r="A191" s="12" t="s">
        <v>936</v>
      </c>
      <c r="B191" s="12"/>
      <c r="C191" s="12" t="s">
        <v>28</v>
      </c>
      <c r="D191" s="12"/>
      <c r="E191" s="32"/>
      <c r="G191" s="8">
        <f t="shared" si="14"/>
        <v>5756813</v>
      </c>
      <c r="I191" s="8">
        <v>17468668</v>
      </c>
      <c r="K191" s="8">
        <v>23225481</v>
      </c>
      <c r="M191" s="8">
        <f t="shared" si="15"/>
        <v>1664579</v>
      </c>
      <c r="O191" s="8">
        <v>125238</v>
      </c>
      <c r="Q191" s="8">
        <v>5327995</v>
      </c>
      <c r="S191" s="8">
        <v>7117812</v>
      </c>
      <c r="U191" s="8">
        <v>12447416</v>
      </c>
      <c r="W191" s="8">
        <f t="shared" si="16"/>
        <v>2353267</v>
      </c>
      <c r="Y191" s="8">
        <v>1306986</v>
      </c>
      <c r="AA191" s="8">
        <v>16107669</v>
      </c>
      <c r="AD191" s="8">
        <f t="shared" si="17"/>
        <v>0</v>
      </c>
      <c r="AF191" s="8">
        <f t="shared" si="13"/>
        <v>0</v>
      </c>
    </row>
    <row r="192" spans="1:34">
      <c r="A192" s="12" t="s">
        <v>238</v>
      </c>
      <c r="B192" s="12"/>
      <c r="C192" s="12" t="s">
        <v>77</v>
      </c>
      <c r="D192" s="12"/>
      <c r="E192" s="32">
        <v>46045</v>
      </c>
      <c r="G192" s="8">
        <f t="shared" si="14"/>
        <v>9789639</v>
      </c>
      <c r="I192" s="8">
        <v>18276266</v>
      </c>
      <c r="K192" s="8">
        <v>28065905</v>
      </c>
      <c r="M192" s="8">
        <f t="shared" si="15"/>
        <v>3232575</v>
      </c>
      <c r="O192" s="8">
        <v>340078</v>
      </c>
      <c r="Q192" s="8">
        <v>8794892</v>
      </c>
      <c r="S192" s="8">
        <v>12367545</v>
      </c>
      <c r="U192" s="8">
        <v>13799822</v>
      </c>
      <c r="W192" s="8">
        <f t="shared" si="16"/>
        <v>941900</v>
      </c>
      <c r="Y192" s="8">
        <v>956638</v>
      </c>
      <c r="AA192" s="8">
        <v>15698360</v>
      </c>
      <c r="AD192" s="8">
        <f t="shared" si="17"/>
        <v>0</v>
      </c>
      <c r="AF192" s="8">
        <f t="shared" si="13"/>
        <v>0</v>
      </c>
    </row>
    <row r="193" spans="1:34">
      <c r="A193" s="13" t="s">
        <v>937</v>
      </c>
      <c r="B193" s="13"/>
      <c r="C193" s="13" t="s">
        <v>13</v>
      </c>
      <c r="D193" s="12"/>
      <c r="E193" s="32"/>
      <c r="G193" s="8">
        <f t="shared" si="14"/>
        <v>6208643</v>
      </c>
      <c r="I193" s="8">
        <v>8683981</v>
      </c>
      <c r="K193" s="8">
        <v>14892624</v>
      </c>
      <c r="M193" s="8">
        <f t="shared" si="15"/>
        <v>3565281</v>
      </c>
      <c r="O193" s="8">
        <v>222660</v>
      </c>
      <c r="Q193" s="8">
        <v>1501172</v>
      </c>
      <c r="S193" s="8">
        <v>5289113</v>
      </c>
      <c r="U193" s="8">
        <v>7783976</v>
      </c>
      <c r="W193" s="8">
        <f t="shared" si="16"/>
        <v>1692126</v>
      </c>
      <c r="Y193" s="8">
        <v>127409</v>
      </c>
      <c r="AA193" s="8">
        <v>9603511</v>
      </c>
      <c r="AD193" s="8">
        <f t="shared" si="17"/>
        <v>0</v>
      </c>
      <c r="AF193" s="8">
        <f t="shared" si="13"/>
        <v>0</v>
      </c>
    </row>
    <row r="194" spans="1:34">
      <c r="A194" s="12" t="s">
        <v>268</v>
      </c>
      <c r="B194" s="12"/>
      <c r="C194" s="12" t="s">
        <v>115</v>
      </c>
      <c r="D194" s="12"/>
      <c r="E194" s="32">
        <v>46334</v>
      </c>
      <c r="G194" s="8">
        <f t="shared" si="14"/>
        <v>4125068</v>
      </c>
      <c r="I194" s="8">
        <v>19672825</v>
      </c>
      <c r="K194" s="8">
        <v>23797893</v>
      </c>
      <c r="M194" s="8">
        <f t="shared" si="15"/>
        <v>2534991</v>
      </c>
      <c r="O194" s="8">
        <v>242613</v>
      </c>
      <c r="Q194" s="8">
        <v>2865989</v>
      </c>
      <c r="S194" s="8">
        <v>5643593</v>
      </c>
      <c r="U194" s="8">
        <v>17328371</v>
      </c>
      <c r="W194" s="8">
        <f t="shared" si="16"/>
        <v>1202773</v>
      </c>
      <c r="Y194" s="8">
        <v>-376844</v>
      </c>
      <c r="AA194" s="8">
        <v>18154300</v>
      </c>
      <c r="AD194" s="8">
        <f t="shared" si="17"/>
        <v>0</v>
      </c>
      <c r="AF194" s="8">
        <f t="shared" si="13"/>
        <v>0</v>
      </c>
    </row>
    <row r="195" spans="1:34">
      <c r="A195" s="12" t="s">
        <v>1068</v>
      </c>
      <c r="B195" s="12"/>
      <c r="C195" s="12" t="s">
        <v>56</v>
      </c>
      <c r="D195" s="12"/>
      <c r="E195" s="32">
        <v>49197</v>
      </c>
      <c r="G195" s="8">
        <f t="shared" si="14"/>
        <v>11728811</v>
      </c>
      <c r="I195" s="8">
        <v>29384791</v>
      </c>
      <c r="K195" s="8">
        <v>41113602</v>
      </c>
      <c r="M195" s="8">
        <f t="shared" si="15"/>
        <v>10144458</v>
      </c>
      <c r="O195" s="8">
        <f>465316+11465</f>
        <v>476781</v>
      </c>
      <c r="Q195" s="8">
        <f>25908200+27198</f>
        <v>25935398</v>
      </c>
      <c r="S195" s="8">
        <v>36556637</v>
      </c>
      <c r="U195" s="8">
        <v>4558230</v>
      </c>
      <c r="W195" s="8">
        <f t="shared" si="16"/>
        <v>1452810</v>
      </c>
      <c r="Y195" s="8">
        <v>-1454075</v>
      </c>
      <c r="AA195" s="8">
        <v>4556965</v>
      </c>
      <c r="AD195" s="8">
        <f t="shared" si="17"/>
        <v>0</v>
      </c>
      <c r="AF195" s="8">
        <f t="shared" si="13"/>
        <v>0</v>
      </c>
      <c r="AH195" s="15" t="s">
        <v>905</v>
      </c>
    </row>
    <row r="196" spans="1:34">
      <c r="A196" s="12" t="s">
        <v>416</v>
      </c>
      <c r="B196" s="12"/>
      <c r="C196" s="12" t="s">
        <v>33</v>
      </c>
      <c r="D196" s="12"/>
      <c r="E196" s="32">
        <v>43984</v>
      </c>
      <c r="G196" s="8">
        <f t="shared" si="14"/>
        <v>52299141</v>
      </c>
      <c r="I196" s="8">
        <v>15529294</v>
      </c>
      <c r="K196" s="8">
        <v>67828435</v>
      </c>
      <c r="M196" s="8">
        <f t="shared" si="15"/>
        <v>39234897</v>
      </c>
      <c r="O196" s="8">
        <v>1303362</v>
      </c>
      <c r="Q196" s="8">
        <v>5559462</v>
      </c>
      <c r="S196" s="8">
        <v>46097721</v>
      </c>
      <c r="U196" s="8">
        <v>13598457</v>
      </c>
      <c r="W196" s="8">
        <f t="shared" si="16"/>
        <v>2645976</v>
      </c>
      <c r="Y196" s="8">
        <v>5486281</v>
      </c>
      <c r="AA196" s="8">
        <v>21730714</v>
      </c>
      <c r="AD196" s="8">
        <f t="shared" si="17"/>
        <v>0</v>
      </c>
      <c r="AF196" s="8">
        <f t="shared" si="13"/>
        <v>0</v>
      </c>
    </row>
    <row r="197" spans="1:34">
      <c r="A197" s="12" t="s">
        <v>393</v>
      </c>
      <c r="B197" s="12"/>
      <c r="C197" s="12" t="s">
        <v>32</v>
      </c>
      <c r="D197" s="12"/>
      <c r="E197" s="32">
        <v>47332</v>
      </c>
      <c r="G197" s="8">
        <f t="shared" si="14"/>
        <v>13473717</v>
      </c>
      <c r="I197" s="8">
        <v>7558020</v>
      </c>
      <c r="K197" s="8">
        <v>21031737</v>
      </c>
      <c r="M197" s="8">
        <f t="shared" si="15"/>
        <v>8502570</v>
      </c>
      <c r="O197" s="8">
        <v>427283</v>
      </c>
      <c r="Q197" s="8">
        <v>8349180</v>
      </c>
      <c r="S197" s="8">
        <v>17279033</v>
      </c>
      <c r="U197" s="8">
        <v>449020</v>
      </c>
      <c r="W197" s="8">
        <f t="shared" si="16"/>
        <v>1272253</v>
      </c>
      <c r="Y197" s="8">
        <v>2031431</v>
      </c>
      <c r="AA197" s="8">
        <v>3752704</v>
      </c>
      <c r="AD197" s="8">
        <f t="shared" si="17"/>
        <v>0</v>
      </c>
      <c r="AF197" s="8">
        <f t="shared" si="13"/>
        <v>0</v>
      </c>
    </row>
    <row r="198" spans="1:34">
      <c r="A198" s="12" t="s">
        <v>488</v>
      </c>
      <c r="B198" s="12"/>
      <c r="C198" s="12" t="s">
        <v>44</v>
      </c>
      <c r="D198" s="12"/>
      <c r="E198" s="32">
        <v>48157</v>
      </c>
      <c r="G198" s="8">
        <f t="shared" si="14"/>
        <v>11985965</v>
      </c>
      <c r="I198" s="8">
        <v>3702054</v>
      </c>
      <c r="K198" s="8">
        <v>15688019</v>
      </c>
      <c r="M198" s="8">
        <f t="shared" si="15"/>
        <v>7914563</v>
      </c>
      <c r="O198" s="8">
        <v>181318</v>
      </c>
      <c r="Q198" s="8">
        <v>1145444</v>
      </c>
      <c r="S198" s="8">
        <v>9241325</v>
      </c>
      <c r="U198" s="8">
        <v>3651961</v>
      </c>
      <c r="W198" s="8">
        <f t="shared" si="16"/>
        <v>1832908</v>
      </c>
      <c r="Y198" s="8">
        <v>961825</v>
      </c>
      <c r="AA198" s="8">
        <v>6446694</v>
      </c>
      <c r="AD198" s="8">
        <f t="shared" si="17"/>
        <v>0</v>
      </c>
      <c r="AF198" s="8">
        <f t="shared" si="13"/>
        <v>0</v>
      </c>
    </row>
    <row r="199" spans="1:34">
      <c r="A199" s="12" t="s">
        <v>394</v>
      </c>
      <c r="B199" s="12"/>
      <c r="C199" s="12" t="s">
        <v>32</v>
      </c>
      <c r="D199" s="12"/>
      <c r="E199" s="32">
        <v>47340</v>
      </c>
      <c r="G199" s="8">
        <f t="shared" si="14"/>
        <v>62640703</v>
      </c>
      <c r="I199" s="8">
        <v>30054985</v>
      </c>
      <c r="K199" s="8">
        <v>92695688</v>
      </c>
      <c r="M199" s="8">
        <f t="shared" si="15"/>
        <v>31168274</v>
      </c>
      <c r="O199" s="8">
        <v>2124775</v>
      </c>
      <c r="Q199" s="8">
        <v>17301433</v>
      </c>
      <c r="S199" s="8">
        <v>50594482</v>
      </c>
      <c r="U199" s="8">
        <v>15429985</v>
      </c>
      <c r="W199" s="8">
        <f t="shared" si="16"/>
        <v>5490919</v>
      </c>
      <c r="Y199" s="8">
        <v>21180302</v>
      </c>
      <c r="AA199" s="8">
        <v>42101206</v>
      </c>
      <c r="AD199" s="8">
        <f t="shared" si="17"/>
        <v>0</v>
      </c>
      <c r="AF199" s="8">
        <f t="shared" si="13"/>
        <v>0</v>
      </c>
    </row>
    <row r="200" spans="1:34" hidden="1">
      <c r="A200" s="117" t="s">
        <v>836</v>
      </c>
      <c r="B200" s="12"/>
      <c r="C200" s="12" t="s">
        <v>70</v>
      </c>
      <c r="D200" s="12"/>
      <c r="E200" s="32">
        <v>50484</v>
      </c>
      <c r="G200" s="8">
        <f t="shared" si="14"/>
        <v>3835578</v>
      </c>
      <c r="K200" s="8">
        <v>3835578</v>
      </c>
      <c r="M200" s="8">
        <f t="shared" si="15"/>
        <v>0</v>
      </c>
      <c r="W200" s="8">
        <f t="shared" si="16"/>
        <v>2685082</v>
      </c>
      <c r="Y200" s="8">
        <v>1150496</v>
      </c>
      <c r="AA200" s="8">
        <v>3835578</v>
      </c>
      <c r="AD200" s="8">
        <f t="shared" si="17"/>
        <v>0</v>
      </c>
      <c r="AF200" s="8">
        <f t="shared" si="13"/>
        <v>0</v>
      </c>
    </row>
    <row r="201" spans="1:34">
      <c r="A201" s="12" t="s">
        <v>644</v>
      </c>
      <c r="B201" s="12"/>
      <c r="C201" s="12" t="s">
        <v>61</v>
      </c>
      <c r="D201" s="12"/>
      <c r="E201" s="32">
        <v>49783</v>
      </c>
      <c r="G201" s="8">
        <f t="shared" si="14"/>
        <v>11497444</v>
      </c>
      <c r="I201" s="8">
        <v>22735635</v>
      </c>
      <c r="K201" s="8">
        <v>34233079</v>
      </c>
      <c r="M201" s="8">
        <f t="shared" si="15"/>
        <v>3376784</v>
      </c>
      <c r="O201" s="8">
        <v>471479</v>
      </c>
      <c r="Q201" s="8">
        <v>12038948</v>
      </c>
      <c r="S201" s="8">
        <v>15887211</v>
      </c>
      <c r="U201" s="8">
        <v>11475486</v>
      </c>
      <c r="W201" s="8">
        <f t="shared" si="16"/>
        <v>4853735</v>
      </c>
      <c r="Y201" s="8">
        <v>2016647</v>
      </c>
      <c r="AA201" s="8">
        <v>18345868</v>
      </c>
      <c r="AD201" s="8">
        <f t="shared" si="17"/>
        <v>0</v>
      </c>
      <c r="AF201" s="8">
        <f t="shared" si="13"/>
        <v>0</v>
      </c>
    </row>
    <row r="202" spans="1:34" hidden="1">
      <c r="A202" s="108" t="s">
        <v>938</v>
      </c>
      <c r="B202" s="13"/>
      <c r="C202" s="13" t="s">
        <v>534</v>
      </c>
      <c r="D202" s="12"/>
      <c r="E202" s="32"/>
      <c r="G202" s="8">
        <f t="shared" si="14"/>
        <v>3289524</v>
      </c>
      <c r="K202" s="8">
        <f>3153432+136092</f>
        <v>3289524</v>
      </c>
      <c r="M202" s="8">
        <f t="shared" si="15"/>
        <v>0</v>
      </c>
      <c r="W202" s="8">
        <f t="shared" si="16"/>
        <v>960317</v>
      </c>
      <c r="Y202" s="8">
        <f>2193115+136092</f>
        <v>2329207</v>
      </c>
      <c r="AA202" s="8">
        <f>3153432+136092</f>
        <v>3289524</v>
      </c>
      <c r="AD202" s="8">
        <f t="shared" si="17"/>
        <v>0</v>
      </c>
      <c r="AF202" s="8">
        <f t="shared" si="13"/>
        <v>0</v>
      </c>
    </row>
    <row r="203" spans="1:34">
      <c r="A203" s="12" t="s">
        <v>636</v>
      </c>
      <c r="B203" s="12"/>
      <c r="C203" s="12" t="s">
        <v>60</v>
      </c>
      <c r="D203" s="12"/>
      <c r="E203" s="32">
        <v>43992</v>
      </c>
      <c r="G203" s="8">
        <f t="shared" si="14"/>
        <v>22863853</v>
      </c>
      <c r="I203" s="8">
        <v>9131511</v>
      </c>
      <c r="K203" s="8">
        <v>31995364</v>
      </c>
      <c r="M203" s="8">
        <f t="shared" si="15"/>
        <v>8946633</v>
      </c>
      <c r="O203" s="8">
        <v>851254</v>
      </c>
      <c r="Q203" s="8">
        <v>7392459</v>
      </c>
      <c r="S203" s="8">
        <v>17190346</v>
      </c>
      <c r="U203" s="8">
        <v>4432006</v>
      </c>
      <c r="W203" s="8">
        <f t="shared" si="16"/>
        <v>3160418</v>
      </c>
      <c r="Y203" s="8">
        <v>7212594</v>
      </c>
      <c r="AA203" s="8">
        <v>14805018</v>
      </c>
      <c r="AD203" s="8">
        <f t="shared" si="17"/>
        <v>0</v>
      </c>
      <c r="AF203" s="8">
        <f t="shared" si="13"/>
        <v>0</v>
      </c>
    </row>
    <row r="204" spans="1:34">
      <c r="A204" s="12" t="s">
        <v>709</v>
      </c>
      <c r="B204" s="12"/>
      <c r="C204" s="12" t="s">
        <v>69</v>
      </c>
      <c r="D204" s="12"/>
      <c r="E204" s="32">
        <v>44008</v>
      </c>
      <c r="G204" s="8">
        <f t="shared" si="14"/>
        <v>21946020</v>
      </c>
      <c r="I204" s="8">
        <v>14602556</v>
      </c>
      <c r="K204" s="8">
        <v>36548576</v>
      </c>
      <c r="M204" s="8">
        <f t="shared" si="15"/>
        <v>14128510</v>
      </c>
      <c r="O204" s="8">
        <v>395650</v>
      </c>
      <c r="Q204" s="8">
        <v>5041598</v>
      </c>
      <c r="S204" s="8">
        <v>19565758</v>
      </c>
      <c r="U204" s="8">
        <v>11330687</v>
      </c>
      <c r="W204" s="8">
        <f t="shared" si="16"/>
        <v>1626693</v>
      </c>
      <c r="Y204" s="8">
        <v>4025438</v>
      </c>
      <c r="AA204" s="8">
        <v>16982818</v>
      </c>
      <c r="AD204" s="8">
        <f t="shared" si="17"/>
        <v>0</v>
      </c>
      <c r="AF204" s="8">
        <f t="shared" si="13"/>
        <v>0</v>
      </c>
    </row>
    <row r="205" spans="1:34">
      <c r="A205" s="12" t="s">
        <v>564</v>
      </c>
      <c r="B205" s="12"/>
      <c r="C205" s="12" t="s">
        <v>51</v>
      </c>
      <c r="D205" s="12"/>
      <c r="E205" s="32">
        <v>48843</v>
      </c>
      <c r="G205" s="8">
        <f t="shared" si="14"/>
        <v>16251955</v>
      </c>
      <c r="I205" s="8">
        <v>40944950</v>
      </c>
      <c r="K205" s="8">
        <v>57196905</v>
      </c>
      <c r="M205" s="8">
        <f t="shared" si="15"/>
        <v>7251400</v>
      </c>
      <c r="O205" s="8">
        <v>460417</v>
      </c>
      <c r="Q205" s="8">
        <v>8156269</v>
      </c>
      <c r="S205" s="8">
        <v>15868086</v>
      </c>
      <c r="U205" s="8">
        <v>34487557</v>
      </c>
      <c r="W205" s="8">
        <f t="shared" si="16"/>
        <v>2861901</v>
      </c>
      <c r="Y205" s="8">
        <v>3979361</v>
      </c>
      <c r="AA205" s="8">
        <v>41328819</v>
      </c>
      <c r="AD205" s="8">
        <f t="shared" si="17"/>
        <v>0</v>
      </c>
      <c r="AF205" s="8">
        <f t="shared" si="13"/>
        <v>0</v>
      </c>
    </row>
    <row r="206" spans="1:34" hidden="1">
      <c r="A206" s="117" t="s">
        <v>835</v>
      </c>
      <c r="B206" s="12"/>
      <c r="C206" s="12" t="s">
        <v>21</v>
      </c>
      <c r="D206" s="12"/>
      <c r="E206" s="32">
        <v>46649</v>
      </c>
      <c r="G206" s="8">
        <f t="shared" si="14"/>
        <v>16525808</v>
      </c>
      <c r="K206" s="8">
        <v>16525808</v>
      </c>
      <c r="M206" s="8">
        <f t="shared" si="15"/>
        <v>0</v>
      </c>
      <c r="W206" s="8">
        <f t="shared" si="16"/>
        <v>14057546</v>
      </c>
      <c r="Y206" s="8">
        <v>2468262</v>
      </c>
      <c r="AA206" s="8">
        <v>16525808</v>
      </c>
      <c r="AD206" s="8">
        <f>+K206-S206-AA206</f>
        <v>0</v>
      </c>
      <c r="AF206" s="8">
        <f t="shared" si="13"/>
        <v>0</v>
      </c>
    </row>
    <row r="207" spans="1:34" hidden="1">
      <c r="A207" s="117" t="s">
        <v>939</v>
      </c>
      <c r="B207" s="12"/>
      <c r="C207" s="12" t="s">
        <v>40</v>
      </c>
      <c r="D207" s="12"/>
      <c r="E207" s="32">
        <v>47852</v>
      </c>
      <c r="G207" s="8">
        <f t="shared" si="14"/>
        <v>3176507</v>
      </c>
      <c r="I207" s="8">
        <v>1457920</v>
      </c>
      <c r="K207" s="8">
        <v>4634427</v>
      </c>
      <c r="M207" s="8">
        <f t="shared" si="15"/>
        <v>0</v>
      </c>
      <c r="W207" s="8">
        <f t="shared" si="16"/>
        <v>1777177</v>
      </c>
      <c r="Y207" s="8">
        <v>2857250</v>
      </c>
      <c r="AA207" s="8">
        <v>4634427</v>
      </c>
      <c r="AD207" s="8">
        <f t="shared" si="17"/>
        <v>0</v>
      </c>
      <c r="AF207" s="8">
        <f t="shared" si="13"/>
        <v>0</v>
      </c>
    </row>
    <row r="208" spans="1:34">
      <c r="A208" s="12" t="s">
        <v>889</v>
      </c>
      <c r="B208" s="12"/>
      <c r="C208" s="12" t="s">
        <v>79</v>
      </c>
      <c r="D208" s="12"/>
      <c r="E208" s="32">
        <v>44016</v>
      </c>
      <c r="G208" s="8">
        <f t="shared" si="14"/>
        <v>43447853</v>
      </c>
      <c r="I208" s="8">
        <v>15102360</v>
      </c>
      <c r="K208" s="8">
        <v>58550213</v>
      </c>
      <c r="M208" s="8">
        <f t="shared" si="15"/>
        <v>13250529</v>
      </c>
      <c r="O208" s="8">
        <v>1081856</v>
      </c>
      <c r="Q208" s="8">
        <v>22754064</v>
      </c>
      <c r="S208" s="8">
        <v>37086449</v>
      </c>
      <c r="U208" s="8">
        <v>-3662507</v>
      </c>
      <c r="W208" s="8">
        <f t="shared" si="16"/>
        <v>4334943</v>
      </c>
      <c r="Y208" s="8">
        <v>20791328</v>
      </c>
      <c r="AA208" s="8">
        <v>21463764</v>
      </c>
      <c r="AD208" s="8">
        <f t="shared" si="17"/>
        <v>0</v>
      </c>
      <c r="AF208" s="8">
        <f t="shared" si="13"/>
        <v>0</v>
      </c>
    </row>
    <row r="209" spans="1:34">
      <c r="A209" s="12" t="s">
        <v>717</v>
      </c>
      <c r="B209" s="12"/>
      <c r="C209" s="12" t="s">
        <v>70</v>
      </c>
      <c r="D209" s="12"/>
      <c r="E209" s="32">
        <v>50492</v>
      </c>
      <c r="G209" s="8">
        <f t="shared" si="14"/>
        <v>4546992</v>
      </c>
      <c r="I209" s="8">
        <v>20399373</v>
      </c>
      <c r="K209" s="8">
        <v>24946365</v>
      </c>
      <c r="M209" s="8">
        <f t="shared" si="15"/>
        <v>2085917</v>
      </c>
      <c r="O209" s="8">
        <v>144235</v>
      </c>
      <c r="Q209" s="8">
        <v>2676707</v>
      </c>
      <c r="S209" s="8">
        <v>4906859</v>
      </c>
      <c r="U209" s="8">
        <v>18493600</v>
      </c>
      <c r="W209" s="8">
        <f t="shared" si="16"/>
        <v>1686382</v>
      </c>
      <c r="Y209" s="8">
        <v>-140476</v>
      </c>
      <c r="AA209" s="8">
        <v>20039506</v>
      </c>
      <c r="AD209" s="8">
        <f t="shared" si="17"/>
        <v>0</v>
      </c>
      <c r="AF209" s="8">
        <f t="shared" si="13"/>
        <v>0</v>
      </c>
    </row>
    <row r="210" spans="1:34">
      <c r="A210" s="12" t="s">
        <v>886</v>
      </c>
      <c r="B210" s="12"/>
      <c r="C210" s="12" t="s">
        <v>27</v>
      </c>
      <c r="D210" s="12"/>
      <c r="E210" s="32">
        <v>46961</v>
      </c>
      <c r="G210" s="8">
        <f t="shared" si="14"/>
        <v>107140347</v>
      </c>
      <c r="I210" s="8">
        <v>34962792</v>
      </c>
      <c r="K210" s="8">
        <v>142103139</v>
      </c>
      <c r="M210" s="8">
        <f t="shared" si="15"/>
        <v>72971424</v>
      </c>
      <c r="O210" s="8">
        <f>2693357+46593</f>
        <v>2739950</v>
      </c>
      <c r="Q210" s="8">
        <f>27153153+114822</f>
        <v>27267975</v>
      </c>
      <c r="S210" s="8">
        <v>102979349</v>
      </c>
      <c r="U210" s="8">
        <v>14993392</v>
      </c>
      <c r="W210" s="8">
        <f t="shared" si="16"/>
        <v>2286795</v>
      </c>
      <c r="Y210" s="8">
        <v>21843603</v>
      </c>
      <c r="AA210" s="8">
        <v>39123790</v>
      </c>
      <c r="AD210" s="8">
        <f t="shared" si="17"/>
        <v>0</v>
      </c>
      <c r="AF210" s="8">
        <f t="shared" si="13"/>
        <v>0</v>
      </c>
    </row>
    <row r="211" spans="1:34">
      <c r="A211" s="12" t="s">
        <v>294</v>
      </c>
      <c r="B211" s="12"/>
      <c r="C211" s="12" t="s">
        <v>113</v>
      </c>
      <c r="D211" s="12"/>
      <c r="E211" s="32">
        <v>44024</v>
      </c>
      <c r="G211" s="8">
        <f t="shared" si="14"/>
        <v>12264820</v>
      </c>
      <c r="I211" s="8">
        <v>57747096</v>
      </c>
      <c r="K211" s="8">
        <v>70011916</v>
      </c>
      <c r="M211" s="8">
        <f t="shared" si="15"/>
        <v>5173573</v>
      </c>
      <c r="O211" s="8">
        <v>377174</v>
      </c>
      <c r="Q211" s="8">
        <v>19544994</v>
      </c>
      <c r="S211" s="8">
        <v>25095741</v>
      </c>
      <c r="U211" s="8">
        <v>40176284</v>
      </c>
      <c r="W211" s="8">
        <f t="shared" si="16"/>
        <v>4119101</v>
      </c>
      <c r="Y211" s="8">
        <v>620790</v>
      </c>
      <c r="AA211" s="8">
        <v>44916175</v>
      </c>
      <c r="AD211" s="8">
        <f t="shared" si="17"/>
        <v>0</v>
      </c>
      <c r="AF211" s="8">
        <f t="shared" si="13"/>
        <v>0</v>
      </c>
    </row>
    <row r="212" spans="1:34">
      <c r="A212" s="12" t="s">
        <v>887</v>
      </c>
      <c r="B212" s="12"/>
      <c r="C212" s="12" t="s">
        <v>29</v>
      </c>
      <c r="D212" s="12"/>
      <c r="E212" s="32">
        <v>65680</v>
      </c>
      <c r="G212" s="8">
        <f t="shared" si="14"/>
        <v>34532444</v>
      </c>
      <c r="I212" s="8">
        <v>50243928</v>
      </c>
      <c r="K212" s="8">
        <v>84776372</v>
      </c>
      <c r="M212" s="8">
        <f t="shared" si="15"/>
        <v>16194492</v>
      </c>
      <c r="O212" s="8">
        <v>664506</v>
      </c>
      <c r="Q212" s="8">
        <v>44474278</v>
      </c>
      <c r="S212" s="8">
        <v>61333276</v>
      </c>
      <c r="U212" s="8">
        <v>17636623</v>
      </c>
      <c r="W212" s="8">
        <f t="shared" si="16"/>
        <v>15150635</v>
      </c>
      <c r="Y212" s="8">
        <v>-9344162</v>
      </c>
      <c r="AA212" s="8">
        <v>23443096</v>
      </c>
      <c r="AD212" s="8">
        <f t="shared" si="17"/>
        <v>0</v>
      </c>
      <c r="AF212" s="8">
        <f t="shared" si="13"/>
        <v>0</v>
      </c>
    </row>
    <row r="213" spans="1:34">
      <c r="A213" s="12" t="s">
        <v>376</v>
      </c>
      <c r="B213" s="12"/>
      <c r="C213" s="12" t="s">
        <v>29</v>
      </c>
      <c r="D213" s="12"/>
      <c r="E213" s="32">
        <v>44032</v>
      </c>
      <c r="G213" s="8">
        <f t="shared" si="14"/>
        <v>47735432</v>
      </c>
      <c r="I213" s="8">
        <v>32497070</v>
      </c>
      <c r="K213" s="8">
        <v>80232502</v>
      </c>
      <c r="M213" s="8">
        <f t="shared" si="15"/>
        <v>9521755</v>
      </c>
      <c r="O213" s="8">
        <v>664107</v>
      </c>
      <c r="Q213" s="8">
        <v>24405452</v>
      </c>
      <c r="S213" s="8">
        <v>34591314</v>
      </c>
      <c r="U213" s="8">
        <v>21870887</v>
      </c>
      <c r="W213" s="8">
        <f t="shared" si="16"/>
        <v>24476999</v>
      </c>
      <c r="Y213" s="8">
        <v>-706698</v>
      </c>
      <c r="AA213" s="8">
        <v>45641188</v>
      </c>
      <c r="AD213" s="8">
        <f t="shared" si="17"/>
        <v>0</v>
      </c>
      <c r="AF213" s="8">
        <f t="shared" si="13"/>
        <v>0</v>
      </c>
    </row>
    <row r="214" spans="1:34">
      <c r="A214" s="12" t="s">
        <v>696</v>
      </c>
      <c r="B214" s="12"/>
      <c r="C214" s="12" t="s">
        <v>65</v>
      </c>
      <c r="D214" s="12"/>
      <c r="E214" s="32">
        <v>50278</v>
      </c>
      <c r="F214" s="35"/>
      <c r="G214" s="8">
        <f t="shared" si="14"/>
        <v>10323615</v>
      </c>
      <c r="I214" s="8">
        <v>3148222</v>
      </c>
      <c r="K214" s="8">
        <v>13471837</v>
      </c>
      <c r="M214" s="8">
        <f t="shared" si="15"/>
        <v>6173073</v>
      </c>
      <c r="O214" s="8">
        <v>254465</v>
      </c>
      <c r="Q214" s="8">
        <v>1834392</v>
      </c>
      <c r="S214" s="8">
        <v>8261930</v>
      </c>
      <c r="U214" s="8">
        <v>2023918</v>
      </c>
      <c r="W214" s="8">
        <f t="shared" si="16"/>
        <v>763293</v>
      </c>
      <c r="Y214" s="8">
        <v>2422696</v>
      </c>
      <c r="AA214" s="8">
        <v>5209907</v>
      </c>
      <c r="AD214" s="8">
        <f t="shared" si="17"/>
        <v>0</v>
      </c>
      <c r="AF214" s="8">
        <f t="shared" si="13"/>
        <v>0</v>
      </c>
    </row>
    <row r="215" spans="1:34">
      <c r="A215" s="12" t="s">
        <v>980</v>
      </c>
      <c r="B215" s="12"/>
      <c r="C215" s="12" t="s">
        <v>20</v>
      </c>
      <c r="D215" s="12"/>
      <c r="E215" s="32">
        <v>44040</v>
      </c>
      <c r="G215" s="8">
        <f t="shared" si="14"/>
        <v>28839549</v>
      </c>
      <c r="I215" s="8">
        <v>51635323</v>
      </c>
      <c r="K215" s="8">
        <v>80474872</v>
      </c>
      <c r="M215" s="8">
        <f t="shared" si="15"/>
        <v>15790334</v>
      </c>
      <c r="O215" s="8">
        <v>2323456</v>
      </c>
      <c r="Q215" s="8">
        <v>59012520</v>
      </c>
      <c r="S215" s="8">
        <v>77126310</v>
      </c>
      <c r="U215" s="8">
        <v>962877</v>
      </c>
      <c r="W215" s="8">
        <f t="shared" si="16"/>
        <v>7196883</v>
      </c>
      <c r="Y215" s="8">
        <v>-4811198</v>
      </c>
      <c r="AA215" s="8">
        <v>3348562</v>
      </c>
      <c r="AD215" s="8">
        <f t="shared" si="17"/>
        <v>0</v>
      </c>
      <c r="AF215" s="8">
        <f t="shared" si="13"/>
        <v>0</v>
      </c>
      <c r="AH215" s="8" t="s">
        <v>956</v>
      </c>
    </row>
    <row r="216" spans="1:34">
      <c r="A216" s="12" t="s">
        <v>888</v>
      </c>
      <c r="B216" s="12"/>
      <c r="C216" s="12" t="s">
        <v>12</v>
      </c>
      <c r="D216" s="12"/>
      <c r="E216" s="32">
        <v>44057</v>
      </c>
      <c r="F216" s="11"/>
      <c r="G216" s="8">
        <f t="shared" si="14"/>
        <v>28079161</v>
      </c>
      <c r="I216" s="8">
        <v>27862355</v>
      </c>
      <c r="K216" s="8">
        <v>55941516</v>
      </c>
      <c r="M216" s="8">
        <f t="shared" si="15"/>
        <v>7150493</v>
      </c>
      <c r="O216" s="8">
        <v>1198646</v>
      </c>
      <c r="Q216" s="8">
        <v>21529165</v>
      </c>
      <c r="S216" s="8">
        <v>29878304</v>
      </c>
      <c r="U216" s="8">
        <v>8622365</v>
      </c>
      <c r="W216" s="8">
        <f t="shared" si="16"/>
        <v>16820405</v>
      </c>
      <c r="Y216" s="8">
        <v>620442</v>
      </c>
      <c r="AA216" s="8">
        <v>26063212</v>
      </c>
      <c r="AD216" s="8">
        <f t="shared" si="17"/>
        <v>0</v>
      </c>
      <c r="AF216" s="8">
        <f t="shared" si="13"/>
        <v>0</v>
      </c>
    </row>
    <row r="217" spans="1:34">
      <c r="A217" s="12" t="s">
        <v>573</v>
      </c>
      <c r="B217" s="12"/>
      <c r="C217" s="12" t="s">
        <v>53</v>
      </c>
      <c r="D217" s="12"/>
      <c r="E217" s="32">
        <v>48942</v>
      </c>
      <c r="G217" s="8">
        <f>+K217-I217</f>
        <v>25541136</v>
      </c>
      <c r="I217" s="8">
        <v>10248777</v>
      </c>
      <c r="K217" s="8">
        <v>35789913</v>
      </c>
      <c r="M217" s="8">
        <f>+S217-O217-Q217</f>
        <v>-709279</v>
      </c>
      <c r="O217" s="8">
        <v>5862831</v>
      </c>
      <c r="Q217" s="8">
        <v>10427699</v>
      </c>
      <c r="S217" s="8">
        <v>15581251</v>
      </c>
      <c r="U217" s="8">
        <v>743500</v>
      </c>
      <c r="W217" s="8">
        <f>AA217-Y217-U217</f>
        <v>14591115</v>
      </c>
      <c r="Y217" s="8">
        <v>4874047</v>
      </c>
      <c r="AA217" s="8">
        <v>20208662</v>
      </c>
      <c r="AD217" s="8">
        <f>+K217-S217-AA217</f>
        <v>0</v>
      </c>
      <c r="AF217" s="8">
        <f>+G217+I217+-M217-O217-U217-W217-Y217-Q217</f>
        <v>0</v>
      </c>
    </row>
    <row r="218" spans="1:34" hidden="1">
      <c r="A218" s="117" t="s">
        <v>940</v>
      </c>
      <c r="B218" s="12"/>
      <c r="C218" s="12" t="s">
        <v>77</v>
      </c>
      <c r="D218" s="12"/>
      <c r="E218" s="32">
        <v>45377</v>
      </c>
      <c r="G218" s="8">
        <f t="shared" si="14"/>
        <v>1350426</v>
      </c>
      <c r="K218" s="8">
        <v>1350426</v>
      </c>
      <c r="M218" s="8">
        <f t="shared" si="15"/>
        <v>0</v>
      </c>
      <c r="W218" s="8">
        <f t="shared" si="16"/>
        <v>567305</v>
      </c>
      <c r="Y218" s="8">
        <v>783121</v>
      </c>
      <c r="AA218" s="8">
        <v>1350426</v>
      </c>
      <c r="AD218" s="8">
        <f t="shared" si="17"/>
        <v>0</v>
      </c>
      <c r="AF218" s="8">
        <f t="shared" si="13"/>
        <v>0</v>
      </c>
    </row>
    <row r="219" spans="1:34">
      <c r="A219" s="12" t="s">
        <v>624</v>
      </c>
      <c r="B219" s="12"/>
      <c r="C219" s="12" t="s">
        <v>79</v>
      </c>
      <c r="D219" s="12"/>
      <c r="E219" s="32">
        <v>45385</v>
      </c>
      <c r="G219" s="8">
        <f t="shared" ref="G219:G233" si="18">+K219-I219</f>
        <v>7410571</v>
      </c>
      <c r="I219" s="8">
        <v>22665170</v>
      </c>
      <c r="K219" s="8">
        <v>30075741</v>
      </c>
      <c r="M219" s="8">
        <f t="shared" si="15"/>
        <v>2914735</v>
      </c>
      <c r="O219" s="8">
        <v>386974</v>
      </c>
      <c r="Q219" s="8">
        <v>5147915</v>
      </c>
      <c r="S219" s="8">
        <v>8449624</v>
      </c>
      <c r="U219" s="8">
        <v>18175165</v>
      </c>
      <c r="W219" s="8">
        <f t="shared" si="16"/>
        <v>2233408</v>
      </c>
      <c r="Y219" s="8">
        <v>1217544</v>
      </c>
      <c r="AA219" s="8">
        <v>21626117</v>
      </c>
      <c r="AD219" s="8">
        <f t="shared" si="17"/>
        <v>0</v>
      </c>
      <c r="AF219" s="8">
        <f t="shared" si="13"/>
        <v>0</v>
      </c>
    </row>
    <row r="220" spans="1:34">
      <c r="A220" s="12"/>
      <c r="B220" s="12"/>
      <c r="C220" s="12"/>
      <c r="D220" s="12"/>
      <c r="E220" s="32"/>
    </row>
    <row r="221" spans="1:34">
      <c r="A221" s="12"/>
      <c r="B221" s="12"/>
      <c r="C221" s="12"/>
      <c r="D221" s="12"/>
      <c r="E221" s="32"/>
      <c r="AA221" s="8" t="s">
        <v>805</v>
      </c>
      <c r="AF221" s="35"/>
    </row>
    <row r="222" spans="1:34">
      <c r="A222" s="12"/>
      <c r="B222" s="12"/>
      <c r="C222" s="12"/>
      <c r="D222" s="12"/>
      <c r="E222" s="32"/>
      <c r="AF222" s="35"/>
    </row>
    <row r="223" spans="1:34">
      <c r="A223" s="12" t="s">
        <v>679</v>
      </c>
      <c r="B223" s="12"/>
      <c r="C223" s="12" t="s">
        <v>64</v>
      </c>
      <c r="D223" s="12"/>
      <c r="E223" s="32">
        <v>44065</v>
      </c>
      <c r="G223" s="35">
        <f t="shared" si="18"/>
        <v>40023929</v>
      </c>
      <c r="H223" s="35"/>
      <c r="I223" s="35">
        <v>13169760</v>
      </c>
      <c r="J223" s="35"/>
      <c r="K223" s="35">
        <v>53193689</v>
      </c>
      <c r="L223" s="35"/>
      <c r="M223" s="35">
        <f t="shared" si="15"/>
        <v>6187493</v>
      </c>
      <c r="N223" s="35"/>
      <c r="O223" s="35">
        <v>784246</v>
      </c>
      <c r="P223" s="35"/>
      <c r="Q223" s="35">
        <v>14391882</v>
      </c>
      <c r="R223" s="35"/>
      <c r="S223" s="35">
        <v>21363621</v>
      </c>
      <c r="T223" s="35"/>
      <c r="U223" s="35">
        <v>6337576</v>
      </c>
      <c r="V223" s="35"/>
      <c r="W223" s="35">
        <f t="shared" si="16"/>
        <v>21114687</v>
      </c>
      <c r="X223" s="35"/>
      <c r="Y223" s="35">
        <v>4377805</v>
      </c>
      <c r="Z223" s="35"/>
      <c r="AA223" s="35">
        <v>31830068</v>
      </c>
      <c r="AD223" s="8">
        <f t="shared" si="17"/>
        <v>0</v>
      </c>
      <c r="AF223" s="35">
        <f t="shared" si="13"/>
        <v>0</v>
      </c>
    </row>
    <row r="224" spans="1:34" hidden="1">
      <c r="A224" s="12" t="s">
        <v>1030</v>
      </c>
      <c r="B224" s="12"/>
      <c r="C224" s="12" t="s">
        <v>28</v>
      </c>
      <c r="D224" s="12"/>
      <c r="E224" s="32">
        <v>47068</v>
      </c>
      <c r="G224" s="8">
        <f>+K224-I224</f>
        <v>0</v>
      </c>
      <c r="M224" s="8">
        <f>+S224-O224-Q224</f>
        <v>0</v>
      </c>
      <c r="W224" s="8">
        <f>AA224-Y224-U224</f>
        <v>0</v>
      </c>
      <c r="AD224" s="8">
        <f>+K224-S224-AA224</f>
        <v>0</v>
      </c>
      <c r="AF224" s="35">
        <f>+G224+I224+-M224-O224-U224-W224-Y224-Q224</f>
        <v>0</v>
      </c>
      <c r="AH224" s="15" t="s">
        <v>973</v>
      </c>
    </row>
    <row r="225" spans="1:34">
      <c r="A225" s="12" t="s">
        <v>269</v>
      </c>
      <c r="B225" s="12"/>
      <c r="C225" s="12" t="s">
        <v>115</v>
      </c>
      <c r="D225" s="12"/>
      <c r="E225" s="32">
        <v>46342</v>
      </c>
      <c r="G225" s="8">
        <f>+K225-I225</f>
        <v>15432044</v>
      </c>
      <c r="I225" s="8">
        <v>39729569</v>
      </c>
      <c r="K225" s="8">
        <v>55161613</v>
      </c>
      <c r="M225" s="8">
        <f t="shared" si="15"/>
        <v>8398752</v>
      </c>
      <c r="O225" s="8">
        <v>643033</v>
      </c>
      <c r="Q225" s="8">
        <v>11848333</v>
      </c>
      <c r="S225" s="8">
        <v>20890118</v>
      </c>
      <c r="U225" s="8">
        <v>29643362</v>
      </c>
      <c r="W225" s="8">
        <f>AA225-Y225-U225</f>
        <v>2452952</v>
      </c>
      <c r="Y225" s="8">
        <v>2175181</v>
      </c>
      <c r="AA225" s="8">
        <v>34271495</v>
      </c>
      <c r="AD225" s="8">
        <f t="shared" si="17"/>
        <v>0</v>
      </c>
      <c r="AF225" s="35">
        <f t="shared" si="13"/>
        <v>0</v>
      </c>
    </row>
    <row r="226" spans="1:34">
      <c r="A226" s="12" t="s">
        <v>254</v>
      </c>
      <c r="B226" s="12"/>
      <c r="C226" s="12" t="s">
        <v>255</v>
      </c>
      <c r="D226" s="12"/>
      <c r="E226" s="32">
        <v>46193</v>
      </c>
      <c r="G226" s="8">
        <f t="shared" si="18"/>
        <v>27393169</v>
      </c>
      <c r="I226" s="8">
        <v>32827519</v>
      </c>
      <c r="K226" s="8">
        <v>60220688</v>
      </c>
      <c r="M226" s="8">
        <f t="shared" si="15"/>
        <v>7651293</v>
      </c>
      <c r="O226" s="8">
        <v>565935</v>
      </c>
      <c r="Q226" s="8">
        <v>21016494</v>
      </c>
      <c r="S226" s="8">
        <v>29233722</v>
      </c>
      <c r="U226" s="8">
        <v>13483719</v>
      </c>
      <c r="W226" s="8">
        <f t="shared" si="16"/>
        <v>17874711</v>
      </c>
      <c r="Y226" s="8">
        <v>-371464</v>
      </c>
      <c r="AA226" s="8">
        <v>30986966</v>
      </c>
      <c r="AD226" s="8">
        <f t="shared" si="17"/>
        <v>0</v>
      </c>
      <c r="AF226" s="35">
        <f t="shared" ref="AF226:AF293" si="19">+G226+I226+-M226-O226-U226-W226-Y226-Q226</f>
        <v>0</v>
      </c>
    </row>
    <row r="227" spans="1:34">
      <c r="A227" s="12" t="s">
        <v>220</v>
      </c>
      <c r="B227" s="12"/>
      <c r="C227" s="12" t="s">
        <v>12</v>
      </c>
      <c r="D227" s="12"/>
      <c r="E227" s="32">
        <v>45864</v>
      </c>
      <c r="G227" s="8">
        <f t="shared" si="18"/>
        <v>16834083</v>
      </c>
      <c r="I227" s="8">
        <v>29903715</v>
      </c>
      <c r="K227" s="8">
        <v>46737798</v>
      </c>
      <c r="M227" s="8">
        <f t="shared" si="15"/>
        <v>4078187</v>
      </c>
      <c r="O227" s="8">
        <v>621536</v>
      </c>
      <c r="Q227" s="8">
        <v>12669322</v>
      </c>
      <c r="S227" s="8">
        <v>17369045</v>
      </c>
      <c r="U227" s="8">
        <v>17901715</v>
      </c>
      <c r="W227" s="8">
        <f t="shared" si="16"/>
        <v>9663359</v>
      </c>
      <c r="Y227" s="8">
        <v>1803679</v>
      </c>
      <c r="AA227" s="8">
        <v>29368753</v>
      </c>
      <c r="AD227" s="8">
        <f t="shared" si="17"/>
        <v>0</v>
      </c>
      <c r="AF227" s="35">
        <f t="shared" si="19"/>
        <v>0</v>
      </c>
    </row>
    <row r="228" spans="1:34">
      <c r="A228" s="12" t="s">
        <v>357</v>
      </c>
      <c r="B228" s="12"/>
      <c r="C228" s="12" t="s">
        <v>27</v>
      </c>
      <c r="D228" s="12"/>
      <c r="E228" s="32">
        <v>44073</v>
      </c>
      <c r="G228" s="8">
        <f t="shared" si="18"/>
        <v>18544387</v>
      </c>
      <c r="I228" s="8">
        <v>12677895</v>
      </c>
      <c r="K228" s="8">
        <v>31222282</v>
      </c>
      <c r="M228" s="8">
        <f t="shared" si="15"/>
        <v>7632627</v>
      </c>
      <c r="O228" s="8">
        <f>992477+612</f>
        <v>993089</v>
      </c>
      <c r="Q228" s="8">
        <f>8095532+612</f>
        <v>8096144</v>
      </c>
      <c r="S228" s="8">
        <v>16721860</v>
      </c>
      <c r="U228" s="8">
        <v>5494320</v>
      </c>
      <c r="W228" s="8">
        <f t="shared" si="16"/>
        <v>1474046</v>
      </c>
      <c r="Y228" s="8">
        <v>7532056</v>
      </c>
      <c r="AA228" s="8">
        <v>14500422</v>
      </c>
      <c r="AD228" s="8">
        <f t="shared" ref="AD228:AD297" si="20">+K228-S228-AA228</f>
        <v>0</v>
      </c>
      <c r="AF228" s="35">
        <f t="shared" si="19"/>
        <v>0</v>
      </c>
    </row>
    <row r="229" spans="1:34">
      <c r="A229" s="12" t="s">
        <v>942</v>
      </c>
      <c r="B229" s="12"/>
      <c r="C229" s="12" t="s">
        <v>42</v>
      </c>
      <c r="D229" s="12"/>
      <c r="E229" s="32">
        <v>45393</v>
      </c>
      <c r="G229" s="8">
        <f t="shared" si="18"/>
        <v>28402901</v>
      </c>
      <c r="I229" s="8">
        <v>37540000</v>
      </c>
      <c r="K229" s="8">
        <v>65942901</v>
      </c>
      <c r="M229" s="8">
        <f t="shared" ref="M229:M233" si="21">+S229-O229-Q229</f>
        <v>17222987</v>
      </c>
      <c r="O229" s="8">
        <v>1693300</v>
      </c>
      <c r="Q229" s="8">
        <v>37083398</v>
      </c>
      <c r="S229" s="8">
        <v>55999685</v>
      </c>
      <c r="U229" s="8">
        <v>7687855</v>
      </c>
      <c r="W229" s="8">
        <f t="shared" ref="W229:W233" si="22">AA229-Y229-U229</f>
        <v>3758676</v>
      </c>
      <c r="Y229" s="8">
        <v>-1503315</v>
      </c>
      <c r="AA229" s="8">
        <v>9943216</v>
      </c>
      <c r="AD229" s="8">
        <f t="shared" si="20"/>
        <v>0</v>
      </c>
      <c r="AF229" s="35">
        <f t="shared" si="19"/>
        <v>0</v>
      </c>
    </row>
    <row r="230" spans="1:34">
      <c r="A230" s="12" t="s">
        <v>628</v>
      </c>
      <c r="B230" s="12"/>
      <c r="C230" s="12" t="s">
        <v>59</v>
      </c>
      <c r="D230" s="12"/>
      <c r="E230" s="32">
        <v>49619</v>
      </c>
      <c r="G230" s="8">
        <f t="shared" si="18"/>
        <v>2592611</v>
      </c>
      <c r="I230" s="8">
        <v>2098443</v>
      </c>
      <c r="K230" s="8">
        <v>4691054</v>
      </c>
      <c r="M230" s="8">
        <f t="shared" si="21"/>
        <v>1921854</v>
      </c>
      <c r="O230" s="8">
        <v>17998</v>
      </c>
      <c r="Q230" s="8">
        <v>365013</v>
      </c>
      <c r="S230" s="8">
        <v>2304865</v>
      </c>
      <c r="U230" s="8">
        <v>2098443</v>
      </c>
      <c r="W230" s="8">
        <f t="shared" si="22"/>
        <v>456462</v>
      </c>
      <c r="Y230" s="8">
        <v>-168716</v>
      </c>
      <c r="AA230" s="8">
        <v>2386189</v>
      </c>
      <c r="AD230" s="8">
        <f t="shared" si="20"/>
        <v>0</v>
      </c>
      <c r="AF230" s="35">
        <f t="shared" si="19"/>
        <v>0</v>
      </c>
    </row>
    <row r="231" spans="1:34">
      <c r="A231" s="12" t="s">
        <v>628</v>
      </c>
      <c r="B231" s="12"/>
      <c r="C231" s="12" t="s">
        <v>63</v>
      </c>
      <c r="D231" s="12"/>
      <c r="E231" s="32">
        <v>50013</v>
      </c>
      <c r="G231" s="8">
        <f t="shared" si="18"/>
        <v>24855736</v>
      </c>
      <c r="I231" s="8">
        <v>40978301</v>
      </c>
      <c r="K231" s="8">
        <v>65834037</v>
      </c>
      <c r="M231" s="8">
        <f t="shared" si="21"/>
        <v>20366877</v>
      </c>
      <c r="O231" s="8">
        <v>2267720</v>
      </c>
      <c r="Q231" s="8">
        <v>40146082</v>
      </c>
      <c r="S231" s="8">
        <v>62780679</v>
      </c>
      <c r="U231" s="8">
        <v>17596795</v>
      </c>
      <c r="W231" s="8">
        <f t="shared" si="22"/>
        <v>2959206</v>
      </c>
      <c r="Y231" s="8">
        <v>-17502643</v>
      </c>
      <c r="AA231" s="8">
        <v>3053358</v>
      </c>
      <c r="AD231" s="8">
        <f t="shared" si="20"/>
        <v>0</v>
      </c>
      <c r="AF231" s="35">
        <f t="shared" si="19"/>
        <v>0</v>
      </c>
    </row>
    <row r="232" spans="1:34">
      <c r="A232" s="12" t="s">
        <v>628</v>
      </c>
      <c r="B232" s="12"/>
      <c r="C232" s="12" t="s">
        <v>71</v>
      </c>
      <c r="D232" s="12"/>
      <c r="E232" s="32">
        <v>50559</v>
      </c>
      <c r="G232" s="8">
        <f t="shared" si="18"/>
        <v>6780355</v>
      </c>
      <c r="I232" s="8">
        <v>2785093</v>
      </c>
      <c r="K232" s="8">
        <v>9565448</v>
      </c>
      <c r="M232" s="8">
        <f t="shared" si="21"/>
        <v>5983785</v>
      </c>
      <c r="O232" s="8">
        <v>98211</v>
      </c>
      <c r="Q232" s="8">
        <v>833575</v>
      </c>
      <c r="S232" s="8">
        <v>6915571</v>
      </c>
      <c r="U232" s="8">
        <v>2582578</v>
      </c>
      <c r="W232" s="8">
        <f t="shared" si="22"/>
        <v>257719</v>
      </c>
      <c r="Y232" s="8">
        <v>-190420</v>
      </c>
      <c r="AA232" s="8">
        <v>2649877</v>
      </c>
      <c r="AD232" s="8">
        <f>+K232-S232-AA232</f>
        <v>0</v>
      </c>
      <c r="AF232" s="35">
        <f>+G232+I232+-M232-O232-U232-W232-Y232-Q232</f>
        <v>0</v>
      </c>
    </row>
    <row r="233" spans="1:34">
      <c r="A233" s="12" t="s">
        <v>386</v>
      </c>
      <c r="B233" s="12"/>
      <c r="C233" s="12" t="s">
        <v>116</v>
      </c>
      <c r="D233" s="12"/>
      <c r="E233" s="32">
        <v>47266</v>
      </c>
      <c r="G233" s="8">
        <f t="shared" si="18"/>
        <v>10035878</v>
      </c>
      <c r="I233" s="8">
        <v>10257693</v>
      </c>
      <c r="K233" s="8">
        <v>20293571</v>
      </c>
      <c r="M233" s="8">
        <f t="shared" si="21"/>
        <v>4353774</v>
      </c>
      <c r="O233" s="8">
        <v>432058</v>
      </c>
      <c r="Q233" s="8">
        <v>8307155</v>
      </c>
      <c r="S233" s="8">
        <v>13092987</v>
      </c>
      <c r="U233" s="8">
        <v>2849509</v>
      </c>
      <c r="W233" s="8">
        <f t="shared" si="22"/>
        <v>630794</v>
      </c>
      <c r="Y233" s="8">
        <v>3720281</v>
      </c>
      <c r="AA233" s="8">
        <v>7200584</v>
      </c>
      <c r="AD233" s="8">
        <f t="shared" si="20"/>
        <v>0</v>
      </c>
      <c r="AF233" s="35">
        <f t="shared" si="19"/>
        <v>0</v>
      </c>
    </row>
    <row r="234" spans="1:34">
      <c r="A234" s="13" t="s">
        <v>437</v>
      </c>
      <c r="B234" s="13"/>
      <c r="C234" s="13" t="s">
        <v>435</v>
      </c>
      <c r="D234" s="13"/>
      <c r="E234" s="13">
        <v>45401</v>
      </c>
      <c r="G234" s="8">
        <f t="shared" ref="G234:G296" si="23">+K234-I234</f>
        <v>13845740</v>
      </c>
      <c r="I234" s="8">
        <v>24700323</v>
      </c>
      <c r="K234" s="8">
        <v>38546063</v>
      </c>
      <c r="M234" s="8">
        <f t="shared" ref="M234:M257" si="24">+S234-O234-Q234</f>
        <v>6754314</v>
      </c>
      <c r="O234" s="8">
        <v>238479</v>
      </c>
      <c r="Q234" s="8">
        <v>4106123</v>
      </c>
      <c r="S234" s="8">
        <v>11098916</v>
      </c>
      <c r="U234" s="8">
        <v>22075977</v>
      </c>
      <c r="W234" s="8">
        <f t="shared" ref="W234:W302" si="25">AA234-Y234-U234</f>
        <v>2024046</v>
      </c>
      <c r="Y234" s="8">
        <v>3347124</v>
      </c>
      <c r="AA234" s="8">
        <v>27447147</v>
      </c>
      <c r="AD234" s="8">
        <f t="shared" si="20"/>
        <v>0</v>
      </c>
      <c r="AF234" s="35">
        <f t="shared" si="19"/>
        <v>0</v>
      </c>
    </row>
    <row r="235" spans="1:34">
      <c r="A235" s="13" t="s">
        <v>261</v>
      </c>
      <c r="B235" s="13"/>
      <c r="C235" s="13" t="s">
        <v>17</v>
      </c>
      <c r="D235" s="13"/>
      <c r="E235" s="13">
        <v>46235</v>
      </c>
      <c r="G235" s="8">
        <f t="shared" si="23"/>
        <v>8970000</v>
      </c>
      <c r="I235" s="8">
        <v>6610000</v>
      </c>
      <c r="K235" s="8">
        <v>15580000</v>
      </c>
      <c r="M235" s="8">
        <f t="shared" si="24"/>
        <v>5347216</v>
      </c>
      <c r="O235" s="8">
        <v>84975</v>
      </c>
      <c r="Q235" s="8">
        <v>1127809</v>
      </c>
      <c r="S235" s="8">
        <v>6560000</v>
      </c>
      <c r="U235" s="8">
        <v>6560000</v>
      </c>
      <c r="W235" s="8">
        <f t="shared" si="25"/>
        <v>1020000</v>
      </c>
      <c r="Y235" s="8">
        <v>1440000</v>
      </c>
      <c r="AA235" s="8">
        <v>9020000</v>
      </c>
      <c r="AD235" s="8">
        <f t="shared" si="20"/>
        <v>0</v>
      </c>
      <c r="AF235" s="35">
        <f t="shared" si="19"/>
        <v>0</v>
      </c>
      <c r="AH235" s="15" t="s">
        <v>927</v>
      </c>
    </row>
    <row r="236" spans="1:34">
      <c r="A236" s="12" t="s">
        <v>327</v>
      </c>
      <c r="B236" s="12"/>
      <c r="C236" s="12" t="s">
        <v>21</v>
      </c>
      <c r="D236" s="12"/>
      <c r="E236" s="32">
        <v>44099</v>
      </c>
      <c r="G236" s="8">
        <f t="shared" si="23"/>
        <v>19069367</v>
      </c>
      <c r="I236" s="8">
        <v>9022960</v>
      </c>
      <c r="K236" s="8">
        <v>28092327</v>
      </c>
      <c r="M236" s="8">
        <f t="shared" si="24"/>
        <v>10635083</v>
      </c>
      <c r="O236" s="8">
        <v>196977</v>
      </c>
      <c r="Q236" s="8">
        <v>843158</v>
      </c>
      <c r="S236" s="8">
        <v>11675218</v>
      </c>
      <c r="U236" s="8">
        <v>9022960</v>
      </c>
      <c r="W236" s="8">
        <f t="shared" si="25"/>
        <v>2963353</v>
      </c>
      <c r="Y236" s="8">
        <v>4430796</v>
      </c>
      <c r="AA236" s="8">
        <v>16417109</v>
      </c>
      <c r="AD236" s="8">
        <f>+K236-S236-AA236</f>
        <v>0</v>
      </c>
      <c r="AF236" s="35">
        <f>+G236+I236+-M236-O236-U236-W236-Y236-Q236</f>
        <v>0</v>
      </c>
    </row>
    <row r="237" spans="1:34">
      <c r="A237" s="12" t="s">
        <v>358</v>
      </c>
      <c r="B237" s="12"/>
      <c r="C237" s="12" t="s">
        <v>27</v>
      </c>
      <c r="D237" s="12"/>
      <c r="E237" s="32">
        <v>46979</v>
      </c>
      <c r="G237" s="8">
        <f t="shared" si="23"/>
        <v>31433515</v>
      </c>
      <c r="I237" s="8">
        <v>9756929</v>
      </c>
      <c r="K237" s="8">
        <v>41190444</v>
      </c>
      <c r="M237" s="8">
        <f t="shared" si="24"/>
        <v>22134980</v>
      </c>
      <c r="O237" s="8">
        <v>648529</v>
      </c>
      <c r="Q237" s="8">
        <v>4190146</v>
      </c>
      <c r="S237" s="8">
        <v>26973655</v>
      </c>
      <c r="U237" s="8">
        <v>9301929</v>
      </c>
      <c r="W237" s="8">
        <f t="shared" si="25"/>
        <v>2934541</v>
      </c>
      <c r="Y237" s="8">
        <v>1980319</v>
      </c>
      <c r="AA237" s="8">
        <v>14216789</v>
      </c>
      <c r="AD237" s="8">
        <f t="shared" si="20"/>
        <v>0</v>
      </c>
      <c r="AF237" s="35">
        <f t="shared" si="19"/>
        <v>0</v>
      </c>
      <c r="AH237" s="15" t="s">
        <v>905</v>
      </c>
    </row>
    <row r="238" spans="1:34">
      <c r="A238" s="12" t="s">
        <v>244</v>
      </c>
      <c r="B238" s="12"/>
      <c r="C238" s="12" t="s">
        <v>242</v>
      </c>
      <c r="D238" s="12"/>
      <c r="E238" s="32">
        <v>44107</v>
      </c>
      <c r="G238" s="8">
        <f t="shared" si="23"/>
        <v>192500000</v>
      </c>
      <c r="I238" s="8">
        <v>146100000</v>
      </c>
      <c r="K238" s="8">
        <v>338600000</v>
      </c>
      <c r="M238" s="8">
        <f t="shared" si="24"/>
        <v>55361060</v>
      </c>
      <c r="O238" s="8">
        <v>3321931</v>
      </c>
      <c r="Q238" s="8">
        <v>116717009</v>
      </c>
      <c r="S238" s="8">
        <v>175400000</v>
      </c>
      <c r="U238" s="8">
        <v>87100000</v>
      </c>
      <c r="W238" s="8">
        <f t="shared" si="25"/>
        <v>85700000</v>
      </c>
      <c r="Y238" s="8">
        <v>-9600000</v>
      </c>
      <c r="AA238" s="8">
        <v>163200000</v>
      </c>
      <c r="AD238" s="8">
        <f t="shared" si="20"/>
        <v>0</v>
      </c>
      <c r="AF238" s="35">
        <f t="shared" si="19"/>
        <v>0</v>
      </c>
      <c r="AH238" s="15" t="s">
        <v>927</v>
      </c>
    </row>
    <row r="239" spans="1:34">
      <c r="A239" s="12" t="s">
        <v>359</v>
      </c>
      <c r="B239" s="12"/>
      <c r="C239" s="12" t="s">
        <v>27</v>
      </c>
      <c r="D239" s="12"/>
      <c r="E239" s="32">
        <v>46953</v>
      </c>
      <c r="F239" s="11"/>
      <c r="G239" s="8">
        <f t="shared" si="23"/>
        <v>23165400</v>
      </c>
      <c r="I239" s="8">
        <v>71893945</v>
      </c>
      <c r="K239" s="8">
        <v>95059345</v>
      </c>
      <c r="M239" s="8">
        <f t="shared" si="24"/>
        <v>8800539</v>
      </c>
      <c r="O239" s="8">
        <v>937494</v>
      </c>
      <c r="Q239" s="8">
        <v>27042893</v>
      </c>
      <c r="S239" s="8">
        <v>36780926</v>
      </c>
      <c r="U239" s="8">
        <v>46812466</v>
      </c>
      <c r="W239" s="8">
        <f t="shared" si="25"/>
        <v>6698596</v>
      </c>
      <c r="Y239" s="8">
        <v>4767357</v>
      </c>
      <c r="AA239" s="8">
        <v>58278419</v>
      </c>
      <c r="AD239" s="8">
        <f t="shared" si="20"/>
        <v>0</v>
      </c>
      <c r="AF239" s="35">
        <f t="shared" si="19"/>
        <v>0</v>
      </c>
    </row>
    <row r="240" spans="1:34">
      <c r="A240" s="12" t="s">
        <v>422</v>
      </c>
      <c r="B240" s="12"/>
      <c r="C240" s="12" t="s">
        <v>421</v>
      </c>
      <c r="D240" s="12"/>
      <c r="E240" s="32">
        <v>47498</v>
      </c>
      <c r="G240" s="8">
        <f t="shared" si="23"/>
        <v>11587775</v>
      </c>
      <c r="I240" s="8">
        <v>2134841</v>
      </c>
      <c r="K240" s="8">
        <v>13722616</v>
      </c>
      <c r="M240" s="8">
        <f t="shared" si="24"/>
        <v>1538095</v>
      </c>
      <c r="O240" s="8">
        <v>69334</v>
      </c>
      <c r="Q240" s="8">
        <v>3590589</v>
      </c>
      <c r="S240" s="8">
        <v>5198018</v>
      </c>
      <c r="U240" s="8">
        <v>1205200</v>
      </c>
      <c r="W240" s="8">
        <f t="shared" si="25"/>
        <v>7808850</v>
      </c>
      <c r="Y240" s="8">
        <v>-489452</v>
      </c>
      <c r="AA240" s="8">
        <v>8524598</v>
      </c>
      <c r="AD240" s="8">
        <f t="shared" si="20"/>
        <v>0</v>
      </c>
      <c r="AF240" s="35">
        <f t="shared" si="19"/>
        <v>0</v>
      </c>
      <c r="AH240" s="15" t="s">
        <v>905</v>
      </c>
    </row>
    <row r="241" spans="1:32">
      <c r="A241" s="12" t="s">
        <v>645</v>
      </c>
      <c r="B241" s="12"/>
      <c r="C241" s="12" t="s">
        <v>61</v>
      </c>
      <c r="D241" s="12"/>
      <c r="E241" s="32">
        <v>49791</v>
      </c>
      <c r="G241" s="8">
        <f t="shared" si="23"/>
        <v>17948854</v>
      </c>
      <c r="I241" s="8">
        <v>3540275</v>
      </c>
      <c r="K241" s="8">
        <v>21489129</v>
      </c>
      <c r="M241" s="8">
        <f t="shared" si="24"/>
        <v>2888468</v>
      </c>
      <c r="O241" s="8">
        <v>38752</v>
      </c>
      <c r="Q241" s="8">
        <v>10036417</v>
      </c>
      <c r="S241" s="8">
        <v>12963637</v>
      </c>
      <c r="U241" s="8">
        <v>2790598</v>
      </c>
      <c r="W241" s="8">
        <f t="shared" si="25"/>
        <v>4474591</v>
      </c>
      <c r="Y241" s="8">
        <v>1260303</v>
      </c>
      <c r="AA241" s="8">
        <v>8525492</v>
      </c>
      <c r="AD241" s="8">
        <f t="shared" si="20"/>
        <v>0</v>
      </c>
      <c r="AF241" s="35">
        <f t="shared" si="19"/>
        <v>0</v>
      </c>
    </row>
    <row r="242" spans="1:32">
      <c r="A242" s="12" t="s">
        <v>429</v>
      </c>
      <c r="B242" s="12"/>
      <c r="C242" s="12" t="s">
        <v>428</v>
      </c>
      <c r="D242" s="12"/>
      <c r="E242" s="32">
        <v>45245</v>
      </c>
      <c r="G242" s="8">
        <f t="shared" si="23"/>
        <v>12217925</v>
      </c>
      <c r="I242" s="8">
        <v>4194767</v>
      </c>
      <c r="K242" s="8">
        <v>16412692</v>
      </c>
      <c r="M242" s="8">
        <f t="shared" si="24"/>
        <v>5594539</v>
      </c>
      <c r="O242" s="8">
        <v>202556</v>
      </c>
      <c r="Q242" s="8">
        <v>987861</v>
      </c>
      <c r="S242" s="8">
        <v>6784956</v>
      </c>
      <c r="U242" s="8">
        <v>4180691</v>
      </c>
      <c r="W242" s="8">
        <f t="shared" si="25"/>
        <v>2367084</v>
      </c>
      <c r="Y242" s="8">
        <v>3079961</v>
      </c>
      <c r="AA242" s="8">
        <v>9627736</v>
      </c>
      <c r="AD242" s="8">
        <f t="shared" si="20"/>
        <v>0</v>
      </c>
      <c r="AF242" s="35">
        <f t="shared" si="19"/>
        <v>0</v>
      </c>
    </row>
    <row r="243" spans="1:32">
      <c r="A243" s="12" t="s">
        <v>473</v>
      </c>
      <c r="B243" s="12"/>
      <c r="C243" s="12" t="s">
        <v>42</v>
      </c>
      <c r="D243" s="12"/>
      <c r="E243" s="32">
        <v>44115</v>
      </c>
      <c r="G243" s="8">
        <f t="shared" si="23"/>
        <v>15056885</v>
      </c>
      <c r="I243" s="8">
        <v>17436649</v>
      </c>
      <c r="K243" s="8">
        <v>32493534</v>
      </c>
      <c r="M243" s="8">
        <f t="shared" si="24"/>
        <v>8585609</v>
      </c>
      <c r="O243" s="8">
        <v>884436</v>
      </c>
      <c r="Q243" s="8">
        <v>17156393</v>
      </c>
      <c r="S243" s="8">
        <v>26626438</v>
      </c>
      <c r="U243" s="8">
        <v>2811504</v>
      </c>
      <c r="W243" s="8">
        <f t="shared" si="25"/>
        <v>2661956</v>
      </c>
      <c r="Y243" s="8">
        <v>393636</v>
      </c>
      <c r="AA243" s="8">
        <v>5867096</v>
      </c>
      <c r="AD243" s="8">
        <f t="shared" si="20"/>
        <v>0</v>
      </c>
      <c r="AF243" s="35">
        <f t="shared" si="19"/>
        <v>0</v>
      </c>
    </row>
    <row r="244" spans="1:32" hidden="1">
      <c r="A244" s="117" t="s">
        <v>945</v>
      </c>
      <c r="B244" s="12"/>
      <c r="C244" s="12" t="s">
        <v>22</v>
      </c>
      <c r="D244" s="12"/>
      <c r="E244" s="32">
        <v>45419</v>
      </c>
      <c r="G244" s="8">
        <f t="shared" si="23"/>
        <v>6207251</v>
      </c>
      <c r="K244" s="8">
        <v>6207251</v>
      </c>
      <c r="M244" s="8">
        <f t="shared" si="24"/>
        <v>0</v>
      </c>
      <c r="W244" s="8">
        <f t="shared" si="25"/>
        <v>2534253</v>
      </c>
      <c r="Y244" s="8">
        <v>3672998</v>
      </c>
      <c r="AA244" s="8">
        <v>6207251</v>
      </c>
      <c r="AD244" s="8">
        <f t="shared" si="20"/>
        <v>0</v>
      </c>
      <c r="AF244" s="35">
        <f t="shared" si="19"/>
        <v>0</v>
      </c>
    </row>
    <row r="245" spans="1:32">
      <c r="A245" s="12" t="s">
        <v>528</v>
      </c>
      <c r="B245" s="12"/>
      <c r="C245" s="12" t="s">
        <v>47</v>
      </c>
      <c r="D245" s="12"/>
      <c r="E245" s="32">
        <v>48496</v>
      </c>
      <c r="G245" s="8">
        <f t="shared" si="23"/>
        <v>35320008</v>
      </c>
      <c r="I245" s="8">
        <v>42959749</v>
      </c>
      <c r="K245" s="8">
        <v>78279757</v>
      </c>
      <c r="M245" s="8">
        <f t="shared" si="24"/>
        <v>19380573</v>
      </c>
      <c r="O245" s="8">
        <v>1806824</v>
      </c>
      <c r="Q245" s="8">
        <v>36460030</v>
      </c>
      <c r="S245" s="8">
        <v>57647427</v>
      </c>
      <c r="U245" s="8">
        <v>8392251</v>
      </c>
      <c r="W245" s="8">
        <f t="shared" si="25"/>
        <v>5283915</v>
      </c>
      <c r="Y245" s="8">
        <v>6956164</v>
      </c>
      <c r="AA245" s="8">
        <v>20632330</v>
      </c>
      <c r="AD245" s="8">
        <f>+K245-S245-AA245</f>
        <v>0</v>
      </c>
      <c r="AF245" s="35">
        <f>+G245+I245+-M245-O245-U245-W245-Y245-Q245</f>
        <v>0</v>
      </c>
    </row>
    <row r="246" spans="1:32">
      <c r="A246" s="12" t="s">
        <v>528</v>
      </c>
      <c r="B246" s="12"/>
      <c r="C246" s="12" t="s">
        <v>78</v>
      </c>
      <c r="D246" s="12"/>
      <c r="E246" s="32">
        <v>48801</v>
      </c>
      <c r="G246" s="8">
        <f t="shared" si="23"/>
        <v>60786040</v>
      </c>
      <c r="I246" s="8">
        <v>15082097</v>
      </c>
      <c r="K246" s="8">
        <v>75868137</v>
      </c>
      <c r="M246" s="8">
        <f t="shared" si="24"/>
        <v>5838669</v>
      </c>
      <c r="O246" s="8">
        <v>116148</v>
      </c>
      <c r="Q246" s="8">
        <v>16373542</v>
      </c>
      <c r="S246" s="8">
        <v>22328359</v>
      </c>
      <c r="U246" s="8">
        <v>15448046</v>
      </c>
      <c r="W246" s="8">
        <f t="shared" si="25"/>
        <v>36565940</v>
      </c>
      <c r="Y246" s="8">
        <v>1525792</v>
      </c>
      <c r="AA246" s="8">
        <v>53539778</v>
      </c>
      <c r="AD246" s="8">
        <f>+K246-S246-AA246</f>
        <v>0</v>
      </c>
      <c r="AF246" s="35">
        <f>+G246+I246+-M246-O246-U246-W246-Y246-Q246</f>
        <v>0</v>
      </c>
    </row>
    <row r="247" spans="1:32">
      <c r="A247" s="12" t="s">
        <v>360</v>
      </c>
      <c r="B247" s="12"/>
      <c r="C247" s="12" t="s">
        <v>27</v>
      </c>
      <c r="D247" s="12"/>
      <c r="E247" s="32">
        <v>47019</v>
      </c>
      <c r="G247" s="8">
        <f t="shared" si="23"/>
        <v>156352519</v>
      </c>
      <c r="I247" s="8">
        <v>190221547</v>
      </c>
      <c r="K247" s="8">
        <v>346574066</v>
      </c>
      <c r="M247" s="8">
        <f t="shared" si="24"/>
        <v>83282104</v>
      </c>
      <c r="O247" s="8">
        <v>12793983</v>
      </c>
      <c r="Q247" s="8">
        <v>189443939</v>
      </c>
      <c r="S247" s="8">
        <v>285520026</v>
      </c>
      <c r="U247" s="8">
        <v>4242923</v>
      </c>
      <c r="W247" s="8">
        <f t="shared" si="25"/>
        <v>23210974</v>
      </c>
      <c r="Y247" s="8">
        <v>33600143</v>
      </c>
      <c r="AA247" s="8">
        <v>61054040</v>
      </c>
      <c r="AD247" s="8">
        <f t="shared" si="20"/>
        <v>0</v>
      </c>
      <c r="AF247" s="35">
        <f t="shared" si="19"/>
        <v>0</v>
      </c>
    </row>
    <row r="248" spans="1:32">
      <c r="A248" s="12" t="s">
        <v>438</v>
      </c>
      <c r="B248" s="12"/>
      <c r="C248" s="12" t="s">
        <v>435</v>
      </c>
      <c r="D248" s="12"/>
      <c r="E248" s="32">
        <v>44123</v>
      </c>
      <c r="G248" s="8">
        <f t="shared" si="23"/>
        <v>30531955</v>
      </c>
      <c r="I248" s="8">
        <v>64650667</v>
      </c>
      <c r="K248" s="8">
        <v>95182622</v>
      </c>
      <c r="M248" s="8">
        <f t="shared" si="24"/>
        <v>13169178</v>
      </c>
      <c r="O248" s="8">
        <v>489208</v>
      </c>
      <c r="Q248" s="8">
        <v>13022616</v>
      </c>
      <c r="S248" s="8">
        <v>26681002</v>
      </c>
      <c r="U248" s="8">
        <v>52420667</v>
      </c>
      <c r="W248" s="8">
        <f t="shared" si="25"/>
        <v>13270725</v>
      </c>
      <c r="Y248" s="8">
        <v>2810228</v>
      </c>
      <c r="AA248" s="8">
        <v>68501620</v>
      </c>
      <c r="AD248" s="8">
        <f t="shared" si="20"/>
        <v>0</v>
      </c>
      <c r="AF248" s="35">
        <f t="shared" si="19"/>
        <v>0</v>
      </c>
    </row>
    <row r="249" spans="1:32">
      <c r="A249" s="12" t="s">
        <v>214</v>
      </c>
      <c r="B249" s="12"/>
      <c r="C249" s="12" t="s">
        <v>11</v>
      </c>
      <c r="D249" s="12"/>
      <c r="E249" s="32">
        <v>45823</v>
      </c>
      <c r="G249" s="8">
        <f t="shared" si="23"/>
        <v>7340808</v>
      </c>
      <c r="I249" s="8">
        <v>1762579</v>
      </c>
      <c r="K249" s="8">
        <v>9103387</v>
      </c>
      <c r="M249" s="8">
        <f t="shared" si="24"/>
        <v>4245811</v>
      </c>
      <c r="O249" s="8">
        <v>145203</v>
      </c>
      <c r="Q249" s="8">
        <v>1063904</v>
      </c>
      <c r="S249" s="8">
        <v>5454918</v>
      </c>
      <c r="U249" s="8">
        <v>1604729</v>
      </c>
      <c r="W249" s="8">
        <f t="shared" si="25"/>
        <v>235741</v>
      </c>
      <c r="Y249" s="8">
        <v>1807999</v>
      </c>
      <c r="AA249" s="8">
        <v>3648469</v>
      </c>
      <c r="AD249" s="8">
        <f t="shared" si="20"/>
        <v>0</v>
      </c>
      <c r="AF249" s="35">
        <f t="shared" si="19"/>
        <v>0</v>
      </c>
    </row>
    <row r="250" spans="1:32">
      <c r="A250" s="12" t="s">
        <v>430</v>
      </c>
      <c r="B250" s="12"/>
      <c r="C250" s="12" t="s">
        <v>34</v>
      </c>
      <c r="D250" s="12"/>
      <c r="E250" s="32">
        <v>47571</v>
      </c>
      <c r="G250" s="8">
        <f t="shared" si="23"/>
        <v>4797816</v>
      </c>
      <c r="I250" s="8">
        <v>20417134</v>
      </c>
      <c r="K250" s="8">
        <v>25214950</v>
      </c>
      <c r="M250" s="8">
        <f t="shared" si="24"/>
        <v>1555819</v>
      </c>
      <c r="O250" s="8">
        <v>173669</v>
      </c>
      <c r="Q250" s="8">
        <v>4610366</v>
      </c>
      <c r="S250" s="8">
        <v>6339854</v>
      </c>
      <c r="U250" s="8">
        <v>16045776</v>
      </c>
      <c r="W250" s="8">
        <f t="shared" si="25"/>
        <v>1101166</v>
      </c>
      <c r="Y250" s="8">
        <v>1728154</v>
      </c>
      <c r="AA250" s="8">
        <v>18875096</v>
      </c>
      <c r="AD250" s="8">
        <f t="shared" si="20"/>
        <v>0</v>
      </c>
      <c r="AF250" s="35">
        <f t="shared" si="19"/>
        <v>0</v>
      </c>
    </row>
    <row r="251" spans="1:32">
      <c r="A251" s="12" t="s">
        <v>680</v>
      </c>
      <c r="B251" s="12"/>
      <c r="C251" s="12" t="s">
        <v>64</v>
      </c>
      <c r="D251" s="12"/>
      <c r="E251" s="32">
        <v>50161</v>
      </c>
      <c r="G251" s="8">
        <f t="shared" si="23"/>
        <v>26570290</v>
      </c>
      <c r="I251" s="8">
        <v>3668596</v>
      </c>
      <c r="K251" s="8">
        <v>30238886</v>
      </c>
      <c r="M251" s="8">
        <f t="shared" si="24"/>
        <v>19730912</v>
      </c>
      <c r="O251" s="8">
        <v>349544</v>
      </c>
      <c r="Q251" s="8">
        <v>3373941</v>
      </c>
      <c r="S251" s="8">
        <v>23454397</v>
      </c>
      <c r="U251" s="8">
        <v>3668596</v>
      </c>
      <c r="W251" s="8">
        <f t="shared" si="25"/>
        <v>784423</v>
      </c>
      <c r="Y251" s="8">
        <v>2331470</v>
      </c>
      <c r="AA251" s="8">
        <v>6784489</v>
      </c>
      <c r="AD251" s="8">
        <f t="shared" si="20"/>
        <v>0</v>
      </c>
      <c r="AF251" s="35">
        <f t="shared" si="19"/>
        <v>0</v>
      </c>
    </row>
    <row r="252" spans="1:32">
      <c r="A252" s="12" t="s">
        <v>681</v>
      </c>
      <c r="B252" s="12"/>
      <c r="C252" s="12" t="s">
        <v>64</v>
      </c>
      <c r="D252" s="12"/>
      <c r="E252" s="32">
        <v>45427</v>
      </c>
      <c r="G252" s="8">
        <f t="shared" si="23"/>
        <v>66040863</v>
      </c>
      <c r="I252" s="8">
        <v>11042512</v>
      </c>
      <c r="K252" s="8">
        <v>77083375</v>
      </c>
      <c r="M252" s="8">
        <f t="shared" si="24"/>
        <v>9404598</v>
      </c>
      <c r="O252" s="8">
        <v>903213</v>
      </c>
      <c r="Q252" s="8">
        <v>19933152</v>
      </c>
      <c r="S252" s="8">
        <v>30240963</v>
      </c>
      <c r="U252" s="8">
        <v>10763690</v>
      </c>
      <c r="W252" s="8">
        <f t="shared" si="25"/>
        <v>31312777</v>
      </c>
      <c r="Y252" s="8">
        <v>4765945</v>
      </c>
      <c r="AA252" s="8">
        <v>46842412</v>
      </c>
      <c r="AD252" s="8">
        <f t="shared" si="20"/>
        <v>0</v>
      </c>
      <c r="AF252" s="35">
        <f t="shared" si="19"/>
        <v>0</v>
      </c>
    </row>
    <row r="253" spans="1:32">
      <c r="A253" s="12" t="s">
        <v>547</v>
      </c>
      <c r="B253" s="12"/>
      <c r="C253" s="12" t="s">
        <v>50</v>
      </c>
      <c r="D253" s="12"/>
      <c r="E253" s="32">
        <v>48751</v>
      </c>
      <c r="G253" s="8">
        <f t="shared" si="23"/>
        <v>229594467</v>
      </c>
      <c r="I253" s="8">
        <v>21502943</v>
      </c>
      <c r="K253" s="8">
        <v>251097410</v>
      </c>
      <c r="M253" s="8">
        <f t="shared" si="24"/>
        <v>118344421</v>
      </c>
      <c r="O253" s="8">
        <v>601956</v>
      </c>
      <c r="Q253" s="8">
        <v>2476455</v>
      </c>
      <c r="S253" s="8">
        <v>121422832</v>
      </c>
      <c r="U253" s="8">
        <v>18390965</v>
      </c>
      <c r="W253" s="8">
        <f t="shared" si="25"/>
        <v>86566713</v>
      </c>
      <c r="Y253" s="8">
        <v>24716900</v>
      </c>
      <c r="AA253" s="8">
        <v>129674578</v>
      </c>
      <c r="AD253" s="8">
        <f t="shared" si="20"/>
        <v>0</v>
      </c>
      <c r="AF253" s="35">
        <f t="shared" si="19"/>
        <v>0</v>
      </c>
    </row>
    <row r="254" spans="1:32">
      <c r="A254" s="12" t="s">
        <v>666</v>
      </c>
      <c r="B254" s="12"/>
      <c r="C254" s="12" t="s">
        <v>63</v>
      </c>
      <c r="D254" s="12"/>
      <c r="E254" s="32">
        <v>50021</v>
      </c>
      <c r="G254" s="8">
        <f t="shared" si="23"/>
        <v>65845815</v>
      </c>
      <c r="I254" s="8">
        <v>50480865</v>
      </c>
      <c r="K254" s="8">
        <v>116326680</v>
      </c>
      <c r="M254" s="8">
        <f t="shared" si="24"/>
        <v>41644446</v>
      </c>
      <c r="O254" s="8">
        <f>2643932+10404</f>
        <v>2654336</v>
      </c>
      <c r="Q254" s="8">
        <f>33740060+12250</f>
        <v>33752310</v>
      </c>
      <c r="S254" s="8">
        <v>78051092</v>
      </c>
      <c r="U254" s="8">
        <v>22949265</v>
      </c>
      <c r="W254" s="8">
        <f t="shared" si="25"/>
        <v>5049911</v>
      </c>
      <c r="Y254" s="8">
        <v>10276412</v>
      </c>
      <c r="AA254" s="8">
        <v>38275588</v>
      </c>
      <c r="AD254" s="8">
        <f t="shared" si="20"/>
        <v>0</v>
      </c>
      <c r="AF254" s="35">
        <f t="shared" si="19"/>
        <v>0</v>
      </c>
    </row>
    <row r="255" spans="1:32">
      <c r="A255" s="12" t="s">
        <v>618</v>
      </c>
      <c r="B255" s="12"/>
      <c r="C255" s="12" t="s">
        <v>58</v>
      </c>
      <c r="D255" s="12"/>
      <c r="E255" s="32">
        <v>49502</v>
      </c>
      <c r="G255" s="8">
        <f t="shared" si="23"/>
        <v>8215737</v>
      </c>
      <c r="I255" s="8">
        <v>13010166</v>
      </c>
      <c r="K255" s="8">
        <v>21225903</v>
      </c>
      <c r="M255" s="8">
        <f t="shared" si="24"/>
        <v>2783970</v>
      </c>
      <c r="O255" s="8">
        <v>132679</v>
      </c>
      <c r="Q255" s="8">
        <v>1484523</v>
      </c>
      <c r="S255" s="8">
        <v>4401172</v>
      </c>
      <c r="U255" s="8">
        <v>12175887</v>
      </c>
      <c r="W255" s="8">
        <f t="shared" si="25"/>
        <v>838817</v>
      </c>
      <c r="Y255" s="8">
        <v>3810027</v>
      </c>
      <c r="AA255" s="8">
        <v>16824731</v>
      </c>
      <c r="AD255" s="8">
        <f t="shared" si="20"/>
        <v>0</v>
      </c>
      <c r="AF255" s="35">
        <f t="shared" si="19"/>
        <v>0</v>
      </c>
    </row>
    <row r="256" spans="1:32">
      <c r="A256" s="12" t="s">
        <v>337</v>
      </c>
      <c r="B256" s="12"/>
      <c r="C256" s="12" t="s">
        <v>24</v>
      </c>
      <c r="D256" s="12"/>
      <c r="E256" s="32">
        <v>44131</v>
      </c>
      <c r="G256" s="8">
        <f t="shared" si="23"/>
        <v>18606309</v>
      </c>
      <c r="I256" s="8">
        <v>7084001</v>
      </c>
      <c r="K256" s="8">
        <v>25690310</v>
      </c>
      <c r="M256" s="8">
        <f t="shared" si="24"/>
        <v>9608334</v>
      </c>
      <c r="O256" s="8">
        <v>943379</v>
      </c>
      <c r="Q256" s="8">
        <v>9196758</v>
      </c>
      <c r="S256" s="8">
        <v>19748471</v>
      </c>
      <c r="U256" s="8">
        <v>2481287</v>
      </c>
      <c r="W256" s="8">
        <f t="shared" si="25"/>
        <v>1171971</v>
      </c>
      <c r="Y256" s="8">
        <v>2288581</v>
      </c>
      <c r="AA256" s="8">
        <v>5941839</v>
      </c>
      <c r="AD256" s="8">
        <f t="shared" si="20"/>
        <v>0</v>
      </c>
      <c r="AF256" s="35">
        <f t="shared" si="19"/>
        <v>0</v>
      </c>
    </row>
    <row r="257" spans="1:34">
      <c r="A257" s="12" t="s">
        <v>309</v>
      </c>
      <c r="B257" s="12"/>
      <c r="C257" s="12" t="s">
        <v>20</v>
      </c>
      <c r="D257" s="12"/>
      <c r="E257" s="32">
        <v>46565</v>
      </c>
      <c r="G257" s="8">
        <f t="shared" si="23"/>
        <v>18431730</v>
      </c>
      <c r="I257" s="8">
        <v>26244082</v>
      </c>
      <c r="K257" s="8">
        <v>44675812</v>
      </c>
      <c r="M257" s="8">
        <f t="shared" si="24"/>
        <v>12326744</v>
      </c>
      <c r="O257" s="8">
        <v>556144</v>
      </c>
      <c r="Q257" s="8">
        <v>17146145</v>
      </c>
      <c r="S257" s="8">
        <v>30029033</v>
      </c>
      <c r="U257" s="8">
        <v>11064690</v>
      </c>
      <c r="W257" s="8">
        <f t="shared" si="25"/>
        <v>2322397</v>
      </c>
      <c r="Y257" s="8">
        <v>1259692</v>
      </c>
      <c r="AA257" s="8">
        <v>14646779</v>
      </c>
      <c r="AD257" s="8">
        <f t="shared" si="20"/>
        <v>0</v>
      </c>
      <c r="AF257" s="35">
        <f t="shared" si="19"/>
        <v>0</v>
      </c>
    </row>
    <row r="258" spans="1:34">
      <c r="A258" s="12" t="s">
        <v>451</v>
      </c>
      <c r="B258" s="12"/>
      <c r="C258" s="12" t="s">
        <v>39</v>
      </c>
      <c r="D258" s="12"/>
      <c r="E258" s="32">
        <v>47803</v>
      </c>
      <c r="F258" s="11"/>
      <c r="G258" s="8">
        <f t="shared" si="23"/>
        <v>26287360</v>
      </c>
      <c r="I258" s="8">
        <v>5027698</v>
      </c>
      <c r="K258" s="8">
        <v>31315058</v>
      </c>
      <c r="M258" s="8">
        <f t="shared" ref="M258:M310" si="26">+S258-O258-Q258</f>
        <v>10072003</v>
      </c>
      <c r="O258" s="8">
        <v>496196</v>
      </c>
      <c r="Q258" s="8">
        <v>14024004</v>
      </c>
      <c r="S258" s="8">
        <v>24592203</v>
      </c>
      <c r="U258" s="8">
        <v>2888298</v>
      </c>
      <c r="W258" s="8">
        <f t="shared" si="25"/>
        <v>2342384</v>
      </c>
      <c r="Y258" s="8">
        <v>1492173</v>
      </c>
      <c r="AA258" s="8">
        <v>6722855</v>
      </c>
      <c r="AD258" s="8">
        <f t="shared" si="20"/>
        <v>0</v>
      </c>
      <c r="AF258" s="35">
        <f t="shared" si="19"/>
        <v>0</v>
      </c>
    </row>
    <row r="259" spans="1:34">
      <c r="A259" s="12" t="s">
        <v>395</v>
      </c>
      <c r="B259" s="12"/>
      <c r="C259" s="12" t="s">
        <v>32</v>
      </c>
      <c r="D259" s="12"/>
      <c r="E259" s="32">
        <v>45435</v>
      </c>
      <c r="G259" s="8">
        <f t="shared" si="23"/>
        <v>54769352</v>
      </c>
      <c r="I259" s="8">
        <v>47139199</v>
      </c>
      <c r="K259" s="8">
        <v>101908551</v>
      </c>
      <c r="M259" s="8">
        <f t="shared" si="26"/>
        <v>18127351</v>
      </c>
      <c r="O259" s="8">
        <v>2533559</v>
      </c>
      <c r="Q259" s="8">
        <v>41080448</v>
      </c>
      <c r="S259" s="8">
        <v>61741358</v>
      </c>
      <c r="U259" s="8">
        <v>8689078</v>
      </c>
      <c r="W259" s="8">
        <f t="shared" si="25"/>
        <v>2884843</v>
      </c>
      <c r="Y259" s="8">
        <v>28593272</v>
      </c>
      <c r="AA259" s="8">
        <v>40167193</v>
      </c>
      <c r="AD259" s="8">
        <f t="shared" si="20"/>
        <v>0</v>
      </c>
      <c r="AF259" s="35">
        <f t="shared" si="19"/>
        <v>0</v>
      </c>
    </row>
    <row r="260" spans="1:34" hidden="1">
      <c r="A260" s="117" t="s">
        <v>947</v>
      </c>
      <c r="B260" s="12"/>
      <c r="C260" s="12" t="s">
        <v>43</v>
      </c>
      <c r="D260" s="12"/>
      <c r="E260" s="32"/>
      <c r="G260" s="8">
        <f t="shared" si="23"/>
        <v>13127866</v>
      </c>
      <c r="K260" s="8">
        <v>13127866</v>
      </c>
      <c r="M260" s="8">
        <f t="shared" si="26"/>
        <v>0</v>
      </c>
      <c r="W260" s="8">
        <f t="shared" si="25"/>
        <v>13127866</v>
      </c>
      <c r="AA260" s="8">
        <v>13127866</v>
      </c>
      <c r="AD260" s="8">
        <f t="shared" si="20"/>
        <v>0</v>
      </c>
      <c r="AF260" s="35">
        <f t="shared" si="19"/>
        <v>0</v>
      </c>
    </row>
    <row r="261" spans="1:34">
      <c r="A261" s="12" t="s">
        <v>697</v>
      </c>
      <c r="B261" s="12"/>
      <c r="C261" s="12" t="s">
        <v>65</v>
      </c>
      <c r="D261" s="12"/>
      <c r="E261" s="32">
        <v>50286</v>
      </c>
      <c r="G261" s="8">
        <f t="shared" si="23"/>
        <v>10043895</v>
      </c>
      <c r="I261" s="8">
        <v>45989141</v>
      </c>
      <c r="K261" s="8">
        <v>56033036</v>
      </c>
      <c r="M261" s="8">
        <f t="shared" si="26"/>
        <v>6535315</v>
      </c>
      <c r="O261" s="8">
        <v>752695</v>
      </c>
      <c r="Q261" s="8">
        <v>14610495</v>
      </c>
      <c r="S261" s="8">
        <v>21898505</v>
      </c>
      <c r="U261" s="8">
        <v>33232741</v>
      </c>
      <c r="W261" s="8">
        <f t="shared" si="25"/>
        <v>1687982</v>
      </c>
      <c r="Y261" s="8">
        <v>-786192</v>
      </c>
      <c r="AA261" s="8">
        <v>34134531</v>
      </c>
      <c r="AD261" s="8">
        <f t="shared" si="20"/>
        <v>0</v>
      </c>
      <c r="AF261" s="35">
        <f t="shared" si="19"/>
        <v>0</v>
      </c>
      <c r="AH261" s="15" t="s">
        <v>905</v>
      </c>
    </row>
    <row r="262" spans="1:34">
      <c r="A262" s="12" t="s">
        <v>469</v>
      </c>
      <c r="B262" s="12"/>
      <c r="C262" s="12" t="s">
        <v>466</v>
      </c>
      <c r="D262" s="12"/>
      <c r="E262" s="32">
        <v>44149</v>
      </c>
      <c r="G262" s="8">
        <f t="shared" si="23"/>
        <v>26086438</v>
      </c>
      <c r="I262" s="8">
        <v>40460186</v>
      </c>
      <c r="K262" s="8">
        <v>66546624</v>
      </c>
      <c r="M262" s="8">
        <f t="shared" si="26"/>
        <v>11080690</v>
      </c>
      <c r="O262" s="8">
        <v>271096</v>
      </c>
      <c r="Q262" s="8">
        <v>16098726</v>
      </c>
      <c r="S262" s="8">
        <v>27450512</v>
      </c>
      <c r="U262" s="8">
        <v>34518246</v>
      </c>
      <c r="W262" s="8">
        <f t="shared" si="25"/>
        <v>5584698</v>
      </c>
      <c r="Y262" s="8">
        <v>-1006832</v>
      </c>
      <c r="AA262" s="8">
        <v>39096112</v>
      </c>
      <c r="AD262" s="8">
        <f t="shared" si="20"/>
        <v>0</v>
      </c>
      <c r="AF262" s="35">
        <f t="shared" si="19"/>
        <v>0</v>
      </c>
    </row>
    <row r="263" spans="1:34" hidden="1">
      <c r="A263" s="117" t="s">
        <v>948</v>
      </c>
      <c r="B263" s="12"/>
      <c r="C263" s="12" t="s">
        <v>61</v>
      </c>
      <c r="D263" s="12"/>
      <c r="E263" s="32">
        <v>49809</v>
      </c>
      <c r="G263" s="8">
        <f t="shared" si="23"/>
        <v>915516</v>
      </c>
      <c r="K263" s="8">
        <v>915516</v>
      </c>
      <c r="M263" s="8">
        <f t="shared" si="26"/>
        <v>0</v>
      </c>
      <c r="W263" s="8">
        <f t="shared" si="25"/>
        <v>161419</v>
      </c>
      <c r="Y263" s="8">
        <v>754097</v>
      </c>
      <c r="AA263" s="8">
        <v>915516</v>
      </c>
      <c r="AD263" s="8">
        <f t="shared" si="20"/>
        <v>0</v>
      </c>
      <c r="AF263" s="35">
        <f t="shared" si="19"/>
        <v>0</v>
      </c>
    </row>
    <row r="264" spans="1:34" hidden="1">
      <c r="A264" s="117" t="s">
        <v>982</v>
      </c>
      <c r="B264" s="12"/>
      <c r="C264" s="12" t="s">
        <v>38</v>
      </c>
      <c r="D264" s="12"/>
      <c r="E264" s="32"/>
      <c r="G264" s="8">
        <f t="shared" si="23"/>
        <v>12285246</v>
      </c>
      <c r="K264" s="8">
        <v>12285246</v>
      </c>
      <c r="M264" s="8">
        <f t="shared" si="26"/>
        <v>0</v>
      </c>
      <c r="W264" s="8">
        <f t="shared" si="25"/>
        <v>10323870</v>
      </c>
      <c r="Y264" s="8">
        <v>1961376</v>
      </c>
      <c r="AA264" s="8">
        <v>12285246</v>
      </c>
      <c r="AD264" s="8">
        <f>+K264-S264-AA264</f>
        <v>0</v>
      </c>
      <c r="AF264" s="35">
        <f t="shared" si="19"/>
        <v>0</v>
      </c>
      <c r="AH264" s="8" t="s">
        <v>956</v>
      </c>
    </row>
    <row r="265" spans="1:34">
      <c r="A265" s="12" t="s">
        <v>652</v>
      </c>
      <c r="B265" s="12"/>
      <c r="C265" s="12" t="s">
        <v>62</v>
      </c>
      <c r="D265" s="12"/>
      <c r="E265" s="32">
        <v>49858</v>
      </c>
      <c r="G265" s="8">
        <f t="shared" si="23"/>
        <v>60816365</v>
      </c>
      <c r="I265" s="8">
        <v>93409685</v>
      </c>
      <c r="K265" s="8">
        <v>154226050</v>
      </c>
      <c r="M265" s="8">
        <f t="shared" si="26"/>
        <v>42889369</v>
      </c>
      <c r="O265" s="8">
        <v>4830617</v>
      </c>
      <c r="Q265" s="8">
        <v>76462031</v>
      </c>
      <c r="S265" s="8">
        <v>124182017</v>
      </c>
      <c r="U265" s="8">
        <v>23326702</v>
      </c>
      <c r="W265" s="8">
        <f t="shared" si="25"/>
        <v>8001004</v>
      </c>
      <c r="Y265" s="8">
        <v>-1283673</v>
      </c>
      <c r="AA265" s="8">
        <v>30044033</v>
      </c>
      <c r="AD265" s="8">
        <f t="shared" si="20"/>
        <v>0</v>
      </c>
      <c r="AF265" s="35">
        <f t="shared" si="19"/>
        <v>0</v>
      </c>
    </row>
    <row r="266" spans="1:34">
      <c r="A266" s="12" t="s">
        <v>512</v>
      </c>
      <c r="B266" s="12"/>
      <c r="C266" s="12" t="s">
        <v>45</v>
      </c>
      <c r="D266" s="12"/>
      <c r="E266" s="32">
        <v>48322</v>
      </c>
      <c r="G266" s="8">
        <f t="shared" si="23"/>
        <v>12013771</v>
      </c>
      <c r="I266" s="8">
        <v>15773871</v>
      </c>
      <c r="K266" s="8">
        <v>27787642</v>
      </c>
      <c r="M266" s="8">
        <f t="shared" si="26"/>
        <v>6106504</v>
      </c>
      <c r="O266" s="8">
        <v>399542</v>
      </c>
      <c r="Q266" s="8">
        <v>16164840</v>
      </c>
      <c r="S266" s="8">
        <v>22670886</v>
      </c>
      <c r="U266" s="8">
        <v>1632510</v>
      </c>
      <c r="W266" s="8">
        <f t="shared" si="25"/>
        <v>1461276</v>
      </c>
      <c r="Y266" s="8">
        <v>2022970</v>
      </c>
      <c r="AA266" s="8">
        <v>5116756</v>
      </c>
      <c r="AD266" s="8">
        <f t="shared" si="20"/>
        <v>0</v>
      </c>
      <c r="AF266" s="35">
        <f t="shared" si="19"/>
        <v>0</v>
      </c>
    </row>
    <row r="267" spans="1:34">
      <c r="A267" s="12" t="s">
        <v>591</v>
      </c>
      <c r="B267" s="12"/>
      <c r="C267" s="12" t="s">
        <v>56</v>
      </c>
      <c r="D267" s="12"/>
      <c r="E267" s="32">
        <v>49205</v>
      </c>
      <c r="G267" s="8">
        <f t="shared" si="23"/>
        <v>8022972</v>
      </c>
      <c r="I267" s="8">
        <v>7640213</v>
      </c>
      <c r="K267" s="8">
        <v>15663185</v>
      </c>
      <c r="M267" s="8">
        <f t="shared" si="26"/>
        <v>5428186</v>
      </c>
      <c r="O267" s="8">
        <v>377458</v>
      </c>
      <c r="Q267" s="8">
        <v>6106204</v>
      </c>
      <c r="S267" s="8">
        <v>11911848</v>
      </c>
      <c r="U267" s="8">
        <v>2257063</v>
      </c>
      <c r="W267" s="8">
        <f t="shared" si="25"/>
        <v>502966</v>
      </c>
      <c r="Y267" s="8">
        <v>991308</v>
      </c>
      <c r="AA267" s="8">
        <v>3751337</v>
      </c>
      <c r="AD267" s="8">
        <f t="shared" si="20"/>
        <v>0</v>
      </c>
      <c r="AF267" s="35">
        <f t="shared" si="19"/>
        <v>0</v>
      </c>
    </row>
    <row r="268" spans="1:34">
      <c r="A268" s="12" t="s">
        <v>221</v>
      </c>
      <c r="B268" s="12"/>
      <c r="C268" s="12" t="s">
        <v>12</v>
      </c>
      <c r="D268" s="12"/>
      <c r="E268" s="32">
        <v>45872</v>
      </c>
      <c r="G268" s="8">
        <f t="shared" si="23"/>
        <v>29052814</v>
      </c>
      <c r="I268" s="8">
        <v>45305654</v>
      </c>
      <c r="K268" s="8">
        <v>74358468</v>
      </c>
      <c r="M268" s="8">
        <f t="shared" si="26"/>
        <v>6184332</v>
      </c>
      <c r="O268" s="8">
        <v>894100</v>
      </c>
      <c r="Q268" s="8">
        <v>22288567</v>
      </c>
      <c r="S268" s="8">
        <v>29366999</v>
      </c>
      <c r="U268" s="8">
        <v>24580259</v>
      </c>
      <c r="W268" s="8">
        <f t="shared" si="25"/>
        <v>18879683</v>
      </c>
      <c r="Y268" s="8">
        <v>1531527</v>
      </c>
      <c r="AA268" s="8">
        <v>44991469</v>
      </c>
      <c r="AD268" s="8">
        <f t="shared" si="20"/>
        <v>0</v>
      </c>
      <c r="AF268" s="35">
        <f t="shared" si="19"/>
        <v>0</v>
      </c>
      <c r="AH268" s="8" t="s">
        <v>956</v>
      </c>
    </row>
    <row r="269" spans="1:34">
      <c r="A269" s="12" t="s">
        <v>504</v>
      </c>
      <c r="B269" s="12"/>
      <c r="C269" s="12" t="s">
        <v>505</v>
      </c>
      <c r="D269" s="12"/>
      <c r="E269" s="32">
        <v>48256</v>
      </c>
      <c r="G269" s="8">
        <f t="shared" si="23"/>
        <v>13832114</v>
      </c>
      <c r="I269" s="8">
        <v>30258358</v>
      </c>
      <c r="K269" s="8">
        <v>44090472</v>
      </c>
      <c r="M269" s="8">
        <f t="shared" si="26"/>
        <v>2674207</v>
      </c>
      <c r="O269" s="8">
        <v>1842730</v>
      </c>
      <c r="Q269" s="8">
        <v>15684842</v>
      </c>
      <c r="S269" s="8">
        <v>20201779</v>
      </c>
      <c r="U269" s="8">
        <v>15324995</v>
      </c>
      <c r="W269" s="8">
        <f t="shared" si="25"/>
        <v>1920509</v>
      </c>
      <c r="Y269" s="8">
        <v>6643189</v>
      </c>
      <c r="AA269" s="8">
        <v>23888693</v>
      </c>
      <c r="AD269" s="8">
        <f t="shared" si="20"/>
        <v>0</v>
      </c>
      <c r="AF269" s="35">
        <f t="shared" si="19"/>
        <v>0</v>
      </c>
    </row>
    <row r="270" spans="1:34">
      <c r="A270" s="12" t="s">
        <v>985</v>
      </c>
      <c r="B270" s="12"/>
      <c r="C270" s="12" t="s">
        <v>50</v>
      </c>
      <c r="D270" s="12"/>
      <c r="E270" s="32">
        <v>48686</v>
      </c>
      <c r="G270" s="8">
        <f t="shared" si="23"/>
        <v>5667113</v>
      </c>
      <c r="I270" s="8">
        <v>1314412</v>
      </c>
      <c r="K270" s="8">
        <v>6981525</v>
      </c>
      <c r="M270" s="8">
        <f t="shared" si="26"/>
        <v>2927127</v>
      </c>
      <c r="O270" s="8">
        <v>784625</v>
      </c>
      <c r="Q270" s="8">
        <v>2448183</v>
      </c>
      <c r="S270" s="8">
        <v>6159935</v>
      </c>
      <c r="U270" s="8">
        <v>682412</v>
      </c>
      <c r="W270" s="8">
        <f t="shared" si="25"/>
        <v>373716</v>
      </c>
      <c r="Y270" s="8">
        <v>-234538</v>
      </c>
      <c r="AA270" s="8">
        <v>821590</v>
      </c>
      <c r="AD270" s="8">
        <f t="shared" si="20"/>
        <v>0</v>
      </c>
      <c r="AF270" s="35">
        <f t="shared" si="19"/>
        <v>0</v>
      </c>
      <c r="AH270" s="8" t="s">
        <v>956</v>
      </c>
    </row>
    <row r="271" spans="1:34" hidden="1">
      <c r="A271" s="118" t="s">
        <v>996</v>
      </c>
      <c r="B271" s="12"/>
      <c r="C271" s="12" t="s">
        <v>603</v>
      </c>
      <c r="D271" s="12"/>
      <c r="E271" s="32"/>
      <c r="G271" s="8">
        <f t="shared" si="23"/>
        <v>762895</v>
      </c>
      <c r="K271" s="8">
        <v>762895</v>
      </c>
      <c r="M271" s="8">
        <f t="shared" si="26"/>
        <v>0</v>
      </c>
      <c r="W271" s="8">
        <f t="shared" si="25"/>
        <v>468286</v>
      </c>
      <c r="Y271" s="8">
        <v>294609</v>
      </c>
      <c r="AA271" s="8">
        <v>762895</v>
      </c>
      <c r="AD271" s="8">
        <f t="shared" si="20"/>
        <v>0</v>
      </c>
      <c r="AF271" s="35">
        <f t="shared" si="19"/>
        <v>0</v>
      </c>
      <c r="AH271" s="15" t="s">
        <v>905</v>
      </c>
    </row>
    <row r="272" spans="1:34">
      <c r="A272" s="12" t="s">
        <v>474</v>
      </c>
      <c r="B272" s="12"/>
      <c r="C272" s="12" t="s">
        <v>42</v>
      </c>
      <c r="D272" s="12"/>
      <c r="E272" s="32">
        <v>47985</v>
      </c>
      <c r="G272" s="8">
        <f t="shared" si="23"/>
        <v>9638020</v>
      </c>
      <c r="I272" s="8">
        <v>2866086</v>
      </c>
      <c r="K272" s="8">
        <v>12504106</v>
      </c>
      <c r="M272" s="8">
        <f t="shared" si="26"/>
        <v>4964677</v>
      </c>
      <c r="O272" s="8">
        <v>210720</v>
      </c>
      <c r="Q272" s="8">
        <v>1327457</v>
      </c>
      <c r="S272" s="8">
        <v>6502854</v>
      </c>
      <c r="U272" s="8">
        <v>2139507</v>
      </c>
      <c r="W272" s="8">
        <f t="shared" si="25"/>
        <v>399658</v>
      </c>
      <c r="Y272" s="8">
        <v>3462087</v>
      </c>
      <c r="AA272" s="8">
        <v>6001252</v>
      </c>
      <c r="AD272" s="8">
        <f t="shared" si="20"/>
        <v>0</v>
      </c>
      <c r="AF272" s="35">
        <f t="shared" si="19"/>
        <v>0</v>
      </c>
    </row>
    <row r="273" spans="1:34">
      <c r="A273" s="12" t="s">
        <v>506</v>
      </c>
      <c r="B273" s="12"/>
      <c r="C273" s="12" t="s">
        <v>505</v>
      </c>
      <c r="D273" s="12"/>
      <c r="E273" s="32">
        <v>48264</v>
      </c>
      <c r="G273" s="8">
        <f t="shared" si="23"/>
        <v>39905871</v>
      </c>
      <c r="I273" s="8">
        <v>26489994</v>
      </c>
      <c r="K273" s="8">
        <v>66395865</v>
      </c>
      <c r="M273" s="8">
        <f t="shared" si="26"/>
        <v>6209897</v>
      </c>
      <c r="O273" s="8">
        <v>807842</v>
      </c>
      <c r="Q273" s="8">
        <v>24196037</v>
      </c>
      <c r="S273" s="8">
        <v>31213776</v>
      </c>
      <c r="U273" s="8">
        <v>3520557</v>
      </c>
      <c r="W273" s="8">
        <f t="shared" si="25"/>
        <v>30384358</v>
      </c>
      <c r="Y273" s="8">
        <v>1277174</v>
      </c>
      <c r="AA273" s="8">
        <v>35182089</v>
      </c>
      <c r="AD273" s="8">
        <f t="shared" si="20"/>
        <v>0</v>
      </c>
      <c r="AF273" s="35">
        <f t="shared" si="19"/>
        <v>0</v>
      </c>
    </row>
    <row r="274" spans="1:34" s="35" customFormat="1">
      <c r="A274" s="34" t="s">
        <v>682</v>
      </c>
      <c r="B274" s="34"/>
      <c r="C274" s="34" t="s">
        <v>64</v>
      </c>
      <c r="D274" s="34"/>
      <c r="E274" s="34">
        <v>50179</v>
      </c>
      <c r="G274" s="8">
        <f t="shared" si="23"/>
        <v>7253690</v>
      </c>
      <c r="H274" s="8"/>
      <c r="I274" s="8">
        <v>28129154</v>
      </c>
      <c r="J274" s="8"/>
      <c r="K274" s="8">
        <v>35382844</v>
      </c>
      <c r="L274" s="8"/>
      <c r="M274" s="8">
        <f t="shared" si="26"/>
        <v>3888174</v>
      </c>
      <c r="N274" s="8"/>
      <c r="O274" s="8">
        <f>662785+4592</f>
        <v>667377</v>
      </c>
      <c r="P274" s="8"/>
      <c r="Q274" s="8">
        <f>9558465+9280</f>
        <v>9567745</v>
      </c>
      <c r="R274" s="8"/>
      <c r="S274" s="8">
        <v>14123296</v>
      </c>
      <c r="T274" s="8"/>
      <c r="U274" s="8">
        <v>19669152</v>
      </c>
      <c r="V274" s="8"/>
      <c r="W274" s="8">
        <f t="shared" si="25"/>
        <v>814476</v>
      </c>
      <c r="X274" s="8"/>
      <c r="Y274" s="8">
        <v>775920</v>
      </c>
      <c r="Z274" s="8"/>
      <c r="AA274" s="8">
        <v>21259548</v>
      </c>
      <c r="AB274" s="8"/>
      <c r="AC274" s="8"/>
      <c r="AD274" s="8">
        <f t="shared" si="20"/>
        <v>0</v>
      </c>
      <c r="AF274" s="35">
        <f t="shared" si="19"/>
        <v>0</v>
      </c>
    </row>
    <row r="275" spans="1:34">
      <c r="A275" s="12" t="s">
        <v>338</v>
      </c>
      <c r="B275" s="12"/>
      <c r="C275" s="12" t="s">
        <v>24</v>
      </c>
      <c r="D275" s="12"/>
      <c r="E275" s="32">
        <v>46797</v>
      </c>
      <c r="G275" s="8">
        <f t="shared" si="23"/>
        <v>1475065</v>
      </c>
      <c r="I275" s="8">
        <v>1897626</v>
      </c>
      <c r="K275" s="8">
        <v>3372691</v>
      </c>
      <c r="M275" s="8">
        <f t="shared" si="26"/>
        <v>916358</v>
      </c>
      <c r="O275" s="8">
        <v>0</v>
      </c>
      <c r="Q275" s="8">
        <v>0</v>
      </c>
      <c r="S275" s="8">
        <v>916358</v>
      </c>
      <c r="U275" s="8">
        <v>1897626</v>
      </c>
      <c r="W275" s="8">
        <f t="shared" si="25"/>
        <v>65162</v>
      </c>
      <c r="Y275" s="8">
        <v>493545</v>
      </c>
      <c r="AA275" s="8">
        <v>2456333</v>
      </c>
      <c r="AD275" s="8">
        <f t="shared" si="20"/>
        <v>0</v>
      </c>
      <c r="AF275" s="35">
        <f t="shared" si="19"/>
        <v>0</v>
      </c>
      <c r="AH275" s="8" t="s">
        <v>951</v>
      </c>
    </row>
    <row r="276" spans="1:34">
      <c r="A276" s="12" t="s">
        <v>380</v>
      </c>
      <c r="B276" s="12"/>
      <c r="C276" s="12" t="s">
        <v>30</v>
      </c>
      <c r="D276" s="12"/>
      <c r="E276" s="32">
        <v>47191</v>
      </c>
      <c r="G276" s="8">
        <f t="shared" si="23"/>
        <v>44587363</v>
      </c>
      <c r="I276" s="8">
        <v>55439533</v>
      </c>
      <c r="K276" s="8">
        <v>100026896</v>
      </c>
      <c r="M276" s="8">
        <f t="shared" si="26"/>
        <v>24768299</v>
      </c>
      <c r="O276" s="8">
        <f>2264596+6748</f>
        <v>2271344</v>
      </c>
      <c r="Q276" s="8">
        <f>49227035+27631</f>
        <v>49254666</v>
      </c>
      <c r="S276" s="8">
        <v>76294309</v>
      </c>
      <c r="U276" s="8">
        <v>9277004</v>
      </c>
      <c r="W276" s="8">
        <f t="shared" si="25"/>
        <v>5788774</v>
      </c>
      <c r="Y276" s="8">
        <v>8666809</v>
      </c>
      <c r="AA276" s="8">
        <v>23732587</v>
      </c>
      <c r="AD276" s="8">
        <f t="shared" si="20"/>
        <v>0</v>
      </c>
      <c r="AF276" s="35">
        <f t="shared" si="19"/>
        <v>0</v>
      </c>
    </row>
    <row r="277" spans="1:34">
      <c r="A277" s="12" t="s">
        <v>592</v>
      </c>
      <c r="B277" s="12"/>
      <c r="C277" s="12" t="s">
        <v>56</v>
      </c>
      <c r="D277" s="12"/>
      <c r="E277" s="32">
        <v>44164</v>
      </c>
      <c r="G277" s="8">
        <f t="shared" si="23"/>
        <v>44670744</v>
      </c>
      <c r="I277" s="8">
        <v>27895085</v>
      </c>
      <c r="K277" s="8">
        <v>72565829</v>
      </c>
      <c r="M277" s="8">
        <f t="shared" si="26"/>
        <v>23863214</v>
      </c>
      <c r="O277" s="8">
        <v>2111570</v>
      </c>
      <c r="Q277" s="8">
        <v>31073878</v>
      </c>
      <c r="S277" s="8">
        <v>57048662</v>
      </c>
      <c r="U277" s="8">
        <v>11774985</v>
      </c>
      <c r="W277" s="8">
        <f t="shared" si="25"/>
        <v>2147317</v>
      </c>
      <c r="Y277" s="8">
        <v>1594865</v>
      </c>
      <c r="AA277" s="8">
        <v>15517167</v>
      </c>
      <c r="AD277" s="8">
        <f t="shared" si="20"/>
        <v>0</v>
      </c>
      <c r="AF277" s="35">
        <f t="shared" si="19"/>
        <v>0</v>
      </c>
    </row>
    <row r="278" spans="1:34">
      <c r="A278" s="12" t="s">
        <v>423</v>
      </c>
      <c r="B278" s="12"/>
      <c r="C278" s="12" t="s">
        <v>421</v>
      </c>
      <c r="D278" s="12"/>
      <c r="E278" s="32">
        <v>44172</v>
      </c>
      <c r="G278" s="8">
        <f t="shared" si="23"/>
        <v>8316703</v>
      </c>
      <c r="I278" s="8">
        <v>3063443</v>
      </c>
      <c r="K278" s="8">
        <v>11380146</v>
      </c>
      <c r="M278" s="8">
        <f t="shared" si="26"/>
        <v>5256925</v>
      </c>
      <c r="O278" s="8">
        <v>164437</v>
      </c>
      <c r="Q278" s="8">
        <v>1116680</v>
      </c>
      <c r="S278" s="8">
        <v>6538042</v>
      </c>
      <c r="U278" s="8">
        <v>3063443</v>
      </c>
      <c r="W278" s="8">
        <f t="shared" si="25"/>
        <v>260884</v>
      </c>
      <c r="Y278" s="8">
        <v>1517777</v>
      </c>
      <c r="AA278" s="8">
        <v>4842104</v>
      </c>
      <c r="AD278" s="8">
        <f t="shared" si="20"/>
        <v>0</v>
      </c>
      <c r="AF278" s="35">
        <f t="shared" si="19"/>
        <v>0</v>
      </c>
    </row>
    <row r="279" spans="1:34">
      <c r="A279" s="12" t="s">
        <v>549</v>
      </c>
      <c r="B279" s="12"/>
      <c r="C279" s="12" t="s">
        <v>50</v>
      </c>
      <c r="D279" s="12"/>
      <c r="E279" s="32">
        <v>44180</v>
      </c>
      <c r="F279" s="11"/>
      <c r="G279" s="8">
        <f t="shared" si="23"/>
        <v>78985069</v>
      </c>
      <c r="I279" s="8">
        <v>115855044</v>
      </c>
      <c r="K279" s="8">
        <v>194840113</v>
      </c>
      <c r="M279" s="8">
        <f t="shared" si="26"/>
        <v>55609696</v>
      </c>
      <c r="O279" s="8">
        <v>4482047</v>
      </c>
      <c r="Q279" s="8">
        <v>111257681</v>
      </c>
      <c r="S279" s="8">
        <v>171349424</v>
      </c>
      <c r="U279" s="8">
        <v>14593555</v>
      </c>
      <c r="W279" s="8">
        <f t="shared" si="25"/>
        <v>2882646</v>
      </c>
      <c r="Y279" s="8">
        <v>6014488</v>
      </c>
      <c r="AA279" s="8">
        <v>23490689</v>
      </c>
      <c r="AD279" s="8">
        <f t="shared" si="20"/>
        <v>0</v>
      </c>
      <c r="AF279" s="35">
        <f t="shared" si="19"/>
        <v>0</v>
      </c>
    </row>
    <row r="280" spans="1:34">
      <c r="A280" s="12" t="s">
        <v>881</v>
      </c>
      <c r="B280" s="12"/>
      <c r="C280" s="12" t="s">
        <v>44</v>
      </c>
      <c r="D280" s="12"/>
      <c r="E280" s="32">
        <v>48165</v>
      </c>
      <c r="G280" s="8">
        <f t="shared" si="23"/>
        <v>15353433</v>
      </c>
      <c r="I280" s="8">
        <v>19467575</v>
      </c>
      <c r="K280" s="8">
        <v>34821008</v>
      </c>
      <c r="M280" s="8">
        <f t="shared" si="26"/>
        <v>6648297</v>
      </c>
      <c r="O280" s="8">
        <v>931153</v>
      </c>
      <c r="Q280" s="8">
        <v>16991291</v>
      </c>
      <c r="S280" s="8">
        <v>24570741</v>
      </c>
      <c r="U280" s="8">
        <v>3597575</v>
      </c>
      <c r="W280" s="8">
        <f t="shared" si="25"/>
        <v>2640004</v>
      </c>
      <c r="Y280" s="8">
        <v>4012688</v>
      </c>
      <c r="AA280" s="8">
        <v>10250267</v>
      </c>
      <c r="AD280" s="8">
        <f t="shared" si="20"/>
        <v>0</v>
      </c>
      <c r="AF280" s="35">
        <f t="shared" si="19"/>
        <v>0</v>
      </c>
    </row>
    <row r="281" spans="1:34">
      <c r="A281" s="12" t="s">
        <v>1069</v>
      </c>
      <c r="B281" s="12"/>
      <c r="C281" s="12" t="s">
        <v>69</v>
      </c>
      <c r="D281" s="12"/>
      <c r="E281" s="32">
        <v>50435</v>
      </c>
      <c r="G281" s="8">
        <f t="shared" si="23"/>
        <v>49709764</v>
      </c>
      <c r="I281" s="8">
        <v>53752955</v>
      </c>
      <c r="K281" s="8">
        <v>103462719</v>
      </c>
      <c r="M281" s="8">
        <f t="shared" si="26"/>
        <v>25598160</v>
      </c>
      <c r="O281" s="8">
        <f>2731181+14200</f>
        <v>2745381</v>
      </c>
      <c r="Q281" s="8">
        <f>63608163+142005</f>
        <v>63750168</v>
      </c>
      <c r="S281" s="8">
        <v>92093709</v>
      </c>
      <c r="U281" s="8">
        <v>343023</v>
      </c>
      <c r="W281" s="8">
        <f t="shared" si="25"/>
        <v>4141341</v>
      </c>
      <c r="Y281" s="8">
        <v>6884646</v>
      </c>
      <c r="AA281" s="8">
        <v>11369010</v>
      </c>
      <c r="AD281" s="8">
        <f t="shared" si="20"/>
        <v>0</v>
      </c>
      <c r="AF281" s="35">
        <f t="shared" si="19"/>
        <v>0</v>
      </c>
      <c r="AH281" s="15" t="s">
        <v>905</v>
      </c>
    </row>
    <row r="282" spans="1:34" hidden="1">
      <c r="A282" s="117" t="s">
        <v>1021</v>
      </c>
      <c r="B282" s="12"/>
      <c r="C282" s="12" t="s">
        <v>41</v>
      </c>
      <c r="D282" s="12"/>
      <c r="E282" s="32">
        <v>47878</v>
      </c>
      <c r="G282" s="8">
        <f t="shared" si="23"/>
        <v>12227562</v>
      </c>
      <c r="K282" s="8">
        <v>12227562</v>
      </c>
      <c r="M282" s="8">
        <f t="shared" si="26"/>
        <v>0</v>
      </c>
      <c r="W282" s="8">
        <f t="shared" si="25"/>
        <v>3208846</v>
      </c>
      <c r="Y282" s="8">
        <v>9018716</v>
      </c>
      <c r="AA282" s="8">
        <v>12227562</v>
      </c>
      <c r="AD282" s="8">
        <f t="shared" si="20"/>
        <v>0</v>
      </c>
      <c r="AF282" s="35">
        <f t="shared" si="19"/>
        <v>0</v>
      </c>
      <c r="AH282" s="15"/>
    </row>
    <row r="283" spans="1:34">
      <c r="A283" s="12" t="s">
        <v>683</v>
      </c>
      <c r="B283" s="12"/>
      <c r="C283" s="12" t="s">
        <v>64</v>
      </c>
      <c r="D283" s="12"/>
      <c r="E283" s="32">
        <v>50245</v>
      </c>
      <c r="G283" s="8">
        <f t="shared" si="23"/>
        <v>11324734</v>
      </c>
      <c r="I283" s="8">
        <v>25155164</v>
      </c>
      <c r="K283" s="8">
        <v>36479898</v>
      </c>
      <c r="M283" s="8">
        <f t="shared" si="26"/>
        <v>4382385</v>
      </c>
      <c r="O283" s="8">
        <v>633564</v>
      </c>
      <c r="Q283" s="8">
        <v>9778775</v>
      </c>
      <c r="S283" s="8">
        <v>14794724</v>
      </c>
      <c r="U283" s="8">
        <v>16437420</v>
      </c>
      <c r="W283" s="8">
        <f t="shared" si="25"/>
        <v>4290578</v>
      </c>
      <c r="Y283" s="8">
        <v>957176</v>
      </c>
      <c r="AA283" s="8">
        <v>21685174</v>
      </c>
      <c r="AD283" s="8">
        <f t="shared" si="20"/>
        <v>0</v>
      </c>
      <c r="AF283" s="35">
        <f t="shared" si="19"/>
        <v>0</v>
      </c>
    </row>
    <row r="284" spans="1:34">
      <c r="A284" s="12" t="s">
        <v>653</v>
      </c>
      <c r="B284" s="12"/>
      <c r="C284" s="12" t="s">
        <v>62</v>
      </c>
      <c r="D284" s="12"/>
      <c r="E284" s="32">
        <v>49866</v>
      </c>
      <c r="G284" s="8">
        <f t="shared" si="23"/>
        <v>25533667</v>
      </c>
      <c r="I284" s="8">
        <v>36367111</v>
      </c>
      <c r="K284" s="8">
        <v>61900778</v>
      </c>
      <c r="M284" s="8">
        <f t="shared" si="26"/>
        <v>16480039</v>
      </c>
      <c r="O284" s="8">
        <f>1312065+2743</f>
        <v>1314808</v>
      </c>
      <c r="Q284" s="8">
        <f>26602730+15451</f>
        <v>26618181</v>
      </c>
      <c r="S284" s="8">
        <v>44413028</v>
      </c>
      <c r="U284" s="8">
        <v>12628083</v>
      </c>
      <c r="W284" s="8">
        <f t="shared" si="25"/>
        <v>1655207</v>
      </c>
      <c r="Y284" s="8">
        <v>3204460</v>
      </c>
      <c r="AA284" s="8">
        <v>17487750</v>
      </c>
      <c r="AD284" s="8">
        <f t="shared" si="20"/>
        <v>0</v>
      </c>
      <c r="AF284" s="35">
        <f t="shared" si="19"/>
        <v>0</v>
      </c>
    </row>
    <row r="285" spans="1:34">
      <c r="A285" s="12" t="s">
        <v>653</v>
      </c>
      <c r="B285" s="12"/>
      <c r="C285" s="12" t="s">
        <v>72</v>
      </c>
      <c r="D285" s="12"/>
      <c r="E285" s="32">
        <v>50690</v>
      </c>
      <c r="G285" s="8">
        <f t="shared" si="23"/>
        <v>13992000</v>
      </c>
      <c r="I285" s="8">
        <v>16733000</v>
      </c>
      <c r="K285" s="8">
        <v>30725000</v>
      </c>
      <c r="M285" s="8">
        <f t="shared" si="26"/>
        <v>8585403</v>
      </c>
      <c r="O285" s="8">
        <v>929499</v>
      </c>
      <c r="Q285" s="8">
        <v>14873098</v>
      </c>
      <c r="S285" s="8">
        <v>24388000</v>
      </c>
      <c r="U285" s="8">
        <v>2924000</v>
      </c>
      <c r="W285" s="8">
        <f t="shared" si="25"/>
        <v>1459000</v>
      </c>
      <c r="Y285" s="8">
        <v>1954000</v>
      </c>
      <c r="AA285" s="8">
        <v>6337000</v>
      </c>
      <c r="AD285" s="8">
        <f t="shared" si="20"/>
        <v>0</v>
      </c>
      <c r="AF285" s="35">
        <f t="shared" si="19"/>
        <v>0</v>
      </c>
      <c r="AH285" s="8" t="s">
        <v>952</v>
      </c>
    </row>
    <row r="286" spans="1:34">
      <c r="A286" s="12" t="s">
        <v>684</v>
      </c>
      <c r="B286" s="12"/>
      <c r="C286" s="12" t="s">
        <v>64</v>
      </c>
      <c r="D286" s="12"/>
      <c r="E286" s="32">
        <v>50187</v>
      </c>
      <c r="G286" s="8">
        <f t="shared" si="23"/>
        <v>9363191</v>
      </c>
      <c r="I286" s="8">
        <v>7199611</v>
      </c>
      <c r="K286" s="8">
        <v>16562802</v>
      </c>
      <c r="M286" s="8">
        <f t="shared" si="26"/>
        <v>8919268</v>
      </c>
      <c r="O286" s="8">
        <v>318552</v>
      </c>
      <c r="Q286" s="8">
        <v>6363621</v>
      </c>
      <c r="S286" s="8">
        <v>15601441</v>
      </c>
      <c r="U286" s="8">
        <v>3743219</v>
      </c>
      <c r="W286" s="8">
        <f t="shared" si="25"/>
        <v>768927</v>
      </c>
      <c r="Y286" s="8">
        <v>-3550785</v>
      </c>
      <c r="AA286" s="8">
        <v>961361</v>
      </c>
      <c r="AD286" s="8">
        <f t="shared" si="20"/>
        <v>0</v>
      </c>
      <c r="AF286" s="35">
        <f t="shared" si="19"/>
        <v>0</v>
      </c>
    </row>
    <row r="287" spans="1:34">
      <c r="A287" s="12"/>
      <c r="B287" s="12"/>
      <c r="C287" s="12"/>
      <c r="D287" s="12"/>
      <c r="E287" s="32"/>
      <c r="AF287" s="35"/>
    </row>
    <row r="288" spans="1:34">
      <c r="A288" s="12"/>
      <c r="B288" s="12"/>
      <c r="C288" s="12"/>
      <c r="D288" s="12"/>
      <c r="E288" s="32"/>
      <c r="AA288" s="8" t="s">
        <v>805</v>
      </c>
      <c r="AF288" s="35"/>
    </row>
    <row r="289" spans="1:34">
      <c r="A289" s="12"/>
      <c r="B289" s="12"/>
      <c r="C289" s="12"/>
      <c r="D289" s="12"/>
      <c r="E289" s="32"/>
      <c r="AF289" s="35"/>
    </row>
    <row r="290" spans="1:34">
      <c r="A290" s="12" t="s">
        <v>310</v>
      </c>
      <c r="B290" s="12"/>
      <c r="C290" s="12" t="s">
        <v>20</v>
      </c>
      <c r="D290" s="12"/>
      <c r="E290" s="32">
        <v>44198</v>
      </c>
      <c r="G290" s="35">
        <f>+K290-I290</f>
        <v>78373539</v>
      </c>
      <c r="H290" s="35"/>
      <c r="I290" s="35">
        <v>135092615</v>
      </c>
      <c r="J290" s="35"/>
      <c r="K290" s="35">
        <v>213466154</v>
      </c>
      <c r="L290" s="35"/>
      <c r="M290" s="35">
        <f t="shared" si="26"/>
        <v>44662625</v>
      </c>
      <c r="N290" s="35"/>
      <c r="O290" s="35">
        <f>9031+5049750</f>
        <v>5058781</v>
      </c>
      <c r="P290" s="35"/>
      <c r="Q290" s="35">
        <f>140043579+153398</f>
        <v>140196977</v>
      </c>
      <c r="R290" s="35"/>
      <c r="S290" s="35">
        <v>189918383</v>
      </c>
      <c r="T290" s="35"/>
      <c r="U290" s="35">
        <v>20873806</v>
      </c>
      <c r="V290" s="35"/>
      <c r="W290" s="35">
        <f t="shared" si="25"/>
        <v>6687958</v>
      </c>
      <c r="X290" s="35"/>
      <c r="Y290" s="35">
        <v>-4013993</v>
      </c>
      <c r="Z290" s="35"/>
      <c r="AA290" s="35">
        <v>23547771</v>
      </c>
      <c r="AD290" s="8">
        <f t="shared" si="20"/>
        <v>0</v>
      </c>
      <c r="AF290" s="35">
        <f t="shared" si="19"/>
        <v>0</v>
      </c>
    </row>
    <row r="291" spans="1:34">
      <c r="A291" s="12" t="s">
        <v>864</v>
      </c>
      <c r="B291" s="12"/>
      <c r="C291" s="12" t="s">
        <v>42</v>
      </c>
      <c r="D291" s="12"/>
      <c r="E291" s="32">
        <v>47993</v>
      </c>
      <c r="G291" s="8">
        <f t="shared" si="23"/>
        <v>18344165</v>
      </c>
      <c r="I291" s="8">
        <v>15712112</v>
      </c>
      <c r="K291" s="8">
        <v>34056277</v>
      </c>
      <c r="M291" s="8">
        <f t="shared" si="26"/>
        <v>10884285</v>
      </c>
      <c r="O291" s="8">
        <v>761240</v>
      </c>
      <c r="Q291" s="8">
        <v>14254958</v>
      </c>
      <c r="S291" s="8">
        <v>25900483</v>
      </c>
      <c r="U291" s="8">
        <v>2997378</v>
      </c>
      <c r="W291" s="8">
        <f t="shared" si="25"/>
        <v>815539</v>
      </c>
      <c r="Y291" s="8">
        <v>4342877</v>
      </c>
      <c r="AA291" s="8">
        <v>8155794</v>
      </c>
      <c r="AD291" s="8">
        <f t="shared" si="20"/>
        <v>0</v>
      </c>
      <c r="AF291" s="35">
        <f t="shared" si="19"/>
        <v>0</v>
      </c>
    </row>
    <row r="292" spans="1:34">
      <c r="A292" s="12" t="s">
        <v>245</v>
      </c>
      <c r="B292" s="12"/>
      <c r="C292" s="12" t="s">
        <v>242</v>
      </c>
      <c r="D292" s="12"/>
      <c r="E292" s="32">
        <v>46110</v>
      </c>
      <c r="G292" s="8">
        <f t="shared" si="23"/>
        <v>159314351</v>
      </c>
      <c r="I292" s="8">
        <v>197283135</v>
      </c>
      <c r="K292" s="8">
        <v>356597486</v>
      </c>
      <c r="M292" s="8">
        <f t="shared" si="26"/>
        <v>107661132</v>
      </c>
      <c r="O292" s="8">
        <f>6729820+14344</f>
        <v>6744164</v>
      </c>
      <c r="Q292" s="8">
        <f>177318862+58793</f>
        <v>177377655</v>
      </c>
      <c r="S292" s="8">
        <v>291782951</v>
      </c>
      <c r="U292" s="8">
        <v>32506569</v>
      </c>
      <c r="W292" s="8">
        <f t="shared" si="25"/>
        <v>8416967</v>
      </c>
      <c r="Y292" s="8">
        <v>23890999</v>
      </c>
      <c r="AA292" s="8">
        <v>64814535</v>
      </c>
      <c r="AD292" s="8">
        <f t="shared" si="20"/>
        <v>0</v>
      </c>
      <c r="AF292" s="35">
        <f t="shared" si="19"/>
        <v>0</v>
      </c>
    </row>
    <row r="293" spans="1:34">
      <c r="A293" s="12" t="s">
        <v>986</v>
      </c>
      <c r="B293" s="12"/>
      <c r="C293" s="12" t="s">
        <v>79</v>
      </c>
      <c r="D293" s="12"/>
      <c r="E293" s="32">
        <v>49569</v>
      </c>
      <c r="G293" s="8">
        <f>+K293-I293</f>
        <v>40884443</v>
      </c>
      <c r="I293" s="8">
        <v>3630074</v>
      </c>
      <c r="K293" s="8">
        <v>44514517</v>
      </c>
      <c r="M293" s="8">
        <f t="shared" si="26"/>
        <v>4682046</v>
      </c>
      <c r="O293" s="8">
        <v>539472</v>
      </c>
      <c r="Q293" s="8">
        <v>20193019</v>
      </c>
      <c r="S293" s="8">
        <v>25414537</v>
      </c>
      <c r="U293" s="8">
        <v>2722844</v>
      </c>
      <c r="W293" s="8">
        <f t="shared" si="25"/>
        <v>16502200</v>
      </c>
      <c r="Y293" s="8">
        <v>-125064</v>
      </c>
      <c r="AA293" s="8">
        <v>19099980</v>
      </c>
      <c r="AD293" s="8">
        <f t="shared" si="20"/>
        <v>0</v>
      </c>
      <c r="AF293" s="35">
        <f t="shared" si="19"/>
        <v>0</v>
      </c>
      <c r="AH293" s="8" t="s">
        <v>956</v>
      </c>
    </row>
    <row r="294" spans="1:34">
      <c r="A294" s="12" t="s">
        <v>347</v>
      </c>
      <c r="B294" s="12"/>
      <c r="C294" s="12" t="s">
        <v>25</v>
      </c>
      <c r="D294" s="12"/>
      <c r="E294" s="32">
        <v>44206</v>
      </c>
      <c r="G294" s="8">
        <f t="shared" si="23"/>
        <v>57931520</v>
      </c>
      <c r="I294" s="8">
        <v>8736629</v>
      </c>
      <c r="K294" s="8">
        <v>66668149</v>
      </c>
      <c r="M294" s="8">
        <f t="shared" si="26"/>
        <v>25887390</v>
      </c>
      <c r="O294" s="8">
        <v>468186</v>
      </c>
      <c r="Q294" s="8">
        <v>3469321</v>
      </c>
      <c r="S294" s="8">
        <v>29824897</v>
      </c>
      <c r="U294" s="8">
        <v>8736629</v>
      </c>
      <c r="W294" s="8">
        <f t="shared" si="25"/>
        <v>1636671</v>
      </c>
      <c r="Y294" s="8">
        <v>26469952</v>
      </c>
      <c r="AA294" s="8">
        <v>36843252</v>
      </c>
      <c r="AD294" s="8">
        <f t="shared" si="20"/>
        <v>0</v>
      </c>
      <c r="AF294" s="35">
        <f t="shared" ref="AF294:AF320" si="27">+G294+I294+-M294-O294-U294-W294-Y294-Q294</f>
        <v>0</v>
      </c>
    </row>
    <row r="295" spans="1:34" hidden="1">
      <c r="A295" s="77" t="s">
        <v>954</v>
      </c>
      <c r="B295" s="12"/>
      <c r="C295" s="12" t="s">
        <v>69</v>
      </c>
      <c r="D295" s="12"/>
      <c r="E295" s="32">
        <v>44214</v>
      </c>
      <c r="G295" s="8">
        <f t="shared" ref="G295:G309" si="28">+K295-I295</f>
        <v>11892549</v>
      </c>
      <c r="K295" s="8">
        <v>11892549</v>
      </c>
      <c r="M295" s="8">
        <f t="shared" si="26"/>
        <v>0</v>
      </c>
      <c r="W295" s="8">
        <f t="shared" si="25"/>
        <v>3611147</v>
      </c>
      <c r="Y295" s="8">
        <v>8281402</v>
      </c>
      <c r="AA295" s="8">
        <v>11892549</v>
      </c>
      <c r="AD295" s="8">
        <f t="shared" si="20"/>
        <v>0</v>
      </c>
      <c r="AF295" s="35">
        <f t="shared" si="27"/>
        <v>0</v>
      </c>
      <c r="AH295" s="15" t="s">
        <v>905</v>
      </c>
    </row>
    <row r="296" spans="1:34">
      <c r="A296" s="12" t="s">
        <v>381</v>
      </c>
      <c r="B296" s="12"/>
      <c r="C296" s="12" t="s">
        <v>30</v>
      </c>
      <c r="D296" s="12"/>
      <c r="E296" s="32">
        <v>47209</v>
      </c>
      <c r="F296" s="11"/>
      <c r="G296" s="8">
        <f t="shared" si="23"/>
        <v>2871975</v>
      </c>
      <c r="I296" s="8">
        <v>1307417</v>
      </c>
      <c r="K296" s="8">
        <v>4179392</v>
      </c>
      <c r="M296" s="8">
        <f t="shared" si="26"/>
        <v>2213385</v>
      </c>
      <c r="O296" s="8">
        <v>27240</v>
      </c>
      <c r="Q296" s="8">
        <v>374237</v>
      </c>
      <c r="S296" s="8">
        <v>2614862</v>
      </c>
      <c r="U296" s="8">
        <v>1307417</v>
      </c>
      <c r="W296" s="8">
        <f t="shared" si="25"/>
        <v>1439070</v>
      </c>
      <c r="Y296" s="8">
        <v>-1181957</v>
      </c>
      <c r="AA296" s="8">
        <v>1564530</v>
      </c>
      <c r="AD296" s="8">
        <f t="shared" si="20"/>
        <v>0</v>
      </c>
      <c r="AF296" s="35">
        <f t="shared" si="27"/>
        <v>0</v>
      </c>
    </row>
    <row r="297" spans="1:34" hidden="1">
      <c r="A297" s="117" t="s">
        <v>987</v>
      </c>
      <c r="B297" s="12"/>
      <c r="C297" s="12" t="s">
        <v>603</v>
      </c>
      <c r="D297" s="12"/>
      <c r="E297" s="32">
        <v>49353</v>
      </c>
      <c r="G297" s="8">
        <f t="shared" si="28"/>
        <v>8255376</v>
      </c>
      <c r="K297" s="8">
        <v>8255376</v>
      </c>
      <c r="M297" s="8">
        <f t="shared" si="26"/>
        <v>0</v>
      </c>
      <c r="W297" s="8">
        <f t="shared" si="25"/>
        <v>6570977</v>
      </c>
      <c r="Y297" s="8">
        <v>1684399</v>
      </c>
      <c r="AA297" s="8">
        <v>8255376</v>
      </c>
      <c r="AD297" s="8">
        <f t="shared" si="20"/>
        <v>0</v>
      </c>
      <c r="AF297" s="35">
        <f t="shared" si="27"/>
        <v>0</v>
      </c>
    </row>
    <row r="298" spans="1:34">
      <c r="A298" s="12" t="s">
        <v>610</v>
      </c>
      <c r="B298" s="12"/>
      <c r="C298" s="12" t="s">
        <v>112</v>
      </c>
      <c r="D298" s="12"/>
      <c r="E298" s="32">
        <v>49437</v>
      </c>
      <c r="G298" s="8">
        <f t="shared" si="28"/>
        <v>13065570</v>
      </c>
      <c r="I298" s="8">
        <v>5711347</v>
      </c>
      <c r="K298" s="8">
        <v>18776917</v>
      </c>
      <c r="M298" s="8">
        <f t="shared" si="26"/>
        <v>10094262</v>
      </c>
      <c r="O298" s="8">
        <v>444372</v>
      </c>
      <c r="Q298" s="8">
        <v>2372366</v>
      </c>
      <c r="S298" s="8">
        <v>12911000</v>
      </c>
      <c r="U298" s="8">
        <v>5349347</v>
      </c>
      <c r="W298" s="8">
        <f t="shared" si="25"/>
        <v>152816</v>
      </c>
      <c r="Y298" s="8">
        <v>363754</v>
      </c>
      <c r="AA298" s="8">
        <v>5865917</v>
      </c>
      <c r="AD298" s="8">
        <f t="shared" ref="AD298:AD320" si="29">+K298-S298-AA298</f>
        <v>0</v>
      </c>
      <c r="AF298" s="35">
        <f t="shared" si="27"/>
        <v>0</v>
      </c>
    </row>
    <row r="299" spans="1:34">
      <c r="A299" s="12" t="s">
        <v>431</v>
      </c>
      <c r="B299" s="12"/>
      <c r="C299" s="12" t="s">
        <v>34</v>
      </c>
      <c r="D299" s="12"/>
      <c r="E299" s="32">
        <v>47589</v>
      </c>
      <c r="G299" s="8">
        <f t="shared" si="28"/>
        <v>10260649</v>
      </c>
      <c r="I299" s="8">
        <v>7174932</v>
      </c>
      <c r="K299" s="8">
        <v>17435581</v>
      </c>
      <c r="M299" s="8">
        <f t="shared" si="26"/>
        <v>5426344</v>
      </c>
      <c r="O299" s="8">
        <v>304585</v>
      </c>
      <c r="Q299" s="8">
        <v>2640604</v>
      </c>
      <c r="S299" s="8">
        <v>8371533</v>
      </c>
      <c r="U299" s="8">
        <v>5126329</v>
      </c>
      <c r="W299" s="8">
        <f t="shared" si="25"/>
        <v>721441</v>
      </c>
      <c r="Y299" s="8">
        <v>3216278</v>
      </c>
      <c r="AA299" s="8">
        <v>9064048</v>
      </c>
      <c r="AD299" s="8">
        <f t="shared" si="29"/>
        <v>0</v>
      </c>
      <c r="AF299" s="35">
        <f t="shared" si="27"/>
        <v>0</v>
      </c>
    </row>
    <row r="300" spans="1:34">
      <c r="A300" s="12" t="s">
        <v>685</v>
      </c>
      <c r="B300" s="12"/>
      <c r="C300" s="12" t="s">
        <v>64</v>
      </c>
      <c r="D300" s="12"/>
      <c r="E300" s="32">
        <v>50195</v>
      </c>
      <c r="G300" s="8">
        <f t="shared" si="28"/>
        <v>13264257</v>
      </c>
      <c r="I300" s="8">
        <v>11480446</v>
      </c>
      <c r="K300" s="8">
        <v>24744703</v>
      </c>
      <c r="M300" s="8">
        <f t="shared" si="26"/>
        <v>12424820</v>
      </c>
      <c r="O300" s="8">
        <v>966237</v>
      </c>
      <c r="Q300" s="8">
        <v>9937776</v>
      </c>
      <c r="S300" s="8">
        <v>23328833</v>
      </c>
      <c r="U300" s="8">
        <v>4345476</v>
      </c>
      <c r="W300" s="8">
        <f t="shared" si="25"/>
        <v>1581988</v>
      </c>
      <c r="Y300" s="8">
        <v>-4511594</v>
      </c>
      <c r="AA300" s="8">
        <v>1415870</v>
      </c>
      <c r="AD300" s="8">
        <f t="shared" si="29"/>
        <v>0</v>
      </c>
      <c r="AF300" s="35">
        <f t="shared" si="27"/>
        <v>0</v>
      </c>
    </row>
    <row r="301" spans="1:34">
      <c r="A301" s="12" t="s">
        <v>869</v>
      </c>
      <c r="B301" s="12"/>
      <c r="C301" s="12" t="s">
        <v>25</v>
      </c>
      <c r="D301" s="12"/>
      <c r="E301" s="32">
        <v>46888</v>
      </c>
      <c r="G301" s="8">
        <f t="shared" si="28"/>
        <v>36972822</v>
      </c>
      <c r="I301" s="8">
        <v>8356690</v>
      </c>
      <c r="K301" s="8">
        <v>45329512</v>
      </c>
      <c r="M301" s="8">
        <f t="shared" si="26"/>
        <v>4571829</v>
      </c>
      <c r="O301" s="8">
        <v>729599</v>
      </c>
      <c r="Q301" s="8">
        <v>13676599</v>
      </c>
      <c r="S301" s="8">
        <v>18978027</v>
      </c>
      <c r="U301" s="8">
        <v>1735228</v>
      </c>
      <c r="W301" s="8">
        <f t="shared" si="25"/>
        <v>20088042</v>
      </c>
      <c r="Y301" s="8">
        <v>4528215</v>
      </c>
      <c r="AA301" s="8">
        <v>26351485</v>
      </c>
      <c r="AD301" s="8">
        <f t="shared" si="29"/>
        <v>0</v>
      </c>
      <c r="AF301" s="35">
        <f t="shared" si="27"/>
        <v>0</v>
      </c>
    </row>
    <row r="302" spans="1:34">
      <c r="A302" s="12" t="s">
        <v>417</v>
      </c>
      <c r="B302" s="12"/>
      <c r="C302" s="12" t="s">
        <v>33</v>
      </c>
      <c r="D302" s="12"/>
      <c r="E302" s="32">
        <v>47449</v>
      </c>
      <c r="G302" s="8">
        <f t="shared" si="28"/>
        <v>10402033</v>
      </c>
      <c r="I302" s="8">
        <v>10755737</v>
      </c>
      <c r="K302" s="8">
        <v>21157770</v>
      </c>
      <c r="M302" s="8">
        <f t="shared" si="26"/>
        <v>5131935</v>
      </c>
      <c r="O302" s="8">
        <v>157089</v>
      </c>
      <c r="Q302" s="8">
        <v>4832172</v>
      </c>
      <c r="S302" s="8">
        <v>10121196</v>
      </c>
      <c r="U302" s="8">
        <v>8742310</v>
      </c>
      <c r="W302" s="8">
        <f t="shared" si="25"/>
        <v>750420</v>
      </c>
      <c r="Y302" s="8">
        <v>1543844</v>
      </c>
      <c r="AA302" s="8">
        <v>11036574</v>
      </c>
      <c r="AD302" s="8">
        <f t="shared" si="29"/>
        <v>0</v>
      </c>
      <c r="AF302" s="35">
        <f t="shared" si="27"/>
        <v>0</v>
      </c>
    </row>
    <row r="303" spans="1:34">
      <c r="A303" s="12" t="s">
        <v>476</v>
      </c>
      <c r="B303" s="12"/>
      <c r="C303" s="12" t="s">
        <v>42</v>
      </c>
      <c r="D303" s="12"/>
      <c r="E303" s="32">
        <v>48009</v>
      </c>
      <c r="G303" s="8">
        <f t="shared" si="28"/>
        <v>42976897</v>
      </c>
      <c r="I303" s="8">
        <v>60324375</v>
      </c>
      <c r="K303" s="8">
        <v>103301272</v>
      </c>
      <c r="M303" s="8">
        <f t="shared" si="26"/>
        <v>14140389</v>
      </c>
      <c r="O303" s="8">
        <v>2351504</v>
      </c>
      <c r="Q303" s="8">
        <v>61851917</v>
      </c>
      <c r="S303" s="8">
        <v>78343810</v>
      </c>
      <c r="U303" s="8">
        <v>3057501</v>
      </c>
      <c r="W303" s="8">
        <f>AA303-Y303-U303</f>
        <v>4591352</v>
      </c>
      <c r="Y303" s="8">
        <v>17308609</v>
      </c>
      <c r="AA303" s="8">
        <v>24957462</v>
      </c>
      <c r="AD303" s="8">
        <f t="shared" si="29"/>
        <v>0</v>
      </c>
      <c r="AF303" s="35">
        <f t="shared" si="27"/>
        <v>0</v>
      </c>
    </row>
    <row r="304" spans="1:34">
      <c r="A304" s="12" t="s">
        <v>477</v>
      </c>
      <c r="B304" s="12"/>
      <c r="C304" s="12" t="s">
        <v>42</v>
      </c>
      <c r="D304" s="12"/>
      <c r="E304" s="32">
        <v>48017</v>
      </c>
      <c r="G304" s="8">
        <f t="shared" si="28"/>
        <v>13033131</v>
      </c>
      <c r="I304" s="8">
        <v>41362862</v>
      </c>
      <c r="K304" s="8">
        <v>54395993</v>
      </c>
      <c r="M304" s="8">
        <f t="shared" si="26"/>
        <v>5366680</v>
      </c>
      <c r="O304" s="8">
        <v>895426</v>
      </c>
      <c r="Q304" s="8">
        <v>15846210</v>
      </c>
      <c r="S304" s="8">
        <v>22108316</v>
      </c>
      <c r="U304" s="8">
        <v>26933128</v>
      </c>
      <c r="W304" s="8">
        <f>AA304-Y304-U304</f>
        <v>1635991</v>
      </c>
      <c r="Y304" s="8">
        <v>3718558</v>
      </c>
      <c r="AA304" s="8">
        <v>32287677</v>
      </c>
      <c r="AD304" s="8">
        <f t="shared" si="29"/>
        <v>0</v>
      </c>
      <c r="AF304" s="35">
        <f t="shared" si="27"/>
        <v>0</v>
      </c>
    </row>
    <row r="305" spans="1:34" hidden="1">
      <c r="A305" s="108" t="s">
        <v>989</v>
      </c>
      <c r="B305" s="13"/>
      <c r="C305" s="13" t="s">
        <v>10</v>
      </c>
      <c r="D305" s="12"/>
      <c r="E305" s="32"/>
      <c r="G305" s="8">
        <f t="shared" si="28"/>
        <v>8684515</v>
      </c>
      <c r="I305" s="8">
        <v>3398425</v>
      </c>
      <c r="K305" s="8">
        <v>12082940</v>
      </c>
      <c r="M305" s="8">
        <f t="shared" si="26"/>
        <v>0</v>
      </c>
      <c r="W305" s="8">
        <f t="shared" ref="W305:W307" si="30">AA305-Y305-U305</f>
        <v>9380669</v>
      </c>
      <c r="Y305" s="8">
        <v>2702271</v>
      </c>
      <c r="AA305" s="8">
        <v>12082940</v>
      </c>
      <c r="AD305" s="8">
        <f t="shared" si="29"/>
        <v>0</v>
      </c>
      <c r="AF305" s="35">
        <f t="shared" si="27"/>
        <v>0</v>
      </c>
    </row>
    <row r="306" spans="1:34">
      <c r="A306" s="12" t="s">
        <v>705</v>
      </c>
      <c r="B306" s="12"/>
      <c r="C306" s="12" t="s">
        <v>67</v>
      </c>
      <c r="D306" s="12"/>
      <c r="E306" s="32">
        <v>50369</v>
      </c>
      <c r="G306" s="8">
        <f t="shared" si="28"/>
        <v>15056214</v>
      </c>
      <c r="I306" s="8">
        <v>24728475</v>
      </c>
      <c r="K306" s="8">
        <v>39784689</v>
      </c>
      <c r="M306" s="8">
        <f t="shared" si="26"/>
        <v>3524212</v>
      </c>
      <c r="O306" s="8">
        <v>373273</v>
      </c>
      <c r="Q306" s="8">
        <v>12562284</v>
      </c>
      <c r="S306" s="8">
        <v>16459769</v>
      </c>
      <c r="U306" s="8">
        <v>12652340</v>
      </c>
      <c r="W306" s="8">
        <f t="shared" si="30"/>
        <v>2850264</v>
      </c>
      <c r="Y306" s="8">
        <v>7822316</v>
      </c>
      <c r="AA306" s="8">
        <v>23324920</v>
      </c>
      <c r="AD306" s="8">
        <f t="shared" si="29"/>
        <v>0</v>
      </c>
      <c r="AF306" s="35">
        <f t="shared" si="27"/>
        <v>0</v>
      </c>
    </row>
    <row r="307" spans="1:34">
      <c r="A307" s="12" t="s">
        <v>283</v>
      </c>
      <c r="B307" s="12"/>
      <c r="C307" s="12" t="s">
        <v>114</v>
      </c>
      <c r="D307" s="12"/>
      <c r="E307" s="32">
        <v>45450</v>
      </c>
      <c r="G307" s="8">
        <f t="shared" si="28"/>
        <v>6926243</v>
      </c>
      <c r="I307" s="8">
        <v>22082473</v>
      </c>
      <c r="K307" s="8">
        <v>29008716</v>
      </c>
      <c r="M307" s="8">
        <f t="shared" si="26"/>
        <v>2706106</v>
      </c>
      <c r="O307" s="8">
        <v>253269</v>
      </c>
      <c r="Q307" s="8">
        <v>5961141</v>
      </c>
      <c r="S307" s="8">
        <v>8920516</v>
      </c>
      <c r="U307" s="8">
        <v>16776979</v>
      </c>
      <c r="W307" s="8">
        <f t="shared" si="30"/>
        <v>1002138</v>
      </c>
      <c r="Y307" s="8">
        <v>2309083</v>
      </c>
      <c r="AA307" s="8">
        <v>20088200</v>
      </c>
      <c r="AD307" s="8">
        <f t="shared" si="29"/>
        <v>0</v>
      </c>
      <c r="AF307" s="35">
        <f t="shared" si="27"/>
        <v>0</v>
      </c>
    </row>
    <row r="308" spans="1:34">
      <c r="A308" s="13" t="s">
        <v>711</v>
      </c>
      <c r="B308" s="13"/>
      <c r="C308" s="13" t="s">
        <v>69</v>
      </c>
      <c r="D308" s="13"/>
      <c r="E308" s="13">
        <v>50443</v>
      </c>
      <c r="G308" s="8">
        <f t="shared" si="28"/>
        <v>36017704</v>
      </c>
      <c r="I308" s="8">
        <v>72273929</v>
      </c>
      <c r="K308" s="8">
        <v>108291633</v>
      </c>
      <c r="M308" s="8">
        <f t="shared" si="26"/>
        <v>31994724</v>
      </c>
      <c r="O308" s="8">
        <v>3280122</v>
      </c>
      <c r="Q308" s="8">
        <v>77422824</v>
      </c>
      <c r="S308" s="8">
        <v>112697670</v>
      </c>
      <c r="U308" s="8">
        <v>2995749</v>
      </c>
      <c r="W308" s="8">
        <f>AA308-Y308-U308</f>
        <v>526497</v>
      </c>
      <c r="Y308" s="8">
        <v>-7928283</v>
      </c>
      <c r="AA308" s="8">
        <v>-4406037</v>
      </c>
      <c r="AD308" s="8">
        <f t="shared" si="29"/>
        <v>0</v>
      </c>
      <c r="AF308" s="35">
        <f t="shared" si="27"/>
        <v>0</v>
      </c>
    </row>
    <row r="309" spans="1:34" hidden="1">
      <c r="A309" s="118" t="s">
        <v>995</v>
      </c>
      <c r="B309" s="12"/>
      <c r="C309" s="12" t="s">
        <v>32</v>
      </c>
      <c r="D309" s="12"/>
      <c r="E309" s="32">
        <v>44230</v>
      </c>
      <c r="G309" s="8">
        <f t="shared" si="28"/>
        <v>4366403</v>
      </c>
      <c r="K309" s="8">
        <v>4366403</v>
      </c>
      <c r="M309" s="8">
        <f t="shared" si="26"/>
        <v>0</v>
      </c>
      <c r="W309" s="8">
        <f t="shared" ref="W309:W313" si="31">AA309-Y309-U309</f>
        <v>1817027</v>
      </c>
      <c r="Y309" s="8">
        <v>2549376</v>
      </c>
      <c r="AA309" s="8">
        <v>4366403</v>
      </c>
      <c r="AD309" s="8">
        <f t="shared" si="29"/>
        <v>0</v>
      </c>
      <c r="AF309" s="35">
        <f t="shared" si="27"/>
        <v>0</v>
      </c>
      <c r="AH309" s="15" t="s">
        <v>905</v>
      </c>
    </row>
    <row r="310" spans="1:34">
      <c r="A310" s="12" t="s">
        <v>582</v>
      </c>
      <c r="B310" s="12"/>
      <c r="C310" s="12" t="s">
        <v>54</v>
      </c>
      <c r="D310" s="12"/>
      <c r="E310" s="32">
        <v>49080</v>
      </c>
      <c r="G310" s="8">
        <f t="shared" ref="G310:G320" si="32">+K310-I310</f>
        <v>17219699</v>
      </c>
      <c r="I310" s="8">
        <v>4062527</v>
      </c>
      <c r="K310" s="8">
        <v>21282226</v>
      </c>
      <c r="M310" s="8">
        <f t="shared" si="26"/>
        <v>7989013</v>
      </c>
      <c r="O310" s="8">
        <v>68640</v>
      </c>
      <c r="Q310" s="8">
        <v>1235191</v>
      </c>
      <c r="S310" s="8">
        <v>9292844</v>
      </c>
      <c r="U310" s="8">
        <v>4062527</v>
      </c>
      <c r="W310" s="8">
        <f t="shared" si="31"/>
        <v>489635</v>
      </c>
      <c r="Y310" s="8">
        <v>7437220</v>
      </c>
      <c r="AA310" s="8">
        <v>11989382</v>
      </c>
      <c r="AD310" s="8">
        <f t="shared" si="29"/>
        <v>0</v>
      </c>
      <c r="AF310" s="35">
        <f t="shared" si="27"/>
        <v>0</v>
      </c>
    </row>
    <row r="311" spans="1:34">
      <c r="A311" s="12" t="s">
        <v>440</v>
      </c>
      <c r="B311" s="12"/>
      <c r="C311" s="12" t="s">
        <v>35</v>
      </c>
      <c r="D311" s="12"/>
      <c r="E311" s="32">
        <v>44248</v>
      </c>
      <c r="G311" s="8">
        <f t="shared" si="32"/>
        <v>41222861</v>
      </c>
      <c r="I311" s="8">
        <v>103129277</v>
      </c>
      <c r="K311" s="8">
        <v>144352138</v>
      </c>
      <c r="M311" s="8">
        <f t="shared" ref="M311:M320" si="33">+S311-O311-Q311</f>
        <v>16553876</v>
      </c>
      <c r="O311" s="8">
        <v>2539020</v>
      </c>
      <c r="Q311" s="8">
        <v>30228790</v>
      </c>
      <c r="S311" s="8">
        <v>49321686</v>
      </c>
      <c r="U311" s="8">
        <v>78535803</v>
      </c>
      <c r="W311" s="8">
        <f t="shared" si="31"/>
        <v>18099118</v>
      </c>
      <c r="Y311" s="8">
        <v>-1604469</v>
      </c>
      <c r="AA311" s="8">
        <v>95030452</v>
      </c>
      <c r="AD311" s="8">
        <f t="shared" si="29"/>
        <v>0</v>
      </c>
      <c r="AF311" s="35">
        <f t="shared" si="27"/>
        <v>0</v>
      </c>
    </row>
    <row r="312" spans="1:34">
      <c r="A312" s="12" t="s">
        <v>507</v>
      </c>
      <c r="B312" s="12"/>
      <c r="C312" s="12" t="s">
        <v>505</v>
      </c>
      <c r="D312" s="12"/>
      <c r="E312" s="32">
        <v>44255</v>
      </c>
      <c r="G312" s="8">
        <f t="shared" si="32"/>
        <v>39162477</v>
      </c>
      <c r="I312" s="8">
        <v>40103700</v>
      </c>
      <c r="K312" s="8">
        <v>79266177</v>
      </c>
      <c r="M312" s="8">
        <f t="shared" si="33"/>
        <v>9938646</v>
      </c>
      <c r="O312" s="8">
        <v>1990203</v>
      </c>
      <c r="Q312" s="8">
        <v>26563324</v>
      </c>
      <c r="S312" s="8">
        <v>38492173</v>
      </c>
      <c r="U312" s="8">
        <v>15553827</v>
      </c>
      <c r="W312" s="8">
        <f t="shared" si="31"/>
        <v>24872664</v>
      </c>
      <c r="Y312" s="8">
        <v>347513</v>
      </c>
      <c r="AA312" s="8">
        <v>40774004</v>
      </c>
      <c r="AD312" s="8">
        <f t="shared" si="29"/>
        <v>0</v>
      </c>
      <c r="AF312" s="35">
        <f t="shared" si="27"/>
        <v>0</v>
      </c>
    </row>
    <row r="313" spans="1:34">
      <c r="A313" s="12" t="s">
        <v>490</v>
      </c>
      <c r="B313" s="12"/>
      <c r="C313" s="12" t="s">
        <v>44</v>
      </c>
      <c r="D313" s="12"/>
      <c r="E313" s="32">
        <v>44263</v>
      </c>
      <c r="G313" s="8">
        <f>+K313-I313</f>
        <v>186922217</v>
      </c>
      <c r="I313" s="8">
        <v>87190937</v>
      </c>
      <c r="K313" s="8">
        <v>274113154</v>
      </c>
      <c r="M313" s="8">
        <f t="shared" si="33"/>
        <v>29451483</v>
      </c>
      <c r="O313" s="8">
        <v>4080252</v>
      </c>
      <c r="Q313" s="8">
        <v>53620340</v>
      </c>
      <c r="S313" s="8">
        <v>87152075</v>
      </c>
      <c r="U313" s="8">
        <v>49208608</v>
      </c>
      <c r="W313" s="8">
        <f t="shared" si="31"/>
        <v>143049980</v>
      </c>
      <c r="Y313" s="8">
        <v>-5297509</v>
      </c>
      <c r="AA313" s="8">
        <v>186961079</v>
      </c>
      <c r="AD313" s="8">
        <f t="shared" si="29"/>
        <v>0</v>
      </c>
      <c r="AF313" s="35">
        <f t="shared" si="27"/>
        <v>0</v>
      </c>
    </row>
    <row r="314" spans="1:34">
      <c r="A314" s="12" t="s">
        <v>686</v>
      </c>
      <c r="B314" s="12"/>
      <c r="C314" s="12" t="s">
        <v>64</v>
      </c>
      <c r="D314" s="12"/>
      <c r="E314" s="32">
        <v>50203</v>
      </c>
      <c r="G314" s="8">
        <f t="shared" si="32"/>
        <v>9015033</v>
      </c>
      <c r="I314" s="8">
        <v>3567845</v>
      </c>
      <c r="K314" s="8">
        <v>12582878</v>
      </c>
      <c r="M314" s="8">
        <f t="shared" si="33"/>
        <v>6083163</v>
      </c>
      <c r="O314" s="8">
        <v>543855</v>
      </c>
      <c r="Q314" s="8">
        <v>3157780</v>
      </c>
      <c r="S314" s="8">
        <v>9784798</v>
      </c>
      <c r="U314" s="8">
        <v>1408463</v>
      </c>
      <c r="W314" s="8">
        <f t="shared" ref="W314:W320" si="34">AA314-Y314-U314</f>
        <v>771673</v>
      </c>
      <c r="Y314" s="8">
        <v>617944</v>
      </c>
      <c r="AA314" s="8">
        <v>2798080</v>
      </c>
      <c r="AD314" s="8">
        <f t="shared" si="29"/>
        <v>0</v>
      </c>
      <c r="AF314" s="35">
        <f t="shared" si="27"/>
        <v>0</v>
      </c>
    </row>
    <row r="315" spans="1:34">
      <c r="A315" s="12" t="s">
        <v>991</v>
      </c>
      <c r="B315" s="12"/>
      <c r="C315" s="12" t="s">
        <v>11</v>
      </c>
      <c r="D315" s="12"/>
      <c r="E315" s="32">
        <v>45468</v>
      </c>
      <c r="F315" s="11"/>
      <c r="G315" s="8">
        <f t="shared" si="32"/>
        <v>10032212</v>
      </c>
      <c r="I315" s="8">
        <v>3934563</v>
      </c>
      <c r="K315" s="8">
        <v>13966775</v>
      </c>
      <c r="M315" s="8">
        <f t="shared" si="33"/>
        <v>4579395</v>
      </c>
      <c r="O315" s="8">
        <v>269528</v>
      </c>
      <c r="Q315" s="8">
        <v>2442875</v>
      </c>
      <c r="S315" s="8">
        <v>7291798</v>
      </c>
      <c r="U315" s="8">
        <v>2990148</v>
      </c>
      <c r="W315" s="8">
        <f t="shared" si="34"/>
        <v>263084</v>
      </c>
      <c r="Y315" s="8">
        <v>3421745</v>
      </c>
      <c r="AA315" s="8">
        <v>6674977</v>
      </c>
      <c r="AD315" s="8">
        <f t="shared" si="29"/>
        <v>0</v>
      </c>
      <c r="AF315" s="35">
        <f t="shared" si="27"/>
        <v>0</v>
      </c>
      <c r="AH315" s="8" t="s">
        <v>956</v>
      </c>
    </row>
    <row r="316" spans="1:34">
      <c r="A316" s="12" t="s">
        <v>654</v>
      </c>
      <c r="B316" s="12"/>
      <c r="C316" s="12" t="s">
        <v>62</v>
      </c>
      <c r="D316" s="12"/>
      <c r="E316" s="32">
        <v>49874</v>
      </c>
      <c r="G316" s="8">
        <f t="shared" si="32"/>
        <v>62888178</v>
      </c>
      <c r="I316" s="8">
        <v>30764491</v>
      </c>
      <c r="K316" s="8">
        <v>93652669</v>
      </c>
      <c r="M316" s="8">
        <f t="shared" si="33"/>
        <v>10226941</v>
      </c>
      <c r="O316" s="8">
        <v>471804</v>
      </c>
      <c r="Q316" s="8">
        <v>33261251</v>
      </c>
      <c r="S316" s="8">
        <v>43959996</v>
      </c>
      <c r="U316" s="8">
        <v>7579491</v>
      </c>
      <c r="W316" s="8">
        <f t="shared" si="34"/>
        <v>40508457</v>
      </c>
      <c r="Y316" s="8">
        <v>1604725</v>
      </c>
      <c r="AA316" s="8">
        <v>49692673</v>
      </c>
      <c r="AD316" s="8">
        <f t="shared" si="29"/>
        <v>0</v>
      </c>
      <c r="AF316" s="35">
        <f t="shared" si="27"/>
        <v>0</v>
      </c>
    </row>
    <row r="317" spans="1:34">
      <c r="A317" s="12" t="s">
        <v>397</v>
      </c>
      <c r="B317" s="12"/>
      <c r="C317" s="12" t="s">
        <v>32</v>
      </c>
      <c r="D317" s="12"/>
      <c r="E317" s="32">
        <v>44271</v>
      </c>
      <c r="F317" s="35"/>
      <c r="G317" s="8">
        <f>+K317-I317</f>
        <v>43236340</v>
      </c>
      <c r="I317" s="8">
        <v>48818833</v>
      </c>
      <c r="K317" s="8">
        <v>92055173</v>
      </c>
      <c r="M317" s="8">
        <f>+S317-O317-Q317</f>
        <v>34404360</v>
      </c>
      <c r="O317" s="8">
        <v>1139834</v>
      </c>
      <c r="Q317" s="8">
        <v>22982813</v>
      </c>
      <c r="S317" s="8">
        <v>58527007</v>
      </c>
      <c r="U317" s="8">
        <v>19610300</v>
      </c>
      <c r="W317" s="8">
        <f t="shared" si="34"/>
        <v>4080539</v>
      </c>
      <c r="Y317" s="8">
        <v>9837327</v>
      </c>
      <c r="AA317" s="8">
        <v>33528166</v>
      </c>
      <c r="AD317" s="8">
        <f t="shared" si="29"/>
        <v>0</v>
      </c>
      <c r="AF317" s="35">
        <f t="shared" si="27"/>
        <v>0</v>
      </c>
    </row>
    <row r="318" spans="1:34">
      <c r="A318" s="12" t="s">
        <v>992</v>
      </c>
      <c r="B318" s="12"/>
      <c r="C318" s="12" t="s">
        <v>45</v>
      </c>
      <c r="D318" s="12"/>
      <c r="E318" s="32">
        <v>48330</v>
      </c>
      <c r="G318" s="8">
        <f t="shared" si="32"/>
        <v>4741593</v>
      </c>
      <c r="I318" s="8">
        <v>13225611</v>
      </c>
      <c r="K318" s="8">
        <v>17967204</v>
      </c>
      <c r="M318" s="8">
        <f t="shared" si="33"/>
        <v>1408098</v>
      </c>
      <c r="O318" s="8">
        <v>233010</v>
      </c>
      <c r="Q318" s="8">
        <v>2168348</v>
      </c>
      <c r="S318" s="8">
        <v>3809456</v>
      </c>
      <c r="U318" s="8">
        <v>11463656</v>
      </c>
      <c r="W318" s="8">
        <f t="shared" si="34"/>
        <v>1627138</v>
      </c>
      <c r="Y318" s="8">
        <v>1066954</v>
      </c>
      <c r="AA318" s="8">
        <v>14157748</v>
      </c>
      <c r="AD318" s="8">
        <f t="shared" si="29"/>
        <v>0</v>
      </c>
      <c r="AF318" s="35">
        <f t="shared" si="27"/>
        <v>0</v>
      </c>
    </row>
    <row r="319" spans="1:34">
      <c r="A319" s="12" t="s">
        <v>611</v>
      </c>
      <c r="B319" s="12"/>
      <c r="C319" s="12" t="s">
        <v>112</v>
      </c>
      <c r="D319" s="12"/>
      <c r="E319" s="32">
        <v>49445</v>
      </c>
      <c r="G319" s="8">
        <f>+K319-I319</f>
        <v>5838793</v>
      </c>
      <c r="I319" s="8">
        <v>1150130</v>
      </c>
      <c r="K319" s="8">
        <v>6988923</v>
      </c>
      <c r="M319" s="8">
        <f t="shared" si="33"/>
        <v>2611531</v>
      </c>
      <c r="O319" s="8">
        <v>24895</v>
      </c>
      <c r="Q319" s="8">
        <v>189525</v>
      </c>
      <c r="S319" s="8">
        <v>2825951</v>
      </c>
      <c r="U319" s="8">
        <v>1150130</v>
      </c>
      <c r="W319" s="8">
        <f t="shared" si="34"/>
        <v>722163</v>
      </c>
      <c r="Y319" s="8">
        <v>2290679</v>
      </c>
      <c r="AA319" s="8">
        <v>4162972</v>
      </c>
      <c r="AD319" s="8">
        <f t="shared" si="29"/>
        <v>0</v>
      </c>
      <c r="AF319" s="35">
        <f t="shared" si="27"/>
        <v>0</v>
      </c>
    </row>
    <row r="320" spans="1:34">
      <c r="A320" s="12" t="s">
        <v>439</v>
      </c>
      <c r="B320" s="12"/>
      <c r="C320" s="12" t="s">
        <v>435</v>
      </c>
      <c r="D320" s="12"/>
      <c r="E320" s="32">
        <v>47639</v>
      </c>
      <c r="G320" s="8">
        <f t="shared" si="32"/>
        <v>11495897</v>
      </c>
      <c r="I320" s="8">
        <v>20138162</v>
      </c>
      <c r="K320" s="8">
        <v>31634059</v>
      </c>
      <c r="M320" s="8">
        <f t="shared" si="33"/>
        <v>3143661</v>
      </c>
      <c r="O320" s="8">
        <v>145108</v>
      </c>
      <c r="Q320" s="8">
        <v>2105990</v>
      </c>
      <c r="S320" s="8">
        <v>5394759</v>
      </c>
      <c r="U320" s="8">
        <v>18598159</v>
      </c>
      <c r="W320" s="8">
        <f t="shared" si="34"/>
        <v>1255793</v>
      </c>
      <c r="Y320" s="8">
        <v>6385348</v>
      </c>
      <c r="AA320" s="8">
        <v>26239300</v>
      </c>
      <c r="AD320" s="8">
        <f t="shared" si="29"/>
        <v>0</v>
      </c>
      <c r="AF320" s="35">
        <f t="shared" si="27"/>
        <v>0</v>
      </c>
    </row>
    <row r="321" spans="1:34">
      <c r="A321" s="13" t="s">
        <v>1055</v>
      </c>
      <c r="B321" s="12"/>
      <c r="C321" s="12" t="s">
        <v>50</v>
      </c>
      <c r="D321" s="12"/>
      <c r="E321" s="32">
        <v>48702</v>
      </c>
      <c r="G321" s="8">
        <f t="shared" ref="G321:G363" si="35">+K321-I321</f>
        <v>31413274</v>
      </c>
      <c r="I321" s="8">
        <v>80637386</v>
      </c>
      <c r="K321" s="8">
        <v>112050660</v>
      </c>
      <c r="M321" s="8">
        <f t="shared" ref="M321:M363" si="36">+S321-O321-Q321</f>
        <v>12209861</v>
      </c>
      <c r="O321" s="8">
        <v>1347486</v>
      </c>
      <c r="Q321" s="8">
        <v>17724185</v>
      </c>
      <c r="S321" s="8">
        <v>31281532</v>
      </c>
      <c r="U321" s="8">
        <v>65914300</v>
      </c>
      <c r="W321" s="8">
        <f t="shared" ref="W321:W379" si="37">AA321-Y321-U321</f>
        <v>3332748</v>
      </c>
      <c r="Y321" s="8">
        <v>11522080</v>
      </c>
      <c r="AA321" s="8">
        <v>80769128</v>
      </c>
      <c r="AD321" s="8">
        <f t="shared" ref="AD321:AD368" si="38">+K321-S321-AA321</f>
        <v>0</v>
      </c>
      <c r="AF321" s="35">
        <f t="shared" ref="AF321:AF363" si="39">+G321+I321+-M321-O321-U321-W321-Y321-Q321</f>
        <v>0</v>
      </c>
      <c r="AH321" s="15" t="s">
        <v>905</v>
      </c>
    </row>
    <row r="322" spans="1:34">
      <c r="A322" s="12" t="s">
        <v>398</v>
      </c>
      <c r="B322" s="12"/>
      <c r="C322" s="12" t="s">
        <v>32</v>
      </c>
      <c r="D322" s="12"/>
      <c r="E322" s="32">
        <v>44289</v>
      </c>
      <c r="G322" s="8">
        <f t="shared" si="35"/>
        <v>21110631</v>
      </c>
      <c r="I322" s="8">
        <v>30772894</v>
      </c>
      <c r="K322" s="8">
        <v>51883525</v>
      </c>
      <c r="M322" s="8">
        <f t="shared" si="36"/>
        <v>9109671</v>
      </c>
      <c r="O322" s="8">
        <v>1434827</v>
      </c>
      <c r="Q322" s="8">
        <v>31181063</v>
      </c>
      <c r="S322" s="8">
        <v>41725561</v>
      </c>
      <c r="U322" s="8">
        <v>770796</v>
      </c>
      <c r="W322" s="8">
        <f t="shared" si="37"/>
        <v>3386048</v>
      </c>
      <c r="Y322" s="8">
        <v>6001120</v>
      </c>
      <c r="AA322" s="8">
        <v>10157964</v>
      </c>
      <c r="AD322" s="8">
        <f t="shared" si="38"/>
        <v>0</v>
      </c>
      <c r="AF322" s="35">
        <f t="shared" si="39"/>
        <v>0</v>
      </c>
    </row>
    <row r="323" spans="1:34">
      <c r="A323" s="12" t="s">
        <v>246</v>
      </c>
      <c r="B323" s="12"/>
      <c r="C323" s="12" t="s">
        <v>242</v>
      </c>
      <c r="D323" s="12"/>
      <c r="E323" s="32">
        <v>46128</v>
      </c>
      <c r="G323" s="8">
        <f t="shared" si="35"/>
        <v>27119536</v>
      </c>
      <c r="I323" s="8">
        <v>15055881</v>
      </c>
      <c r="K323" s="8">
        <v>42175417</v>
      </c>
      <c r="M323" s="8">
        <f t="shared" si="36"/>
        <v>5410803</v>
      </c>
      <c r="O323" s="8">
        <v>629317</v>
      </c>
      <c r="Q323" s="8">
        <v>15055788</v>
      </c>
      <c r="S323" s="8">
        <v>21095908</v>
      </c>
      <c r="U323" s="8">
        <v>2533325</v>
      </c>
      <c r="W323" s="8">
        <f t="shared" si="37"/>
        <v>15708294</v>
      </c>
      <c r="Y323" s="8">
        <v>2837890</v>
      </c>
      <c r="AA323" s="8">
        <v>21079509</v>
      </c>
      <c r="AD323" s="8">
        <f>+K323-S323-AA323</f>
        <v>0</v>
      </c>
      <c r="AF323" s="35">
        <f t="shared" si="39"/>
        <v>0</v>
      </c>
    </row>
    <row r="324" spans="1:34" hidden="1">
      <c r="A324" s="118" t="s">
        <v>997</v>
      </c>
      <c r="B324" s="12"/>
      <c r="C324" s="12" t="s">
        <v>41</v>
      </c>
      <c r="D324" s="12"/>
      <c r="E324" s="32"/>
      <c r="G324" s="8">
        <f t="shared" si="35"/>
        <v>4667344</v>
      </c>
      <c r="K324" s="8">
        <v>4667344</v>
      </c>
      <c r="W324" s="8">
        <f t="shared" si="37"/>
        <v>2131728</v>
      </c>
      <c r="Y324" s="8">
        <v>2535616</v>
      </c>
      <c r="AA324" s="8">
        <v>4667344</v>
      </c>
      <c r="AD324" s="8">
        <f>+K324-S324-AA324</f>
        <v>0</v>
      </c>
      <c r="AF324" s="35">
        <f t="shared" si="39"/>
        <v>0</v>
      </c>
      <c r="AH324" s="15" t="s">
        <v>994</v>
      </c>
    </row>
    <row r="325" spans="1:34">
      <c r="A325" s="12" t="s">
        <v>246</v>
      </c>
      <c r="B325" s="12"/>
      <c r="C325" s="12" t="s">
        <v>112</v>
      </c>
      <c r="D325" s="12"/>
      <c r="E325" s="32">
        <v>49452</v>
      </c>
      <c r="G325" s="8">
        <f t="shared" si="35"/>
        <v>27690541</v>
      </c>
      <c r="I325" s="8">
        <v>3892330</v>
      </c>
      <c r="K325" s="8">
        <v>31582871</v>
      </c>
      <c r="M325" s="8">
        <f t="shared" si="36"/>
        <v>13911542</v>
      </c>
      <c r="O325" s="8">
        <f>346028+5265</f>
        <v>351293</v>
      </c>
      <c r="Q325" s="8">
        <f>1963982+10099</f>
        <v>1974081</v>
      </c>
      <c r="S325" s="8">
        <v>16236916</v>
      </c>
      <c r="U325" s="8">
        <v>3717330</v>
      </c>
      <c r="W325" s="8">
        <f t="shared" si="37"/>
        <v>725544</v>
      </c>
      <c r="Y325" s="8">
        <v>10903081</v>
      </c>
      <c r="AA325" s="8">
        <v>15345955</v>
      </c>
      <c r="AD325" s="8">
        <f t="shared" si="38"/>
        <v>0</v>
      </c>
      <c r="AF325" s="35">
        <f t="shared" si="39"/>
        <v>0</v>
      </c>
    </row>
    <row r="326" spans="1:34">
      <c r="A326" s="12" t="s">
        <v>1023</v>
      </c>
      <c r="B326" s="12"/>
      <c r="C326" s="12" t="s">
        <v>505</v>
      </c>
      <c r="D326" s="12"/>
      <c r="E326" s="32"/>
      <c r="G326" s="8">
        <f t="shared" si="35"/>
        <v>14094926</v>
      </c>
      <c r="I326" s="8">
        <v>3663381</v>
      </c>
      <c r="K326" s="8">
        <v>17758307</v>
      </c>
      <c r="M326" s="8">
        <f t="shared" si="36"/>
        <v>5798708</v>
      </c>
      <c r="O326" s="8">
        <v>101271</v>
      </c>
      <c r="Q326" s="8">
        <f>506792-101271</f>
        <v>405521</v>
      </c>
      <c r="S326" s="8">
        <v>6305500</v>
      </c>
      <c r="U326" s="8">
        <v>3663381</v>
      </c>
      <c r="W326" s="8">
        <f t="shared" si="37"/>
        <v>1172253</v>
      </c>
      <c r="Y326" s="8">
        <v>6617173</v>
      </c>
      <c r="AA326" s="8">
        <v>11452807</v>
      </c>
      <c r="AD326" s="8">
        <f t="shared" si="38"/>
        <v>0</v>
      </c>
      <c r="AF326" s="35">
        <f t="shared" si="39"/>
        <v>0</v>
      </c>
    </row>
    <row r="327" spans="1:34">
      <c r="A327" s="12" t="s">
        <v>819</v>
      </c>
      <c r="B327" s="12"/>
      <c r="C327" s="12" t="s">
        <v>208</v>
      </c>
      <c r="D327" s="12"/>
      <c r="E327" s="32"/>
      <c r="G327" s="8">
        <f t="shared" si="35"/>
        <v>13328184</v>
      </c>
      <c r="I327" s="8">
        <v>27463250</v>
      </c>
      <c r="K327" s="8">
        <v>40791434</v>
      </c>
      <c r="M327" s="8">
        <f t="shared" si="36"/>
        <v>5792225</v>
      </c>
      <c r="O327" s="8">
        <v>2421884</v>
      </c>
      <c r="Q327" s="8">
        <v>19530683</v>
      </c>
      <c r="S327" s="8">
        <v>27744792</v>
      </c>
      <c r="U327" s="8">
        <v>8625985</v>
      </c>
      <c r="W327" s="8">
        <f t="shared" si="37"/>
        <v>2540397</v>
      </c>
      <c r="Y327" s="8">
        <v>1880260</v>
      </c>
      <c r="AA327" s="8">
        <v>13046642</v>
      </c>
      <c r="AD327" s="8">
        <f>+K327-S327-AA327</f>
        <v>0</v>
      </c>
      <c r="AF327" s="35">
        <f t="shared" si="39"/>
        <v>0</v>
      </c>
    </row>
    <row r="328" spans="1:34">
      <c r="A328" s="12" t="s">
        <v>612</v>
      </c>
      <c r="B328" s="12"/>
      <c r="C328" s="12" t="s">
        <v>112</v>
      </c>
      <c r="D328" s="12"/>
      <c r="E328" s="32">
        <v>44297</v>
      </c>
      <c r="G328" s="8">
        <f t="shared" si="35"/>
        <v>46998083</v>
      </c>
      <c r="I328" s="8">
        <v>56375002</v>
      </c>
      <c r="K328" s="8">
        <v>103373085</v>
      </c>
      <c r="M328" s="8">
        <f t="shared" si="36"/>
        <v>21141846</v>
      </c>
      <c r="O328" s="8">
        <v>1675360</v>
      </c>
      <c r="Q328" s="8">
        <v>18132365</v>
      </c>
      <c r="S328" s="8">
        <v>40949571</v>
      </c>
      <c r="U328" s="8">
        <v>41659777</v>
      </c>
      <c r="W328" s="8">
        <f t="shared" si="37"/>
        <v>19135495</v>
      </c>
      <c r="Y328" s="8">
        <v>1628242</v>
      </c>
      <c r="AA328" s="8">
        <v>62423514</v>
      </c>
      <c r="AD328" s="8">
        <f t="shared" si="38"/>
        <v>0</v>
      </c>
      <c r="AF328" s="35">
        <f t="shared" si="39"/>
        <v>0</v>
      </c>
    </row>
    <row r="329" spans="1:34">
      <c r="A329" s="12" t="s">
        <v>1070</v>
      </c>
      <c r="B329" s="12"/>
      <c r="C329" s="12" t="s">
        <v>20</v>
      </c>
      <c r="D329" s="12"/>
      <c r="E329" s="32">
        <v>44305</v>
      </c>
      <c r="G329" s="8">
        <f t="shared" si="35"/>
        <v>131515974</v>
      </c>
      <c r="I329" s="8">
        <v>14687686</v>
      </c>
      <c r="K329" s="8">
        <v>146203660</v>
      </c>
      <c r="M329" s="8">
        <f t="shared" si="36"/>
        <v>19763730</v>
      </c>
      <c r="O329" s="8">
        <v>322895</v>
      </c>
      <c r="Q329" s="8">
        <v>61242559</v>
      </c>
      <c r="S329" s="8">
        <v>81329184</v>
      </c>
      <c r="U329" s="8">
        <v>6513168</v>
      </c>
      <c r="W329" s="8">
        <f t="shared" si="37"/>
        <v>56706945</v>
      </c>
      <c r="Y329" s="8">
        <v>1654363</v>
      </c>
      <c r="AA329" s="8">
        <v>64874476</v>
      </c>
      <c r="AD329" s="8">
        <f t="shared" si="38"/>
        <v>0</v>
      </c>
      <c r="AF329" s="35">
        <f t="shared" si="39"/>
        <v>0</v>
      </c>
      <c r="AH329" s="15" t="s">
        <v>905</v>
      </c>
    </row>
    <row r="330" spans="1:34">
      <c r="A330" s="12" t="s">
        <v>216</v>
      </c>
      <c r="B330" s="12"/>
      <c r="C330" s="12" t="s">
        <v>11</v>
      </c>
      <c r="D330" s="12"/>
      <c r="E330" s="32">
        <v>45831</v>
      </c>
      <c r="G330" s="8">
        <f t="shared" si="35"/>
        <v>6339503</v>
      </c>
      <c r="I330" s="8">
        <v>18043898</v>
      </c>
      <c r="K330" s="8">
        <v>24383401</v>
      </c>
      <c r="M330" s="8">
        <f t="shared" si="36"/>
        <v>2538158</v>
      </c>
      <c r="O330" s="8">
        <v>240775</v>
      </c>
      <c r="Q330" s="8">
        <v>3560544</v>
      </c>
      <c r="S330" s="8">
        <v>6339477</v>
      </c>
      <c r="U330" s="8">
        <v>14847589</v>
      </c>
      <c r="W330" s="8">
        <f t="shared" si="37"/>
        <v>1586981</v>
      </c>
      <c r="Y330" s="8">
        <v>1609354</v>
      </c>
      <c r="AA330" s="8">
        <v>18043924</v>
      </c>
      <c r="AD330" s="8">
        <f t="shared" si="38"/>
        <v>0</v>
      </c>
      <c r="AF330" s="35">
        <f t="shared" si="39"/>
        <v>0</v>
      </c>
    </row>
    <row r="331" spans="1:34">
      <c r="A331" s="12" t="s">
        <v>687</v>
      </c>
      <c r="B331" s="12"/>
      <c r="C331" s="12" t="s">
        <v>64</v>
      </c>
      <c r="D331" s="12"/>
      <c r="E331" s="32">
        <v>50211</v>
      </c>
      <c r="G331" s="8">
        <f t="shared" si="35"/>
        <v>6233708</v>
      </c>
      <c r="I331" s="8">
        <v>21279950</v>
      </c>
      <c r="K331" s="8">
        <v>27513658</v>
      </c>
      <c r="M331" s="8">
        <f t="shared" si="36"/>
        <v>3553090</v>
      </c>
      <c r="O331" s="8">
        <v>206188</v>
      </c>
      <c r="Q331" s="8">
        <v>2940880</v>
      </c>
      <c r="S331" s="8">
        <v>6700158</v>
      </c>
      <c r="U331" s="8">
        <v>19234495</v>
      </c>
      <c r="W331" s="8">
        <f t="shared" si="37"/>
        <v>1204258</v>
      </c>
      <c r="Y331" s="8">
        <v>374747</v>
      </c>
      <c r="AA331" s="8">
        <v>20813500</v>
      </c>
      <c r="AD331" s="8">
        <f t="shared" si="38"/>
        <v>0</v>
      </c>
      <c r="AF331" s="35">
        <f t="shared" si="39"/>
        <v>0</v>
      </c>
    </row>
    <row r="332" spans="1:34">
      <c r="A332" s="12" t="s">
        <v>339</v>
      </c>
      <c r="B332" s="12"/>
      <c r="C332" s="12" t="s">
        <v>24</v>
      </c>
      <c r="D332" s="12"/>
      <c r="E332" s="32">
        <v>46805</v>
      </c>
      <c r="G332" s="8">
        <f t="shared" si="35"/>
        <v>7491193</v>
      </c>
      <c r="I332" s="8">
        <v>5450923</v>
      </c>
      <c r="K332" s="8">
        <v>12942116</v>
      </c>
      <c r="M332" s="8">
        <f t="shared" si="36"/>
        <v>5441747</v>
      </c>
      <c r="O332" s="8">
        <v>216150</v>
      </c>
      <c r="Q332" s="8">
        <v>3502918</v>
      </c>
      <c r="S332" s="8">
        <v>9160815</v>
      </c>
      <c r="U332" s="8">
        <v>2783923</v>
      </c>
      <c r="W332" s="8">
        <f t="shared" si="37"/>
        <v>452340</v>
      </c>
      <c r="Y332" s="8">
        <v>545038</v>
      </c>
      <c r="AA332" s="8">
        <v>3781301</v>
      </c>
      <c r="AD332" s="8">
        <f t="shared" si="38"/>
        <v>0</v>
      </c>
      <c r="AF332" s="35">
        <f t="shared" si="39"/>
        <v>0</v>
      </c>
    </row>
    <row r="333" spans="1:34">
      <c r="A333" s="12" t="s">
        <v>399</v>
      </c>
      <c r="B333" s="12"/>
      <c r="C333" s="12" t="s">
        <v>32</v>
      </c>
      <c r="D333" s="12"/>
      <c r="E333" s="32">
        <v>44313</v>
      </c>
      <c r="G333" s="8">
        <f t="shared" si="35"/>
        <v>20964123</v>
      </c>
      <c r="I333" s="8">
        <v>11876838</v>
      </c>
      <c r="K333" s="8">
        <v>32840961</v>
      </c>
      <c r="M333" s="8">
        <f t="shared" si="36"/>
        <v>10325628</v>
      </c>
      <c r="O333" s="8">
        <v>656649</v>
      </c>
      <c r="Q333" s="8">
        <v>9173668</v>
      </c>
      <c r="S333" s="8">
        <v>20155945</v>
      </c>
      <c r="U333" s="8">
        <v>4471645</v>
      </c>
      <c r="W333" s="8">
        <f t="shared" si="37"/>
        <v>908079</v>
      </c>
      <c r="Y333" s="8">
        <v>7305292</v>
      </c>
      <c r="AA333" s="8">
        <v>12685016</v>
      </c>
      <c r="AD333" s="8">
        <f t="shared" si="38"/>
        <v>0</v>
      </c>
      <c r="AF333" s="35">
        <f t="shared" si="39"/>
        <v>0</v>
      </c>
    </row>
    <row r="334" spans="1:34" hidden="1">
      <c r="A334" s="117" t="s">
        <v>832</v>
      </c>
      <c r="B334" s="12"/>
      <c r="C334" s="12" t="s">
        <v>70</v>
      </c>
      <c r="D334" s="12"/>
      <c r="E334" s="32">
        <v>44321</v>
      </c>
      <c r="F334" s="11"/>
      <c r="G334" s="8">
        <f t="shared" si="35"/>
        <v>5035261</v>
      </c>
      <c r="K334" s="8">
        <v>5035261</v>
      </c>
      <c r="M334" s="8">
        <f t="shared" si="36"/>
        <v>0</v>
      </c>
      <c r="W334" s="8">
        <f t="shared" si="37"/>
        <v>1790980</v>
      </c>
      <c r="Y334" s="8">
        <v>3244281</v>
      </c>
      <c r="AA334" s="8">
        <v>5035261</v>
      </c>
      <c r="AD334" s="8">
        <f>+K334-S334-AA334</f>
        <v>0</v>
      </c>
      <c r="AF334" s="35">
        <f t="shared" si="39"/>
        <v>0</v>
      </c>
      <c r="AH334" s="8" t="s">
        <v>956</v>
      </c>
    </row>
    <row r="335" spans="1:34" ht="11.25" customHeight="1">
      <c r="A335" s="12" t="s">
        <v>521</v>
      </c>
      <c r="B335" s="12"/>
      <c r="C335" s="12" t="s">
        <v>46</v>
      </c>
      <c r="D335" s="12"/>
      <c r="E335" s="32">
        <v>44339</v>
      </c>
      <c r="G335" s="8">
        <f t="shared" si="35"/>
        <v>30878227</v>
      </c>
      <c r="I335" s="8">
        <v>90682341</v>
      </c>
      <c r="K335" s="8">
        <v>121560568</v>
      </c>
      <c r="M335" s="8">
        <f t="shared" si="36"/>
        <v>11450360</v>
      </c>
      <c r="O335" s="8">
        <f>868738+2818</f>
        <v>871556</v>
      </c>
      <c r="Q335" s="8">
        <f>15840939+64875</f>
        <v>15905814</v>
      </c>
      <c r="S335" s="8">
        <v>28227730</v>
      </c>
      <c r="U335" s="8">
        <v>79562606</v>
      </c>
      <c r="W335" s="8">
        <f t="shared" si="37"/>
        <v>4804810</v>
      </c>
      <c r="Y335" s="8">
        <v>8965422</v>
      </c>
      <c r="AA335" s="8">
        <v>93332838</v>
      </c>
      <c r="AD335" s="8">
        <f t="shared" si="38"/>
        <v>0</v>
      </c>
      <c r="AF335" s="35">
        <f t="shared" si="39"/>
        <v>0</v>
      </c>
    </row>
    <row r="336" spans="1:34" ht="12.75" hidden="1" customHeight="1">
      <c r="A336" s="117" t="s">
        <v>998</v>
      </c>
      <c r="B336" s="12"/>
      <c r="C336" s="12" t="s">
        <v>534</v>
      </c>
      <c r="D336" s="12"/>
      <c r="E336" s="32"/>
      <c r="G336" s="8">
        <f t="shared" si="35"/>
        <v>2884333</v>
      </c>
      <c r="K336" s="8">
        <v>2884333</v>
      </c>
      <c r="W336" s="8">
        <f t="shared" si="37"/>
        <v>1865877</v>
      </c>
      <c r="Y336" s="8">
        <v>1018456</v>
      </c>
      <c r="AA336" s="8">
        <v>2884333</v>
      </c>
      <c r="AD336" s="8">
        <f t="shared" si="38"/>
        <v>0</v>
      </c>
      <c r="AF336" s="35">
        <f t="shared" si="39"/>
        <v>0</v>
      </c>
    </row>
    <row r="337" spans="1:34">
      <c r="A337" s="12" t="s">
        <v>655</v>
      </c>
      <c r="B337" s="12"/>
      <c r="C337" s="12" t="s">
        <v>62</v>
      </c>
      <c r="D337" s="12"/>
      <c r="E337" s="32">
        <v>49882</v>
      </c>
      <c r="G337" s="8">
        <f t="shared" si="35"/>
        <v>17609774</v>
      </c>
      <c r="I337" s="8">
        <v>7555005</v>
      </c>
      <c r="K337" s="8">
        <v>25164779</v>
      </c>
      <c r="M337" s="8">
        <f t="shared" si="36"/>
        <v>10542805</v>
      </c>
      <c r="O337" s="8">
        <v>560929</v>
      </c>
      <c r="Q337" s="8">
        <v>1954380</v>
      </c>
      <c r="S337" s="8">
        <v>13058114</v>
      </c>
      <c r="U337" s="8">
        <v>6979544</v>
      </c>
      <c r="W337" s="8">
        <f t="shared" si="37"/>
        <v>1317816</v>
      </c>
      <c r="Y337" s="8">
        <v>3809305</v>
      </c>
      <c r="AA337" s="8">
        <v>12106665</v>
      </c>
      <c r="AD337" s="8">
        <f t="shared" si="38"/>
        <v>0</v>
      </c>
      <c r="AF337" s="35">
        <f t="shared" si="39"/>
        <v>0</v>
      </c>
    </row>
    <row r="338" spans="1:34">
      <c r="A338" s="12" t="s">
        <v>233</v>
      </c>
      <c r="B338" s="12"/>
      <c r="C338" s="12" t="s">
        <v>15</v>
      </c>
      <c r="D338" s="12"/>
      <c r="E338" s="32">
        <v>44347</v>
      </c>
      <c r="G338" s="8">
        <f t="shared" si="35"/>
        <v>4429250</v>
      </c>
      <c r="I338" s="8">
        <v>44509456</v>
      </c>
      <c r="K338" s="8">
        <v>48938706</v>
      </c>
      <c r="M338" s="8">
        <f t="shared" si="36"/>
        <v>4392266</v>
      </c>
      <c r="O338" s="8">
        <v>368714</v>
      </c>
      <c r="Q338" s="8">
        <v>15307813</v>
      </c>
      <c r="S338" s="8">
        <v>20068793</v>
      </c>
      <c r="U338" s="8">
        <v>30612655</v>
      </c>
      <c r="W338" s="8">
        <f t="shared" si="37"/>
        <v>1127277</v>
      </c>
      <c r="Y338" s="8">
        <v>-2870019</v>
      </c>
      <c r="AA338" s="8">
        <v>28869913</v>
      </c>
      <c r="AD338" s="8">
        <f t="shared" si="38"/>
        <v>0</v>
      </c>
      <c r="AF338" s="35">
        <f t="shared" si="39"/>
        <v>0</v>
      </c>
    </row>
    <row r="339" spans="1:34">
      <c r="A339" s="12" t="s">
        <v>703</v>
      </c>
      <c r="B339" s="12"/>
      <c r="C339" s="12" t="s">
        <v>66</v>
      </c>
      <c r="D339" s="12"/>
      <c r="E339" s="32">
        <v>45476</v>
      </c>
      <c r="G339" s="8">
        <f t="shared" si="35"/>
        <v>45960729</v>
      </c>
      <c r="I339" s="8">
        <v>112973845</v>
      </c>
      <c r="K339" s="8">
        <v>158934574</v>
      </c>
      <c r="M339" s="8">
        <f t="shared" si="36"/>
        <v>34160126</v>
      </c>
      <c r="O339" s="8">
        <v>4600370</v>
      </c>
      <c r="Q339" s="8">
        <f>107758866+45289</f>
        <v>107804155</v>
      </c>
      <c r="S339" s="8">
        <v>146564651</v>
      </c>
      <c r="U339" s="8">
        <v>15893253</v>
      </c>
      <c r="W339" s="8">
        <f t="shared" si="37"/>
        <v>5130210</v>
      </c>
      <c r="Y339" s="8">
        <v>-8653540</v>
      </c>
      <c r="AA339" s="8">
        <v>12369923</v>
      </c>
      <c r="AD339" s="8">
        <f t="shared" si="38"/>
        <v>0</v>
      </c>
      <c r="AF339" s="35">
        <f t="shared" si="39"/>
        <v>0</v>
      </c>
    </row>
    <row r="340" spans="1:34">
      <c r="A340" s="12" t="s">
        <v>712</v>
      </c>
      <c r="B340" s="12"/>
      <c r="C340" s="12" t="s">
        <v>69</v>
      </c>
      <c r="D340" s="12"/>
      <c r="E340" s="32">
        <v>50450</v>
      </c>
      <c r="G340" s="8">
        <f t="shared" si="35"/>
        <v>150576799</v>
      </c>
      <c r="I340" s="8">
        <v>179884070</v>
      </c>
      <c r="K340" s="8">
        <v>330460869</v>
      </c>
      <c r="M340" s="8">
        <f t="shared" si="36"/>
        <v>80679809</v>
      </c>
      <c r="O340" s="8">
        <v>7651602</v>
      </c>
      <c r="Q340" s="8">
        <v>154728550</v>
      </c>
      <c r="S340" s="8">
        <v>243059961</v>
      </c>
      <c r="U340" s="8">
        <v>19761272</v>
      </c>
      <c r="W340" s="8">
        <f t="shared" si="37"/>
        <v>25165469</v>
      </c>
      <c r="Y340" s="8">
        <v>42474167</v>
      </c>
      <c r="AA340" s="8">
        <v>87400908</v>
      </c>
      <c r="AD340" s="8">
        <f t="shared" si="38"/>
        <v>0</v>
      </c>
      <c r="AF340" s="35">
        <f t="shared" si="39"/>
        <v>0</v>
      </c>
    </row>
    <row r="341" spans="1:34">
      <c r="A341" s="12" t="s">
        <v>656</v>
      </c>
      <c r="B341" s="12"/>
      <c r="C341" s="12" t="s">
        <v>62</v>
      </c>
      <c r="D341" s="12"/>
      <c r="E341" s="32">
        <v>44354</v>
      </c>
      <c r="G341" s="8">
        <f t="shared" si="35"/>
        <v>34258569</v>
      </c>
      <c r="I341" s="8">
        <v>41862450</v>
      </c>
      <c r="K341" s="8">
        <v>76121019</v>
      </c>
      <c r="M341" s="8">
        <f t="shared" si="36"/>
        <v>15522640</v>
      </c>
      <c r="O341" s="8">
        <v>4105205</v>
      </c>
      <c r="Q341" s="8">
        <v>19557164</v>
      </c>
      <c r="S341" s="8">
        <v>39185009</v>
      </c>
      <c r="U341" s="8">
        <v>30620763</v>
      </c>
      <c r="W341" s="8">
        <f t="shared" si="37"/>
        <v>5238217</v>
      </c>
      <c r="Y341" s="8">
        <v>1077030</v>
      </c>
      <c r="AA341" s="8">
        <v>36936010</v>
      </c>
      <c r="AD341" s="8">
        <f t="shared" si="38"/>
        <v>0</v>
      </c>
      <c r="AF341" s="35">
        <f t="shared" si="39"/>
        <v>0</v>
      </c>
    </row>
    <row r="342" spans="1:34">
      <c r="A342" s="12" t="s">
        <v>688</v>
      </c>
      <c r="B342" s="12"/>
      <c r="C342" s="12" t="s">
        <v>64</v>
      </c>
      <c r="D342" s="12"/>
      <c r="E342" s="32">
        <v>50153</v>
      </c>
      <c r="G342" s="8">
        <f t="shared" si="35"/>
        <v>6759551</v>
      </c>
      <c r="I342" s="8">
        <v>3432819</v>
      </c>
      <c r="K342" s="8">
        <v>10192370</v>
      </c>
      <c r="M342" s="8">
        <f t="shared" si="36"/>
        <v>5016144</v>
      </c>
      <c r="O342" s="8">
        <v>189693</v>
      </c>
      <c r="Q342" s="8">
        <v>1445915</v>
      </c>
      <c r="S342" s="8">
        <v>6651752</v>
      </c>
      <c r="U342" s="8">
        <v>3392558</v>
      </c>
      <c r="W342" s="8">
        <f t="shared" si="37"/>
        <v>130740</v>
      </c>
      <c r="Y342" s="8">
        <v>17320</v>
      </c>
      <c r="AA342" s="8">
        <v>3540618</v>
      </c>
      <c r="AD342" s="8">
        <f t="shared" si="38"/>
        <v>0</v>
      </c>
      <c r="AF342" s="35">
        <f t="shared" si="39"/>
        <v>0</v>
      </c>
    </row>
    <row r="343" spans="1:34">
      <c r="A343" s="12" t="s">
        <v>497</v>
      </c>
      <c r="B343" s="12"/>
      <c r="C343" s="12" t="s">
        <v>117</v>
      </c>
      <c r="D343" s="12"/>
      <c r="E343" s="32">
        <v>44362</v>
      </c>
      <c r="G343" s="8">
        <f t="shared" si="35"/>
        <v>-394754686</v>
      </c>
      <c r="I343" s="8">
        <v>467586776</v>
      </c>
      <c r="K343" s="8">
        <v>72832090</v>
      </c>
      <c r="M343" s="8">
        <f t="shared" si="36"/>
        <v>23197345</v>
      </c>
      <c r="O343" s="8">
        <v>1082094</v>
      </c>
      <c r="Q343" s="8">
        <v>38772117</v>
      </c>
      <c r="S343" s="8">
        <v>63051556</v>
      </c>
      <c r="U343" s="8">
        <v>9741243</v>
      </c>
      <c r="W343" s="8">
        <f t="shared" si="37"/>
        <v>2579753</v>
      </c>
      <c r="Y343" s="8">
        <v>-2540462</v>
      </c>
      <c r="AA343" s="8">
        <v>9780534</v>
      </c>
      <c r="AD343" s="8">
        <f t="shared" si="38"/>
        <v>0</v>
      </c>
      <c r="AF343" s="35">
        <f t="shared" si="39"/>
        <v>0</v>
      </c>
    </row>
    <row r="344" spans="1:34">
      <c r="A344" s="12" t="s">
        <v>1071</v>
      </c>
      <c r="B344" s="12"/>
      <c r="C344" s="12" t="s">
        <v>20</v>
      </c>
      <c r="D344" s="12"/>
      <c r="E344" s="32">
        <v>44370</v>
      </c>
      <c r="G344" s="8">
        <f t="shared" si="35"/>
        <v>80815060</v>
      </c>
      <c r="I344" s="8">
        <v>28001082</v>
      </c>
      <c r="K344" s="8">
        <v>108816142</v>
      </c>
      <c r="M344" s="8">
        <f t="shared" si="36"/>
        <v>47023588</v>
      </c>
      <c r="O344" s="8">
        <v>1853710</v>
      </c>
      <c r="Q344" s="8">
        <v>23601631</v>
      </c>
      <c r="S344" s="8">
        <v>72478929</v>
      </c>
      <c r="U344" s="8">
        <v>8388920</v>
      </c>
      <c r="W344" s="8">
        <f t="shared" si="37"/>
        <v>8400997</v>
      </c>
      <c r="Y344" s="8">
        <v>19547296</v>
      </c>
      <c r="AA344" s="8">
        <v>36337213</v>
      </c>
      <c r="AD344" s="8">
        <f t="shared" si="38"/>
        <v>0</v>
      </c>
      <c r="AF344" s="35">
        <f t="shared" si="39"/>
        <v>0</v>
      </c>
      <c r="AH344" s="15" t="s">
        <v>905</v>
      </c>
    </row>
    <row r="345" spans="1:34">
      <c r="A345" s="12" t="s">
        <v>565</v>
      </c>
      <c r="B345" s="12"/>
      <c r="C345" s="12" t="s">
        <v>51</v>
      </c>
      <c r="D345" s="12"/>
      <c r="E345" s="32">
        <v>48850</v>
      </c>
      <c r="G345" s="8">
        <f t="shared" si="35"/>
        <v>12366917</v>
      </c>
      <c r="I345" s="8">
        <v>34927087</v>
      </c>
      <c r="K345" s="8">
        <v>47294004</v>
      </c>
      <c r="M345" s="8">
        <f t="shared" si="36"/>
        <v>6496739</v>
      </c>
      <c r="O345" s="8">
        <v>512140</v>
      </c>
      <c r="Q345" s="8">
        <v>6316318</v>
      </c>
      <c r="S345" s="8">
        <v>13325197</v>
      </c>
      <c r="U345" s="8">
        <v>29775780</v>
      </c>
      <c r="W345" s="8">
        <f t="shared" si="37"/>
        <v>1643872</v>
      </c>
      <c r="Y345" s="8">
        <v>2549155</v>
      </c>
      <c r="AA345" s="8">
        <v>33968807</v>
      </c>
      <c r="AD345" s="8">
        <f t="shared" si="38"/>
        <v>0</v>
      </c>
      <c r="AF345" s="35">
        <f t="shared" si="39"/>
        <v>0</v>
      </c>
    </row>
    <row r="346" spans="1:34" hidden="1">
      <c r="A346" s="117" t="s">
        <v>885</v>
      </c>
      <c r="B346" s="12"/>
      <c r="C346" s="12" t="s">
        <v>33</v>
      </c>
      <c r="D346" s="12"/>
      <c r="E346" s="32">
        <v>47456</v>
      </c>
      <c r="G346" s="8">
        <f t="shared" si="35"/>
        <v>2405033</v>
      </c>
      <c r="K346" s="8">
        <v>2405033</v>
      </c>
      <c r="M346" s="8">
        <f t="shared" si="36"/>
        <v>0</v>
      </c>
      <c r="W346" s="8">
        <f t="shared" si="37"/>
        <v>574910</v>
      </c>
      <c r="Y346" s="8">
        <v>1830123</v>
      </c>
      <c r="AA346" s="8">
        <v>2405033</v>
      </c>
      <c r="AD346" s="8">
        <f t="shared" si="38"/>
        <v>0</v>
      </c>
      <c r="AF346" s="35">
        <f t="shared" si="39"/>
        <v>0</v>
      </c>
    </row>
    <row r="347" spans="1:34">
      <c r="A347" s="12" t="s">
        <v>882</v>
      </c>
      <c r="B347" s="12"/>
      <c r="C347" s="12" t="s">
        <v>64</v>
      </c>
      <c r="D347" s="12"/>
      <c r="E347" s="32">
        <v>50229</v>
      </c>
      <c r="G347" s="8">
        <f t="shared" si="35"/>
        <v>1415727</v>
      </c>
      <c r="I347" s="8">
        <v>15208691</v>
      </c>
      <c r="K347" s="8">
        <v>16624418</v>
      </c>
      <c r="M347" s="8">
        <f t="shared" si="36"/>
        <v>3445577</v>
      </c>
      <c r="O347" s="8">
        <v>223849</v>
      </c>
      <c r="Q347" s="8">
        <v>1923802</v>
      </c>
      <c r="S347" s="8">
        <v>5593228</v>
      </c>
      <c r="U347" s="8">
        <v>13778854</v>
      </c>
      <c r="W347" s="8">
        <f t="shared" si="37"/>
        <v>78882</v>
      </c>
      <c r="Y347" s="8">
        <v>-2826546</v>
      </c>
      <c r="AA347" s="8">
        <v>11031190</v>
      </c>
      <c r="AD347" s="8">
        <f t="shared" si="38"/>
        <v>0</v>
      </c>
      <c r="AF347" s="35">
        <f t="shared" si="39"/>
        <v>0</v>
      </c>
    </row>
    <row r="348" spans="1:34">
      <c r="A348" s="12" t="s">
        <v>256</v>
      </c>
      <c r="B348" s="12"/>
      <c r="C348" s="12" t="s">
        <v>255</v>
      </c>
      <c r="D348" s="12"/>
      <c r="E348" s="32">
        <v>45484</v>
      </c>
      <c r="G348" s="8">
        <f t="shared" si="35"/>
        <v>5937461</v>
      </c>
      <c r="I348" s="8">
        <v>25534962</v>
      </c>
      <c r="K348" s="8">
        <v>31472423</v>
      </c>
      <c r="M348" s="8">
        <f t="shared" si="36"/>
        <v>2997927</v>
      </c>
      <c r="O348" s="8">
        <v>273704</v>
      </c>
      <c r="Q348" s="8">
        <v>7691380</v>
      </c>
      <c r="S348" s="8">
        <v>10963011</v>
      </c>
      <c r="U348" s="8">
        <v>18346831</v>
      </c>
      <c r="W348" s="8">
        <f t="shared" si="37"/>
        <v>795838</v>
      </c>
      <c r="Y348" s="8">
        <v>1366743</v>
      </c>
      <c r="AA348" s="8">
        <v>20509412</v>
      </c>
      <c r="AD348" s="8">
        <f t="shared" si="38"/>
        <v>0</v>
      </c>
      <c r="AF348" s="35">
        <f t="shared" si="39"/>
        <v>0</v>
      </c>
    </row>
    <row r="349" spans="1:34">
      <c r="A349" s="12" t="s">
        <v>529</v>
      </c>
      <c r="B349" s="12"/>
      <c r="C349" s="12" t="s">
        <v>47</v>
      </c>
      <c r="D349" s="12"/>
      <c r="E349" s="32">
        <v>44388</v>
      </c>
      <c r="G349" s="8">
        <f t="shared" si="35"/>
        <v>94566169</v>
      </c>
      <c r="I349" s="8">
        <v>110846295</v>
      </c>
      <c r="K349" s="8">
        <v>205412464</v>
      </c>
      <c r="M349" s="8">
        <f t="shared" si="36"/>
        <v>154048664</v>
      </c>
      <c r="O349" s="8">
        <v>5580703</v>
      </c>
      <c r="Q349" s="8">
        <v>9981898</v>
      </c>
      <c r="S349" s="8">
        <v>169611265</v>
      </c>
      <c r="U349" s="8">
        <v>22536416</v>
      </c>
      <c r="W349" s="8">
        <f t="shared" si="37"/>
        <v>9498088</v>
      </c>
      <c r="Y349" s="8">
        <v>3766695</v>
      </c>
      <c r="AA349" s="8">
        <v>35801199</v>
      </c>
      <c r="AD349" s="8">
        <f>+K349-S349-AA349</f>
        <v>0</v>
      </c>
      <c r="AF349" s="35">
        <f t="shared" si="39"/>
        <v>0</v>
      </c>
    </row>
    <row r="350" spans="1:34">
      <c r="A350" s="12" t="s">
        <v>532</v>
      </c>
      <c r="B350" s="12"/>
      <c r="C350" s="12" t="s">
        <v>531</v>
      </c>
      <c r="D350" s="12"/>
      <c r="E350" s="32">
        <v>48520</v>
      </c>
      <c r="G350" s="8">
        <f t="shared" si="35"/>
        <v>7548255</v>
      </c>
      <c r="I350" s="8">
        <v>27307905</v>
      </c>
      <c r="K350" s="8">
        <v>34856160</v>
      </c>
      <c r="M350" s="8">
        <f t="shared" si="36"/>
        <v>4130294</v>
      </c>
      <c r="O350" s="8">
        <v>427339</v>
      </c>
      <c r="Q350" s="8">
        <v>6918876</v>
      </c>
      <c r="S350" s="8">
        <v>11476509</v>
      </c>
      <c r="U350" s="8">
        <v>21288851</v>
      </c>
      <c r="W350" s="8">
        <f t="shared" si="37"/>
        <v>2446678</v>
      </c>
      <c r="Y350" s="8">
        <v>-355878</v>
      </c>
      <c r="AA350" s="8">
        <v>23379651</v>
      </c>
      <c r="AD350" s="8">
        <f t="shared" si="38"/>
        <v>0</v>
      </c>
      <c r="AF350" s="35">
        <f t="shared" si="39"/>
        <v>0</v>
      </c>
    </row>
    <row r="351" spans="1:34">
      <c r="A351" s="12" t="s">
        <v>460</v>
      </c>
      <c r="B351" s="12"/>
      <c r="C351" s="12" t="s">
        <v>41</v>
      </c>
      <c r="D351" s="12"/>
      <c r="E351" s="32">
        <v>45492</v>
      </c>
      <c r="G351" s="8">
        <f t="shared" si="35"/>
        <v>128589164</v>
      </c>
      <c r="I351" s="8">
        <v>15724841</v>
      </c>
      <c r="K351" s="8">
        <v>144314005</v>
      </c>
      <c r="M351" s="8">
        <f t="shared" si="36"/>
        <v>71377240</v>
      </c>
      <c r="O351" s="8">
        <v>5345068</v>
      </c>
      <c r="Q351" s="8">
        <v>17819406</v>
      </c>
      <c r="S351" s="8">
        <v>94541714</v>
      </c>
      <c r="U351" s="8">
        <v>9772640</v>
      </c>
      <c r="W351" s="8">
        <f t="shared" si="37"/>
        <v>3088625</v>
      </c>
      <c r="Y351" s="8">
        <v>36911026</v>
      </c>
      <c r="AA351" s="8">
        <v>49772291</v>
      </c>
      <c r="AD351" s="8">
        <f t="shared" si="38"/>
        <v>0</v>
      </c>
      <c r="AF351" s="35">
        <f t="shared" si="39"/>
        <v>0</v>
      </c>
    </row>
    <row r="352" spans="1:34">
      <c r="A352" s="12" t="s">
        <v>537</v>
      </c>
      <c r="B352" s="12"/>
      <c r="C352" s="12" t="s">
        <v>48</v>
      </c>
      <c r="D352" s="12"/>
      <c r="E352" s="32">
        <v>48629</v>
      </c>
      <c r="G352" s="8">
        <f t="shared" si="35"/>
        <v>32746381</v>
      </c>
      <c r="I352" s="8">
        <v>14584113</v>
      </c>
      <c r="K352" s="8">
        <v>47330494</v>
      </c>
      <c r="M352" s="8">
        <f t="shared" si="36"/>
        <v>12023532</v>
      </c>
      <c r="O352" s="8">
        <v>592016</v>
      </c>
      <c r="Q352" s="8">
        <v>18929469</v>
      </c>
      <c r="S352" s="8">
        <v>31545017</v>
      </c>
      <c r="U352" s="8">
        <v>4080883</v>
      </c>
      <c r="W352" s="8">
        <f t="shared" si="37"/>
        <v>13471531</v>
      </c>
      <c r="Y352" s="8">
        <v>-1766937</v>
      </c>
      <c r="AA352" s="8">
        <v>15785477</v>
      </c>
      <c r="AD352" s="8">
        <f t="shared" si="38"/>
        <v>0</v>
      </c>
      <c r="AF352" s="35">
        <f t="shared" si="39"/>
        <v>0</v>
      </c>
    </row>
    <row r="353" spans="1:34">
      <c r="A353" s="12" t="s">
        <v>350</v>
      </c>
      <c r="B353" s="12"/>
      <c r="C353" s="12" t="s">
        <v>26</v>
      </c>
      <c r="D353" s="12"/>
      <c r="E353" s="32">
        <v>46920</v>
      </c>
      <c r="G353" s="8">
        <f t="shared" si="35"/>
        <v>43332563</v>
      </c>
      <c r="I353" s="8">
        <v>32370565</v>
      </c>
      <c r="K353" s="8">
        <v>75703128</v>
      </c>
      <c r="M353" s="8">
        <f t="shared" si="36"/>
        <v>9083364</v>
      </c>
      <c r="O353" s="8">
        <v>735547</v>
      </c>
      <c r="Q353" s="8">
        <v>29567600</v>
      </c>
      <c r="S353" s="8">
        <v>39386511</v>
      </c>
      <c r="U353" s="8">
        <v>15855565</v>
      </c>
      <c r="W353" s="8">
        <f t="shared" si="37"/>
        <v>14646323</v>
      </c>
      <c r="Y353" s="8">
        <v>5814729</v>
      </c>
      <c r="AA353" s="8">
        <v>36316617</v>
      </c>
      <c r="AD353" s="8">
        <f t="shared" si="38"/>
        <v>0</v>
      </c>
      <c r="AF353" s="35">
        <f t="shared" si="39"/>
        <v>0</v>
      </c>
    </row>
    <row r="354" spans="1:34">
      <c r="A354" s="12" t="s">
        <v>551</v>
      </c>
      <c r="B354" s="12"/>
      <c r="C354" s="12" t="s">
        <v>50</v>
      </c>
      <c r="D354" s="12"/>
      <c r="E354" s="32">
        <v>44396</v>
      </c>
      <c r="G354" s="8">
        <f t="shared" si="35"/>
        <v>147116780</v>
      </c>
      <c r="I354" s="8">
        <v>26639741</v>
      </c>
      <c r="K354" s="8">
        <v>173756521</v>
      </c>
      <c r="M354" s="8">
        <f t="shared" si="36"/>
        <v>-883540</v>
      </c>
      <c r="O354" s="8">
        <v>41020659</v>
      </c>
      <c r="Q354" s="8">
        <v>115032291</v>
      </c>
      <c r="S354" s="8">
        <v>155169410</v>
      </c>
      <c r="U354" s="8">
        <v>15809235</v>
      </c>
      <c r="W354" s="8">
        <f t="shared" si="37"/>
        <v>29203116</v>
      </c>
      <c r="Y354" s="8">
        <v>-26425240</v>
      </c>
      <c r="AA354" s="8">
        <v>18587111</v>
      </c>
      <c r="AD354" s="8">
        <f t="shared" si="38"/>
        <v>0</v>
      </c>
      <c r="AF354" s="35">
        <f t="shared" si="39"/>
        <v>0</v>
      </c>
    </row>
    <row r="355" spans="1:34">
      <c r="A355" s="12"/>
      <c r="B355" s="12"/>
      <c r="C355" s="12"/>
      <c r="D355" s="12"/>
      <c r="E355" s="32"/>
      <c r="AF355" s="35"/>
    </row>
    <row r="356" spans="1:34">
      <c r="A356" s="12"/>
      <c r="B356" s="12"/>
      <c r="C356" s="12"/>
      <c r="D356" s="12"/>
      <c r="E356" s="32"/>
      <c r="AA356" s="8" t="s">
        <v>805</v>
      </c>
      <c r="AF356" s="35"/>
    </row>
    <row r="357" spans="1:34">
      <c r="A357" s="12"/>
      <c r="B357" s="12"/>
      <c r="C357" s="12"/>
      <c r="D357" s="12"/>
      <c r="E357" s="32"/>
      <c r="AF357" s="35"/>
    </row>
    <row r="358" spans="1:34">
      <c r="A358" s="12" t="s">
        <v>247</v>
      </c>
      <c r="B358" s="12"/>
      <c r="C358" s="12" t="s">
        <v>242</v>
      </c>
      <c r="D358" s="12"/>
      <c r="E358" s="32">
        <v>44404</v>
      </c>
      <c r="G358" s="35">
        <f t="shared" si="35"/>
        <v>56795554</v>
      </c>
      <c r="H358" s="35"/>
      <c r="I358" s="35">
        <v>82492413</v>
      </c>
      <c r="J358" s="35"/>
      <c r="K358" s="35">
        <v>139287967</v>
      </c>
      <c r="L358" s="35"/>
      <c r="M358" s="35">
        <f t="shared" si="36"/>
        <v>42273181</v>
      </c>
      <c r="N358" s="35"/>
      <c r="O358" s="35">
        <v>2549481</v>
      </c>
      <c r="P358" s="35"/>
      <c r="Q358" s="35">
        <v>68576133</v>
      </c>
      <c r="R358" s="35"/>
      <c r="S358" s="35">
        <v>113398795</v>
      </c>
      <c r="T358" s="35"/>
      <c r="U358" s="35">
        <v>12696177</v>
      </c>
      <c r="V358" s="35"/>
      <c r="W358" s="35">
        <f t="shared" si="37"/>
        <v>4704174</v>
      </c>
      <c r="X358" s="35"/>
      <c r="Y358" s="35">
        <v>8488821</v>
      </c>
      <c r="Z358" s="35"/>
      <c r="AA358" s="35">
        <v>25889172</v>
      </c>
      <c r="AD358" s="8">
        <f t="shared" si="38"/>
        <v>0</v>
      </c>
      <c r="AF358" s="35">
        <f t="shared" si="39"/>
        <v>0</v>
      </c>
    </row>
    <row r="359" spans="1:34">
      <c r="A359" s="12" t="s">
        <v>491</v>
      </c>
      <c r="B359" s="12"/>
      <c r="C359" s="12" t="s">
        <v>44</v>
      </c>
      <c r="D359" s="12"/>
      <c r="E359" s="32">
        <v>48173</v>
      </c>
      <c r="G359" s="8">
        <f t="shared" si="35"/>
        <v>22671049</v>
      </c>
      <c r="I359" s="8">
        <v>32993182</v>
      </c>
      <c r="K359" s="8">
        <v>55664231</v>
      </c>
      <c r="M359" s="8">
        <f t="shared" si="36"/>
        <v>13696440</v>
      </c>
      <c r="O359" s="8">
        <f>969270+2448</f>
        <v>971718</v>
      </c>
      <c r="Q359" s="8">
        <f>30845173+30597</f>
        <v>30875770</v>
      </c>
      <c r="S359" s="8">
        <v>45543928</v>
      </c>
      <c r="U359" s="8">
        <v>6273775</v>
      </c>
      <c r="W359" s="8">
        <f t="shared" si="37"/>
        <v>3913608</v>
      </c>
      <c r="Y359" s="8">
        <v>-67080</v>
      </c>
      <c r="AA359" s="8">
        <v>10120303</v>
      </c>
      <c r="AD359" s="8">
        <f t="shared" si="38"/>
        <v>0</v>
      </c>
      <c r="AF359" s="35">
        <f t="shared" si="39"/>
        <v>0</v>
      </c>
      <c r="AH359" s="8" t="s">
        <v>956</v>
      </c>
    </row>
    <row r="360" spans="1:34">
      <c r="A360" s="13" t="s">
        <v>270</v>
      </c>
      <c r="B360" s="13"/>
      <c r="C360" s="13" t="s">
        <v>115</v>
      </c>
      <c r="D360" s="13"/>
      <c r="E360" s="13">
        <v>45500</v>
      </c>
      <c r="G360" s="8">
        <f t="shared" si="35"/>
        <v>78456266</v>
      </c>
      <c r="I360" s="8">
        <v>62961848</v>
      </c>
      <c r="K360" s="8">
        <v>141418114</v>
      </c>
      <c r="M360" s="8">
        <f t="shared" si="36"/>
        <v>43515118</v>
      </c>
      <c r="O360" s="8">
        <v>1011889</v>
      </c>
      <c r="Q360" s="8">
        <v>74426652</v>
      </c>
      <c r="S360" s="8">
        <v>118953659</v>
      </c>
      <c r="U360" s="8">
        <v>12612803</v>
      </c>
      <c r="W360" s="8">
        <f t="shared" si="37"/>
        <v>4678700</v>
      </c>
      <c r="Y360" s="8">
        <v>5172952</v>
      </c>
      <c r="AA360" s="8">
        <v>22464455</v>
      </c>
      <c r="AD360" s="8">
        <f t="shared" si="38"/>
        <v>0</v>
      </c>
      <c r="AF360" s="8">
        <f t="shared" si="39"/>
        <v>0</v>
      </c>
    </row>
    <row r="361" spans="1:34" hidden="1">
      <c r="A361" s="117" t="s">
        <v>833</v>
      </c>
      <c r="B361" s="12"/>
      <c r="C361" s="12" t="s">
        <v>727</v>
      </c>
      <c r="D361" s="12"/>
      <c r="E361" s="32">
        <v>50633</v>
      </c>
      <c r="G361" s="8">
        <f t="shared" si="35"/>
        <v>10491859</v>
      </c>
      <c r="K361" s="8">
        <v>10491859</v>
      </c>
      <c r="M361" s="8">
        <f t="shared" si="36"/>
        <v>0</v>
      </c>
      <c r="W361" s="8">
        <f t="shared" si="37"/>
        <v>9498931</v>
      </c>
      <c r="Y361" s="8">
        <v>992928</v>
      </c>
      <c r="AA361" s="8">
        <v>10491859</v>
      </c>
      <c r="AD361" s="8">
        <f t="shared" si="38"/>
        <v>0</v>
      </c>
      <c r="AF361" s="35">
        <f t="shared" si="39"/>
        <v>0</v>
      </c>
    </row>
    <row r="362" spans="1:34" hidden="1">
      <c r="A362" s="108" t="s">
        <v>1001</v>
      </c>
      <c r="B362" s="12"/>
      <c r="C362" s="12" t="s">
        <v>603</v>
      </c>
      <c r="D362" s="12"/>
      <c r="E362" s="32">
        <v>49361</v>
      </c>
      <c r="G362" s="8">
        <f t="shared" si="35"/>
        <v>0</v>
      </c>
      <c r="M362" s="8">
        <f t="shared" si="36"/>
        <v>0</v>
      </c>
      <c r="W362" s="8">
        <f t="shared" si="37"/>
        <v>0</v>
      </c>
      <c r="AD362" s="8">
        <f t="shared" si="38"/>
        <v>0</v>
      </c>
      <c r="AF362" s="35">
        <f t="shared" si="39"/>
        <v>0</v>
      </c>
      <c r="AH362" s="8" t="s">
        <v>967</v>
      </c>
    </row>
    <row r="363" spans="1:34">
      <c r="A363" s="12" t="s">
        <v>538</v>
      </c>
      <c r="B363" s="12"/>
      <c r="C363" s="12" t="s">
        <v>48</v>
      </c>
      <c r="D363" s="12"/>
      <c r="E363" s="32">
        <v>45518</v>
      </c>
      <c r="G363" s="8">
        <f t="shared" si="35"/>
        <v>55132985</v>
      </c>
      <c r="I363" s="8">
        <v>5165317</v>
      </c>
      <c r="K363" s="8">
        <v>60298302</v>
      </c>
      <c r="M363" s="8">
        <f t="shared" si="36"/>
        <v>12135057</v>
      </c>
      <c r="O363" s="8">
        <v>80356</v>
      </c>
      <c r="Q363" s="8">
        <v>16237536</v>
      </c>
      <c r="S363" s="8">
        <v>28452949</v>
      </c>
      <c r="U363" s="8">
        <v>4426952</v>
      </c>
      <c r="W363" s="8">
        <f t="shared" si="37"/>
        <v>25942622</v>
      </c>
      <c r="Y363" s="8">
        <v>1475779</v>
      </c>
      <c r="AA363" s="8">
        <v>31845353</v>
      </c>
      <c r="AD363" s="8">
        <f t="shared" si="38"/>
        <v>0</v>
      </c>
      <c r="AF363" s="35">
        <f t="shared" si="39"/>
        <v>0</v>
      </c>
    </row>
    <row r="364" spans="1:34">
      <c r="A364" s="12" t="s">
        <v>657</v>
      </c>
      <c r="B364" s="12"/>
      <c r="C364" s="12" t="s">
        <v>62</v>
      </c>
      <c r="D364" s="12"/>
      <c r="E364" s="32">
        <v>49890</v>
      </c>
      <c r="G364" s="8">
        <f t="shared" ref="G364:G380" si="40">+K364-I364</f>
        <v>11535456</v>
      </c>
      <c r="I364" s="8">
        <v>38600995</v>
      </c>
      <c r="K364" s="8">
        <v>50136451</v>
      </c>
      <c r="M364" s="8">
        <f t="shared" ref="M364:M380" si="41">+S364-O364-Q364</f>
        <v>7890309</v>
      </c>
      <c r="O364" s="8">
        <v>555134</v>
      </c>
      <c r="Q364" s="8">
        <v>14149526</v>
      </c>
      <c r="S364" s="8">
        <v>22594969</v>
      </c>
      <c r="U364" s="8">
        <v>26350999</v>
      </c>
      <c r="W364" s="8">
        <f t="shared" si="37"/>
        <v>4384115</v>
      </c>
      <c r="Y364" s="8">
        <v>-3193632</v>
      </c>
      <c r="AA364" s="8">
        <v>27541482</v>
      </c>
      <c r="AD364" s="8">
        <f t="shared" si="38"/>
        <v>0</v>
      </c>
      <c r="AF364" s="35">
        <f t="shared" ref="AF364:AF429" si="42">+G364+I364+-M364-O364-U364-W364-Y364-Q364</f>
        <v>0</v>
      </c>
    </row>
    <row r="365" spans="1:34">
      <c r="A365" s="12" t="s">
        <v>629</v>
      </c>
      <c r="B365" s="12"/>
      <c r="C365" s="12" t="s">
        <v>59</v>
      </c>
      <c r="D365" s="12"/>
      <c r="E365" s="32">
        <v>49627</v>
      </c>
      <c r="F365" s="11"/>
      <c r="G365" s="8">
        <f t="shared" si="40"/>
        <v>4214730</v>
      </c>
      <c r="I365" s="8">
        <v>28890513</v>
      </c>
      <c r="K365" s="8">
        <v>33105243</v>
      </c>
      <c r="M365" s="8">
        <f t="shared" si="41"/>
        <v>2739942</v>
      </c>
      <c r="O365" s="8">
        <v>393183</v>
      </c>
      <c r="Q365" s="8">
        <v>4081854</v>
      </c>
      <c r="S365" s="8">
        <v>7214979</v>
      </c>
      <c r="U365" s="8">
        <v>25814308</v>
      </c>
      <c r="W365" s="8">
        <f t="shared" si="37"/>
        <v>1295221</v>
      </c>
      <c r="Y365" s="8">
        <v>-1219265</v>
      </c>
      <c r="AA365" s="8">
        <v>25890264</v>
      </c>
      <c r="AD365" s="8">
        <f t="shared" si="38"/>
        <v>0</v>
      </c>
      <c r="AF365" s="35">
        <f t="shared" si="42"/>
        <v>0</v>
      </c>
    </row>
    <row r="366" spans="1:34">
      <c r="A366" s="12" t="s">
        <v>226</v>
      </c>
      <c r="B366" s="12"/>
      <c r="C366" s="12" t="s">
        <v>14</v>
      </c>
      <c r="D366" s="12"/>
      <c r="E366" s="32">
        <v>45948</v>
      </c>
      <c r="G366" s="8">
        <f t="shared" si="40"/>
        <v>6136402</v>
      </c>
      <c r="I366" s="8">
        <v>15392766</v>
      </c>
      <c r="K366" s="8">
        <v>21529168</v>
      </c>
      <c r="M366" s="8">
        <f t="shared" si="41"/>
        <v>3996237</v>
      </c>
      <c r="O366" s="8">
        <v>643959</v>
      </c>
      <c r="Q366" s="8">
        <v>12285769</v>
      </c>
      <c r="S366" s="8">
        <v>16925965</v>
      </c>
      <c r="U366" s="8">
        <v>4918289</v>
      </c>
      <c r="W366" s="8">
        <f t="shared" si="37"/>
        <v>370403</v>
      </c>
      <c r="Y366" s="8">
        <v>-685489</v>
      </c>
      <c r="AA366" s="8">
        <v>4603203</v>
      </c>
      <c r="AD366" s="8">
        <f t="shared" si="38"/>
        <v>0</v>
      </c>
      <c r="AF366" s="35">
        <f t="shared" si="42"/>
        <v>0</v>
      </c>
    </row>
    <row r="367" spans="1:34" hidden="1">
      <c r="A367" s="117" t="s">
        <v>884</v>
      </c>
      <c r="B367" s="12"/>
      <c r="C367" s="12" t="s">
        <v>21</v>
      </c>
      <c r="D367" s="12"/>
      <c r="E367" s="32">
        <v>46672</v>
      </c>
      <c r="G367" s="8">
        <f t="shared" si="40"/>
        <v>2832221</v>
      </c>
      <c r="K367" s="8">
        <v>2832221</v>
      </c>
      <c r="M367" s="8">
        <f t="shared" si="41"/>
        <v>0</v>
      </c>
      <c r="W367" s="8">
        <f t="shared" si="37"/>
        <v>910135</v>
      </c>
      <c r="Y367" s="8">
        <v>1922086</v>
      </c>
      <c r="AA367" s="8">
        <v>2832221</v>
      </c>
      <c r="AD367" s="8">
        <f t="shared" si="38"/>
        <v>0</v>
      </c>
      <c r="AF367" s="35">
        <f t="shared" si="42"/>
        <v>0</v>
      </c>
    </row>
    <row r="368" spans="1:34">
      <c r="A368" s="12" t="s">
        <v>667</v>
      </c>
      <c r="B368" s="12"/>
      <c r="C368" s="12" t="s">
        <v>63</v>
      </c>
      <c r="D368" s="12"/>
      <c r="E368" s="32">
        <v>50039</v>
      </c>
      <c r="G368" s="8">
        <f t="shared" si="40"/>
        <v>9291375</v>
      </c>
      <c r="I368" s="8">
        <v>14381567</v>
      </c>
      <c r="K368" s="8">
        <v>23672942</v>
      </c>
      <c r="M368" s="8">
        <f t="shared" si="41"/>
        <v>3238857</v>
      </c>
      <c r="O368" s="8">
        <v>447677</v>
      </c>
      <c r="Q368" s="8">
        <v>12209943</v>
      </c>
      <c r="S368" s="8">
        <v>15896477</v>
      </c>
      <c r="U368" s="8">
        <v>2978985</v>
      </c>
      <c r="W368" s="8">
        <f t="shared" si="37"/>
        <v>566309</v>
      </c>
      <c r="Y368" s="8">
        <v>4231171</v>
      </c>
      <c r="AA368" s="8">
        <v>7776465</v>
      </c>
      <c r="AD368" s="8">
        <f t="shared" si="38"/>
        <v>0</v>
      </c>
      <c r="AF368" s="35">
        <f t="shared" si="42"/>
        <v>0</v>
      </c>
    </row>
    <row r="369" spans="1:34" hidden="1">
      <c r="A369" s="117" t="s">
        <v>842</v>
      </c>
      <c r="B369" s="12"/>
      <c r="C369" s="12" t="s">
        <v>740</v>
      </c>
      <c r="D369" s="12"/>
      <c r="E369" s="32">
        <v>50740</v>
      </c>
      <c r="G369" s="8">
        <f t="shared" si="40"/>
        <v>1878699</v>
      </c>
      <c r="K369" s="8">
        <v>1878699</v>
      </c>
      <c r="M369" s="8">
        <f t="shared" si="41"/>
        <v>0</v>
      </c>
      <c r="W369" s="8">
        <f t="shared" si="37"/>
        <v>1217840</v>
      </c>
      <c r="Y369" s="8">
        <v>660859</v>
      </c>
      <c r="AA369" s="8">
        <v>1878699</v>
      </c>
      <c r="AD369" s="8">
        <f t="shared" ref="AD369:AD437" si="43">+K369-S369-AA369</f>
        <v>0</v>
      </c>
      <c r="AF369" s="35">
        <f t="shared" si="42"/>
        <v>0</v>
      </c>
    </row>
    <row r="370" spans="1:34">
      <c r="A370" s="12" t="s">
        <v>248</v>
      </c>
      <c r="B370" s="12"/>
      <c r="C370" s="12" t="s">
        <v>242</v>
      </c>
      <c r="D370" s="12"/>
      <c r="E370" s="32">
        <v>139303</v>
      </c>
      <c r="G370" s="8">
        <f t="shared" si="40"/>
        <v>16670000</v>
      </c>
      <c r="I370" s="8">
        <v>34230000</v>
      </c>
      <c r="K370" s="8">
        <v>50900000</v>
      </c>
      <c r="M370" s="8">
        <f t="shared" si="41"/>
        <v>14158136</v>
      </c>
      <c r="O370" s="8">
        <v>1141377</v>
      </c>
      <c r="Q370" s="8">
        <v>32400487</v>
      </c>
      <c r="S370" s="8">
        <v>47700000</v>
      </c>
      <c r="U370" s="8">
        <v>2560000</v>
      </c>
      <c r="W370" s="8">
        <f t="shared" si="37"/>
        <v>1010000</v>
      </c>
      <c r="Y370" s="8">
        <v>-330000</v>
      </c>
      <c r="AA370" s="8">
        <v>3240000</v>
      </c>
      <c r="AD370" s="8">
        <f t="shared" si="43"/>
        <v>-40000</v>
      </c>
      <c r="AF370" s="35">
        <f t="shared" si="42"/>
        <v>-40000</v>
      </c>
      <c r="AH370" s="8" t="s">
        <v>927</v>
      </c>
    </row>
    <row r="371" spans="1:34">
      <c r="A371" s="12" t="s">
        <v>444</v>
      </c>
      <c r="B371" s="12"/>
      <c r="C371" s="12" t="s">
        <v>37</v>
      </c>
      <c r="D371" s="12"/>
      <c r="E371" s="32">
        <v>47712</v>
      </c>
      <c r="G371" s="8">
        <f t="shared" si="40"/>
        <v>4004375</v>
      </c>
      <c r="I371" s="8">
        <v>1885575</v>
      </c>
      <c r="K371" s="8">
        <v>5889950</v>
      </c>
      <c r="M371" s="8">
        <f t="shared" si="41"/>
        <v>2678583</v>
      </c>
      <c r="O371" s="8">
        <v>110853</v>
      </c>
      <c r="Q371" s="8">
        <v>495422</v>
      </c>
      <c r="S371" s="8">
        <v>3284858</v>
      </c>
      <c r="U371" s="8">
        <v>1684995</v>
      </c>
      <c r="W371" s="8">
        <f t="shared" si="37"/>
        <v>176135</v>
      </c>
      <c r="Y371" s="8">
        <v>743962</v>
      </c>
      <c r="AA371" s="8">
        <v>2605092</v>
      </c>
      <c r="AD371" s="8">
        <f t="shared" si="43"/>
        <v>0</v>
      </c>
      <c r="AF371" s="35">
        <f t="shared" si="42"/>
        <v>0</v>
      </c>
    </row>
    <row r="372" spans="1:34">
      <c r="A372" s="12" t="s">
        <v>731</v>
      </c>
      <c r="B372" s="12"/>
      <c r="C372" s="12" t="s">
        <v>727</v>
      </c>
      <c r="D372" s="12"/>
      <c r="E372" s="32">
        <v>45526</v>
      </c>
      <c r="G372" s="8">
        <f t="shared" si="40"/>
        <v>6072788</v>
      </c>
      <c r="I372" s="8">
        <v>27255066</v>
      </c>
      <c r="K372" s="8">
        <v>33327854</v>
      </c>
      <c r="M372" s="8">
        <f t="shared" si="41"/>
        <v>2123908</v>
      </c>
      <c r="O372" s="8">
        <v>404793</v>
      </c>
      <c r="Q372" s="8">
        <v>5383206</v>
      </c>
      <c r="S372" s="8">
        <v>7911907</v>
      </c>
      <c r="U372" s="8">
        <v>22756431</v>
      </c>
      <c r="W372" s="8">
        <f t="shared" si="37"/>
        <v>2237782</v>
      </c>
      <c r="Y372" s="8">
        <v>421734</v>
      </c>
      <c r="AA372" s="8">
        <v>25415947</v>
      </c>
      <c r="AD372" s="8">
        <f t="shared" si="43"/>
        <v>0</v>
      </c>
      <c r="AF372" s="35">
        <f t="shared" si="42"/>
        <v>0</v>
      </c>
    </row>
    <row r="373" spans="1:34">
      <c r="A373" s="12" t="s">
        <v>558</v>
      </c>
      <c r="B373" s="12"/>
      <c r="C373" s="12" t="s">
        <v>559</v>
      </c>
      <c r="D373" s="12"/>
      <c r="E373" s="32">
        <v>48777</v>
      </c>
      <c r="G373" s="8">
        <f t="shared" si="40"/>
        <v>28027480</v>
      </c>
      <c r="I373" s="8">
        <v>34544800</v>
      </c>
      <c r="K373" s="8">
        <v>62572280</v>
      </c>
      <c r="M373" s="8">
        <f t="shared" si="41"/>
        <v>7244090</v>
      </c>
      <c r="O373" s="8">
        <v>963729</v>
      </c>
      <c r="Q373" s="8">
        <v>12671458</v>
      </c>
      <c r="S373" s="8">
        <v>20879277</v>
      </c>
      <c r="U373" s="8">
        <v>24671993</v>
      </c>
      <c r="W373" s="8">
        <f t="shared" si="37"/>
        <v>15413122</v>
      </c>
      <c r="Y373" s="8">
        <v>1607888</v>
      </c>
      <c r="AA373" s="8">
        <v>41693003</v>
      </c>
      <c r="AD373" s="8">
        <f t="shared" si="43"/>
        <v>0</v>
      </c>
      <c r="AF373" s="35">
        <f t="shared" si="42"/>
        <v>0</v>
      </c>
    </row>
    <row r="374" spans="1:34">
      <c r="A374" s="13" t="s">
        <v>858</v>
      </c>
      <c r="B374" s="12"/>
      <c r="C374" s="12" t="s">
        <v>78</v>
      </c>
      <c r="D374" s="12"/>
      <c r="E374" s="32">
        <v>45534</v>
      </c>
      <c r="G374" s="8">
        <f t="shared" si="40"/>
        <v>20096461</v>
      </c>
      <c r="I374" s="8">
        <v>26442555</v>
      </c>
      <c r="K374" s="8">
        <v>46539016</v>
      </c>
      <c r="M374" s="8">
        <f t="shared" si="41"/>
        <v>6043880</v>
      </c>
      <c r="O374" s="8">
        <v>504748</v>
      </c>
      <c r="Q374" s="8">
        <v>10534666</v>
      </c>
      <c r="S374" s="8">
        <v>17083294</v>
      </c>
      <c r="U374" s="8">
        <v>17982180</v>
      </c>
      <c r="W374" s="8">
        <f t="shared" si="37"/>
        <v>8990435</v>
      </c>
      <c r="Y374" s="8">
        <v>2483107</v>
      </c>
      <c r="AA374" s="8">
        <v>29455722</v>
      </c>
      <c r="AD374" s="8">
        <f t="shared" si="43"/>
        <v>0</v>
      </c>
      <c r="AF374" s="35">
        <f t="shared" si="42"/>
        <v>0</v>
      </c>
    </row>
    <row r="375" spans="1:34">
      <c r="A375" s="12" t="s">
        <v>457</v>
      </c>
      <c r="B375" s="12"/>
      <c r="C375" s="12" t="s">
        <v>40</v>
      </c>
      <c r="D375" s="12"/>
      <c r="E375" s="32">
        <v>44420</v>
      </c>
      <c r="G375" s="8">
        <f t="shared" si="40"/>
        <v>27816156</v>
      </c>
      <c r="I375" s="8">
        <v>13545164</v>
      </c>
      <c r="K375" s="8">
        <v>41361320</v>
      </c>
      <c r="M375" s="8">
        <f t="shared" si="41"/>
        <v>11496387</v>
      </c>
      <c r="O375" s="8">
        <v>859569</v>
      </c>
      <c r="Q375" s="8">
        <v>9283825</v>
      </c>
      <c r="S375" s="8">
        <v>21639781</v>
      </c>
      <c r="U375" s="8">
        <v>5991573</v>
      </c>
      <c r="W375" s="8">
        <f t="shared" si="37"/>
        <v>4741585</v>
      </c>
      <c r="Y375" s="8">
        <v>8988381</v>
      </c>
      <c r="AA375" s="8">
        <v>19721539</v>
      </c>
      <c r="AD375" s="8">
        <f t="shared" si="43"/>
        <v>0</v>
      </c>
      <c r="AF375" s="35">
        <f t="shared" si="42"/>
        <v>0</v>
      </c>
    </row>
    <row r="376" spans="1:34">
      <c r="A376" s="13" t="s">
        <v>1057</v>
      </c>
      <c r="B376" s="12"/>
      <c r="C376" s="12" t="s">
        <v>32</v>
      </c>
      <c r="D376" s="12"/>
      <c r="E376" s="32">
        <v>44412</v>
      </c>
      <c r="G376" s="8">
        <f t="shared" si="40"/>
        <v>101341907</v>
      </c>
      <c r="I376" s="8">
        <v>25154559</v>
      </c>
      <c r="K376" s="8">
        <v>126496466</v>
      </c>
      <c r="M376" s="8">
        <f t="shared" si="41"/>
        <v>19591483</v>
      </c>
      <c r="O376" s="8">
        <v>1188968</v>
      </c>
      <c r="Q376" s="8">
        <v>36940042</v>
      </c>
      <c r="S376" s="8">
        <v>57720493</v>
      </c>
      <c r="U376" s="8">
        <v>4085147</v>
      </c>
      <c r="W376" s="8">
        <f t="shared" si="37"/>
        <v>63726766</v>
      </c>
      <c r="Y376" s="8">
        <v>964060</v>
      </c>
      <c r="AA376" s="8">
        <v>68775973</v>
      </c>
      <c r="AD376" s="8">
        <f t="shared" si="43"/>
        <v>0</v>
      </c>
      <c r="AF376" s="35">
        <f t="shared" si="42"/>
        <v>0</v>
      </c>
      <c r="AH376" s="15" t="s">
        <v>905</v>
      </c>
    </row>
    <row r="377" spans="1:34">
      <c r="A377" s="12" t="s">
        <v>432</v>
      </c>
      <c r="B377" s="12"/>
      <c r="C377" s="12" t="s">
        <v>34</v>
      </c>
      <c r="D377" s="12"/>
      <c r="E377" s="32">
        <v>44438</v>
      </c>
      <c r="G377" s="8">
        <f t="shared" si="40"/>
        <v>25474215</v>
      </c>
      <c r="I377" s="8">
        <f>254016+9547078</f>
        <v>9801094</v>
      </c>
      <c r="K377" s="8">
        <v>35275309</v>
      </c>
      <c r="M377" s="8">
        <f t="shared" si="41"/>
        <v>14730901</v>
      </c>
      <c r="O377" s="8">
        <v>964131</v>
      </c>
      <c r="Q377" s="8">
        <v>8074558</v>
      </c>
      <c r="S377" s="8">
        <v>23769590</v>
      </c>
      <c r="U377" s="8">
        <v>3470550</v>
      </c>
      <c r="W377" s="8">
        <f t="shared" si="37"/>
        <v>683247</v>
      </c>
      <c r="Y377" s="8">
        <v>7351922</v>
      </c>
      <c r="AA377" s="8">
        <v>11505719</v>
      </c>
      <c r="AD377" s="8">
        <f t="shared" si="43"/>
        <v>0</v>
      </c>
      <c r="AF377" s="35">
        <f t="shared" si="42"/>
        <v>0</v>
      </c>
    </row>
    <row r="378" spans="1:34">
      <c r="A378" s="12" t="s">
        <v>224</v>
      </c>
      <c r="B378" s="12"/>
      <c r="C378" s="12" t="s">
        <v>13</v>
      </c>
      <c r="D378" s="12"/>
      <c r="E378" s="32">
        <v>44446</v>
      </c>
      <c r="G378" s="8">
        <f t="shared" si="40"/>
        <v>17971650</v>
      </c>
      <c r="I378" s="8">
        <f>15276228+12648001</f>
        <v>27924229</v>
      </c>
      <c r="K378" s="8">
        <v>45895879</v>
      </c>
      <c r="M378" s="8">
        <f t="shared" si="41"/>
        <v>4936719</v>
      </c>
      <c r="O378" s="8">
        <v>518552</v>
      </c>
      <c r="Q378" s="8">
        <v>7571397</v>
      </c>
      <c r="S378" s="8">
        <v>13026668</v>
      </c>
      <c r="U378" s="8">
        <v>20540229</v>
      </c>
      <c r="W378" s="8">
        <f t="shared" si="37"/>
        <v>10228020</v>
      </c>
      <c r="Y378" s="8">
        <v>2100962</v>
      </c>
      <c r="AA378" s="8">
        <v>32869211</v>
      </c>
      <c r="AD378" s="8">
        <f t="shared" si="43"/>
        <v>0</v>
      </c>
      <c r="AF378" s="35">
        <f t="shared" si="42"/>
        <v>0</v>
      </c>
    </row>
    <row r="379" spans="1:34">
      <c r="A379" s="12" t="s">
        <v>826</v>
      </c>
      <c r="B379" s="12"/>
      <c r="C379" s="12" t="s">
        <v>27</v>
      </c>
      <c r="D379" s="12"/>
      <c r="E379" s="32"/>
      <c r="G379" s="8">
        <f t="shared" si="40"/>
        <v>80468042</v>
      </c>
      <c r="I379" s="8">
        <f>3146592+81164027</f>
        <v>84310619</v>
      </c>
      <c r="K379" s="8">
        <v>164778661</v>
      </c>
      <c r="M379" s="8">
        <f t="shared" si="41"/>
        <v>38492765</v>
      </c>
      <c r="O379" s="8">
        <v>2864595</v>
      </c>
      <c r="Q379" s="8">
        <v>83966633</v>
      </c>
      <c r="S379" s="8">
        <v>125323993</v>
      </c>
      <c r="U379" s="8">
        <v>4902009</v>
      </c>
      <c r="W379" s="8">
        <f t="shared" si="37"/>
        <v>10062126</v>
      </c>
      <c r="Y379" s="8">
        <v>24490533</v>
      </c>
      <c r="AA379" s="8">
        <v>39454668</v>
      </c>
      <c r="AD379" s="8">
        <f>+K379-S379-AA379</f>
        <v>0</v>
      </c>
      <c r="AF379" s="35">
        <f t="shared" si="42"/>
        <v>0</v>
      </c>
    </row>
    <row r="380" spans="1:34">
      <c r="A380" s="12" t="s">
        <v>630</v>
      </c>
      <c r="B380" s="12"/>
      <c r="C380" s="12" t="s">
        <v>59</v>
      </c>
      <c r="D380" s="12"/>
      <c r="E380" s="32">
        <v>44461</v>
      </c>
      <c r="G380" s="8">
        <f t="shared" si="40"/>
        <v>23927765</v>
      </c>
      <c r="I380" s="8">
        <f>303560+1872885</f>
        <v>2176445</v>
      </c>
      <c r="K380" s="8">
        <v>26104210</v>
      </c>
      <c r="M380" s="8">
        <f t="shared" si="41"/>
        <v>2158356</v>
      </c>
      <c r="O380" s="8">
        <v>40261</v>
      </c>
      <c r="Q380" s="8">
        <v>3602094</v>
      </c>
      <c r="S380" s="8">
        <v>5800711</v>
      </c>
      <c r="U380" s="8">
        <v>2143624</v>
      </c>
      <c r="W380" s="8">
        <f>AA380-Y380-U380</f>
        <v>16980306</v>
      </c>
      <c r="Y380" s="8">
        <v>1179569</v>
      </c>
      <c r="AA380" s="8">
        <v>20303499</v>
      </c>
      <c r="AD380" s="8">
        <f t="shared" si="43"/>
        <v>0</v>
      </c>
      <c r="AF380" s="35">
        <f t="shared" si="42"/>
        <v>0</v>
      </c>
    </row>
    <row r="381" spans="1:34">
      <c r="A381" s="12" t="s">
        <v>227</v>
      </c>
      <c r="B381" s="12"/>
      <c r="C381" s="12" t="s">
        <v>14</v>
      </c>
      <c r="D381" s="12"/>
      <c r="E381" s="32">
        <v>45955</v>
      </c>
      <c r="G381" s="8">
        <f>+K381-I381</f>
        <v>9890416</v>
      </c>
      <c r="I381" s="8">
        <f>1025092+12702375</f>
        <v>13727467</v>
      </c>
      <c r="K381" s="8">
        <v>23617883</v>
      </c>
      <c r="M381" s="8">
        <f>+S381-O381-Q381</f>
        <v>3657666</v>
      </c>
      <c r="O381" s="8">
        <v>652693</v>
      </c>
      <c r="Q381" s="8">
        <v>5635976</v>
      </c>
      <c r="S381" s="8">
        <v>9946335</v>
      </c>
      <c r="U381" s="8">
        <v>8633518</v>
      </c>
      <c r="W381" s="8">
        <f>AA381-Y381-U381</f>
        <v>1221036</v>
      </c>
      <c r="Y381" s="8">
        <v>3816994</v>
      </c>
      <c r="AA381" s="8">
        <v>13671548</v>
      </c>
      <c r="AD381" s="8">
        <f t="shared" si="43"/>
        <v>0</v>
      </c>
      <c r="AF381" s="35">
        <f t="shared" si="42"/>
        <v>0</v>
      </c>
    </row>
    <row r="382" spans="1:34" hidden="1">
      <c r="A382" s="117" t="s">
        <v>1041</v>
      </c>
      <c r="B382" s="12"/>
      <c r="C382" s="12" t="s">
        <v>14</v>
      </c>
      <c r="D382" s="12"/>
      <c r="E382" s="32">
        <v>45963</v>
      </c>
      <c r="G382" s="35">
        <f t="shared" ref="G382:G408" si="44">+K382-I382</f>
        <v>0</v>
      </c>
      <c r="H382" s="35"/>
      <c r="I382" s="35"/>
      <c r="J382" s="35"/>
      <c r="K382" s="35"/>
      <c r="L382" s="35"/>
      <c r="M382" s="35">
        <f t="shared" ref="M382:M408" si="45">+S382-O382-Q382</f>
        <v>0</v>
      </c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>
        <f t="shared" si="43"/>
        <v>0</v>
      </c>
      <c r="AE382" s="35"/>
      <c r="AF382" s="35">
        <f t="shared" si="42"/>
        <v>0</v>
      </c>
    </row>
    <row r="383" spans="1:34">
      <c r="A383" s="12" t="s">
        <v>552</v>
      </c>
      <c r="B383" s="12"/>
      <c r="C383" s="12" t="s">
        <v>50</v>
      </c>
      <c r="D383" s="12"/>
      <c r="E383" s="32">
        <v>48710</v>
      </c>
      <c r="G383" s="8">
        <f>+K383-I383</f>
        <v>8710762</v>
      </c>
      <c r="I383" s="8">
        <v>27634537</v>
      </c>
      <c r="K383" s="8">
        <v>36345299</v>
      </c>
      <c r="M383" s="8">
        <f t="shared" si="45"/>
        <v>4264043</v>
      </c>
      <c r="O383" s="8">
        <v>350139</v>
      </c>
      <c r="Q383" s="8">
        <v>3913810</v>
      </c>
      <c r="S383" s="8">
        <v>8527992</v>
      </c>
      <c r="U383" s="8">
        <v>23826116</v>
      </c>
      <c r="W383" s="8">
        <f t="shared" ref="W383:W408" si="46">AA383-Y383-U383</f>
        <v>1237755</v>
      </c>
      <c r="Y383" s="8">
        <v>2753436</v>
      </c>
      <c r="AA383" s="8">
        <v>27817307</v>
      </c>
      <c r="AD383" s="8">
        <f t="shared" si="43"/>
        <v>0</v>
      </c>
      <c r="AF383" s="35">
        <f t="shared" si="42"/>
        <v>0</v>
      </c>
    </row>
    <row r="384" spans="1:34" hidden="1">
      <c r="A384" s="13" t="s">
        <v>580</v>
      </c>
      <c r="B384" s="13"/>
      <c r="C384" s="13" t="s">
        <v>579</v>
      </c>
      <c r="D384" s="13"/>
      <c r="E384" s="13">
        <v>44479</v>
      </c>
      <c r="G384" s="8">
        <f t="shared" si="44"/>
        <v>0</v>
      </c>
      <c r="M384" s="8">
        <f t="shared" si="45"/>
        <v>0</v>
      </c>
      <c r="W384" s="8">
        <f t="shared" si="46"/>
        <v>0</v>
      </c>
      <c r="AD384" s="8">
        <f t="shared" si="43"/>
        <v>0</v>
      </c>
      <c r="AF384" s="8">
        <f t="shared" si="42"/>
        <v>0</v>
      </c>
    </row>
    <row r="385" spans="1:32">
      <c r="A385" s="13" t="s">
        <v>445</v>
      </c>
      <c r="B385" s="13"/>
      <c r="C385" s="13" t="s">
        <v>37</v>
      </c>
      <c r="D385" s="13"/>
      <c r="E385" s="13">
        <v>47720</v>
      </c>
      <c r="G385" s="8">
        <f t="shared" si="44"/>
        <v>6096796</v>
      </c>
      <c r="I385" s="8">
        <v>14112313</v>
      </c>
      <c r="K385" s="8">
        <v>20209109</v>
      </c>
      <c r="M385" s="8">
        <f t="shared" si="45"/>
        <v>2941478</v>
      </c>
      <c r="O385" s="8">
        <v>299296</v>
      </c>
      <c r="Q385" s="8">
        <v>3041041</v>
      </c>
      <c r="S385" s="8">
        <v>6281815</v>
      </c>
      <c r="U385" s="8">
        <v>11633021</v>
      </c>
      <c r="W385" s="8">
        <f t="shared" si="46"/>
        <v>1346208</v>
      </c>
      <c r="Y385" s="8">
        <v>948065</v>
      </c>
      <c r="AA385" s="8">
        <v>13927294</v>
      </c>
      <c r="AD385" s="8">
        <f t="shared" si="43"/>
        <v>0</v>
      </c>
      <c r="AF385" s="8">
        <f t="shared" si="42"/>
        <v>0</v>
      </c>
    </row>
    <row r="386" spans="1:32">
      <c r="A386" s="12" t="s">
        <v>249</v>
      </c>
      <c r="B386" s="12"/>
      <c r="C386" s="12" t="s">
        <v>242</v>
      </c>
      <c r="D386" s="12"/>
      <c r="E386" s="32">
        <v>46136</v>
      </c>
      <c r="G386" s="8">
        <f t="shared" si="44"/>
        <v>4980502</v>
      </c>
      <c r="I386" s="8">
        <f>428932+12271194</f>
        <v>12700126</v>
      </c>
      <c r="K386" s="8">
        <v>17680628</v>
      </c>
      <c r="M386" s="8">
        <f t="shared" si="45"/>
        <v>1895565</v>
      </c>
      <c r="O386" s="8">
        <v>197705</v>
      </c>
      <c r="Q386" s="8">
        <v>1876136</v>
      </c>
      <c r="S386" s="8">
        <v>3969406</v>
      </c>
      <c r="U386" s="8">
        <v>10881126</v>
      </c>
      <c r="W386" s="8">
        <f t="shared" si="46"/>
        <v>602559</v>
      </c>
      <c r="Y386" s="8">
        <v>2227537</v>
      </c>
      <c r="AA386" s="8">
        <v>13711222</v>
      </c>
      <c r="AD386" s="8">
        <f t="shared" si="43"/>
        <v>0</v>
      </c>
      <c r="AF386" s="35">
        <f t="shared" si="42"/>
        <v>0</v>
      </c>
    </row>
    <row r="387" spans="1:32">
      <c r="A387" s="12" t="s">
        <v>698</v>
      </c>
      <c r="B387" s="12"/>
      <c r="C387" s="12" t="s">
        <v>65</v>
      </c>
      <c r="D387" s="12"/>
      <c r="E387" s="32">
        <v>44487</v>
      </c>
      <c r="G387" s="8">
        <f t="shared" si="44"/>
        <v>26585350</v>
      </c>
      <c r="I387" s="8">
        <v>11078472</v>
      </c>
      <c r="K387" s="8">
        <v>37663822</v>
      </c>
      <c r="M387" s="8">
        <f t="shared" si="45"/>
        <v>13954052</v>
      </c>
      <c r="O387" s="8">
        <v>875074</v>
      </c>
      <c r="Q387" s="8">
        <v>7356554</v>
      </c>
      <c r="S387" s="8">
        <v>22185680</v>
      </c>
      <c r="U387" s="8">
        <v>78210008</v>
      </c>
      <c r="W387" s="8">
        <f t="shared" si="46"/>
        <v>-68890707</v>
      </c>
      <c r="Y387" s="8">
        <v>6158841</v>
      </c>
      <c r="AA387" s="8">
        <v>15478142</v>
      </c>
      <c r="AD387" s="8">
        <f>+K387-S387-AA387</f>
        <v>0</v>
      </c>
      <c r="AF387" s="35">
        <f t="shared" si="42"/>
        <v>0</v>
      </c>
    </row>
    <row r="388" spans="1:32">
      <c r="A388" s="12" t="s">
        <v>271</v>
      </c>
      <c r="B388" s="12"/>
      <c r="C388" s="12" t="s">
        <v>115</v>
      </c>
      <c r="D388" s="12"/>
      <c r="E388" s="32">
        <v>45559</v>
      </c>
      <c r="G388" s="8">
        <f t="shared" si="44"/>
        <v>32260217</v>
      </c>
      <c r="I388" s="8">
        <f>490034+17789612</f>
        <v>18279646</v>
      </c>
      <c r="K388" s="8">
        <v>50539863</v>
      </c>
      <c r="M388" s="8">
        <f t="shared" si="45"/>
        <v>14262167</v>
      </c>
      <c r="O388" s="8">
        <v>309485</v>
      </c>
      <c r="Q388" s="8">
        <v>3003832</v>
      </c>
      <c r="S388" s="8">
        <v>17575484</v>
      </c>
      <c r="U388" s="8">
        <v>18049646</v>
      </c>
      <c r="W388" s="8">
        <f t="shared" si="46"/>
        <v>814044</v>
      </c>
      <c r="Y388" s="8">
        <v>14100689</v>
      </c>
      <c r="AA388" s="8">
        <v>32964379</v>
      </c>
      <c r="AD388" s="8">
        <f t="shared" si="43"/>
        <v>0</v>
      </c>
      <c r="AF388" s="35">
        <f t="shared" si="42"/>
        <v>0</v>
      </c>
    </row>
    <row r="389" spans="1:32" hidden="1">
      <c r="A389" s="117" t="s">
        <v>854</v>
      </c>
      <c r="B389" s="12"/>
      <c r="C389" s="12" t="s">
        <v>60</v>
      </c>
      <c r="D389" s="12"/>
      <c r="E389" s="32">
        <v>49718</v>
      </c>
      <c r="G389" s="8">
        <f t="shared" si="44"/>
        <v>0</v>
      </c>
      <c r="M389" s="8">
        <f t="shared" si="45"/>
        <v>0</v>
      </c>
      <c r="W389" s="8">
        <f t="shared" si="46"/>
        <v>0</v>
      </c>
      <c r="AD389" s="8">
        <f t="shared" si="43"/>
        <v>0</v>
      </c>
      <c r="AF389" s="35">
        <f t="shared" si="42"/>
        <v>0</v>
      </c>
    </row>
    <row r="390" spans="1:32">
      <c r="A390" s="12" t="s">
        <v>478</v>
      </c>
      <c r="B390" s="12"/>
      <c r="C390" s="12" t="s">
        <v>42</v>
      </c>
      <c r="D390" s="12"/>
      <c r="E390" s="32">
        <v>44453</v>
      </c>
      <c r="G390" s="8">
        <f t="shared" si="44"/>
        <v>119623571</v>
      </c>
      <c r="I390" s="8">
        <f>74121317+7097472</f>
        <v>81218789</v>
      </c>
      <c r="K390" s="8">
        <v>200842360</v>
      </c>
      <c r="M390" s="8">
        <f t="shared" si="45"/>
        <v>26934225</v>
      </c>
      <c r="O390" s="8">
        <v>2342199</v>
      </c>
      <c r="Q390" s="8">
        <v>71046151</v>
      </c>
      <c r="S390" s="8">
        <v>100322575</v>
      </c>
      <c r="U390" s="8">
        <v>25231038</v>
      </c>
      <c r="W390" s="8">
        <f t="shared" si="46"/>
        <v>76109543</v>
      </c>
      <c r="Y390" s="8">
        <v>-820796</v>
      </c>
      <c r="AA390" s="8">
        <v>100519785</v>
      </c>
      <c r="AD390" s="8">
        <f>+K390-S390-AA390</f>
        <v>0</v>
      </c>
      <c r="AF390" s="35">
        <f>+G390+I390+-M390-O390-U390-W390-Y390-Q390</f>
        <v>0</v>
      </c>
    </row>
    <row r="391" spans="1:32">
      <c r="A391" s="12" t="s">
        <v>382</v>
      </c>
      <c r="B391" s="12"/>
      <c r="C391" s="12" t="s">
        <v>30</v>
      </c>
      <c r="D391" s="12"/>
      <c r="E391" s="32">
        <v>47217</v>
      </c>
      <c r="G391" s="8">
        <f t="shared" si="44"/>
        <v>6390158</v>
      </c>
      <c r="I391" s="8">
        <v>3360385</v>
      </c>
      <c r="K391" s="8">
        <v>9750543</v>
      </c>
      <c r="M391" s="8">
        <f t="shared" si="45"/>
        <v>5205951</v>
      </c>
      <c r="O391" s="8">
        <v>56854</v>
      </c>
      <c r="Q391" s="8">
        <v>409028</v>
      </c>
      <c r="S391" s="8">
        <v>5671833</v>
      </c>
      <c r="U391" s="8">
        <v>3360385</v>
      </c>
      <c r="W391" s="8">
        <f t="shared" si="46"/>
        <v>147561</v>
      </c>
      <c r="Y391" s="8">
        <v>570764</v>
      </c>
      <c r="AA391" s="8">
        <v>4078710</v>
      </c>
      <c r="AD391" s="8">
        <f t="shared" si="43"/>
        <v>0</v>
      </c>
      <c r="AF391" s="35">
        <f t="shared" si="42"/>
        <v>0</v>
      </c>
    </row>
    <row r="392" spans="1:32">
      <c r="A392" s="12" t="s">
        <v>699</v>
      </c>
      <c r="B392" s="12"/>
      <c r="C392" s="12" t="s">
        <v>65</v>
      </c>
      <c r="D392" s="12"/>
      <c r="E392" s="32">
        <v>45542</v>
      </c>
      <c r="G392" s="8">
        <f t="shared" si="44"/>
        <v>5147157</v>
      </c>
      <c r="I392" s="8">
        <f>121788+15603547</f>
        <v>15725335</v>
      </c>
      <c r="K392" s="8">
        <v>20872492</v>
      </c>
      <c r="M392" s="8">
        <f t="shared" si="45"/>
        <v>3613450</v>
      </c>
      <c r="O392" s="8">
        <v>264479</v>
      </c>
      <c r="Q392" s="8">
        <v>3209217</v>
      </c>
      <c r="S392" s="8">
        <v>7087146</v>
      </c>
      <c r="U392" s="8">
        <v>12767461</v>
      </c>
      <c r="W392" s="8">
        <f t="shared" si="46"/>
        <v>1177149</v>
      </c>
      <c r="Y392" s="8">
        <v>-159264</v>
      </c>
      <c r="AA392" s="8">
        <v>13785346</v>
      </c>
      <c r="AD392" s="8">
        <f t="shared" si="43"/>
        <v>0</v>
      </c>
      <c r="AF392" s="35">
        <f t="shared" si="42"/>
        <v>0</v>
      </c>
    </row>
    <row r="393" spans="1:32">
      <c r="A393" s="12" t="s">
        <v>690</v>
      </c>
      <c r="B393" s="12"/>
      <c r="C393" s="12" t="s">
        <v>64</v>
      </c>
      <c r="D393" s="12"/>
      <c r="E393" s="32">
        <v>45567</v>
      </c>
      <c r="G393" s="8">
        <f t="shared" si="44"/>
        <v>8268145</v>
      </c>
      <c r="I393" s="8">
        <f>58300+20652865</f>
        <v>20711165</v>
      </c>
      <c r="K393" s="8">
        <v>28979310</v>
      </c>
      <c r="M393" s="8">
        <f t="shared" si="45"/>
        <v>4606892</v>
      </c>
      <c r="O393" s="8">
        <v>661054</v>
      </c>
      <c r="Q393" s="8">
        <v>4188488</v>
      </c>
      <c r="S393" s="8">
        <v>9456434</v>
      </c>
      <c r="U393" s="8">
        <v>16441165</v>
      </c>
      <c r="W393" s="8">
        <f t="shared" si="46"/>
        <v>2967201</v>
      </c>
      <c r="Y393" s="8">
        <v>114510</v>
      </c>
      <c r="AA393" s="8">
        <v>19522876</v>
      </c>
      <c r="AD393" s="8">
        <f t="shared" si="43"/>
        <v>0</v>
      </c>
      <c r="AF393" s="35">
        <f t="shared" si="42"/>
        <v>0</v>
      </c>
    </row>
    <row r="394" spans="1:32">
      <c r="A394" s="12" t="s">
        <v>539</v>
      </c>
      <c r="B394" s="12"/>
      <c r="C394" s="12" t="s">
        <v>48</v>
      </c>
      <c r="D394" s="12"/>
      <c r="E394" s="32">
        <v>48637</v>
      </c>
      <c r="G394" s="8">
        <f t="shared" si="44"/>
        <v>21232117</v>
      </c>
      <c r="I394" s="8">
        <v>6388040</v>
      </c>
      <c r="K394" s="8">
        <v>27620157</v>
      </c>
      <c r="M394" s="8">
        <f t="shared" si="45"/>
        <v>3890383</v>
      </c>
      <c r="O394" s="8">
        <v>389281</v>
      </c>
      <c r="Q394" s="8">
        <v>8281946</v>
      </c>
      <c r="S394" s="8">
        <v>12561610</v>
      </c>
      <c r="U394" s="8">
        <v>6379508</v>
      </c>
      <c r="W394" s="8">
        <f t="shared" si="46"/>
        <v>7537025</v>
      </c>
      <c r="Y394" s="8">
        <v>1142014</v>
      </c>
      <c r="AA394" s="8">
        <v>15058547</v>
      </c>
      <c r="AD394" s="8">
        <f t="shared" si="43"/>
        <v>0</v>
      </c>
      <c r="AF394" s="35">
        <f t="shared" si="42"/>
        <v>0</v>
      </c>
    </row>
    <row r="395" spans="1:32">
      <c r="A395" s="12" t="s">
        <v>820</v>
      </c>
      <c r="B395" s="12"/>
      <c r="C395" s="12" t="s">
        <v>64</v>
      </c>
      <c r="D395" s="12"/>
      <c r="E395" s="32"/>
      <c r="G395" s="8">
        <f t="shared" si="44"/>
        <v>73366019</v>
      </c>
      <c r="I395" s="8">
        <v>12042776</v>
      </c>
      <c r="K395" s="8">
        <v>85408795</v>
      </c>
      <c r="M395" s="8">
        <f t="shared" si="45"/>
        <v>11350713</v>
      </c>
      <c r="O395" s="8">
        <v>1683817</v>
      </c>
      <c r="Q395" s="8">
        <v>24529517</v>
      </c>
      <c r="S395" s="8">
        <v>37564047</v>
      </c>
      <c r="U395" s="8">
        <v>6168879</v>
      </c>
      <c r="W395" s="8">
        <f t="shared" si="46"/>
        <v>45228762</v>
      </c>
      <c r="Y395" s="8">
        <v>-3552893</v>
      </c>
      <c r="AA395" s="8">
        <v>47844748</v>
      </c>
      <c r="AD395" s="8">
        <f t="shared" si="43"/>
        <v>0</v>
      </c>
      <c r="AF395" s="35">
        <f t="shared" si="42"/>
        <v>0</v>
      </c>
    </row>
    <row r="396" spans="1:32">
      <c r="A396" s="12" t="s">
        <v>570</v>
      </c>
      <c r="B396" s="12"/>
      <c r="C396" s="12" t="s">
        <v>52</v>
      </c>
      <c r="D396" s="12"/>
      <c r="E396" s="32">
        <v>48900</v>
      </c>
      <c r="G396" s="8">
        <f t="shared" si="44"/>
        <v>5404600</v>
      </c>
      <c r="I396" s="8">
        <f>20925+4715254</f>
        <v>4736179</v>
      </c>
      <c r="K396" s="8">
        <v>10140779</v>
      </c>
      <c r="M396" s="8">
        <f t="shared" si="45"/>
        <v>3396269</v>
      </c>
      <c r="O396" s="8">
        <v>233044</v>
      </c>
      <c r="Q396" s="8">
        <v>350829</v>
      </c>
      <c r="S396" s="8">
        <v>3980142</v>
      </c>
      <c r="U396" s="8">
        <v>4501022</v>
      </c>
      <c r="W396" s="8">
        <f t="shared" si="46"/>
        <v>181387</v>
      </c>
      <c r="Y396" s="8">
        <v>1478228</v>
      </c>
      <c r="AA396" s="8">
        <v>6160637</v>
      </c>
      <c r="AD396" s="8">
        <f t="shared" si="43"/>
        <v>0</v>
      </c>
      <c r="AF396" s="35">
        <f t="shared" si="42"/>
        <v>0</v>
      </c>
    </row>
    <row r="397" spans="1:32">
      <c r="A397" s="12" t="s">
        <v>668</v>
      </c>
      <c r="B397" s="12"/>
      <c r="C397" s="12" t="s">
        <v>63</v>
      </c>
      <c r="D397" s="12"/>
      <c r="E397" s="32">
        <v>50047</v>
      </c>
      <c r="G397" s="8">
        <f t="shared" si="44"/>
        <v>51382558</v>
      </c>
      <c r="I397" s="8">
        <v>35363244</v>
      </c>
      <c r="K397" s="8">
        <v>86745802</v>
      </c>
      <c r="M397" s="8">
        <f t="shared" si="45"/>
        <v>29295063</v>
      </c>
      <c r="O397" s="8">
        <v>2584721</v>
      </c>
      <c r="Q397" s="8">
        <v>40547279</v>
      </c>
      <c r="S397" s="8">
        <v>72427063</v>
      </c>
      <c r="U397" s="8">
        <v>4296352</v>
      </c>
      <c r="W397" s="8">
        <f t="shared" si="46"/>
        <v>4630508</v>
      </c>
      <c r="Y397" s="8">
        <v>5391879</v>
      </c>
      <c r="AA397" s="8">
        <v>14318739</v>
      </c>
      <c r="AD397" s="8">
        <f t="shared" si="43"/>
        <v>0</v>
      </c>
      <c r="AF397" s="35">
        <f t="shared" si="42"/>
        <v>0</v>
      </c>
    </row>
    <row r="398" spans="1:32">
      <c r="A398" s="12" t="s">
        <v>735</v>
      </c>
      <c r="B398" s="12"/>
      <c r="C398" s="12" t="s">
        <v>72</v>
      </c>
      <c r="D398" s="12"/>
      <c r="E398" s="32">
        <v>50708</v>
      </c>
      <c r="G398" s="8">
        <f t="shared" si="44"/>
        <v>5669216</v>
      </c>
      <c r="I398" s="8">
        <f>39592+2160443</f>
        <v>2200035</v>
      </c>
      <c r="K398" s="8">
        <v>7869251</v>
      </c>
      <c r="M398" s="8">
        <f t="shared" si="45"/>
        <v>5434126</v>
      </c>
      <c r="O398" s="8">
        <v>47263</v>
      </c>
      <c r="Q398" s="8">
        <v>517131</v>
      </c>
      <c r="S398" s="8">
        <v>5998520</v>
      </c>
      <c r="U398" s="8">
        <v>380035</v>
      </c>
      <c r="W398" s="8">
        <f t="shared" si="46"/>
        <v>351854</v>
      </c>
      <c r="Y398" s="8">
        <v>1138842</v>
      </c>
      <c r="AA398" s="8">
        <v>1870731</v>
      </c>
      <c r="AD398" s="8">
        <f t="shared" si="43"/>
        <v>0</v>
      </c>
      <c r="AF398" s="35">
        <f t="shared" si="42"/>
        <v>0</v>
      </c>
    </row>
    <row r="399" spans="1:32" hidden="1">
      <c r="A399" s="117" t="s">
        <v>843</v>
      </c>
      <c r="B399" s="12"/>
      <c r="C399" s="12" t="s">
        <v>53</v>
      </c>
      <c r="D399" s="12"/>
      <c r="E399" s="32">
        <v>48967</v>
      </c>
      <c r="G399" s="8">
        <f t="shared" si="44"/>
        <v>0</v>
      </c>
      <c r="M399" s="8">
        <f t="shared" si="45"/>
        <v>0</v>
      </c>
      <c r="W399" s="8">
        <f t="shared" si="46"/>
        <v>0</v>
      </c>
      <c r="AD399" s="8">
        <f t="shared" si="43"/>
        <v>0</v>
      </c>
      <c r="AF399" s="35">
        <f t="shared" si="42"/>
        <v>0</v>
      </c>
    </row>
    <row r="400" spans="1:32">
      <c r="A400" s="12" t="s">
        <v>658</v>
      </c>
      <c r="B400" s="12"/>
      <c r="C400" s="12" t="s">
        <v>62</v>
      </c>
      <c r="D400" s="12"/>
      <c r="E400" s="32">
        <v>44503</v>
      </c>
      <c r="G400" s="8">
        <f t="shared" si="44"/>
        <v>27813041</v>
      </c>
      <c r="I400" s="8">
        <v>23153196</v>
      </c>
      <c r="K400" s="8">
        <v>50966237</v>
      </c>
      <c r="M400" s="8">
        <f t="shared" si="45"/>
        <v>27203843</v>
      </c>
      <c r="O400" s="8">
        <v>1952944</v>
      </c>
      <c r="Q400" s="8">
        <v>18653679</v>
      </c>
      <c r="S400" s="8">
        <v>47810466</v>
      </c>
      <c r="U400" s="8">
        <v>7316589</v>
      </c>
      <c r="W400" s="8">
        <f t="shared" si="46"/>
        <v>2828961</v>
      </c>
      <c r="Y400" s="8">
        <v>-6989779</v>
      </c>
      <c r="AA400" s="8">
        <v>3155771</v>
      </c>
      <c r="AD400" s="8">
        <f t="shared" si="43"/>
        <v>0</v>
      </c>
      <c r="AF400" s="35">
        <f t="shared" si="42"/>
        <v>0</v>
      </c>
    </row>
    <row r="401" spans="1:32" hidden="1">
      <c r="A401" s="12" t="s">
        <v>722</v>
      </c>
      <c r="B401" s="12"/>
      <c r="C401" s="12" t="s">
        <v>727</v>
      </c>
      <c r="D401" s="12"/>
      <c r="E401" s="32">
        <v>50641</v>
      </c>
      <c r="G401" s="8">
        <f t="shared" si="44"/>
        <v>0</v>
      </c>
      <c r="M401" s="8">
        <f t="shared" si="45"/>
        <v>0</v>
      </c>
      <c r="W401" s="8">
        <f t="shared" si="46"/>
        <v>0</v>
      </c>
      <c r="AD401" s="8">
        <f t="shared" si="43"/>
        <v>0</v>
      </c>
      <c r="AF401" s="35">
        <f t="shared" si="42"/>
        <v>0</v>
      </c>
    </row>
    <row r="402" spans="1:32">
      <c r="A402" s="12" t="s">
        <v>1045</v>
      </c>
      <c r="B402" s="12"/>
      <c r="C402" s="12" t="s">
        <v>32</v>
      </c>
      <c r="D402" s="12"/>
      <c r="E402" s="32">
        <v>44511</v>
      </c>
      <c r="G402" s="8">
        <f t="shared" si="44"/>
        <v>34423814</v>
      </c>
      <c r="I402" s="8">
        <v>7448869</v>
      </c>
      <c r="K402" s="8">
        <v>41872683</v>
      </c>
      <c r="M402" s="8">
        <f t="shared" si="45"/>
        <v>6748112</v>
      </c>
      <c r="O402" s="8">
        <v>339246</v>
      </c>
      <c r="Q402" s="8">
        <f>14646088-339246</f>
        <v>14306842</v>
      </c>
      <c r="S402" s="8">
        <v>21394200</v>
      </c>
      <c r="U402" s="8">
        <v>7448869</v>
      </c>
      <c r="W402" s="8">
        <f t="shared" si="46"/>
        <v>4423850</v>
      </c>
      <c r="Y402" s="8">
        <v>8605764</v>
      </c>
      <c r="AA402" s="8">
        <v>20478483</v>
      </c>
      <c r="AD402" s="8">
        <f t="shared" si="43"/>
        <v>0</v>
      </c>
      <c r="AF402" s="35">
        <f t="shared" si="42"/>
        <v>0</v>
      </c>
    </row>
    <row r="403" spans="1:32">
      <c r="A403" s="12" t="s">
        <v>479</v>
      </c>
      <c r="B403" s="12"/>
      <c r="C403" s="12" t="s">
        <v>42</v>
      </c>
      <c r="D403" s="12"/>
      <c r="E403" s="32">
        <v>48025</v>
      </c>
      <c r="G403" s="8">
        <f t="shared" si="44"/>
        <v>9337427</v>
      </c>
      <c r="I403" s="8">
        <v>34493504</v>
      </c>
      <c r="K403" s="8">
        <v>43830931</v>
      </c>
      <c r="M403" s="8">
        <f t="shared" si="45"/>
        <v>6704222</v>
      </c>
      <c r="O403" s="8">
        <v>585757</v>
      </c>
      <c r="Q403" s="8">
        <v>9908644</v>
      </c>
      <c r="S403" s="8">
        <v>17198623</v>
      </c>
      <c r="U403" s="8">
        <v>24943504</v>
      </c>
      <c r="W403" s="8">
        <f t="shared" si="46"/>
        <v>3620106</v>
      </c>
      <c r="Y403" s="8">
        <v>-1931302</v>
      </c>
      <c r="AA403" s="8">
        <v>26632308</v>
      </c>
      <c r="AD403" s="8">
        <f t="shared" si="43"/>
        <v>0</v>
      </c>
      <c r="AF403" s="35">
        <f t="shared" si="42"/>
        <v>0</v>
      </c>
    </row>
    <row r="404" spans="1:32">
      <c r="A404" s="12" t="s">
        <v>313</v>
      </c>
      <c r="B404" s="12"/>
      <c r="C404" s="12" t="s">
        <v>20</v>
      </c>
      <c r="D404" s="12"/>
      <c r="E404" s="32">
        <v>44529</v>
      </c>
      <c r="G404" s="8">
        <f t="shared" si="44"/>
        <v>52329086</v>
      </c>
      <c r="I404" s="8">
        <f>1241512+11501072</f>
        <v>12742584</v>
      </c>
      <c r="K404" s="8">
        <v>65071670</v>
      </c>
      <c r="M404" s="8">
        <f t="shared" si="45"/>
        <v>37548087</v>
      </c>
      <c r="O404" s="8">
        <v>1226607</v>
      </c>
      <c r="Q404" s="8">
        <v>3089218</v>
      </c>
      <c r="S404" s="8">
        <v>41863912</v>
      </c>
      <c r="U404" s="8">
        <v>12232584</v>
      </c>
      <c r="W404" s="8">
        <f t="shared" si="46"/>
        <v>2436491</v>
      </c>
      <c r="Y404" s="8">
        <v>8538683</v>
      </c>
      <c r="AA404" s="8">
        <v>23207758</v>
      </c>
      <c r="AD404" s="8">
        <f t="shared" si="43"/>
        <v>0</v>
      </c>
      <c r="AF404" s="35">
        <f t="shared" si="42"/>
        <v>0</v>
      </c>
    </row>
    <row r="405" spans="1:32">
      <c r="A405" s="12" t="s">
        <v>492</v>
      </c>
      <c r="B405" s="12"/>
      <c r="C405" s="12" t="s">
        <v>44</v>
      </c>
      <c r="D405" s="12"/>
      <c r="E405" s="32">
        <v>44537</v>
      </c>
      <c r="G405" s="8">
        <f t="shared" si="44"/>
        <v>32485918</v>
      </c>
      <c r="I405" s="8">
        <f>1740513+12561876</f>
        <v>14302389</v>
      </c>
      <c r="K405" s="8">
        <v>46788307</v>
      </c>
      <c r="M405" s="8">
        <f t="shared" si="45"/>
        <v>27965723</v>
      </c>
      <c r="O405" s="8">
        <v>408786</v>
      </c>
      <c r="Q405" s="8">
        <v>3980582</v>
      </c>
      <c r="S405" s="8">
        <v>32355091</v>
      </c>
      <c r="U405" s="8">
        <v>12216232</v>
      </c>
      <c r="W405" s="8">
        <f t="shared" si="46"/>
        <v>733374</v>
      </c>
      <c r="Y405" s="8">
        <v>1483610</v>
      </c>
      <c r="AA405" s="8">
        <v>14433216</v>
      </c>
      <c r="AD405" s="8">
        <f t="shared" si="43"/>
        <v>0</v>
      </c>
      <c r="AF405" s="35">
        <f t="shared" si="42"/>
        <v>0</v>
      </c>
    </row>
    <row r="406" spans="1:32">
      <c r="A406" s="12" t="s">
        <v>314</v>
      </c>
      <c r="B406" s="12"/>
      <c r="C406" s="12" t="s">
        <v>20</v>
      </c>
      <c r="D406" s="12"/>
      <c r="E406" s="32">
        <v>44545</v>
      </c>
      <c r="G406" s="8">
        <f t="shared" si="44"/>
        <v>46705906</v>
      </c>
      <c r="I406" s="8">
        <f>560140+24079785</f>
        <v>24639925</v>
      </c>
      <c r="K406" s="8">
        <v>71345831</v>
      </c>
      <c r="M406" s="8">
        <f t="shared" si="45"/>
        <v>35371101</v>
      </c>
      <c r="O406" s="8">
        <v>1382613</v>
      </c>
      <c r="Q406" s="8">
        <v>17393079</v>
      </c>
      <c r="S406" s="8">
        <v>54146793</v>
      </c>
      <c r="U406" s="8">
        <v>11158736</v>
      </c>
      <c r="W406" s="8">
        <f t="shared" si="46"/>
        <v>5195551</v>
      </c>
      <c r="Y406" s="8">
        <v>844751</v>
      </c>
      <c r="AA406" s="8">
        <v>17199038</v>
      </c>
      <c r="AD406" s="8">
        <f t="shared" si="43"/>
        <v>0</v>
      </c>
      <c r="AF406" s="35">
        <f t="shared" si="42"/>
        <v>0</v>
      </c>
    </row>
    <row r="407" spans="1:32">
      <c r="A407" s="12" t="s">
        <v>704</v>
      </c>
      <c r="B407" s="12"/>
      <c r="C407" s="12" t="s">
        <v>66</v>
      </c>
      <c r="D407" s="12"/>
      <c r="E407" s="32">
        <v>50336</v>
      </c>
      <c r="G407" s="8">
        <f t="shared" si="44"/>
        <v>23365513</v>
      </c>
      <c r="I407" s="8">
        <f>18326237+16754983</f>
        <v>35081220</v>
      </c>
      <c r="K407" s="8">
        <v>58446733</v>
      </c>
      <c r="M407" s="8">
        <f t="shared" si="45"/>
        <v>6875320</v>
      </c>
      <c r="O407" s="8">
        <v>495834</v>
      </c>
      <c r="Q407" s="8">
        <v>11785879</v>
      </c>
      <c r="S407" s="8">
        <v>19157033</v>
      </c>
      <c r="U407" s="8">
        <v>23386220</v>
      </c>
      <c r="W407" s="8">
        <f t="shared" si="46"/>
        <v>6072311</v>
      </c>
      <c r="Y407" s="8">
        <v>9831169</v>
      </c>
      <c r="AA407" s="8">
        <v>39289700</v>
      </c>
      <c r="AD407" s="8">
        <f t="shared" si="43"/>
        <v>0</v>
      </c>
      <c r="AF407" s="35">
        <f t="shared" si="42"/>
        <v>0</v>
      </c>
    </row>
    <row r="408" spans="1:32">
      <c r="A408" s="12" t="s">
        <v>262</v>
      </c>
      <c r="B408" s="12"/>
      <c r="C408" s="12" t="s">
        <v>17</v>
      </c>
      <c r="D408" s="12"/>
      <c r="E408" s="32">
        <v>46250</v>
      </c>
      <c r="G408" s="8">
        <f t="shared" si="44"/>
        <v>19954197</v>
      </c>
      <c r="I408" s="8">
        <v>19054630</v>
      </c>
      <c r="K408" s="8">
        <v>39008827</v>
      </c>
      <c r="M408" s="8">
        <f t="shared" si="45"/>
        <v>10658590</v>
      </c>
      <c r="O408" s="8">
        <v>847636</v>
      </c>
      <c r="Q408" s="8">
        <v>5164333</v>
      </c>
      <c r="S408" s="8">
        <v>16670559</v>
      </c>
      <c r="U408" s="8">
        <v>14029753</v>
      </c>
      <c r="W408" s="8">
        <f t="shared" si="46"/>
        <v>5273245</v>
      </c>
      <c r="Y408" s="8">
        <v>3035270</v>
      </c>
      <c r="AA408" s="8">
        <v>22338268</v>
      </c>
      <c r="AD408" s="8">
        <f t="shared" si="43"/>
        <v>0</v>
      </c>
      <c r="AF408" s="35">
        <f t="shared" si="42"/>
        <v>0</v>
      </c>
    </row>
    <row r="409" spans="1:32" hidden="1">
      <c r="A409" s="117" t="s">
        <v>1044</v>
      </c>
      <c r="B409" s="12"/>
      <c r="C409" s="12" t="s">
        <v>22</v>
      </c>
      <c r="D409" s="12"/>
      <c r="E409" s="32">
        <v>46722</v>
      </c>
      <c r="G409" s="8">
        <f t="shared" ref="G409:G439" si="47">+K409-I409</f>
        <v>0</v>
      </c>
      <c r="M409" s="8">
        <f t="shared" ref="M409:M448" si="48">+S409-O409-Q409</f>
        <v>0</v>
      </c>
      <c r="W409" s="8">
        <f t="shared" ref="W409:W439" si="49">AA409-Y409-U409</f>
        <v>0</v>
      </c>
      <c r="AD409" s="8">
        <f t="shared" si="43"/>
        <v>0</v>
      </c>
      <c r="AF409" s="35">
        <f t="shared" si="42"/>
        <v>0</v>
      </c>
    </row>
    <row r="410" spans="1:32">
      <c r="A410" s="12" t="s">
        <v>553</v>
      </c>
      <c r="B410" s="12"/>
      <c r="C410" s="12" t="s">
        <v>50</v>
      </c>
      <c r="D410" s="12"/>
      <c r="E410" s="32">
        <v>48728</v>
      </c>
      <c r="G410" s="8">
        <f t="shared" si="47"/>
        <v>33857815</v>
      </c>
      <c r="I410" s="8">
        <v>11028450</v>
      </c>
      <c r="K410" s="8">
        <v>44886265</v>
      </c>
      <c r="M410" s="8">
        <f t="shared" si="48"/>
        <v>31949976</v>
      </c>
      <c r="O410" s="8">
        <v>789876</v>
      </c>
      <c r="Q410" s="8">
        <v>2111045</v>
      </c>
      <c r="S410" s="8">
        <v>34850897</v>
      </c>
      <c r="U410" s="8">
        <v>5500657</v>
      </c>
      <c r="W410" s="8">
        <f t="shared" si="49"/>
        <v>1715092</v>
      </c>
      <c r="Y410" s="8">
        <v>2819619</v>
      </c>
      <c r="AA410" s="8">
        <v>10035368</v>
      </c>
      <c r="AD410" s="8">
        <f t="shared" si="43"/>
        <v>0</v>
      </c>
      <c r="AF410" s="35">
        <f t="shared" si="42"/>
        <v>0</v>
      </c>
    </row>
    <row r="411" spans="1:32">
      <c r="A411" s="12" t="s">
        <v>562</v>
      </c>
      <c r="B411" s="12"/>
      <c r="C411" s="12" t="s">
        <v>78</v>
      </c>
      <c r="D411" s="12"/>
      <c r="E411" s="32">
        <v>48819</v>
      </c>
      <c r="G411" s="8">
        <f t="shared" si="47"/>
        <v>40315874</v>
      </c>
      <c r="I411" s="8">
        <v>3128166</v>
      </c>
      <c r="K411" s="8">
        <v>43444040</v>
      </c>
      <c r="M411" s="8">
        <f t="shared" si="48"/>
        <v>4945096</v>
      </c>
      <c r="O411" s="8">
        <v>184643</v>
      </c>
      <c r="Q411" s="8">
        <v>15651927</v>
      </c>
      <c r="S411" s="8">
        <v>20781666</v>
      </c>
      <c r="U411" s="8">
        <v>1521354</v>
      </c>
      <c r="W411" s="8">
        <f t="shared" si="49"/>
        <v>20786166</v>
      </c>
      <c r="Y411" s="8">
        <v>354854</v>
      </c>
      <c r="AA411" s="8">
        <v>22662374</v>
      </c>
      <c r="AD411" s="8">
        <f t="shared" si="43"/>
        <v>0</v>
      </c>
      <c r="AF411" s="35">
        <f t="shared" si="42"/>
        <v>0</v>
      </c>
    </row>
    <row r="412" spans="1:32">
      <c r="A412" s="12" t="s">
        <v>480</v>
      </c>
      <c r="B412" s="12"/>
      <c r="C412" s="12" t="s">
        <v>50</v>
      </c>
      <c r="D412" s="12"/>
      <c r="E412" s="32">
        <v>48033</v>
      </c>
      <c r="G412" s="8">
        <f t="shared" si="47"/>
        <v>17813717</v>
      </c>
      <c r="I412" s="8">
        <f>1413567+11391232</f>
        <v>12804799</v>
      </c>
      <c r="K412" s="8">
        <v>30618516</v>
      </c>
      <c r="M412" s="8">
        <f t="shared" si="48"/>
        <v>8035949</v>
      </c>
      <c r="O412" s="8">
        <v>532397</v>
      </c>
      <c r="Q412" s="8">
        <v>11905259</v>
      </c>
      <c r="S412" s="8">
        <v>20473605</v>
      </c>
      <c r="U412" s="8">
        <v>1876183</v>
      </c>
      <c r="W412" s="8">
        <f t="shared" si="49"/>
        <v>1999801</v>
      </c>
      <c r="Y412" s="8">
        <v>6268927</v>
      </c>
      <c r="AA412" s="8">
        <v>10144911</v>
      </c>
      <c r="AD412" s="8">
        <f t="shared" si="43"/>
        <v>0</v>
      </c>
      <c r="AF412" s="35">
        <f t="shared" si="42"/>
        <v>0</v>
      </c>
    </row>
    <row r="413" spans="1:32">
      <c r="A413" s="12" t="s">
        <v>480</v>
      </c>
      <c r="B413" s="12"/>
      <c r="C413" s="12" t="s">
        <v>42</v>
      </c>
      <c r="D413" s="12"/>
      <c r="E413" s="32">
        <v>48736</v>
      </c>
      <c r="G413" s="8">
        <f t="shared" si="47"/>
        <v>7521159</v>
      </c>
      <c r="I413" s="8">
        <f>224090+12083359</f>
        <v>12307449</v>
      </c>
      <c r="K413" s="8">
        <v>19828608</v>
      </c>
      <c r="M413" s="8">
        <f t="shared" si="48"/>
        <v>5709588</v>
      </c>
      <c r="O413" s="8">
        <v>691990</v>
      </c>
      <c r="Q413" s="8">
        <v>6886812</v>
      </c>
      <c r="S413" s="8">
        <v>13288390</v>
      </c>
      <c r="U413" s="8">
        <v>5863651</v>
      </c>
      <c r="W413" s="8">
        <f t="shared" si="49"/>
        <v>827739</v>
      </c>
      <c r="Y413" s="8">
        <v>-151172</v>
      </c>
      <c r="AA413" s="8">
        <v>6540218</v>
      </c>
      <c r="AD413" s="8">
        <f t="shared" si="43"/>
        <v>0</v>
      </c>
      <c r="AF413" s="35">
        <f t="shared" si="42"/>
        <v>0</v>
      </c>
    </row>
    <row r="414" spans="1:32">
      <c r="A414" s="12" t="s">
        <v>402</v>
      </c>
      <c r="B414" s="12"/>
      <c r="C414" s="12" t="s">
        <v>32</v>
      </c>
      <c r="D414" s="12"/>
      <c r="E414" s="32">
        <v>47365</v>
      </c>
      <c r="G414" s="8">
        <f t="shared" si="47"/>
        <v>73475858</v>
      </c>
      <c r="I414" s="8">
        <f>3668199+19601585</f>
        <v>23269784</v>
      </c>
      <c r="K414" s="8">
        <v>96745642</v>
      </c>
      <c r="M414" s="8">
        <f t="shared" si="48"/>
        <v>43162154</v>
      </c>
      <c r="O414" s="8">
        <v>2219799</v>
      </c>
      <c r="Q414" s="8">
        <v>22635685</v>
      </c>
      <c r="S414" s="8">
        <v>68017638</v>
      </c>
      <c r="U414" s="8">
        <v>3408154</v>
      </c>
      <c r="W414" s="8">
        <f t="shared" si="49"/>
        <v>4119245</v>
      </c>
      <c r="Y414" s="8">
        <v>21200605</v>
      </c>
      <c r="AA414" s="8">
        <v>28728004</v>
      </c>
      <c r="AD414" s="8">
        <f t="shared" si="43"/>
        <v>0</v>
      </c>
      <c r="AF414" s="35">
        <f t="shared" si="42"/>
        <v>0</v>
      </c>
    </row>
    <row r="415" spans="1:32">
      <c r="A415" s="12" t="s">
        <v>804</v>
      </c>
      <c r="B415" s="12"/>
      <c r="C415" s="12" t="s">
        <v>59</v>
      </c>
      <c r="D415" s="12"/>
      <c r="E415" s="32">
        <v>49635</v>
      </c>
      <c r="G415" s="8">
        <f t="shared" si="47"/>
        <v>7019852</v>
      </c>
      <c r="I415" s="8">
        <f>248889+27071428</f>
        <v>27320317</v>
      </c>
      <c r="K415" s="8">
        <v>34340169</v>
      </c>
      <c r="M415" s="8">
        <f t="shared" si="48"/>
        <v>3956149</v>
      </c>
      <c r="O415" s="8">
        <v>638965</v>
      </c>
      <c r="Q415" s="8">
        <v>4186227</v>
      </c>
      <c r="S415" s="8">
        <v>8781341</v>
      </c>
      <c r="U415" s="8">
        <v>24580325</v>
      </c>
      <c r="W415" s="8">
        <f t="shared" si="49"/>
        <v>1738447</v>
      </c>
      <c r="Y415" s="8">
        <v>-759944</v>
      </c>
      <c r="AA415" s="8">
        <v>25558828</v>
      </c>
      <c r="AD415" s="8">
        <f t="shared" si="43"/>
        <v>0</v>
      </c>
      <c r="AF415" s="35">
        <f t="shared" si="42"/>
        <v>0</v>
      </c>
    </row>
    <row r="416" spans="1:32">
      <c r="A416" s="12" t="s">
        <v>402</v>
      </c>
      <c r="B416" s="12"/>
      <c r="C416" s="12" t="s">
        <v>62</v>
      </c>
      <c r="D416" s="12"/>
      <c r="E416" s="32">
        <v>49908</v>
      </c>
      <c r="F416" s="35"/>
      <c r="G416" s="8">
        <f t="shared" si="47"/>
        <v>8875674</v>
      </c>
      <c r="I416" s="8">
        <v>25884108</v>
      </c>
      <c r="K416" s="8">
        <v>34759782</v>
      </c>
      <c r="M416" s="8">
        <f t="shared" si="48"/>
        <v>10267930</v>
      </c>
      <c r="O416" s="8">
        <v>739601</v>
      </c>
      <c r="Q416" s="8">
        <v>22768485</v>
      </c>
      <c r="S416" s="8">
        <v>33776016</v>
      </c>
      <c r="U416" s="8">
        <v>3910014</v>
      </c>
      <c r="W416" s="8">
        <f t="shared" si="49"/>
        <v>2243382</v>
      </c>
      <c r="Y416" s="8">
        <v>-5169630</v>
      </c>
      <c r="AA416" s="8">
        <v>983766</v>
      </c>
      <c r="AD416" s="8">
        <f t="shared" si="43"/>
        <v>0</v>
      </c>
      <c r="AF416" s="35">
        <f t="shared" si="42"/>
        <v>0</v>
      </c>
    </row>
    <row r="417" spans="1:32">
      <c r="A417" s="12" t="s">
        <v>263</v>
      </c>
      <c r="B417" s="12"/>
      <c r="C417" s="12" t="s">
        <v>17</v>
      </c>
      <c r="D417" s="12"/>
      <c r="E417" s="32">
        <v>46268</v>
      </c>
      <c r="G417" s="8">
        <f t="shared" si="47"/>
        <v>9724859</v>
      </c>
      <c r="I417" s="8">
        <f>949676+5052613</f>
        <v>6002289</v>
      </c>
      <c r="K417" s="8">
        <v>15727148</v>
      </c>
      <c r="M417" s="8">
        <f t="shared" si="48"/>
        <v>6357546</v>
      </c>
      <c r="O417" s="8">
        <v>296004</v>
      </c>
      <c r="Q417" s="8">
        <v>1079406</v>
      </c>
      <c r="S417" s="8">
        <v>7732956</v>
      </c>
      <c r="U417" s="8">
        <v>6295772</v>
      </c>
      <c r="W417" s="8">
        <f t="shared" si="49"/>
        <v>437074</v>
      </c>
      <c r="Y417" s="8">
        <v>1261346</v>
      </c>
      <c r="AA417" s="8">
        <v>7994192</v>
      </c>
      <c r="AD417" s="8">
        <f t="shared" si="43"/>
        <v>0</v>
      </c>
      <c r="AF417" s="35">
        <f t="shared" si="42"/>
        <v>0</v>
      </c>
    </row>
    <row r="418" spans="1:32">
      <c r="A418" s="12" t="s">
        <v>736</v>
      </c>
      <c r="B418" s="12"/>
      <c r="C418" s="12" t="s">
        <v>72</v>
      </c>
      <c r="D418" s="12"/>
      <c r="E418" s="32">
        <v>50716</v>
      </c>
      <c r="G418" s="8">
        <f t="shared" si="47"/>
        <v>12305846</v>
      </c>
      <c r="I418" s="8">
        <f>193339+3663100</f>
        <v>3856439</v>
      </c>
      <c r="K418" s="8">
        <v>16162285</v>
      </c>
      <c r="M418" s="8">
        <f t="shared" si="48"/>
        <v>6534671</v>
      </c>
      <c r="O418" s="8">
        <v>362325</v>
      </c>
      <c r="Q418" s="8">
        <v>1427365</v>
      </c>
      <c r="S418" s="8">
        <v>8324361</v>
      </c>
      <c r="U418" s="8">
        <v>2711280</v>
      </c>
      <c r="W418" s="8">
        <f t="shared" si="49"/>
        <v>2413464</v>
      </c>
      <c r="Y418" s="8">
        <v>2713180</v>
      </c>
      <c r="AA418" s="8">
        <v>7837924</v>
      </c>
      <c r="AD418" s="8">
        <f t="shared" si="43"/>
        <v>0</v>
      </c>
      <c r="AF418" s="35">
        <f t="shared" si="42"/>
        <v>0</v>
      </c>
    </row>
    <row r="419" spans="1:32">
      <c r="A419" s="12" t="s">
        <v>669</v>
      </c>
      <c r="B419" s="12"/>
      <c r="C419" s="12" t="s">
        <v>63</v>
      </c>
      <c r="D419" s="12"/>
      <c r="E419" s="32">
        <v>44552</v>
      </c>
      <c r="G419" s="8">
        <f t="shared" si="47"/>
        <v>17743714</v>
      </c>
      <c r="I419" s="8">
        <v>3789143</v>
      </c>
      <c r="K419" s="8">
        <v>21532857</v>
      </c>
      <c r="M419" s="8">
        <f t="shared" si="48"/>
        <v>9571996</v>
      </c>
      <c r="O419" s="8">
        <v>137397</v>
      </c>
      <c r="Q419" s="8">
        <v>819808</v>
      </c>
      <c r="S419" s="8">
        <v>10529201</v>
      </c>
      <c r="U419" s="8">
        <v>3659174</v>
      </c>
      <c r="W419" s="8">
        <f t="shared" si="49"/>
        <v>2350030</v>
      </c>
      <c r="Y419" s="8">
        <v>4994452</v>
      </c>
      <c r="AA419" s="8">
        <v>11003656</v>
      </c>
      <c r="AD419" s="8">
        <f t="shared" si="43"/>
        <v>0</v>
      </c>
      <c r="AF419" s="35">
        <f t="shared" si="42"/>
        <v>0</v>
      </c>
    </row>
    <row r="420" spans="1:32">
      <c r="A420" s="12" t="s">
        <v>446</v>
      </c>
      <c r="B420" s="12"/>
      <c r="C420" s="12" t="s">
        <v>37</v>
      </c>
      <c r="D420" s="12"/>
      <c r="E420" s="32">
        <v>44560</v>
      </c>
      <c r="G420" s="8">
        <f t="shared" si="47"/>
        <v>24260746</v>
      </c>
      <c r="I420" s="8">
        <v>25602774</v>
      </c>
      <c r="K420" s="8">
        <v>49863520</v>
      </c>
      <c r="M420" s="8">
        <f t="shared" si="48"/>
        <v>9427280</v>
      </c>
      <c r="O420" s="8">
        <v>839112</v>
      </c>
      <c r="Q420" s="8">
        <f>14312322-839112</f>
        <v>13473210</v>
      </c>
      <c r="S420" s="8">
        <v>23739602</v>
      </c>
      <c r="U420" s="8">
        <v>13047783</v>
      </c>
      <c r="W420" s="8">
        <f t="shared" si="49"/>
        <v>4626162</v>
      </c>
      <c r="Y420" s="8">
        <v>8449973</v>
      </c>
      <c r="AA420" s="8">
        <v>26123918</v>
      </c>
      <c r="AD420" s="8">
        <f t="shared" si="43"/>
        <v>0</v>
      </c>
      <c r="AF420" s="35">
        <f t="shared" si="42"/>
        <v>0</v>
      </c>
    </row>
    <row r="421" spans="1:32">
      <c r="A421" s="12" t="s">
        <v>865</v>
      </c>
      <c r="B421" s="12"/>
      <c r="C421" s="12" t="s">
        <v>32</v>
      </c>
      <c r="D421" s="12"/>
      <c r="E421" s="32">
        <v>44578</v>
      </c>
      <c r="G421" s="8">
        <f t="shared" si="47"/>
        <v>18172088</v>
      </c>
      <c r="I421" s="8">
        <v>6621887</v>
      </c>
      <c r="K421" s="8">
        <v>24793975</v>
      </c>
      <c r="M421" s="8">
        <f t="shared" si="48"/>
        <v>10633565</v>
      </c>
      <c r="O421" s="8">
        <v>216790</v>
      </c>
      <c r="Q421" s="8">
        <f>5738840-216790</f>
        <v>5522050</v>
      </c>
      <c r="S421" s="8">
        <v>16372405</v>
      </c>
      <c r="U421" s="8">
        <v>1902887</v>
      </c>
      <c r="W421" s="8">
        <f t="shared" si="49"/>
        <v>2300425</v>
      </c>
      <c r="Y421" s="8">
        <v>4218258</v>
      </c>
      <c r="AA421" s="8">
        <v>8421570</v>
      </c>
      <c r="AD421" s="8">
        <f t="shared" si="43"/>
        <v>0</v>
      </c>
      <c r="AF421" s="35">
        <f t="shared" si="42"/>
        <v>0</v>
      </c>
    </row>
    <row r="422" spans="1:32">
      <c r="A422" s="12" t="s">
        <v>404</v>
      </c>
      <c r="B422" s="12"/>
      <c r="C422" s="12" t="s">
        <v>32</v>
      </c>
      <c r="D422" s="12"/>
      <c r="E422" s="32">
        <v>47373</v>
      </c>
      <c r="F422" s="11"/>
      <c r="G422" s="8">
        <f t="shared" si="47"/>
        <v>60997195</v>
      </c>
      <c r="I422" s="8">
        <v>48987653</v>
      </c>
      <c r="K422" s="8">
        <v>109984848</v>
      </c>
      <c r="M422" s="8">
        <f t="shared" si="48"/>
        <v>26103586</v>
      </c>
      <c r="O422" s="8">
        <v>1990578</v>
      </c>
      <c r="Q422" s="8">
        <f>47946464-1990578</f>
        <v>45955886</v>
      </c>
      <c r="S422" s="8">
        <v>74050050</v>
      </c>
      <c r="U422" s="8">
        <v>5852153</v>
      </c>
      <c r="W422" s="8">
        <f t="shared" si="49"/>
        <v>6386520</v>
      </c>
      <c r="Y422" s="8">
        <v>23696125</v>
      </c>
      <c r="AA422" s="8">
        <v>35934798</v>
      </c>
      <c r="AD422" s="8">
        <f t="shared" si="43"/>
        <v>0</v>
      </c>
      <c r="AF422" s="35">
        <f t="shared" si="42"/>
        <v>0</v>
      </c>
    </row>
    <row r="423" spans="1:32">
      <c r="A423" s="12" t="s">
        <v>554</v>
      </c>
      <c r="B423" s="12"/>
      <c r="C423" s="12" t="s">
        <v>50</v>
      </c>
      <c r="D423" s="12"/>
      <c r="E423" s="32">
        <v>44586</v>
      </c>
      <c r="G423" s="8">
        <f t="shared" si="47"/>
        <v>19252469</v>
      </c>
      <c r="I423" s="8">
        <v>22025296</v>
      </c>
      <c r="K423" s="8">
        <v>41277765</v>
      </c>
      <c r="M423" s="8">
        <f t="shared" si="48"/>
        <v>17567000</v>
      </c>
      <c r="O423" s="8">
        <v>612821</v>
      </c>
      <c r="Q423" s="8">
        <f>18874866-612821</f>
        <v>18262045</v>
      </c>
      <c r="S423" s="8">
        <v>36441866</v>
      </c>
      <c r="U423" s="8">
        <v>3779151</v>
      </c>
      <c r="W423" s="8">
        <f t="shared" si="49"/>
        <v>991560</v>
      </c>
      <c r="Y423" s="8">
        <v>65188</v>
      </c>
      <c r="AA423" s="8">
        <v>4835899</v>
      </c>
      <c r="AD423" s="8">
        <f t="shared" si="43"/>
        <v>0</v>
      </c>
      <c r="AF423" s="35">
        <f t="shared" si="42"/>
        <v>0</v>
      </c>
    </row>
    <row r="424" spans="1:32">
      <c r="A424" s="12" t="s">
        <v>493</v>
      </c>
      <c r="B424" s="12"/>
      <c r="C424" s="12" t="s">
        <v>44</v>
      </c>
      <c r="D424" s="12"/>
      <c r="E424" s="32">
        <v>44594</v>
      </c>
      <c r="G424" s="8">
        <f t="shared" si="47"/>
        <v>7701878</v>
      </c>
      <c r="I424" s="8">
        <v>5955442</v>
      </c>
      <c r="K424" s="8">
        <v>13657320</v>
      </c>
      <c r="M424" s="8">
        <f t="shared" si="48"/>
        <v>6544884</v>
      </c>
      <c r="O424" s="8">
        <v>464069</v>
      </c>
      <c r="Q424" s="8">
        <f>2091171-464069</f>
        <v>1627102</v>
      </c>
      <c r="S424" s="8">
        <v>8636055</v>
      </c>
      <c r="U424" s="8">
        <v>5518424</v>
      </c>
      <c r="W424" s="8">
        <f t="shared" si="49"/>
        <v>636839</v>
      </c>
      <c r="Y424" s="8">
        <v>-1133998</v>
      </c>
      <c r="AA424" s="8">
        <v>5021265</v>
      </c>
      <c r="AD424" s="8">
        <f t="shared" si="43"/>
        <v>0</v>
      </c>
      <c r="AF424" s="35">
        <f t="shared" si="42"/>
        <v>0</v>
      </c>
    </row>
    <row r="425" spans="1:32" hidden="1">
      <c r="A425" s="117" t="s">
        <v>834</v>
      </c>
      <c r="B425" s="12"/>
      <c r="C425" s="12" t="s">
        <v>60</v>
      </c>
      <c r="D425" s="12"/>
      <c r="E425" s="32">
        <v>49726</v>
      </c>
      <c r="G425" s="8">
        <f t="shared" si="47"/>
        <v>0</v>
      </c>
      <c r="M425" s="8">
        <f t="shared" si="48"/>
        <v>0</v>
      </c>
      <c r="W425" s="8">
        <f t="shared" si="49"/>
        <v>0</v>
      </c>
      <c r="AD425" s="8">
        <f t="shared" si="43"/>
        <v>0</v>
      </c>
      <c r="AF425" s="35">
        <f t="shared" si="42"/>
        <v>0</v>
      </c>
    </row>
    <row r="426" spans="1:32">
      <c r="A426" s="12"/>
      <c r="B426" s="12"/>
      <c r="C426" s="12"/>
      <c r="D426" s="12"/>
      <c r="E426" s="32"/>
      <c r="AF426" s="35"/>
    </row>
    <row r="427" spans="1:32">
      <c r="A427" s="12"/>
      <c r="B427" s="12"/>
      <c r="C427" s="12"/>
      <c r="D427" s="12"/>
      <c r="E427" s="32"/>
      <c r="AA427" s="8" t="s">
        <v>805</v>
      </c>
      <c r="AF427" s="35"/>
    </row>
    <row r="428" spans="1:32">
      <c r="A428" s="12"/>
      <c r="B428" s="12"/>
      <c r="C428" s="12"/>
      <c r="D428" s="12"/>
      <c r="E428" s="32"/>
      <c r="AF428" s="35"/>
    </row>
    <row r="429" spans="1:32">
      <c r="A429" s="12" t="s">
        <v>335</v>
      </c>
      <c r="B429" s="12"/>
      <c r="C429" s="12" t="s">
        <v>23</v>
      </c>
      <c r="D429" s="12"/>
      <c r="E429" s="32">
        <v>46763</v>
      </c>
      <c r="G429" s="35">
        <f t="shared" si="47"/>
        <v>233084765</v>
      </c>
      <c r="H429" s="35"/>
      <c r="I429" s="35">
        <f>48928279+270691873</f>
        <v>319620152</v>
      </c>
      <c r="J429" s="35"/>
      <c r="K429" s="35">
        <v>552704917</v>
      </c>
      <c r="L429" s="35"/>
      <c r="M429" s="35">
        <f t="shared" si="48"/>
        <v>140201188</v>
      </c>
      <c r="N429" s="35"/>
      <c r="O429" s="35">
        <v>10834658</v>
      </c>
      <c r="P429" s="35"/>
      <c r="Q429" s="35">
        <v>353824023</v>
      </c>
      <c r="R429" s="35"/>
      <c r="S429" s="35">
        <v>504859869</v>
      </c>
      <c r="T429" s="35"/>
      <c r="U429" s="35">
        <v>14819090</v>
      </c>
      <c r="V429" s="35"/>
      <c r="W429" s="35">
        <f t="shared" si="49"/>
        <v>21938231</v>
      </c>
      <c r="X429" s="35"/>
      <c r="Y429" s="35">
        <v>11087727</v>
      </c>
      <c r="Z429" s="35"/>
      <c r="AA429" s="35">
        <v>47845048</v>
      </c>
      <c r="AD429" s="8">
        <f t="shared" si="43"/>
        <v>0</v>
      </c>
      <c r="AF429" s="35">
        <f t="shared" si="42"/>
        <v>0</v>
      </c>
    </row>
    <row r="430" spans="1:32">
      <c r="A430" s="12" t="s">
        <v>315</v>
      </c>
      <c r="B430" s="12"/>
      <c r="C430" s="12" t="s">
        <v>20</v>
      </c>
      <c r="D430" s="12"/>
      <c r="E430" s="32">
        <v>46573</v>
      </c>
      <c r="G430" s="8">
        <f t="shared" si="47"/>
        <v>47354000</v>
      </c>
      <c r="I430" s="8">
        <f>16554457+16239786</f>
        <v>32794243</v>
      </c>
      <c r="K430" s="8">
        <v>80148243</v>
      </c>
      <c r="M430" s="8">
        <f t="shared" si="48"/>
        <v>23832228</v>
      </c>
      <c r="O430" s="8">
        <v>1381296</v>
      </c>
      <c r="Q430" s="8">
        <v>28732390</v>
      </c>
      <c r="S430" s="8">
        <v>53945914</v>
      </c>
      <c r="U430" s="8">
        <v>6029486</v>
      </c>
      <c r="W430" s="8">
        <f t="shared" si="49"/>
        <v>17475935</v>
      </c>
      <c r="Y430" s="8">
        <v>2696908</v>
      </c>
      <c r="AA430" s="8">
        <v>26202329</v>
      </c>
      <c r="AD430" s="8">
        <f t="shared" si="43"/>
        <v>0</v>
      </c>
      <c r="AF430" s="35">
        <f t="shared" ref="AF430:AF454" si="50">+G430+I430+-M430-O430-U430-W430-Y430-Q430</f>
        <v>0</v>
      </c>
    </row>
    <row r="431" spans="1:32">
      <c r="A431" s="12" t="s">
        <v>613</v>
      </c>
      <c r="B431" s="12"/>
      <c r="C431" s="12" t="s">
        <v>112</v>
      </c>
      <c r="D431" s="12"/>
      <c r="E431" s="32">
        <v>49478</v>
      </c>
      <c r="G431" s="8">
        <f t="shared" si="47"/>
        <v>18628173</v>
      </c>
      <c r="I431" s="8">
        <f>23564392+40839</f>
        <v>23605231</v>
      </c>
      <c r="K431" s="8">
        <v>42233404</v>
      </c>
      <c r="M431" s="8">
        <f t="shared" si="48"/>
        <v>9390080</v>
      </c>
      <c r="O431" s="8">
        <v>1157606</v>
      </c>
      <c r="Q431" s="8">
        <v>16746918</v>
      </c>
      <c r="S431" s="8">
        <v>27294604</v>
      </c>
      <c r="U431" s="8">
        <v>7681787</v>
      </c>
      <c r="W431" s="8">
        <f t="shared" si="49"/>
        <v>2700640</v>
      </c>
      <c r="Y431" s="8">
        <v>4556373</v>
      </c>
      <c r="AA431" s="8">
        <v>14938800</v>
      </c>
      <c r="AD431" s="8">
        <f t="shared" si="43"/>
        <v>0</v>
      </c>
      <c r="AF431" s="35">
        <f t="shared" si="50"/>
        <v>0</v>
      </c>
    </row>
    <row r="432" spans="1:32">
      <c r="A432" s="12" t="s">
        <v>316</v>
      </c>
      <c r="B432" s="12"/>
      <c r="C432" s="12" t="s">
        <v>20</v>
      </c>
      <c r="D432" s="12"/>
      <c r="E432" s="32">
        <v>46581</v>
      </c>
      <c r="G432" s="8">
        <f t="shared" si="47"/>
        <v>80293911</v>
      </c>
      <c r="I432" s="8">
        <f>7794988+34621519</f>
        <v>42416507</v>
      </c>
      <c r="K432" s="8">
        <v>122710418</v>
      </c>
      <c r="M432" s="8">
        <f t="shared" si="48"/>
        <v>37126157</v>
      </c>
      <c r="O432" s="8">
        <v>1649867</v>
      </c>
      <c r="Q432" s="8">
        <v>29076006</v>
      </c>
      <c r="S432" s="8">
        <v>67852030</v>
      </c>
      <c r="U432" s="8">
        <v>17654014</v>
      </c>
      <c r="W432" s="8">
        <f t="shared" si="49"/>
        <v>8090016</v>
      </c>
      <c r="Y432" s="8">
        <v>29114358</v>
      </c>
      <c r="AA432" s="8">
        <v>54858388</v>
      </c>
      <c r="AD432" s="8">
        <f t="shared" si="43"/>
        <v>0</v>
      </c>
      <c r="AF432" s="35">
        <f t="shared" si="50"/>
        <v>0</v>
      </c>
    </row>
    <row r="433" spans="1:34">
      <c r="A433" s="12" t="s">
        <v>498</v>
      </c>
      <c r="B433" s="12"/>
      <c r="C433" s="12" t="s">
        <v>117</v>
      </c>
      <c r="D433" s="12"/>
      <c r="E433" s="32">
        <v>44602</v>
      </c>
      <c r="G433" s="8">
        <f t="shared" si="47"/>
        <v>38625170</v>
      </c>
      <c r="I433" s="8">
        <v>59069298</v>
      </c>
      <c r="K433" s="8">
        <v>97694468</v>
      </c>
      <c r="M433" s="8">
        <f t="shared" si="48"/>
        <v>27052665</v>
      </c>
      <c r="O433" s="8">
        <v>2342317</v>
      </c>
      <c r="Q433" s="8">
        <v>49143899</v>
      </c>
      <c r="S433" s="8">
        <v>78538881</v>
      </c>
      <c r="U433" s="8">
        <v>14956559</v>
      </c>
      <c r="W433" s="8">
        <f t="shared" si="49"/>
        <v>8667472</v>
      </c>
      <c r="Y433" s="8">
        <v>-4468444</v>
      </c>
      <c r="AA433" s="8">
        <v>19155587</v>
      </c>
      <c r="AD433" s="8">
        <f t="shared" si="43"/>
        <v>0</v>
      </c>
      <c r="AF433" s="35">
        <f t="shared" si="50"/>
        <v>0</v>
      </c>
    </row>
    <row r="434" spans="1:34">
      <c r="A434" s="12" t="s">
        <v>803</v>
      </c>
      <c r="B434" s="12"/>
      <c r="C434" s="12" t="s">
        <v>71</v>
      </c>
      <c r="D434" s="12"/>
      <c r="E434" s="32">
        <v>44610</v>
      </c>
      <c r="G434" s="8">
        <f t="shared" si="47"/>
        <v>22879914</v>
      </c>
      <c r="I434" s="8">
        <v>24080099</v>
      </c>
      <c r="K434" s="8">
        <v>46960013</v>
      </c>
      <c r="M434" s="8">
        <f t="shared" si="48"/>
        <v>9986403</v>
      </c>
      <c r="O434" s="8">
        <v>421345</v>
      </c>
      <c r="Q434" s="8">
        <f>33699348-421345</f>
        <v>33278003</v>
      </c>
      <c r="S434" s="8">
        <v>43685751</v>
      </c>
      <c r="U434" s="8">
        <v>4390553</v>
      </c>
      <c r="W434" s="8">
        <f t="shared" si="49"/>
        <v>2132642</v>
      </c>
      <c r="Y434" s="8">
        <v>-3248933</v>
      </c>
      <c r="AA434" s="8">
        <v>3274262</v>
      </c>
      <c r="AD434" s="8">
        <f t="shared" si="43"/>
        <v>0</v>
      </c>
      <c r="AF434" s="35">
        <f t="shared" si="50"/>
        <v>0</v>
      </c>
    </row>
    <row r="435" spans="1:34">
      <c r="A435" s="12" t="s">
        <v>659</v>
      </c>
      <c r="B435" s="12"/>
      <c r="C435" s="12" t="s">
        <v>62</v>
      </c>
      <c r="D435" s="12"/>
      <c r="E435" s="32">
        <v>49916</v>
      </c>
      <c r="G435" s="8">
        <f t="shared" si="47"/>
        <v>24031026</v>
      </c>
      <c r="I435" s="8">
        <v>11188513</v>
      </c>
      <c r="K435" s="8">
        <v>35219539</v>
      </c>
      <c r="M435" s="8">
        <f t="shared" si="48"/>
        <v>5800111</v>
      </c>
      <c r="O435" s="8">
        <v>337938</v>
      </c>
      <c r="Q435" s="8">
        <f>9231403-337938</f>
        <v>8893465</v>
      </c>
      <c r="S435" s="8">
        <v>15031514</v>
      </c>
      <c r="U435" s="8">
        <v>10369225</v>
      </c>
      <c r="W435" s="8">
        <f t="shared" si="49"/>
        <v>6921107</v>
      </c>
      <c r="Y435" s="8">
        <v>2897693</v>
      </c>
      <c r="AA435" s="8">
        <v>20188025</v>
      </c>
      <c r="AD435" s="8">
        <f t="shared" si="43"/>
        <v>0</v>
      </c>
      <c r="AF435" s="35">
        <f t="shared" si="50"/>
        <v>0</v>
      </c>
    </row>
    <row r="436" spans="1:34">
      <c r="A436" s="12" t="s">
        <v>737</v>
      </c>
      <c r="B436" s="12"/>
      <c r="C436" s="12" t="s">
        <v>72</v>
      </c>
      <c r="D436" s="12"/>
      <c r="E436" s="32">
        <v>50724</v>
      </c>
      <c r="G436" s="8">
        <f t="shared" si="47"/>
        <v>8443671</v>
      </c>
      <c r="I436" s="8">
        <v>22097950</v>
      </c>
      <c r="K436" s="8">
        <v>30541621</v>
      </c>
      <c r="M436" s="8">
        <f t="shared" si="48"/>
        <v>5779526</v>
      </c>
      <c r="O436" s="8">
        <v>606945</v>
      </c>
      <c r="Q436" s="8">
        <f>19015934-606945</f>
        <v>18408989</v>
      </c>
      <c r="S436" s="8">
        <v>24795460</v>
      </c>
      <c r="U436" s="8">
        <v>4869222</v>
      </c>
      <c r="W436" s="8">
        <f t="shared" si="49"/>
        <v>1336122</v>
      </c>
      <c r="Y436" s="8">
        <v>-459183</v>
      </c>
      <c r="AA436" s="8">
        <v>5746161</v>
      </c>
      <c r="AD436" s="8">
        <f t="shared" si="43"/>
        <v>0</v>
      </c>
      <c r="AF436" s="35">
        <f t="shared" si="50"/>
        <v>0</v>
      </c>
    </row>
    <row r="437" spans="1:34">
      <c r="A437" s="12" t="s">
        <v>499</v>
      </c>
      <c r="B437" s="12"/>
      <c r="C437" s="12" t="s">
        <v>117</v>
      </c>
      <c r="D437" s="12"/>
      <c r="E437" s="32">
        <v>48215</v>
      </c>
      <c r="G437" s="8">
        <f t="shared" si="47"/>
        <v>16957844</v>
      </c>
      <c r="I437" s="8">
        <v>5876924</v>
      </c>
      <c r="K437" s="8">
        <v>22834768</v>
      </c>
      <c r="M437" s="8">
        <f t="shared" si="48"/>
        <v>10513071</v>
      </c>
      <c r="O437" s="8">
        <v>400287</v>
      </c>
      <c r="Q437" s="8">
        <f>5220429-400287</f>
        <v>4820142</v>
      </c>
      <c r="S437" s="8">
        <v>15733500</v>
      </c>
      <c r="U437" s="8">
        <v>2296924</v>
      </c>
      <c r="W437" s="8">
        <f t="shared" si="49"/>
        <v>1063023</v>
      </c>
      <c r="Y437" s="8">
        <v>3741321</v>
      </c>
      <c r="AA437" s="8">
        <v>7101268</v>
      </c>
      <c r="AD437" s="8">
        <f t="shared" si="43"/>
        <v>0</v>
      </c>
      <c r="AF437" s="35">
        <f t="shared" si="50"/>
        <v>0</v>
      </c>
    </row>
    <row r="438" spans="1:34" hidden="1">
      <c r="A438" s="108" t="s">
        <v>1047</v>
      </c>
      <c r="B438" s="12"/>
      <c r="C438" s="12" t="s">
        <v>603</v>
      </c>
      <c r="D438" s="12"/>
      <c r="E438" s="32">
        <v>49379</v>
      </c>
      <c r="G438" s="8">
        <f t="shared" si="47"/>
        <v>0</v>
      </c>
      <c r="M438" s="8">
        <f t="shared" si="48"/>
        <v>0</v>
      </c>
      <c r="W438" s="8">
        <f t="shared" si="49"/>
        <v>0</v>
      </c>
      <c r="AD438" s="8">
        <f t="shared" ref="AD438:AD454" si="51">+K438-S438-AA438</f>
        <v>0</v>
      </c>
      <c r="AF438" s="35">
        <f t="shared" si="50"/>
        <v>0</v>
      </c>
    </row>
    <row r="439" spans="1:34" hidden="1">
      <c r="A439" s="108" t="s">
        <v>1046</v>
      </c>
      <c r="B439" s="12"/>
      <c r="C439" s="12" t="s">
        <v>603</v>
      </c>
      <c r="D439" s="12"/>
      <c r="E439" s="32">
        <v>49387</v>
      </c>
      <c r="G439" s="8">
        <f t="shared" si="47"/>
        <v>0</v>
      </c>
      <c r="M439" s="8">
        <f t="shared" si="48"/>
        <v>0</v>
      </c>
      <c r="W439" s="8">
        <f t="shared" si="49"/>
        <v>0</v>
      </c>
      <c r="AD439" s="8">
        <f t="shared" si="51"/>
        <v>0</v>
      </c>
      <c r="AF439" s="35">
        <f t="shared" si="50"/>
        <v>0</v>
      </c>
    </row>
    <row r="440" spans="1:34">
      <c r="A440" s="12" t="s">
        <v>461</v>
      </c>
      <c r="B440" s="12"/>
      <c r="C440" s="12" t="s">
        <v>41</v>
      </c>
      <c r="D440" s="12"/>
      <c r="E440" s="32">
        <v>44628</v>
      </c>
      <c r="G440" s="8">
        <f>+K440-I440</f>
        <v>29721307</v>
      </c>
      <c r="I440" s="8">
        <v>92112684</v>
      </c>
      <c r="K440" s="8">
        <v>121833991</v>
      </c>
      <c r="M440" s="8">
        <f t="shared" si="48"/>
        <v>16674412</v>
      </c>
      <c r="O440" s="8">
        <v>965644</v>
      </c>
      <c r="Q440" s="8">
        <v>32141357</v>
      </c>
      <c r="S440" s="8">
        <v>49781413</v>
      </c>
      <c r="U440" s="8">
        <v>61785949</v>
      </c>
      <c r="W440" s="8">
        <f>AA440-Y440-U440</f>
        <v>11177292</v>
      </c>
      <c r="Y440" s="8">
        <v>-910663</v>
      </c>
      <c r="AA440" s="8">
        <v>72052578</v>
      </c>
      <c r="AD440" s="8">
        <f t="shared" si="51"/>
        <v>0</v>
      </c>
      <c r="AF440" s="35">
        <f t="shared" si="50"/>
        <v>0</v>
      </c>
    </row>
    <row r="441" spans="1:34" hidden="1">
      <c r="A441" s="12" t="s">
        <v>1003</v>
      </c>
      <c r="B441" s="12"/>
      <c r="C441" s="12" t="s">
        <v>41</v>
      </c>
      <c r="D441" s="12"/>
      <c r="E441" s="32">
        <v>47894</v>
      </c>
      <c r="G441" s="8">
        <f t="shared" ref="G441:G449" si="52">+K441-I441</f>
        <v>0</v>
      </c>
      <c r="M441" s="8">
        <f t="shared" si="48"/>
        <v>0</v>
      </c>
      <c r="W441" s="8">
        <f t="shared" ref="W441:W449" si="53">AA441-Y441-U441</f>
        <v>0</v>
      </c>
      <c r="AD441" s="8">
        <f t="shared" si="51"/>
        <v>0</v>
      </c>
      <c r="AF441" s="35">
        <f t="shared" si="50"/>
        <v>0</v>
      </c>
      <c r="AH441" s="8" t="s">
        <v>1029</v>
      </c>
    </row>
    <row r="442" spans="1:34">
      <c r="A442" s="12" t="s">
        <v>619</v>
      </c>
      <c r="B442" s="12"/>
      <c r="C442" s="12" t="s">
        <v>58</v>
      </c>
      <c r="D442" s="12"/>
      <c r="E442" s="32">
        <v>49510</v>
      </c>
      <c r="G442" s="8">
        <f t="shared" si="52"/>
        <v>8394921</v>
      </c>
      <c r="I442" s="8">
        <v>17370446</v>
      </c>
      <c r="K442" s="8">
        <v>25765367</v>
      </c>
      <c r="M442" s="8">
        <f t="shared" si="48"/>
        <v>2658381</v>
      </c>
      <c r="O442" s="8">
        <v>144492</v>
      </c>
      <c r="Q442" s="8">
        <v>1741837</v>
      </c>
      <c r="S442" s="8">
        <v>4544710</v>
      </c>
      <c r="U442" s="8">
        <v>16025597</v>
      </c>
      <c r="W442" s="8">
        <f t="shared" si="53"/>
        <v>2499118</v>
      </c>
      <c r="Y442" s="8">
        <v>2695942</v>
      </c>
      <c r="AA442" s="8">
        <v>21220657</v>
      </c>
      <c r="AD442" s="8">
        <f t="shared" si="51"/>
        <v>0</v>
      </c>
      <c r="AF442" s="35">
        <f t="shared" si="50"/>
        <v>0</v>
      </c>
      <c r="AH442" s="8" t="s">
        <v>956</v>
      </c>
    </row>
    <row r="443" spans="1:34" hidden="1">
      <c r="A443" s="117" t="s">
        <v>1004</v>
      </c>
      <c r="B443" s="12"/>
      <c r="C443" s="12" t="s">
        <v>603</v>
      </c>
      <c r="D443" s="12"/>
      <c r="E443" s="32">
        <v>49395</v>
      </c>
      <c r="F443" s="11"/>
      <c r="G443" s="8">
        <f t="shared" si="52"/>
        <v>0</v>
      </c>
      <c r="M443" s="8">
        <f t="shared" si="48"/>
        <v>0</v>
      </c>
      <c r="W443" s="8">
        <f t="shared" si="53"/>
        <v>0</v>
      </c>
      <c r="AD443" s="8">
        <f t="shared" si="51"/>
        <v>0</v>
      </c>
      <c r="AF443" s="35">
        <f t="shared" si="50"/>
        <v>0</v>
      </c>
    </row>
    <row r="444" spans="1:34" hidden="1">
      <c r="A444" s="117" t="s">
        <v>1005</v>
      </c>
      <c r="B444" s="12"/>
      <c r="C444" s="12" t="s">
        <v>534</v>
      </c>
      <c r="D444" s="12"/>
      <c r="E444" s="32">
        <v>48579</v>
      </c>
      <c r="G444" s="8">
        <f t="shared" si="52"/>
        <v>5611642</v>
      </c>
      <c r="K444" s="8">
        <v>5611642</v>
      </c>
      <c r="M444" s="8">
        <f t="shared" si="48"/>
        <v>0</v>
      </c>
      <c r="W444" s="8">
        <f t="shared" si="53"/>
        <v>2137608</v>
      </c>
      <c r="Y444" s="8">
        <v>3474034</v>
      </c>
      <c r="AA444" s="8">
        <v>5611642</v>
      </c>
      <c r="AD444" s="8">
        <f t="shared" si="51"/>
        <v>0</v>
      </c>
      <c r="AF444" s="35">
        <f t="shared" si="50"/>
        <v>0</v>
      </c>
    </row>
    <row r="445" spans="1:34">
      <c r="A445" s="12" t="s">
        <v>317</v>
      </c>
      <c r="B445" s="12"/>
      <c r="C445" s="12" t="s">
        <v>20</v>
      </c>
      <c r="D445" s="12"/>
      <c r="E445" s="32">
        <v>44636</v>
      </c>
      <c r="G445" s="8">
        <f t="shared" si="52"/>
        <v>110100000</v>
      </c>
      <c r="I445" s="8">
        <v>65400000</v>
      </c>
      <c r="K445" s="8">
        <v>175500000</v>
      </c>
      <c r="M445" s="8">
        <f t="shared" si="48"/>
        <v>80864832</v>
      </c>
      <c r="O445" s="8">
        <f>6050973+12431</f>
        <v>6063404</v>
      </c>
      <c r="Q445" s="8">
        <f>58072326+99438</f>
        <v>58171764</v>
      </c>
      <c r="S445" s="8">
        <v>145100000</v>
      </c>
      <c r="U445" s="8">
        <v>17500000</v>
      </c>
      <c r="W445" s="8">
        <f t="shared" si="53"/>
        <v>4100000</v>
      </c>
      <c r="Y445" s="8">
        <v>8800000</v>
      </c>
      <c r="AA445" s="8">
        <v>30400000</v>
      </c>
      <c r="AD445" s="8">
        <f t="shared" si="51"/>
        <v>0</v>
      </c>
      <c r="AF445" s="35">
        <f t="shared" si="50"/>
        <v>0</v>
      </c>
      <c r="AH445" s="8" t="s">
        <v>927</v>
      </c>
    </row>
    <row r="446" spans="1:34" s="35" customFormat="1">
      <c r="A446" s="34" t="s">
        <v>433</v>
      </c>
      <c r="B446" s="34"/>
      <c r="C446" s="34" t="s">
        <v>34</v>
      </c>
      <c r="D446" s="34"/>
      <c r="E446" s="34">
        <v>47597</v>
      </c>
      <c r="G446" s="8">
        <f t="shared" si="52"/>
        <v>8230711</v>
      </c>
      <c r="H446" s="8"/>
      <c r="I446" s="8">
        <v>15467310</v>
      </c>
      <c r="J446" s="8"/>
      <c r="K446" s="8">
        <v>23698021</v>
      </c>
      <c r="L446" s="8"/>
      <c r="M446" s="8">
        <f t="shared" si="48"/>
        <v>5279047</v>
      </c>
      <c r="N446" s="8"/>
      <c r="O446" s="8">
        <v>318150</v>
      </c>
      <c r="P446" s="8"/>
      <c r="Q446" s="8">
        <v>6297914</v>
      </c>
      <c r="R446" s="8"/>
      <c r="S446" s="8">
        <v>11895111</v>
      </c>
      <c r="T446" s="8"/>
      <c r="U446" s="8">
        <v>9898313</v>
      </c>
      <c r="V446" s="8"/>
      <c r="W446" s="8">
        <f t="shared" si="53"/>
        <v>855273</v>
      </c>
      <c r="X446" s="8"/>
      <c r="Y446" s="8">
        <v>1049324</v>
      </c>
      <c r="Z446" s="8"/>
      <c r="AA446" s="8">
        <v>11802910</v>
      </c>
      <c r="AD446" s="35">
        <f t="shared" si="51"/>
        <v>0</v>
      </c>
      <c r="AF446" s="35">
        <f t="shared" si="50"/>
        <v>0</v>
      </c>
    </row>
    <row r="447" spans="1:34" hidden="1">
      <c r="A447" s="117" t="s">
        <v>1007</v>
      </c>
      <c r="B447" s="12"/>
      <c r="C447" s="12" t="s">
        <v>576</v>
      </c>
      <c r="D447" s="12"/>
      <c r="E447" s="32">
        <v>45575</v>
      </c>
      <c r="G447" s="8">
        <f t="shared" si="52"/>
        <v>3394644</v>
      </c>
      <c r="K447" s="8">
        <v>3394644</v>
      </c>
      <c r="M447" s="8">
        <f t="shared" si="48"/>
        <v>0</v>
      </c>
      <c r="W447" s="8">
        <f t="shared" si="53"/>
        <v>1436921</v>
      </c>
      <c r="Y447" s="8">
        <v>1957723</v>
      </c>
      <c r="AA447" s="8">
        <v>3394644</v>
      </c>
      <c r="AD447" s="8">
        <f t="shared" si="51"/>
        <v>0</v>
      </c>
      <c r="AF447" s="35">
        <f t="shared" si="50"/>
        <v>0</v>
      </c>
    </row>
    <row r="448" spans="1:34">
      <c r="A448" s="12" t="s">
        <v>340</v>
      </c>
      <c r="B448" s="12"/>
      <c r="C448" s="12" t="s">
        <v>24</v>
      </c>
      <c r="D448" s="12"/>
      <c r="E448" s="32">
        <v>46813</v>
      </c>
      <c r="G448" s="8">
        <f t="shared" si="52"/>
        <v>21129554</v>
      </c>
      <c r="I448" s="8">
        <v>10091757</v>
      </c>
      <c r="K448" s="8">
        <v>31221311</v>
      </c>
      <c r="M448" s="8">
        <f t="shared" si="48"/>
        <v>12129385</v>
      </c>
      <c r="O448" s="8">
        <v>940261</v>
      </c>
      <c r="Q448" s="8">
        <v>4653537</v>
      </c>
      <c r="S448" s="8">
        <v>17723183</v>
      </c>
      <c r="U448" s="8">
        <v>6525849</v>
      </c>
      <c r="W448" s="8">
        <f t="shared" si="53"/>
        <v>1077658</v>
      </c>
      <c r="Y448" s="8">
        <v>5894621</v>
      </c>
      <c r="AA448" s="8">
        <v>13498128</v>
      </c>
      <c r="AD448" s="8">
        <f t="shared" si="51"/>
        <v>0</v>
      </c>
      <c r="AF448" s="35">
        <f t="shared" si="50"/>
        <v>0</v>
      </c>
    </row>
    <row r="449" spans="1:34" hidden="1">
      <c r="A449" s="117" t="s">
        <v>1008</v>
      </c>
      <c r="B449" s="12"/>
      <c r="C449" s="12" t="s">
        <v>10</v>
      </c>
      <c r="D449" s="12"/>
      <c r="E449" s="32"/>
      <c r="G449" s="8">
        <f t="shared" si="52"/>
        <v>3076553</v>
      </c>
      <c r="K449" s="8">
        <v>3076553</v>
      </c>
      <c r="W449" s="8">
        <f t="shared" si="53"/>
        <v>778961</v>
      </c>
      <c r="Y449" s="8">
        <v>2297592</v>
      </c>
      <c r="AA449" s="8">
        <v>3076553</v>
      </c>
      <c r="AD449" s="8">
        <f t="shared" si="51"/>
        <v>0</v>
      </c>
      <c r="AF449" s="35">
        <f t="shared" si="50"/>
        <v>0</v>
      </c>
    </row>
    <row r="450" spans="1:34">
      <c r="A450" s="12" t="s">
        <v>211</v>
      </c>
      <c r="B450" s="12"/>
      <c r="C450" s="12" t="s">
        <v>41</v>
      </c>
      <c r="D450" s="12"/>
      <c r="E450" s="32">
        <v>47902</v>
      </c>
      <c r="G450" s="8">
        <f>+K450-I450</f>
        <v>58213186</v>
      </c>
      <c r="I450" s="8">
        <v>52231769</v>
      </c>
      <c r="K450" s="8">
        <v>110444955</v>
      </c>
      <c r="M450" s="8">
        <f>+S450-O450-Q450</f>
        <v>25599166</v>
      </c>
      <c r="O450" s="8">
        <v>957499</v>
      </c>
      <c r="Q450" s="8">
        <v>5072551</v>
      </c>
      <c r="S450" s="8">
        <v>31629216</v>
      </c>
      <c r="U450" s="8">
        <v>50637415</v>
      </c>
      <c r="W450" s="8">
        <f>AA450-Y450-U450</f>
        <v>16356389</v>
      </c>
      <c r="Y450" s="8">
        <v>11821935</v>
      </c>
      <c r="AA450" s="8">
        <v>78815739</v>
      </c>
      <c r="AD450" s="8">
        <f t="shared" si="51"/>
        <v>0</v>
      </c>
      <c r="AF450" s="35">
        <f t="shared" si="50"/>
        <v>0</v>
      </c>
    </row>
    <row r="451" spans="1:34">
      <c r="A451" s="12" t="s">
        <v>211</v>
      </c>
      <c r="B451" s="12"/>
      <c r="C451" s="12" t="s">
        <v>62</v>
      </c>
      <c r="D451" s="12"/>
      <c r="E451" s="32">
        <v>49924</v>
      </c>
      <c r="G451" s="8">
        <f>+K451-I451</f>
        <v>51854278</v>
      </c>
      <c r="I451" s="8">
        <v>22519944</v>
      </c>
      <c r="K451" s="8">
        <v>74374222</v>
      </c>
      <c r="M451" s="8">
        <f>+S451-O451-Q451</f>
        <v>23466106</v>
      </c>
      <c r="O451" s="8">
        <v>337118</v>
      </c>
      <c r="Q451" s="8">
        <v>4553557</v>
      </c>
      <c r="S451" s="8">
        <v>28356781</v>
      </c>
      <c r="U451" s="8">
        <v>22319944</v>
      </c>
      <c r="W451" s="8">
        <f>AA451-Y451-U451</f>
        <v>5029719</v>
      </c>
      <c r="Y451" s="8">
        <v>18667778</v>
      </c>
      <c r="AA451" s="8">
        <v>46017441</v>
      </c>
      <c r="AD451" s="8">
        <f t="shared" si="51"/>
        <v>0</v>
      </c>
      <c r="AF451" s="35">
        <f t="shared" si="50"/>
        <v>0</v>
      </c>
    </row>
    <row r="452" spans="1:34">
      <c r="A452" s="12" t="s">
        <v>738</v>
      </c>
      <c r="B452" s="12"/>
      <c r="C452" s="12" t="s">
        <v>72</v>
      </c>
      <c r="D452" s="12"/>
      <c r="E452" s="32">
        <v>45583</v>
      </c>
      <c r="F452" s="11"/>
      <c r="G452" s="8">
        <f>+K452-I452</f>
        <v>33694088</v>
      </c>
      <c r="I452" s="8">
        <v>48299810</v>
      </c>
      <c r="K452" s="8">
        <v>81993898</v>
      </c>
      <c r="M452" s="8">
        <f>+S452-O452-Q452</f>
        <v>25486534</v>
      </c>
      <c r="O452" s="8">
        <v>2355004</v>
      </c>
      <c r="Q452" s="8">
        <v>37315080</v>
      </c>
      <c r="S452" s="8">
        <v>65156618</v>
      </c>
      <c r="U452" s="8">
        <v>15599616</v>
      </c>
      <c r="W452" s="8">
        <f>AA452-Y452-U452</f>
        <v>2677524</v>
      </c>
      <c r="Y452" s="8">
        <v>-1439860</v>
      </c>
      <c r="AA452" s="8">
        <v>16837280</v>
      </c>
      <c r="AD452" s="8">
        <f t="shared" si="51"/>
        <v>0</v>
      </c>
      <c r="AF452" s="35">
        <f t="shared" si="50"/>
        <v>0</v>
      </c>
    </row>
    <row r="453" spans="1:34">
      <c r="A453" s="12" t="s">
        <v>371</v>
      </c>
      <c r="B453" s="12"/>
      <c r="C453" s="12" t="s">
        <v>28</v>
      </c>
      <c r="D453" s="12"/>
      <c r="E453" s="32">
        <v>47076</v>
      </c>
      <c r="G453" s="8">
        <f>+K453-I453</f>
        <v>9700413</v>
      </c>
      <c r="I453" s="8">
        <v>2992364</v>
      </c>
      <c r="K453" s="8">
        <v>12692777</v>
      </c>
      <c r="M453" s="8">
        <f>+S453-O453-Q453</f>
        <v>2021932</v>
      </c>
      <c r="O453" s="8">
        <v>21342</v>
      </c>
      <c r="Q453" s="8">
        <v>5242721</v>
      </c>
      <c r="S453" s="8">
        <v>7285995</v>
      </c>
      <c r="U453" s="8">
        <v>2778431</v>
      </c>
      <c r="W453" s="8">
        <f>AA453-Y453-U453</f>
        <v>2404677</v>
      </c>
      <c r="Y453" s="8">
        <v>223674</v>
      </c>
      <c r="AA453" s="8">
        <v>5406782</v>
      </c>
      <c r="AD453" s="8">
        <f t="shared" si="51"/>
        <v>0</v>
      </c>
      <c r="AF453" s="35">
        <f t="shared" si="50"/>
        <v>0</v>
      </c>
      <c r="AH453" s="8" t="s">
        <v>956</v>
      </c>
    </row>
    <row r="454" spans="1:34">
      <c r="A454" s="12" t="s">
        <v>349</v>
      </c>
      <c r="B454" s="12"/>
      <c r="C454" s="12" t="s">
        <v>25</v>
      </c>
      <c r="D454" s="12"/>
      <c r="E454" s="32">
        <v>46896</v>
      </c>
      <c r="G454" s="8">
        <f>+K454-I454</f>
        <v>152069250</v>
      </c>
      <c r="I454" s="8">
        <v>156062081</v>
      </c>
      <c r="K454" s="8">
        <v>308131331</v>
      </c>
      <c r="M454" s="8">
        <f>+S454-O454-Q454</f>
        <v>43877232</v>
      </c>
      <c r="O454" s="8">
        <v>8911086</v>
      </c>
      <c r="Q454" s="8">
        <v>173024600</v>
      </c>
      <c r="S454" s="8">
        <v>225812918</v>
      </c>
      <c r="U454" s="8">
        <v>8765183</v>
      </c>
      <c r="W454" s="8">
        <f>AA454-Y454-U454</f>
        <v>78804109</v>
      </c>
      <c r="Y454" s="8">
        <v>-5250879</v>
      </c>
      <c r="AA454" s="8">
        <v>82318413</v>
      </c>
      <c r="AD454" s="8">
        <f t="shared" si="51"/>
        <v>0</v>
      </c>
      <c r="AF454" s="35">
        <f t="shared" si="50"/>
        <v>0</v>
      </c>
    </row>
    <row r="455" spans="1:34">
      <c r="A455" s="13" t="s">
        <v>372</v>
      </c>
      <c r="B455" s="13"/>
      <c r="C455" s="13" t="s">
        <v>28</v>
      </c>
      <c r="D455" s="13"/>
      <c r="E455" s="13">
        <v>47084</v>
      </c>
      <c r="G455" s="8">
        <f t="shared" ref="G455:G488" si="54">+K455-I455</f>
        <v>34806184</v>
      </c>
      <c r="I455" s="8">
        <v>17303661</v>
      </c>
      <c r="K455" s="8">
        <v>52109845</v>
      </c>
      <c r="M455" s="8">
        <f t="shared" ref="M455:M488" si="55">+S455-O455-Q455</f>
        <v>4828940</v>
      </c>
      <c r="O455" s="8">
        <v>778064</v>
      </c>
      <c r="Q455" s="8">
        <v>18455550</v>
      </c>
      <c r="S455" s="8">
        <v>24062554</v>
      </c>
      <c r="U455" s="8">
        <v>11520174</v>
      </c>
      <c r="W455" s="8">
        <f t="shared" ref="W455:W488" si="56">AA455-Y455-U455</f>
        <v>14805486</v>
      </c>
      <c r="Y455" s="8">
        <v>1721631</v>
      </c>
      <c r="AA455" s="8">
        <v>28047291</v>
      </c>
      <c r="AD455" s="8">
        <f t="shared" ref="AD455:AD528" si="57">+K455-S455-AA455</f>
        <v>0</v>
      </c>
      <c r="AF455" s="8">
        <f t="shared" ref="AF455:AF525" si="58">+G455+I455+-M455-O455-U455-W455-Y455-Q455</f>
        <v>0</v>
      </c>
    </row>
    <row r="456" spans="1:34" ht="11.25" customHeight="1">
      <c r="A456" s="12" t="s">
        <v>540</v>
      </c>
      <c r="B456" s="12"/>
      <c r="C456" s="12" t="s">
        <v>48</v>
      </c>
      <c r="D456" s="12"/>
      <c r="E456" s="32">
        <v>44644</v>
      </c>
      <c r="G456" s="8">
        <f t="shared" si="54"/>
        <v>30094746</v>
      </c>
      <c r="I456" s="8">
        <v>26411121</v>
      </c>
      <c r="K456" s="8">
        <v>56505867</v>
      </c>
      <c r="M456" s="8">
        <f t="shared" si="55"/>
        <v>14931977</v>
      </c>
      <c r="O456" s="8">
        <v>807494</v>
      </c>
      <c r="Q456" s="8">
        <v>11334379</v>
      </c>
      <c r="S456" s="8">
        <v>27073850</v>
      </c>
      <c r="U456" s="8">
        <v>18299883</v>
      </c>
      <c r="W456" s="8">
        <f t="shared" si="56"/>
        <v>2820965</v>
      </c>
      <c r="Y456" s="8">
        <v>8311169</v>
      </c>
      <c r="AA456" s="8">
        <v>29432017</v>
      </c>
      <c r="AD456" s="8">
        <f t="shared" si="57"/>
        <v>0</v>
      </c>
      <c r="AF456" s="35">
        <f t="shared" si="58"/>
        <v>0</v>
      </c>
    </row>
    <row r="457" spans="1:34" hidden="1">
      <c r="A457" s="77" t="s">
        <v>1010</v>
      </c>
      <c r="B457" s="12"/>
      <c r="C457" s="12" t="s">
        <v>27</v>
      </c>
      <c r="D457" s="12"/>
      <c r="E457" s="32">
        <v>46995</v>
      </c>
      <c r="G457" s="8">
        <f t="shared" si="54"/>
        <v>0</v>
      </c>
      <c r="M457" s="8">
        <f t="shared" si="55"/>
        <v>0</v>
      </c>
      <c r="W457" s="8">
        <f t="shared" si="56"/>
        <v>0</v>
      </c>
      <c r="AD457" s="8">
        <f>+K457-S457-AA457</f>
        <v>0</v>
      </c>
      <c r="AF457" s="35">
        <f t="shared" si="58"/>
        <v>0</v>
      </c>
      <c r="AH457" s="8" t="s">
        <v>1011</v>
      </c>
    </row>
    <row r="458" spans="1:34">
      <c r="A458" s="12" t="s">
        <v>361</v>
      </c>
      <c r="B458" s="12"/>
      <c r="C458" s="12" t="s">
        <v>62</v>
      </c>
      <c r="D458" s="12"/>
      <c r="E458" s="32">
        <v>49932</v>
      </c>
      <c r="G458" s="8">
        <f t="shared" si="54"/>
        <v>46932598</v>
      </c>
      <c r="I458" s="8">
        <v>68437517</v>
      </c>
      <c r="K458" s="8">
        <v>115370115</v>
      </c>
      <c r="M458" s="8">
        <f t="shared" si="55"/>
        <v>33167299</v>
      </c>
      <c r="O458" s="8">
        <v>2258251</v>
      </c>
      <c r="Q458" s="8">
        <v>59738117</v>
      </c>
      <c r="S458" s="8">
        <v>95163667</v>
      </c>
      <c r="U458" s="8">
        <v>12291086</v>
      </c>
      <c r="W458" s="8">
        <f t="shared" si="56"/>
        <v>4711004</v>
      </c>
      <c r="Y458" s="8">
        <v>3204358</v>
      </c>
      <c r="AA458" s="8">
        <v>20206448</v>
      </c>
      <c r="AD458" s="8">
        <f>+K458-S458-AA458</f>
        <v>0</v>
      </c>
      <c r="AF458" s="35">
        <f t="shared" si="58"/>
        <v>0</v>
      </c>
    </row>
    <row r="459" spans="1:34">
      <c r="A459" s="12" t="s">
        <v>522</v>
      </c>
      <c r="B459" s="12"/>
      <c r="C459" s="12" t="s">
        <v>46</v>
      </c>
      <c r="D459" s="12"/>
      <c r="E459" s="32">
        <v>48421</v>
      </c>
      <c r="G459" s="8">
        <f t="shared" si="54"/>
        <v>9363082</v>
      </c>
      <c r="I459" s="8">
        <v>7682048</v>
      </c>
      <c r="K459" s="8">
        <v>17045130</v>
      </c>
      <c r="M459" s="8">
        <f t="shared" si="55"/>
        <v>3414884</v>
      </c>
      <c r="O459" s="8">
        <v>333020</v>
      </c>
      <c r="Q459" s="8">
        <v>3076479</v>
      </c>
      <c r="S459" s="8">
        <v>6824383</v>
      </c>
      <c r="U459" s="8">
        <v>5304331</v>
      </c>
      <c r="W459" s="8">
        <f t="shared" si="56"/>
        <v>1005945</v>
      </c>
      <c r="Y459" s="8">
        <v>3910471</v>
      </c>
      <c r="AA459" s="8">
        <v>10220747</v>
      </c>
      <c r="AD459" s="8">
        <f t="shared" si="57"/>
        <v>0</v>
      </c>
      <c r="AF459" s="35">
        <f t="shared" si="58"/>
        <v>0</v>
      </c>
    </row>
    <row r="460" spans="1:34">
      <c r="A460" s="12" t="s">
        <v>614</v>
      </c>
      <c r="B460" s="12"/>
      <c r="C460" s="12" t="s">
        <v>112</v>
      </c>
      <c r="D460" s="12"/>
      <c r="E460" s="32">
        <v>49460</v>
      </c>
      <c r="G460" s="8">
        <f t="shared" si="54"/>
        <v>7354555</v>
      </c>
      <c r="I460" s="8">
        <v>20385822</v>
      </c>
      <c r="K460" s="8">
        <v>27740377</v>
      </c>
      <c r="M460" s="8">
        <f t="shared" si="55"/>
        <v>3633271</v>
      </c>
      <c r="O460" s="8">
        <v>179079</v>
      </c>
      <c r="Q460" s="8">
        <v>2547012</v>
      </c>
      <c r="S460" s="8">
        <v>6359362</v>
      </c>
      <c r="U460" s="8">
        <v>18608504</v>
      </c>
      <c r="W460" s="8">
        <f t="shared" si="56"/>
        <v>1420054</v>
      </c>
      <c r="Y460" s="8">
        <v>1352457</v>
      </c>
      <c r="AA460" s="8">
        <v>21381015</v>
      </c>
      <c r="AD460" s="8">
        <f t="shared" si="57"/>
        <v>0</v>
      </c>
      <c r="AF460" s="35">
        <f t="shared" si="58"/>
        <v>0</v>
      </c>
    </row>
    <row r="461" spans="1:34">
      <c r="A461" s="12" t="s">
        <v>1072</v>
      </c>
      <c r="B461" s="12"/>
      <c r="C461" s="12" t="s">
        <v>45</v>
      </c>
      <c r="D461" s="12"/>
      <c r="E461" s="32">
        <v>48348</v>
      </c>
      <c r="G461" s="8">
        <f t="shared" si="54"/>
        <v>20243257</v>
      </c>
      <c r="I461" s="8">
        <v>12009224</v>
      </c>
      <c r="K461" s="8">
        <v>32252481</v>
      </c>
      <c r="M461" s="8">
        <f t="shared" si="55"/>
        <v>15300092</v>
      </c>
      <c r="O461" s="8">
        <v>885017</v>
      </c>
      <c r="Q461" s="8">
        <v>13321138</v>
      </c>
      <c r="S461" s="8">
        <v>29506247</v>
      </c>
      <c r="U461" s="8">
        <v>206602</v>
      </c>
      <c r="W461" s="8">
        <f t="shared" si="56"/>
        <v>1922309</v>
      </c>
      <c r="Y461" s="8">
        <v>617323</v>
      </c>
      <c r="AA461" s="8">
        <v>2746234</v>
      </c>
      <c r="AD461" s="8">
        <f t="shared" si="57"/>
        <v>0</v>
      </c>
      <c r="AF461" s="35">
        <f t="shared" si="58"/>
        <v>0</v>
      </c>
      <c r="AH461" s="110" t="s">
        <v>1012</v>
      </c>
    </row>
    <row r="462" spans="1:34">
      <c r="A462" s="12" t="s">
        <v>575</v>
      </c>
      <c r="B462" s="12"/>
      <c r="C462" s="12" t="s">
        <v>53</v>
      </c>
      <c r="D462" s="12"/>
      <c r="E462" s="32">
        <v>44651</v>
      </c>
      <c r="G462" s="8">
        <f t="shared" si="54"/>
        <v>25389031</v>
      </c>
      <c r="I462" s="8">
        <v>3552375</v>
      </c>
      <c r="K462" s="8">
        <v>28941406</v>
      </c>
      <c r="M462" s="8">
        <f t="shared" si="55"/>
        <v>12729217</v>
      </c>
      <c r="O462" s="8">
        <v>845477</v>
      </c>
      <c r="Q462" s="8">
        <v>3588594</v>
      </c>
      <c r="S462" s="8">
        <v>17163288</v>
      </c>
      <c r="U462" s="8">
        <v>1407924</v>
      </c>
      <c r="W462" s="8">
        <f t="shared" si="56"/>
        <v>3779508</v>
      </c>
      <c r="Y462" s="8">
        <v>6590686</v>
      </c>
      <c r="AA462" s="8">
        <v>11778118</v>
      </c>
      <c r="AD462" s="8">
        <f t="shared" si="57"/>
        <v>0</v>
      </c>
      <c r="AF462" s="35">
        <f t="shared" si="58"/>
        <v>0</v>
      </c>
    </row>
    <row r="463" spans="1:34">
      <c r="A463" s="12" t="s">
        <v>631</v>
      </c>
      <c r="B463" s="12"/>
      <c r="C463" s="12" t="s">
        <v>59</v>
      </c>
      <c r="D463" s="12"/>
      <c r="E463" s="32">
        <v>44669</v>
      </c>
      <c r="G463" s="8">
        <f t="shared" si="54"/>
        <v>16193758</v>
      </c>
      <c r="I463" s="8">
        <v>60275054</v>
      </c>
      <c r="K463" s="8">
        <v>76468812</v>
      </c>
      <c r="M463" s="8">
        <f t="shared" si="55"/>
        <v>7459870</v>
      </c>
      <c r="O463" s="8">
        <v>806940</v>
      </c>
      <c r="Q463" s="8">
        <v>16684628</v>
      </c>
      <c r="S463" s="8">
        <v>24951438</v>
      </c>
      <c r="U463" s="8">
        <v>46147550</v>
      </c>
      <c r="W463" s="8">
        <f t="shared" si="56"/>
        <v>5648250</v>
      </c>
      <c r="Y463" s="8">
        <v>-278426</v>
      </c>
      <c r="AA463" s="8">
        <v>51517374</v>
      </c>
      <c r="AD463" s="8">
        <f t="shared" si="57"/>
        <v>0</v>
      </c>
      <c r="AF463" s="35">
        <f t="shared" si="58"/>
        <v>0</v>
      </c>
    </row>
    <row r="464" spans="1:34" hidden="1">
      <c r="A464" s="117" t="s">
        <v>1013</v>
      </c>
      <c r="B464" s="12"/>
      <c r="C464" s="12" t="s">
        <v>57</v>
      </c>
      <c r="D464" s="12"/>
      <c r="E464" s="32">
        <v>49288</v>
      </c>
      <c r="G464" s="8">
        <f t="shared" si="54"/>
        <v>7488529</v>
      </c>
      <c r="I464" s="8">
        <v>8184690</v>
      </c>
      <c r="K464" s="8">
        <v>15673219</v>
      </c>
      <c r="M464" s="8">
        <f t="shared" si="55"/>
        <v>0</v>
      </c>
      <c r="O464" s="8">
        <v>135000</v>
      </c>
      <c r="Q464" s="8">
        <v>2525000</v>
      </c>
      <c r="S464" s="8">
        <v>2660000</v>
      </c>
      <c r="U464" s="8">
        <v>5524690</v>
      </c>
      <c r="W464" s="8">
        <f t="shared" si="56"/>
        <v>1485561</v>
      </c>
      <c r="Y464" s="8">
        <v>6002968</v>
      </c>
      <c r="AA464" s="8">
        <v>13013219</v>
      </c>
      <c r="AD464" s="8">
        <f t="shared" si="57"/>
        <v>0</v>
      </c>
      <c r="AF464" s="35">
        <f t="shared" si="58"/>
        <v>0</v>
      </c>
    </row>
    <row r="465" spans="1:34">
      <c r="A465" s="12" t="s">
        <v>405</v>
      </c>
      <c r="B465" s="12"/>
      <c r="C465" s="12" t="s">
        <v>32</v>
      </c>
      <c r="D465" s="12"/>
      <c r="E465" s="32">
        <v>44677</v>
      </c>
      <c r="G465" s="8">
        <f t="shared" si="54"/>
        <v>97914033</v>
      </c>
      <c r="I465" s="8">
        <v>96061122</v>
      </c>
      <c r="K465" s="8">
        <v>193975155</v>
      </c>
      <c r="M465" s="8">
        <f>+S465-O465-Q465</f>
        <v>54119479</v>
      </c>
      <c r="O465" s="8">
        <v>2259977</v>
      </c>
      <c r="Q465" s="8">
        <v>82533500</v>
      </c>
      <c r="S465" s="8">
        <v>138912956</v>
      </c>
      <c r="U465" s="8">
        <v>16185254</v>
      </c>
      <c r="W465" s="8">
        <f t="shared" si="56"/>
        <v>6347424</v>
      </c>
      <c r="Y465" s="8">
        <v>32529521</v>
      </c>
      <c r="AA465" s="8">
        <v>55062199</v>
      </c>
      <c r="AD465" s="8">
        <f t="shared" si="57"/>
        <v>0</v>
      </c>
      <c r="AF465" s="35">
        <f t="shared" si="58"/>
        <v>0</v>
      </c>
    </row>
    <row r="466" spans="1:34">
      <c r="A466" s="12" t="s">
        <v>222</v>
      </c>
      <c r="B466" s="12"/>
      <c r="C466" s="12" t="s">
        <v>12</v>
      </c>
      <c r="D466" s="12"/>
      <c r="E466" s="32">
        <v>45880</v>
      </c>
      <c r="G466" s="8">
        <f t="shared" si="54"/>
        <v>8617632</v>
      </c>
      <c r="I466" s="8">
        <v>26282969</v>
      </c>
      <c r="K466" s="8">
        <v>34900601</v>
      </c>
      <c r="M466" s="8">
        <f t="shared" si="55"/>
        <v>3305603</v>
      </c>
      <c r="O466" s="8">
        <v>515211</v>
      </c>
      <c r="Q466" s="8">
        <v>7277991</v>
      </c>
      <c r="S466" s="8">
        <v>11098805</v>
      </c>
      <c r="U466" s="8">
        <v>20091312</v>
      </c>
      <c r="W466" s="8">
        <f t="shared" si="56"/>
        <v>2621905</v>
      </c>
      <c r="Y466" s="8">
        <v>1088579</v>
      </c>
      <c r="AA466" s="8">
        <v>23801796</v>
      </c>
      <c r="AD466" s="8">
        <f t="shared" si="57"/>
        <v>0</v>
      </c>
      <c r="AF466" s="35">
        <f t="shared" si="58"/>
        <v>0</v>
      </c>
    </row>
    <row r="467" spans="1:34">
      <c r="A467" s="12" t="s">
        <v>866</v>
      </c>
      <c r="B467" s="12"/>
      <c r="C467" s="12" t="s">
        <v>56</v>
      </c>
      <c r="D467" s="12"/>
      <c r="E467" s="32"/>
      <c r="G467" s="8">
        <f t="shared" si="54"/>
        <v>37003200</v>
      </c>
      <c r="I467" s="8">
        <v>20360154</v>
      </c>
      <c r="K467" s="8">
        <v>57363354</v>
      </c>
      <c r="M467" s="8">
        <f t="shared" si="55"/>
        <v>15388179</v>
      </c>
      <c r="O467" s="8">
        <v>720667</v>
      </c>
      <c r="Q467" s="8">
        <f>22455256-720667</f>
        <v>21734589</v>
      </c>
      <c r="S467" s="8">
        <v>37843435</v>
      </c>
      <c r="U467" s="8">
        <v>3094453</v>
      </c>
      <c r="W467" s="8">
        <f t="shared" si="56"/>
        <v>17802570</v>
      </c>
      <c r="Y467" s="8">
        <v>-1377104</v>
      </c>
      <c r="AA467" s="8">
        <v>19519919</v>
      </c>
      <c r="AD467" s="8">
        <f t="shared" si="57"/>
        <v>0</v>
      </c>
      <c r="AF467" s="35">
        <f t="shared" si="58"/>
        <v>0</v>
      </c>
    </row>
    <row r="468" spans="1:34">
      <c r="A468" s="12" t="s">
        <v>406</v>
      </c>
      <c r="B468" s="12"/>
      <c r="C468" s="12" t="s">
        <v>32</v>
      </c>
      <c r="D468" s="12"/>
      <c r="E468" s="32">
        <v>44693</v>
      </c>
      <c r="G468" s="8">
        <f t="shared" si="54"/>
        <v>9226556</v>
      </c>
      <c r="I468" s="8">
        <v>2059205</v>
      </c>
      <c r="K468" s="8">
        <v>11285761</v>
      </c>
      <c r="M468" s="8">
        <f t="shared" si="55"/>
        <v>6147906</v>
      </c>
      <c r="O468" s="8">
        <v>81695</v>
      </c>
      <c r="Q468" s="8">
        <f>1469604-81695</f>
        <v>1387909</v>
      </c>
      <c r="S468" s="8">
        <v>7617510</v>
      </c>
      <c r="U468" s="8">
        <v>1643841</v>
      </c>
      <c r="W468" s="8">
        <f t="shared" si="56"/>
        <v>523521</v>
      </c>
      <c r="Y468" s="8">
        <v>1500889</v>
      </c>
      <c r="AA468" s="8">
        <v>3668251</v>
      </c>
      <c r="AD468" s="8">
        <f t="shared" si="57"/>
        <v>0</v>
      </c>
      <c r="AF468" s="35">
        <f t="shared" si="58"/>
        <v>0</v>
      </c>
    </row>
    <row r="469" spans="1:34">
      <c r="A469" s="12" t="s">
        <v>670</v>
      </c>
      <c r="B469" s="12"/>
      <c r="C469" s="12" t="s">
        <v>63</v>
      </c>
      <c r="D469" s="12"/>
      <c r="E469" s="32">
        <v>50054</v>
      </c>
      <c r="G469" s="8">
        <f t="shared" si="54"/>
        <v>45494186</v>
      </c>
      <c r="I469" s="8">
        <v>16881011</v>
      </c>
      <c r="K469" s="8">
        <v>62375197</v>
      </c>
      <c r="M469" s="8">
        <f t="shared" si="55"/>
        <v>26978991</v>
      </c>
      <c r="O469" s="8">
        <v>1156858</v>
      </c>
      <c r="Q469" s="8">
        <f>11802806-1156858</f>
        <v>10645948</v>
      </c>
      <c r="S469" s="8">
        <v>38781797</v>
      </c>
      <c r="U469" s="8">
        <v>7824345</v>
      </c>
      <c r="W469" s="8">
        <f t="shared" si="56"/>
        <v>2917232</v>
      </c>
      <c r="Y469" s="8">
        <v>12851823</v>
      </c>
      <c r="AA469" s="8">
        <v>23593400</v>
      </c>
      <c r="AD469" s="8">
        <f t="shared" si="57"/>
        <v>0</v>
      </c>
      <c r="AF469" s="35">
        <f t="shared" si="58"/>
        <v>0</v>
      </c>
    </row>
    <row r="470" spans="1:34">
      <c r="A470" s="12" t="s">
        <v>362</v>
      </c>
      <c r="B470" s="12"/>
      <c r="C470" s="12" t="s">
        <v>27</v>
      </c>
      <c r="D470" s="12"/>
      <c r="E470" s="32">
        <v>47001</v>
      </c>
      <c r="F470" s="11"/>
      <c r="G470" s="8">
        <f t="shared" si="54"/>
        <v>150814431</v>
      </c>
      <c r="I470" s="8">
        <v>78812717</v>
      </c>
      <c r="K470" s="8">
        <v>229627148</v>
      </c>
      <c r="M470" s="8">
        <f t="shared" si="55"/>
        <v>34943832</v>
      </c>
      <c r="O470" s="8">
        <v>4058666</v>
      </c>
      <c r="Q470" s="8">
        <f>121219046-4058666</f>
        <v>117160380</v>
      </c>
      <c r="S470" s="8">
        <v>156162878</v>
      </c>
      <c r="U470" s="8">
        <v>14270818</v>
      </c>
      <c r="W470" s="8">
        <f t="shared" si="56"/>
        <v>62143265</v>
      </c>
      <c r="Y470" s="8">
        <v>-2949813</v>
      </c>
      <c r="AA470" s="8">
        <v>73464270</v>
      </c>
      <c r="AD470" s="8">
        <f t="shared" si="57"/>
        <v>0</v>
      </c>
      <c r="AF470" s="35">
        <f t="shared" si="58"/>
        <v>0</v>
      </c>
    </row>
    <row r="471" spans="1:34">
      <c r="A471" s="12" t="s">
        <v>318</v>
      </c>
      <c r="B471" s="12"/>
      <c r="C471" s="12" t="s">
        <v>20</v>
      </c>
      <c r="D471" s="12"/>
      <c r="E471" s="32">
        <v>46599</v>
      </c>
      <c r="G471" s="8">
        <f t="shared" si="54"/>
        <v>10850969</v>
      </c>
      <c r="I471" s="8">
        <v>1056903</v>
      </c>
      <c r="K471" s="8">
        <v>11907872</v>
      </c>
      <c r="M471" s="8">
        <f t="shared" si="55"/>
        <v>8046455</v>
      </c>
      <c r="O471" s="8">
        <v>124480</v>
      </c>
      <c r="Q471" s="8">
        <f>1723733+5991-124480</f>
        <v>1605244</v>
      </c>
      <c r="S471" s="8">
        <v>9776179</v>
      </c>
      <c r="U471" s="8">
        <v>936188</v>
      </c>
      <c r="W471" s="8">
        <f t="shared" si="56"/>
        <v>229100</v>
      </c>
      <c r="Y471" s="8">
        <v>966405</v>
      </c>
      <c r="AA471" s="8">
        <v>2131693</v>
      </c>
      <c r="AD471" s="8">
        <f t="shared" si="57"/>
        <v>0</v>
      </c>
      <c r="AF471" s="35">
        <f t="shared" si="58"/>
        <v>0</v>
      </c>
    </row>
    <row r="472" spans="1:34">
      <c r="A472" s="12" t="s">
        <v>523</v>
      </c>
      <c r="B472" s="12"/>
      <c r="C472" s="12" t="s">
        <v>46</v>
      </c>
      <c r="D472" s="12"/>
      <c r="E472" s="32">
        <v>48439</v>
      </c>
      <c r="G472" s="8">
        <f t="shared" si="54"/>
        <v>4737796</v>
      </c>
      <c r="I472" s="8">
        <v>1944781</v>
      </c>
      <c r="K472" s="8">
        <v>6682577</v>
      </c>
      <c r="M472" s="8">
        <f t="shared" si="55"/>
        <v>1786997</v>
      </c>
      <c r="O472" s="8">
        <v>121383</v>
      </c>
      <c r="Q472" s="8">
        <f>510140-121383</f>
        <v>388757</v>
      </c>
      <c r="S472" s="8">
        <v>2297137</v>
      </c>
      <c r="U472" s="8">
        <v>1825478</v>
      </c>
      <c r="W472" s="8">
        <f t="shared" si="56"/>
        <v>397272</v>
      </c>
      <c r="Y472" s="8">
        <v>2162690</v>
      </c>
      <c r="AA472" s="8">
        <v>4385440</v>
      </c>
      <c r="AD472" s="8">
        <f t="shared" si="57"/>
        <v>0</v>
      </c>
      <c r="AF472" s="35">
        <f t="shared" si="58"/>
        <v>0</v>
      </c>
    </row>
    <row r="473" spans="1:34">
      <c r="A473" s="13" t="s">
        <v>1058</v>
      </c>
      <c r="B473" s="12"/>
      <c r="C473" s="12" t="s">
        <v>421</v>
      </c>
      <c r="D473" s="12"/>
      <c r="E473" s="32">
        <v>47506</v>
      </c>
      <c r="G473" s="8">
        <f t="shared" si="54"/>
        <v>2622469</v>
      </c>
      <c r="I473" s="8">
        <f>2035623+24585</f>
        <v>2060208</v>
      </c>
      <c r="K473" s="8">
        <f>4644519+38158</f>
        <v>4682677</v>
      </c>
      <c r="M473" s="8">
        <f t="shared" si="55"/>
        <v>1625370</v>
      </c>
      <c r="O473" s="8">
        <f>218628+8</f>
        <v>218636</v>
      </c>
      <c r="Q473" s="8">
        <f>1079534+3600-218628-8</f>
        <v>864498</v>
      </c>
      <c r="S473" s="8">
        <f>2673148+35356</f>
        <v>2708504</v>
      </c>
      <c r="U473" s="8">
        <f>1670749+24585</f>
        <v>1695334</v>
      </c>
      <c r="W473" s="8">
        <f t="shared" si="56"/>
        <v>300793</v>
      </c>
      <c r="Y473" s="8">
        <f>-171-21783</f>
        <v>-21954</v>
      </c>
      <c r="AA473" s="8">
        <f>1971371+2802</f>
        <v>1974173</v>
      </c>
      <c r="AD473" s="8">
        <f t="shared" si="57"/>
        <v>0</v>
      </c>
      <c r="AF473" s="35">
        <f t="shared" si="58"/>
        <v>0</v>
      </c>
      <c r="AH473" s="15" t="s">
        <v>905</v>
      </c>
    </row>
    <row r="474" spans="1:34">
      <c r="A474" s="12" t="s">
        <v>288</v>
      </c>
      <c r="B474" s="12"/>
      <c r="C474" s="12" t="s">
        <v>19</v>
      </c>
      <c r="D474" s="12"/>
      <c r="E474" s="32">
        <v>46474</v>
      </c>
      <c r="G474" s="8">
        <f t="shared" si="54"/>
        <v>8468617</v>
      </c>
      <c r="I474" s="8">
        <v>16880804</v>
      </c>
      <c r="K474" s="8">
        <v>25349421</v>
      </c>
      <c r="M474" s="8">
        <f t="shared" si="55"/>
        <v>4085834</v>
      </c>
      <c r="O474" s="8">
        <v>244692</v>
      </c>
      <c r="Q474" s="8">
        <f>4321431-244692</f>
        <v>4076739</v>
      </c>
      <c r="S474" s="8">
        <v>8407265</v>
      </c>
      <c r="U474" s="8">
        <v>13545038</v>
      </c>
      <c r="W474" s="8">
        <f t="shared" si="56"/>
        <v>1655627</v>
      </c>
      <c r="Y474" s="8">
        <v>1741491</v>
      </c>
      <c r="AA474" s="8">
        <v>16942156</v>
      </c>
      <c r="AD474" s="8">
        <f t="shared" si="57"/>
        <v>0</v>
      </c>
      <c r="AF474" s="35">
        <f t="shared" si="58"/>
        <v>0</v>
      </c>
      <c r="AH474" s="8" t="s">
        <v>1014</v>
      </c>
    </row>
    <row r="475" spans="1:34">
      <c r="A475" s="12" t="s">
        <v>867</v>
      </c>
      <c r="B475" s="12"/>
      <c r="C475" s="12" t="s">
        <v>77</v>
      </c>
      <c r="D475" s="12"/>
      <c r="E475" s="32">
        <v>46078</v>
      </c>
      <c r="G475" s="8">
        <f t="shared" si="54"/>
        <v>7035983</v>
      </c>
      <c r="I475" s="8">
        <v>30023848</v>
      </c>
      <c r="K475" s="8">
        <v>37059831</v>
      </c>
      <c r="M475" s="8">
        <f t="shared" si="55"/>
        <v>3042291</v>
      </c>
      <c r="O475" s="8">
        <v>344178</v>
      </c>
      <c r="Q475" s="8">
        <f>3511120-344178</f>
        <v>3166942</v>
      </c>
      <c r="S475" s="8">
        <v>6553411</v>
      </c>
      <c r="U475" s="8">
        <v>27162063</v>
      </c>
      <c r="W475" s="8">
        <f t="shared" si="56"/>
        <v>3443103</v>
      </c>
      <c r="Y475" s="8">
        <v>-98746</v>
      </c>
      <c r="AA475" s="8">
        <v>30506420</v>
      </c>
      <c r="AD475" s="8">
        <f t="shared" si="57"/>
        <v>0</v>
      </c>
      <c r="AF475" s="35">
        <f t="shared" si="58"/>
        <v>0</v>
      </c>
    </row>
    <row r="476" spans="1:34">
      <c r="A476" s="12" t="s">
        <v>724</v>
      </c>
      <c r="B476" s="12"/>
      <c r="C476" s="12" t="s">
        <v>71</v>
      </c>
      <c r="D476" s="12"/>
      <c r="E476" s="32">
        <v>45591</v>
      </c>
      <c r="G476" s="8">
        <f t="shared" si="54"/>
        <v>27151250</v>
      </c>
      <c r="I476" s="8">
        <v>10337849</v>
      </c>
      <c r="K476" s="8">
        <v>37489099</v>
      </c>
      <c r="M476" s="8">
        <f t="shared" si="55"/>
        <v>4584611</v>
      </c>
      <c r="O476" s="8">
        <v>309637</v>
      </c>
      <c r="Q476" s="8">
        <f>9511048-309637</f>
        <v>9201411</v>
      </c>
      <c r="S476" s="8">
        <v>14095659</v>
      </c>
      <c r="U476" s="8">
        <v>1991638</v>
      </c>
      <c r="W476" s="8">
        <f t="shared" si="56"/>
        <v>19367009</v>
      </c>
      <c r="Y476" s="8">
        <v>2034793</v>
      </c>
      <c r="AA476" s="8">
        <v>23393440</v>
      </c>
      <c r="AD476" s="8">
        <f t="shared" si="57"/>
        <v>0</v>
      </c>
      <c r="AF476" s="35">
        <f t="shared" si="58"/>
        <v>0</v>
      </c>
    </row>
    <row r="477" spans="1:34">
      <c r="A477" s="12" t="s">
        <v>524</v>
      </c>
      <c r="B477" s="12"/>
      <c r="C477" s="12" t="s">
        <v>46</v>
      </c>
      <c r="D477" s="12"/>
      <c r="E477" s="32">
        <v>48447</v>
      </c>
      <c r="G477" s="8">
        <f t="shared" si="54"/>
        <v>16982859</v>
      </c>
      <c r="I477" s="8">
        <v>38685118</v>
      </c>
      <c r="K477" s="8">
        <v>55667977</v>
      </c>
      <c r="M477" s="8">
        <f t="shared" si="55"/>
        <v>5351279</v>
      </c>
      <c r="O477" s="8">
        <v>792952</v>
      </c>
      <c r="Q477" s="8">
        <f>16501776-792952</f>
        <v>15708824</v>
      </c>
      <c r="S477" s="8">
        <v>21853055</v>
      </c>
      <c r="U477" s="8">
        <v>23340238</v>
      </c>
      <c r="W477" s="8">
        <f t="shared" si="56"/>
        <v>3509075</v>
      </c>
      <c r="Y477" s="8">
        <v>6965609</v>
      </c>
      <c r="AA477" s="8">
        <v>33814922</v>
      </c>
      <c r="AD477" s="8">
        <f t="shared" si="57"/>
        <v>0</v>
      </c>
      <c r="AF477" s="35">
        <f t="shared" si="58"/>
        <v>0</v>
      </c>
    </row>
    <row r="478" spans="1:34">
      <c r="A478" s="12" t="s">
        <v>289</v>
      </c>
      <c r="B478" s="12"/>
      <c r="C478" s="12" t="s">
        <v>19</v>
      </c>
      <c r="D478" s="12"/>
      <c r="E478" s="32">
        <v>46482</v>
      </c>
      <c r="G478" s="8">
        <f t="shared" si="54"/>
        <v>16729532</v>
      </c>
      <c r="I478" s="8">
        <v>6193758</v>
      </c>
      <c r="K478" s="8">
        <v>22923290</v>
      </c>
      <c r="M478" s="8">
        <f t="shared" si="55"/>
        <v>10232396</v>
      </c>
      <c r="O478" s="8">
        <v>151437</v>
      </c>
      <c r="Q478" s="8">
        <f>2447544-151437</f>
        <v>2296107</v>
      </c>
      <c r="S478" s="8">
        <v>12679940</v>
      </c>
      <c r="U478" s="8">
        <v>4666354</v>
      </c>
      <c r="W478" s="8">
        <f t="shared" si="56"/>
        <v>2538152</v>
      </c>
      <c r="Y478" s="8">
        <v>3038844</v>
      </c>
      <c r="AA478" s="8">
        <v>10243350</v>
      </c>
      <c r="AD478" s="8">
        <f t="shared" si="57"/>
        <v>0</v>
      </c>
      <c r="AF478" s="35">
        <f t="shared" si="58"/>
        <v>0</v>
      </c>
    </row>
    <row r="479" spans="1:34">
      <c r="A479" s="12" t="s">
        <v>425</v>
      </c>
      <c r="B479" s="12"/>
      <c r="C479" s="12" t="s">
        <v>421</v>
      </c>
      <c r="D479" s="12"/>
      <c r="E479" s="32">
        <v>47514</v>
      </c>
      <c r="G479" s="8">
        <f t="shared" si="54"/>
        <v>5353411</v>
      </c>
      <c r="I479" s="8">
        <v>19463720</v>
      </c>
      <c r="K479" s="8">
        <v>24817131</v>
      </c>
      <c r="M479" s="8">
        <f t="shared" si="55"/>
        <v>3727305</v>
      </c>
      <c r="O479" s="8">
        <v>250000</v>
      </c>
      <c r="Q479" s="8">
        <f>5069586-250000</f>
        <v>4819586</v>
      </c>
      <c r="S479" s="8">
        <v>8796891</v>
      </c>
      <c r="U479" s="8">
        <v>15070722</v>
      </c>
      <c r="W479" s="8">
        <f t="shared" si="56"/>
        <v>1480950</v>
      </c>
      <c r="Y479" s="8">
        <v>-531432</v>
      </c>
      <c r="AA479" s="8">
        <v>16020240</v>
      </c>
      <c r="AD479" s="8">
        <f t="shared" si="57"/>
        <v>0</v>
      </c>
      <c r="AF479" s="35">
        <f t="shared" si="58"/>
        <v>0</v>
      </c>
    </row>
    <row r="480" spans="1:34">
      <c r="A480" s="12" t="s">
        <v>482</v>
      </c>
      <c r="B480" s="12"/>
      <c r="C480" s="12" t="s">
        <v>41</v>
      </c>
      <c r="D480" s="12"/>
      <c r="E480" s="32"/>
      <c r="G480" s="8">
        <f t="shared" si="54"/>
        <v>39329054</v>
      </c>
      <c r="I480" s="8">
        <v>15917888</v>
      </c>
      <c r="K480" s="8">
        <v>55246942</v>
      </c>
      <c r="M480" s="8">
        <f t="shared" si="55"/>
        <v>31754329</v>
      </c>
      <c r="O480" s="8">
        <f>1246352+2150</f>
        <v>1248502</v>
      </c>
      <c r="Q480" s="8">
        <f>6812520+28267-1246352-2150</f>
        <v>5592285</v>
      </c>
      <c r="S480" s="8">
        <v>38595116</v>
      </c>
      <c r="U480" s="8">
        <v>10430433</v>
      </c>
      <c r="W480" s="8">
        <f t="shared" si="56"/>
        <v>1697313</v>
      </c>
      <c r="Y480" s="8">
        <v>4524080</v>
      </c>
      <c r="AA480" s="8">
        <v>16651826</v>
      </c>
      <c r="AD480" s="8">
        <f t="shared" si="57"/>
        <v>0</v>
      </c>
      <c r="AF480" s="35">
        <f t="shared" si="58"/>
        <v>0</v>
      </c>
    </row>
    <row r="481" spans="1:34">
      <c r="A481" s="12" t="s">
        <v>482</v>
      </c>
      <c r="B481" s="12"/>
      <c r="C481" s="12" t="s">
        <v>43</v>
      </c>
      <c r="D481" s="12"/>
      <c r="E481" s="32">
        <v>48090</v>
      </c>
      <c r="G481" s="8">
        <f t="shared" si="54"/>
        <v>2673155</v>
      </c>
      <c r="I481" s="8">
        <v>12382016</v>
      </c>
      <c r="K481" s="8">
        <v>15055171</v>
      </c>
      <c r="M481" s="8">
        <f t="shared" si="55"/>
        <v>2238345</v>
      </c>
      <c r="O481" s="8">
        <v>220384</v>
      </c>
      <c r="Q481" s="8">
        <f>2631149-220384</f>
        <v>2410765</v>
      </c>
      <c r="S481" s="8">
        <v>4869494</v>
      </c>
      <c r="U481" s="8">
        <v>10429294</v>
      </c>
      <c r="W481" s="8">
        <f t="shared" si="56"/>
        <v>722394</v>
      </c>
      <c r="Y481" s="8">
        <v>-966011</v>
      </c>
      <c r="AA481" s="8">
        <v>10185677</v>
      </c>
      <c r="AD481" s="8">
        <f t="shared" si="57"/>
        <v>0</v>
      </c>
      <c r="AF481" s="35">
        <f t="shared" si="58"/>
        <v>0</v>
      </c>
    </row>
    <row r="482" spans="1:34">
      <c r="A482" s="12" t="s">
        <v>470</v>
      </c>
      <c r="B482" s="12"/>
      <c r="C482" s="12" t="s">
        <v>466</v>
      </c>
      <c r="D482" s="12"/>
      <c r="E482" s="32">
        <v>47944</v>
      </c>
      <c r="G482" s="8">
        <f t="shared" si="54"/>
        <v>13202773</v>
      </c>
      <c r="I482" s="8">
        <v>38561969</v>
      </c>
      <c r="K482" s="8">
        <v>51764742</v>
      </c>
      <c r="M482" s="8">
        <f t="shared" si="55"/>
        <v>3629195</v>
      </c>
      <c r="O482" s="8">
        <v>27547</v>
      </c>
      <c r="Q482" s="8">
        <f>1092468-27547</f>
        <v>1064921</v>
      </c>
      <c r="S482" s="8">
        <v>4721663</v>
      </c>
      <c r="U482" s="8">
        <v>38561969</v>
      </c>
      <c r="W482" s="8">
        <f t="shared" si="56"/>
        <v>7518277</v>
      </c>
      <c r="Y482" s="8">
        <v>962833</v>
      </c>
      <c r="AA482" s="8">
        <v>47043079</v>
      </c>
      <c r="AD482" s="8">
        <f t="shared" si="57"/>
        <v>0</v>
      </c>
      <c r="AF482" s="35">
        <f t="shared" si="58"/>
        <v>0</v>
      </c>
      <c r="AH482" s="8" t="s">
        <v>956</v>
      </c>
    </row>
    <row r="483" spans="1:34">
      <c r="A483" s="13" t="s">
        <v>1059</v>
      </c>
      <c r="B483" s="12"/>
      <c r="C483" s="12" t="s">
        <v>20</v>
      </c>
      <c r="D483" s="12"/>
      <c r="E483" s="32">
        <v>44701</v>
      </c>
      <c r="G483" s="8">
        <f t="shared" si="54"/>
        <v>33800000</v>
      </c>
      <c r="I483" s="8">
        <v>24700000</v>
      </c>
      <c r="K483" s="8">
        <v>58500000</v>
      </c>
      <c r="M483" s="8">
        <f t="shared" si="55"/>
        <v>28067215</v>
      </c>
      <c r="O483" s="8">
        <v>3144351</v>
      </c>
      <c r="Q483" s="8">
        <f>20832785-3144351</f>
        <v>17688434</v>
      </c>
      <c r="S483" s="8">
        <v>48900000</v>
      </c>
      <c r="U483" s="8">
        <v>10200000</v>
      </c>
      <c r="W483" s="8">
        <f t="shared" si="56"/>
        <v>4900000</v>
      </c>
      <c r="Y483" s="8">
        <v>-5500000</v>
      </c>
      <c r="AA483" s="8">
        <v>9600000</v>
      </c>
      <c r="AD483" s="8">
        <f t="shared" si="57"/>
        <v>0</v>
      </c>
      <c r="AF483" s="35">
        <f t="shared" si="58"/>
        <v>0</v>
      </c>
      <c r="AH483" s="8" t="s">
        <v>1015</v>
      </c>
    </row>
    <row r="484" spans="1:34">
      <c r="A484" s="12" t="s">
        <v>391</v>
      </c>
      <c r="B484" s="12"/>
      <c r="C484" s="12" t="s">
        <v>31</v>
      </c>
      <c r="D484" s="12"/>
      <c r="E484" s="32">
        <v>47308</v>
      </c>
      <c r="G484" s="8">
        <f t="shared" si="54"/>
        <v>9141117</v>
      </c>
      <c r="I484" s="8">
        <v>11996854</v>
      </c>
      <c r="K484" s="8">
        <v>21137971</v>
      </c>
      <c r="M484" s="8">
        <f t="shared" si="55"/>
        <v>5221235</v>
      </c>
      <c r="O484" s="8">
        <v>382752</v>
      </c>
      <c r="Q484" s="8">
        <f>1526850-382752</f>
        <v>1144098</v>
      </c>
      <c r="S484" s="8">
        <v>6748085</v>
      </c>
      <c r="U484" s="8">
        <v>11996854</v>
      </c>
      <c r="W484" s="8">
        <f t="shared" si="56"/>
        <v>1906407</v>
      </c>
      <c r="Y484" s="8">
        <v>486625</v>
      </c>
      <c r="AA484" s="8">
        <v>14389886</v>
      </c>
      <c r="AD484" s="8">
        <f t="shared" si="57"/>
        <v>0</v>
      </c>
      <c r="AF484" s="35">
        <f t="shared" si="58"/>
        <v>0</v>
      </c>
    </row>
    <row r="485" spans="1:34">
      <c r="A485" s="12" t="s">
        <v>593</v>
      </c>
      <c r="B485" s="12"/>
      <c r="C485" s="12" t="s">
        <v>56</v>
      </c>
      <c r="D485" s="12"/>
      <c r="E485" s="32">
        <v>49213</v>
      </c>
      <c r="G485" s="8">
        <f t="shared" si="54"/>
        <v>6648152</v>
      </c>
      <c r="I485" s="8">
        <v>2516365</v>
      </c>
      <c r="K485" s="8">
        <v>9164517</v>
      </c>
      <c r="M485" s="8">
        <f t="shared" si="55"/>
        <v>6282777</v>
      </c>
      <c r="O485" s="8">
        <v>102600</v>
      </c>
      <c r="Q485" s="8">
        <f>816719-102600</f>
        <v>714119</v>
      </c>
      <c r="S485" s="8">
        <v>7099496</v>
      </c>
      <c r="U485" s="8">
        <v>2516365</v>
      </c>
      <c r="W485" s="8">
        <f t="shared" si="56"/>
        <v>690217</v>
      </c>
      <c r="Y485" s="8">
        <v>-1141561</v>
      </c>
      <c r="AA485" s="8">
        <v>2065021</v>
      </c>
      <c r="AD485" s="8">
        <f t="shared" si="57"/>
        <v>0</v>
      </c>
      <c r="AF485" s="35">
        <f t="shared" si="58"/>
        <v>0</v>
      </c>
    </row>
    <row r="486" spans="1:34">
      <c r="A486" s="12" t="s">
        <v>1060</v>
      </c>
      <c r="B486" s="12"/>
      <c r="C486" s="12" t="s">
        <v>242</v>
      </c>
      <c r="D486" s="12"/>
      <c r="E486" s="32">
        <v>46144</v>
      </c>
      <c r="G486" s="8">
        <f t="shared" si="54"/>
        <v>44240492</v>
      </c>
      <c r="I486" s="8">
        <v>35344356</v>
      </c>
      <c r="K486" s="8">
        <v>79584848</v>
      </c>
      <c r="M486" s="8">
        <f t="shared" si="55"/>
        <v>13944724</v>
      </c>
      <c r="O486" s="8">
        <v>1378847</v>
      </c>
      <c r="Q486" s="8">
        <f>23064593-1378847</f>
        <v>21685746</v>
      </c>
      <c r="S486" s="8">
        <v>37009317</v>
      </c>
      <c r="U486" s="8">
        <v>13638805</v>
      </c>
      <c r="W486" s="8">
        <f t="shared" si="56"/>
        <v>26400093</v>
      </c>
      <c r="Y486" s="8">
        <v>2536633</v>
      </c>
      <c r="AA486" s="8">
        <v>42575531</v>
      </c>
      <c r="AD486" s="8">
        <f t="shared" si="57"/>
        <v>0</v>
      </c>
      <c r="AF486" s="35">
        <f t="shared" si="58"/>
        <v>0</v>
      </c>
      <c r="AH486" s="15" t="s">
        <v>905</v>
      </c>
    </row>
    <row r="487" spans="1:34">
      <c r="A487" s="12" t="s">
        <v>739</v>
      </c>
      <c r="B487" s="12"/>
      <c r="C487" s="12" t="s">
        <v>72</v>
      </c>
      <c r="D487" s="12"/>
      <c r="E487" s="32">
        <v>45609</v>
      </c>
      <c r="G487" s="8">
        <f t="shared" si="54"/>
        <v>29872416</v>
      </c>
      <c r="I487" s="8">
        <v>6562601</v>
      </c>
      <c r="K487" s="8">
        <v>36435017</v>
      </c>
      <c r="M487" s="8">
        <f t="shared" si="55"/>
        <v>15361872</v>
      </c>
      <c r="O487" s="8">
        <v>280767</v>
      </c>
      <c r="Q487" s="8">
        <f>1680038-280767</f>
        <v>1399271</v>
      </c>
      <c r="S487" s="8">
        <v>17041910</v>
      </c>
      <c r="U487" s="8">
        <v>6562601</v>
      </c>
      <c r="W487" s="8">
        <f t="shared" si="56"/>
        <v>1214595</v>
      </c>
      <c r="Y487" s="8">
        <v>11615911</v>
      </c>
      <c r="AA487" s="8">
        <v>19393107</v>
      </c>
      <c r="AD487" s="8">
        <f>+K487-S487-AA487</f>
        <v>0</v>
      </c>
      <c r="AF487" s="35">
        <f t="shared" si="58"/>
        <v>0</v>
      </c>
    </row>
    <row r="488" spans="1:34">
      <c r="A488" s="12" t="s">
        <v>646</v>
      </c>
      <c r="B488" s="12"/>
      <c r="C488" s="12" t="s">
        <v>61</v>
      </c>
      <c r="D488" s="12"/>
      <c r="E488" s="32">
        <v>49817</v>
      </c>
      <c r="G488" s="8">
        <f t="shared" si="54"/>
        <v>3194311</v>
      </c>
      <c r="I488" s="8">
        <v>5395946</v>
      </c>
      <c r="K488" s="8">
        <v>8590257</v>
      </c>
      <c r="M488" s="8">
        <f t="shared" si="55"/>
        <v>1494447</v>
      </c>
      <c r="O488" s="8">
        <v>140000</v>
      </c>
      <c r="Q488" s="8">
        <f>4077586-140000</f>
        <v>3937586</v>
      </c>
      <c r="S488" s="8">
        <v>5572033</v>
      </c>
      <c r="U488" s="8">
        <v>1544790</v>
      </c>
      <c r="W488" s="8">
        <f t="shared" si="56"/>
        <v>655643</v>
      </c>
      <c r="Y488" s="8">
        <v>817791</v>
      </c>
      <c r="AA488" s="8">
        <v>3018224</v>
      </c>
      <c r="AD488" s="8">
        <f t="shared" si="57"/>
        <v>0</v>
      </c>
      <c r="AF488" s="35">
        <f t="shared" si="58"/>
        <v>0</v>
      </c>
    </row>
    <row r="489" spans="1:34">
      <c r="A489" s="12" t="s">
        <v>822</v>
      </c>
      <c r="B489" s="12"/>
      <c r="C489" s="12" t="s">
        <v>114</v>
      </c>
      <c r="D489" s="12"/>
      <c r="E489" s="32"/>
      <c r="G489" s="8">
        <f t="shared" ref="G489:G532" si="59">+K489-I489</f>
        <v>12979929</v>
      </c>
      <c r="I489" s="8">
        <v>5487899</v>
      </c>
      <c r="K489" s="8">
        <v>18467828</v>
      </c>
      <c r="M489" s="8">
        <f t="shared" ref="M489:M532" si="60">+S489-O489-Q489</f>
        <v>11097499</v>
      </c>
      <c r="O489" s="8">
        <v>247919</v>
      </c>
      <c r="Q489" s="8">
        <f>1881702-247919</f>
        <v>1633783</v>
      </c>
      <c r="S489" s="8">
        <v>12979201</v>
      </c>
      <c r="U489" s="8">
        <v>5487899</v>
      </c>
      <c r="W489" s="8">
        <f t="shared" ref="W489:W532" si="61">AA489-Y489-U489</f>
        <v>1322541</v>
      </c>
      <c r="Y489" s="8">
        <v>-1321813</v>
      </c>
      <c r="AA489" s="8">
        <v>5488627</v>
      </c>
      <c r="AD489" s="8">
        <f>+K489-S489-AA489</f>
        <v>0</v>
      </c>
      <c r="AF489" s="35">
        <f t="shared" si="58"/>
        <v>0</v>
      </c>
    </row>
    <row r="490" spans="1:34">
      <c r="A490" s="12" t="s">
        <v>341</v>
      </c>
      <c r="B490" s="12"/>
      <c r="C490" s="12" t="s">
        <v>24</v>
      </c>
      <c r="D490" s="12"/>
      <c r="E490" s="32">
        <v>44743</v>
      </c>
      <c r="F490" s="11"/>
      <c r="G490" s="8">
        <f t="shared" si="59"/>
        <v>31228964</v>
      </c>
      <c r="I490" s="8">
        <v>10333185</v>
      </c>
      <c r="K490" s="8">
        <v>41562149</v>
      </c>
      <c r="M490" s="8">
        <f t="shared" si="60"/>
        <v>22458631</v>
      </c>
      <c r="O490" s="8">
        <v>814748</v>
      </c>
      <c r="Q490" s="8">
        <f>5027756-814748</f>
        <v>4213008</v>
      </c>
      <c r="S490" s="8">
        <v>27486387</v>
      </c>
      <c r="U490" s="8">
        <v>10002744</v>
      </c>
      <c r="W490" s="8">
        <f t="shared" si="61"/>
        <v>1926356</v>
      </c>
      <c r="Y490" s="8">
        <v>2146662</v>
      </c>
      <c r="AA490" s="8">
        <v>14075762</v>
      </c>
      <c r="AD490" s="8">
        <f t="shared" si="57"/>
        <v>0</v>
      </c>
      <c r="AF490" s="35">
        <f t="shared" si="58"/>
        <v>0</v>
      </c>
    </row>
    <row r="491" spans="1:34">
      <c r="A491" s="12" t="s">
        <v>660</v>
      </c>
      <c r="B491" s="12"/>
      <c r="C491" s="12" t="s">
        <v>62</v>
      </c>
      <c r="D491" s="12"/>
      <c r="E491" s="32">
        <v>49940</v>
      </c>
      <c r="G491" s="8">
        <f t="shared" si="59"/>
        <v>11498527</v>
      </c>
      <c r="I491" s="8">
        <v>39829515</v>
      </c>
      <c r="K491" s="8">
        <v>51328042</v>
      </c>
      <c r="M491" s="8">
        <f t="shared" si="60"/>
        <v>6520466</v>
      </c>
      <c r="O491" s="8">
        <v>477085</v>
      </c>
      <c r="Q491" s="8">
        <f>12751491-477085</f>
        <v>12274406</v>
      </c>
      <c r="S491" s="8">
        <v>19271957</v>
      </c>
      <c r="U491" s="8">
        <v>28967303</v>
      </c>
      <c r="W491" s="8">
        <f t="shared" si="61"/>
        <v>2107057</v>
      </c>
      <c r="Y491" s="8">
        <v>981725</v>
      </c>
      <c r="AA491" s="8">
        <v>32056085</v>
      </c>
      <c r="AD491" s="8">
        <f t="shared" si="57"/>
        <v>0</v>
      </c>
      <c r="AF491" s="35">
        <f t="shared" si="58"/>
        <v>0</v>
      </c>
    </row>
    <row r="492" spans="1:34">
      <c r="A492" s="12" t="s">
        <v>585</v>
      </c>
      <c r="B492" s="12"/>
      <c r="C492" s="12" t="s">
        <v>55</v>
      </c>
      <c r="D492" s="12"/>
      <c r="E492" s="32"/>
      <c r="F492" s="11"/>
      <c r="G492" s="8">
        <f t="shared" si="59"/>
        <v>11836051</v>
      </c>
      <c r="I492" s="8">
        <v>24342321</v>
      </c>
      <c r="K492" s="8">
        <v>36178372</v>
      </c>
      <c r="M492" s="8">
        <f t="shared" si="60"/>
        <v>3872348</v>
      </c>
      <c r="O492" s="8">
        <v>104992</v>
      </c>
      <c r="Q492" s="8">
        <f>1371307-104992</f>
        <v>1266315</v>
      </c>
      <c r="S492" s="8">
        <v>5243655</v>
      </c>
      <c r="U492" s="8">
        <v>23537321</v>
      </c>
      <c r="W492" s="8">
        <f t="shared" si="61"/>
        <v>1396736</v>
      </c>
      <c r="Y492" s="8">
        <v>6000660</v>
      </c>
      <c r="AA492" s="8">
        <v>30934717</v>
      </c>
      <c r="AD492" s="8">
        <f>+K492-S492-AA492</f>
        <v>0</v>
      </c>
      <c r="AF492" s="35">
        <f t="shared" si="58"/>
        <v>0</v>
      </c>
    </row>
    <row r="493" spans="1:34">
      <c r="A493" s="12" t="s">
        <v>515</v>
      </c>
      <c r="B493" s="12"/>
      <c r="C493" s="12" t="s">
        <v>45</v>
      </c>
      <c r="D493" s="12"/>
      <c r="E493" s="32">
        <v>48355</v>
      </c>
      <c r="G493" s="8">
        <f t="shared" si="59"/>
        <v>3224847</v>
      </c>
      <c r="I493" s="8">
        <v>11637356</v>
      </c>
      <c r="K493" s="8">
        <v>14862203</v>
      </c>
      <c r="M493" s="8">
        <f t="shared" si="60"/>
        <v>2125798</v>
      </c>
      <c r="O493" s="8">
        <v>87043</v>
      </c>
      <c r="Q493" s="8">
        <f>1717904-87043</f>
        <v>1630861</v>
      </c>
      <c r="S493" s="8">
        <v>3843702</v>
      </c>
      <c r="U493" s="8">
        <v>10347356</v>
      </c>
      <c r="W493" s="8">
        <f t="shared" si="61"/>
        <v>649503</v>
      </c>
      <c r="Y493" s="8">
        <v>21642</v>
      </c>
      <c r="AA493" s="8">
        <v>11018501</v>
      </c>
      <c r="AD493" s="8">
        <f t="shared" si="57"/>
        <v>0</v>
      </c>
      <c r="AF493" s="35">
        <f t="shared" si="58"/>
        <v>0</v>
      </c>
    </row>
    <row r="494" spans="1:34">
      <c r="A494" s="12" t="s">
        <v>639</v>
      </c>
      <c r="B494" s="12"/>
      <c r="C494" s="12" t="s">
        <v>60</v>
      </c>
      <c r="D494" s="12"/>
      <c r="E494" s="32">
        <v>49684</v>
      </c>
      <c r="G494" s="8">
        <f t="shared" si="59"/>
        <v>5055995</v>
      </c>
      <c r="I494" s="8">
        <v>31775556</v>
      </c>
      <c r="K494" s="8">
        <v>36831551</v>
      </c>
      <c r="M494" s="8">
        <f t="shared" si="60"/>
        <v>3034031</v>
      </c>
      <c r="O494" s="8">
        <v>340292</v>
      </c>
      <c r="Q494" s="8">
        <f>11811470-340292</f>
        <v>11471178</v>
      </c>
      <c r="S494" s="8">
        <v>14845501</v>
      </c>
      <c r="U494" s="8">
        <v>20691808</v>
      </c>
      <c r="W494" s="8">
        <f t="shared" si="61"/>
        <v>899517</v>
      </c>
      <c r="Y494" s="8">
        <v>394725</v>
      </c>
      <c r="AA494" s="8">
        <v>21986050</v>
      </c>
      <c r="AD494" s="8">
        <f t="shared" si="57"/>
        <v>0</v>
      </c>
      <c r="AF494" s="35">
        <f t="shared" si="58"/>
        <v>0</v>
      </c>
    </row>
    <row r="495" spans="1:34">
      <c r="A495" s="12"/>
      <c r="B495" s="12"/>
      <c r="C495" s="12"/>
      <c r="D495" s="12"/>
      <c r="E495" s="32"/>
      <c r="AF495" s="35"/>
    </row>
    <row r="496" spans="1:34">
      <c r="A496" s="12"/>
      <c r="B496" s="12"/>
      <c r="C496" s="12"/>
      <c r="D496" s="12"/>
      <c r="E496" s="32"/>
      <c r="AA496" s="8" t="s">
        <v>805</v>
      </c>
      <c r="AF496" s="35"/>
    </row>
    <row r="497" spans="1:34">
      <c r="A497" s="12"/>
      <c r="B497" s="12"/>
      <c r="C497" s="12"/>
      <c r="D497" s="12"/>
      <c r="E497" s="32"/>
      <c r="AF497" s="35"/>
    </row>
    <row r="498" spans="1:34">
      <c r="A498" s="12" t="s">
        <v>234</v>
      </c>
      <c r="B498" s="12"/>
      <c r="C498" s="12" t="s">
        <v>15</v>
      </c>
      <c r="D498" s="12"/>
      <c r="E498" s="32">
        <v>46003</v>
      </c>
      <c r="G498" s="35">
        <f t="shared" si="59"/>
        <v>5977581</v>
      </c>
      <c r="H498" s="35"/>
      <c r="I498" s="35">
        <v>1309690</v>
      </c>
      <c r="J498" s="35"/>
      <c r="K498" s="35">
        <v>7287271</v>
      </c>
      <c r="L498" s="35"/>
      <c r="M498" s="35">
        <f t="shared" si="60"/>
        <v>3367945</v>
      </c>
      <c r="N498" s="35"/>
      <c r="O498" s="35">
        <v>37657</v>
      </c>
      <c r="P498" s="35"/>
      <c r="Q498" s="35">
        <f>600245-37657</f>
        <v>562588</v>
      </c>
      <c r="R498" s="35"/>
      <c r="S498" s="35">
        <v>3968190</v>
      </c>
      <c r="T498" s="35"/>
      <c r="U498" s="35">
        <v>1252683</v>
      </c>
      <c r="V498" s="35"/>
      <c r="W498" s="35">
        <f t="shared" si="61"/>
        <v>630037</v>
      </c>
      <c r="X498" s="35"/>
      <c r="Y498" s="35">
        <v>1436361</v>
      </c>
      <c r="Z498" s="35"/>
      <c r="AA498" s="35">
        <v>3319081</v>
      </c>
      <c r="AD498" s="8">
        <f t="shared" si="57"/>
        <v>0</v>
      </c>
      <c r="AF498" s="35">
        <f t="shared" si="58"/>
        <v>0</v>
      </c>
    </row>
    <row r="499" spans="1:34">
      <c r="A499" s="12" t="s">
        <v>1061</v>
      </c>
      <c r="B499" s="12"/>
      <c r="C499" s="12" t="s">
        <v>20</v>
      </c>
      <c r="D499" s="12"/>
      <c r="E499" s="32">
        <v>44750</v>
      </c>
      <c r="G499" s="8">
        <f t="shared" si="59"/>
        <v>105549151</v>
      </c>
      <c r="I499" s="8">
        <v>32599118</v>
      </c>
      <c r="K499" s="8">
        <v>138148269</v>
      </c>
      <c r="M499" s="8">
        <f t="shared" si="60"/>
        <v>67052690</v>
      </c>
      <c r="O499" s="8">
        <v>4661691</v>
      </c>
      <c r="Q499" s="8">
        <f>35341596-4661691</f>
        <v>30679905</v>
      </c>
      <c r="S499" s="8">
        <v>102394286</v>
      </c>
      <c r="U499" s="8">
        <v>10070839</v>
      </c>
      <c r="W499" s="8">
        <f t="shared" si="61"/>
        <v>5074453</v>
      </c>
      <c r="Y499" s="8">
        <v>20608691</v>
      </c>
      <c r="AA499" s="8">
        <v>35753983</v>
      </c>
      <c r="AD499" s="8">
        <f t="shared" si="57"/>
        <v>0</v>
      </c>
      <c r="AF499" s="35">
        <f t="shared" si="58"/>
        <v>0</v>
      </c>
      <c r="AH499" s="15" t="s">
        <v>905</v>
      </c>
    </row>
    <row r="500" spans="1:34" hidden="1">
      <c r="A500" s="117" t="s">
        <v>1034</v>
      </c>
      <c r="B500" s="12"/>
      <c r="C500" s="12" t="s">
        <v>10</v>
      </c>
      <c r="D500" s="12"/>
      <c r="E500" s="32"/>
      <c r="G500" s="8">
        <f t="shared" si="59"/>
        <v>18381562</v>
      </c>
      <c r="K500" s="8">
        <v>18381562</v>
      </c>
      <c r="W500" s="8">
        <f t="shared" si="61"/>
        <v>1824669</v>
      </c>
      <c r="Y500" s="8">
        <v>16556893</v>
      </c>
      <c r="AA500" s="8">
        <v>18381562</v>
      </c>
      <c r="AD500" s="8">
        <f t="shared" si="57"/>
        <v>0</v>
      </c>
      <c r="AF500" s="35">
        <f t="shared" si="58"/>
        <v>0</v>
      </c>
      <c r="AH500" s="15"/>
    </row>
    <row r="501" spans="1:34">
      <c r="A501" s="12" t="s">
        <v>792</v>
      </c>
      <c r="B501" s="12"/>
      <c r="C501" s="12" t="s">
        <v>44</v>
      </c>
      <c r="D501" s="12"/>
      <c r="E501" s="32">
        <v>44768</v>
      </c>
      <c r="G501" s="8">
        <f t="shared" si="59"/>
        <v>23260043</v>
      </c>
      <c r="I501" s="8">
        <v>2971988</v>
      </c>
      <c r="K501" s="8">
        <v>26232031</v>
      </c>
      <c r="M501" s="8">
        <f t="shared" si="60"/>
        <v>13428332</v>
      </c>
      <c r="O501" s="8">
        <v>50573</v>
      </c>
      <c r="Q501" s="8">
        <f>1126299-50573</f>
        <v>1075726</v>
      </c>
      <c r="S501" s="8">
        <v>14554631</v>
      </c>
      <c r="U501" s="8">
        <v>2971988</v>
      </c>
      <c r="W501" s="8">
        <f t="shared" si="61"/>
        <v>651188</v>
      </c>
      <c r="Y501" s="8">
        <v>8054224</v>
      </c>
      <c r="AA501" s="8">
        <v>11677400</v>
      </c>
      <c r="AD501" s="8">
        <f t="shared" si="57"/>
        <v>0</v>
      </c>
      <c r="AF501" s="35">
        <f t="shared" si="58"/>
        <v>0</v>
      </c>
    </row>
    <row r="502" spans="1:34">
      <c r="A502" s="12" t="s">
        <v>615</v>
      </c>
      <c r="B502" s="12"/>
      <c r="C502" s="12" t="s">
        <v>112</v>
      </c>
      <c r="D502" s="12"/>
      <c r="E502" s="32">
        <v>44776</v>
      </c>
      <c r="G502" s="8">
        <f t="shared" si="59"/>
        <v>13121782</v>
      </c>
      <c r="I502" s="8">
        <v>2951938</v>
      </c>
      <c r="K502" s="8">
        <v>16073720</v>
      </c>
      <c r="M502" s="8">
        <f t="shared" si="60"/>
        <v>6878919</v>
      </c>
      <c r="O502" s="8">
        <v>389971</v>
      </c>
      <c r="Q502" s="8">
        <f>2075896-389971</f>
        <v>1685925</v>
      </c>
      <c r="S502" s="8">
        <v>8954815</v>
      </c>
      <c r="U502" s="8">
        <v>2337798</v>
      </c>
      <c r="W502" s="8">
        <f t="shared" si="61"/>
        <v>492234</v>
      </c>
      <c r="Y502" s="8">
        <v>4288873</v>
      </c>
      <c r="AA502" s="8">
        <v>7118905</v>
      </c>
      <c r="AD502" s="8">
        <f t="shared" si="57"/>
        <v>0</v>
      </c>
      <c r="AF502" s="35">
        <f t="shared" si="58"/>
        <v>0</v>
      </c>
    </row>
    <row r="503" spans="1:34">
      <c r="A503" s="12" t="s">
        <v>647</v>
      </c>
      <c r="B503" s="12"/>
      <c r="C503" s="12" t="s">
        <v>61</v>
      </c>
      <c r="D503" s="12"/>
      <c r="E503" s="32">
        <v>44784</v>
      </c>
      <c r="G503" s="8">
        <f t="shared" si="59"/>
        <v>19586789</v>
      </c>
      <c r="I503" s="8">
        <v>30198643</v>
      </c>
      <c r="K503" s="8">
        <v>49785432</v>
      </c>
      <c r="M503" s="8">
        <f t="shared" si="60"/>
        <v>17332624</v>
      </c>
      <c r="O503" s="8">
        <v>2915902</v>
      </c>
      <c r="Q503" s="8">
        <f>24983815-2915902</f>
        <v>22067913</v>
      </c>
      <c r="S503" s="8">
        <v>42316439</v>
      </c>
      <c r="U503" s="8">
        <v>7556224</v>
      </c>
      <c r="W503" s="8">
        <f t="shared" si="61"/>
        <v>2796684</v>
      </c>
      <c r="Y503" s="8">
        <v>-2883915</v>
      </c>
      <c r="AA503" s="8">
        <v>7468993</v>
      </c>
      <c r="AD503" s="8">
        <f t="shared" si="57"/>
        <v>0</v>
      </c>
      <c r="AF503" s="35">
        <f t="shared" si="58"/>
        <v>0</v>
      </c>
    </row>
    <row r="504" spans="1:34">
      <c r="A504" s="12" t="s">
        <v>321</v>
      </c>
      <c r="B504" s="12"/>
      <c r="C504" s="12" t="s">
        <v>20</v>
      </c>
      <c r="D504" s="12"/>
      <c r="E504" s="32">
        <v>46607</v>
      </c>
      <c r="G504" s="8">
        <f t="shared" si="59"/>
        <v>73641451</v>
      </c>
      <c r="I504" s="8">
        <v>37271633</v>
      </c>
      <c r="K504" s="8">
        <v>110913084</v>
      </c>
      <c r="M504" s="8">
        <f t="shared" si="60"/>
        <v>48110229</v>
      </c>
      <c r="O504" s="8">
        <v>3449948</v>
      </c>
      <c r="Q504" s="8">
        <f>31578363+101433-3449948</f>
        <v>28229848</v>
      </c>
      <c r="S504" s="8">
        <v>79790025</v>
      </c>
      <c r="U504" s="8">
        <v>14724229</v>
      </c>
      <c r="W504" s="8">
        <f t="shared" si="61"/>
        <v>12348115</v>
      </c>
      <c r="Y504" s="8">
        <v>4050715</v>
      </c>
      <c r="AA504" s="8">
        <v>31123059</v>
      </c>
      <c r="AD504" s="8">
        <f t="shared" si="57"/>
        <v>0</v>
      </c>
      <c r="AF504" s="35">
        <f t="shared" si="58"/>
        <v>0</v>
      </c>
    </row>
    <row r="505" spans="1:34">
      <c r="A505" s="12" t="s">
        <v>868</v>
      </c>
      <c r="B505" s="12"/>
      <c r="C505" s="13" t="s">
        <v>37</v>
      </c>
      <c r="D505" s="12"/>
      <c r="E505" s="32"/>
      <c r="G505" s="8">
        <f t="shared" si="59"/>
        <v>5844715</v>
      </c>
      <c r="I505" s="8">
        <v>6200584</v>
      </c>
      <c r="K505" s="8">
        <v>12045299</v>
      </c>
      <c r="M505" s="8">
        <f t="shared" si="60"/>
        <v>1870914</v>
      </c>
      <c r="O505" s="8">
        <v>226452</v>
      </c>
      <c r="Q505" s="8">
        <f>1758993-226452</f>
        <v>1532541</v>
      </c>
      <c r="S505" s="8">
        <v>3629907</v>
      </c>
      <c r="U505" s="8">
        <v>5045692</v>
      </c>
      <c r="W505" s="8">
        <f t="shared" si="61"/>
        <v>1003519</v>
      </c>
      <c r="Y505" s="8">
        <v>2366181</v>
      </c>
      <c r="AA505" s="8">
        <v>8415392</v>
      </c>
      <c r="AD505" s="8">
        <f>+K505-S505-AA505</f>
        <v>0</v>
      </c>
      <c r="AF505" s="35">
        <f t="shared" si="58"/>
        <v>0</v>
      </c>
    </row>
    <row r="506" spans="1:34">
      <c r="A506" s="12" t="s">
        <v>322</v>
      </c>
      <c r="B506" s="12"/>
      <c r="C506" s="12" t="s">
        <v>20</v>
      </c>
      <c r="D506" s="12"/>
      <c r="E506" s="32">
        <v>44792</v>
      </c>
      <c r="G506" s="8">
        <f t="shared" si="59"/>
        <v>64855863</v>
      </c>
      <c r="I506" s="8">
        <v>19190173</v>
      </c>
      <c r="K506" s="8">
        <v>84046036</v>
      </c>
      <c r="M506" s="8">
        <f t="shared" si="60"/>
        <v>52382844</v>
      </c>
      <c r="O506" s="8">
        <v>1693092</v>
      </c>
      <c r="Q506" s="8">
        <f>11719323-1693092</f>
        <v>10026231</v>
      </c>
      <c r="S506" s="8">
        <v>64102167</v>
      </c>
      <c r="U506" s="8">
        <v>3164505</v>
      </c>
      <c r="W506" s="8">
        <f t="shared" si="61"/>
        <v>5666846</v>
      </c>
      <c r="Y506" s="8">
        <v>11112518</v>
      </c>
      <c r="AA506" s="8">
        <v>19943869</v>
      </c>
      <c r="AD506" s="8">
        <f t="shared" si="57"/>
        <v>0</v>
      </c>
      <c r="AF506" s="35">
        <f t="shared" si="58"/>
        <v>0</v>
      </c>
    </row>
    <row r="507" spans="1:34">
      <c r="A507" s="12" t="s">
        <v>471</v>
      </c>
      <c r="B507" s="12"/>
      <c r="C507" s="12" t="s">
        <v>466</v>
      </c>
      <c r="D507" s="12"/>
      <c r="E507" s="32">
        <v>47951</v>
      </c>
      <c r="G507" s="8">
        <f t="shared" si="59"/>
        <v>16268590</v>
      </c>
      <c r="I507" s="8">
        <v>51296505</v>
      </c>
      <c r="K507" s="8">
        <v>67565095</v>
      </c>
      <c r="M507" s="8">
        <f t="shared" si="60"/>
        <v>7024571</v>
      </c>
      <c r="O507" s="8">
        <v>561959</v>
      </c>
      <c r="Q507" s="8">
        <f>13375470-561959</f>
        <v>12813511</v>
      </c>
      <c r="S507" s="8">
        <v>20400041</v>
      </c>
      <c r="U507" s="8">
        <v>38486326</v>
      </c>
      <c r="W507" s="8">
        <f t="shared" si="61"/>
        <v>6727024</v>
      </c>
      <c r="Y507" s="8">
        <v>1951704</v>
      </c>
      <c r="AA507" s="8">
        <v>47165054</v>
      </c>
      <c r="AD507" s="8">
        <f>+K507-S507-AA507</f>
        <v>0</v>
      </c>
      <c r="AF507" s="35">
        <f t="shared" si="58"/>
        <v>0</v>
      </c>
    </row>
    <row r="508" spans="1:34">
      <c r="A508" s="12" t="s">
        <v>516</v>
      </c>
      <c r="B508" s="12"/>
      <c r="C508" s="12" t="s">
        <v>45</v>
      </c>
      <c r="D508" s="12"/>
      <c r="E508" s="32">
        <v>48363</v>
      </c>
      <c r="G508" s="8">
        <f t="shared" si="59"/>
        <v>46223544</v>
      </c>
      <c r="I508" s="8">
        <v>10187734</v>
      </c>
      <c r="K508" s="8">
        <v>56411278</v>
      </c>
      <c r="M508" s="8">
        <f t="shared" si="60"/>
        <v>8082693</v>
      </c>
      <c r="O508" s="8">
        <v>585701</v>
      </c>
      <c r="Q508" s="8">
        <f>20803003-585701</f>
        <v>20217302</v>
      </c>
      <c r="S508" s="8">
        <v>28885696</v>
      </c>
      <c r="U508" s="8">
        <v>10187734</v>
      </c>
      <c r="W508" s="8">
        <f t="shared" si="61"/>
        <v>951279</v>
      </c>
      <c r="Y508" s="8">
        <v>16386569</v>
      </c>
      <c r="AA508" s="8">
        <v>27525582</v>
      </c>
      <c r="AD508" s="8">
        <f t="shared" si="57"/>
        <v>0</v>
      </c>
      <c r="AF508" s="35">
        <f t="shared" si="58"/>
        <v>0</v>
      </c>
    </row>
    <row r="509" spans="1:34">
      <c r="A509" s="12" t="s">
        <v>594</v>
      </c>
      <c r="B509" s="12"/>
      <c r="C509" s="12" t="s">
        <v>56</v>
      </c>
      <c r="D509" s="12"/>
      <c r="E509" s="32">
        <v>49221</v>
      </c>
      <c r="G509" s="8">
        <f t="shared" si="59"/>
        <v>15378237</v>
      </c>
      <c r="I509" s="8">
        <v>31205255</v>
      </c>
      <c r="K509" s="8">
        <v>46583492</v>
      </c>
      <c r="M509" s="8">
        <f t="shared" si="60"/>
        <v>8536100</v>
      </c>
      <c r="O509" s="8">
        <v>387221</v>
      </c>
      <c r="Q509" s="8">
        <f>7267036-387221</f>
        <v>6879815</v>
      </c>
      <c r="S509" s="8">
        <v>15803136</v>
      </c>
      <c r="U509" s="8">
        <v>25833255</v>
      </c>
      <c r="W509" s="8">
        <f t="shared" si="61"/>
        <v>1709681</v>
      </c>
      <c r="Y509" s="8">
        <v>3237420</v>
      </c>
      <c r="AA509" s="8">
        <v>30780356</v>
      </c>
      <c r="AD509" s="8">
        <f t="shared" si="57"/>
        <v>0</v>
      </c>
      <c r="AF509" s="35">
        <f t="shared" si="58"/>
        <v>0</v>
      </c>
    </row>
    <row r="510" spans="1:34">
      <c r="A510" s="12" t="s">
        <v>594</v>
      </c>
      <c r="B510" s="12"/>
      <c r="C510" s="12" t="s">
        <v>71</v>
      </c>
      <c r="D510" s="12"/>
      <c r="E510" s="32">
        <v>50583</v>
      </c>
      <c r="G510" s="8">
        <f t="shared" si="59"/>
        <v>8725958</v>
      </c>
      <c r="I510" s="8">
        <v>3399198</v>
      </c>
      <c r="K510" s="8">
        <v>12125156</v>
      </c>
      <c r="M510" s="8">
        <f t="shared" si="60"/>
        <v>7650201</v>
      </c>
      <c r="O510" s="8">
        <v>226816</v>
      </c>
      <c r="Q510" s="8">
        <f>926748-226816</f>
        <v>699932</v>
      </c>
      <c r="S510" s="8">
        <v>8576949</v>
      </c>
      <c r="U510" s="8">
        <v>3190478</v>
      </c>
      <c r="W510" s="8">
        <f t="shared" si="61"/>
        <v>307473</v>
      </c>
      <c r="Y510" s="8">
        <v>50256</v>
      </c>
      <c r="AA510" s="8">
        <v>3548207</v>
      </c>
      <c r="AD510" s="8">
        <f t="shared" si="57"/>
        <v>0</v>
      </c>
      <c r="AF510" s="35">
        <f t="shared" si="58"/>
        <v>0</v>
      </c>
    </row>
    <row r="511" spans="1:34">
      <c r="A511" s="12" t="s">
        <v>264</v>
      </c>
      <c r="B511" s="12"/>
      <c r="C511" s="12" t="s">
        <v>17</v>
      </c>
      <c r="D511" s="12"/>
      <c r="E511" s="32">
        <v>46276</v>
      </c>
      <c r="G511" s="8">
        <f t="shared" si="59"/>
        <v>8843199</v>
      </c>
      <c r="I511" s="8">
        <v>3206029</v>
      </c>
      <c r="K511" s="8">
        <v>12049228</v>
      </c>
      <c r="M511" s="8">
        <f t="shared" si="60"/>
        <v>2375573</v>
      </c>
      <c r="O511" s="8">
        <v>46829</v>
      </c>
      <c r="Q511" s="8">
        <f>916435-46829</f>
        <v>869606</v>
      </c>
      <c r="S511" s="8">
        <v>3292008</v>
      </c>
      <c r="U511" s="8">
        <v>2721390</v>
      </c>
      <c r="W511" s="8">
        <f t="shared" si="61"/>
        <v>1466863</v>
      </c>
      <c r="Y511" s="8">
        <v>4568967</v>
      </c>
      <c r="AA511" s="8">
        <v>8757220</v>
      </c>
      <c r="AD511" s="8">
        <f>+K511-S511-AA511</f>
        <v>0</v>
      </c>
      <c r="AF511" s="35">
        <f>+G511+I511+-M511-O511-U511-W511-Y511-Q511</f>
        <v>0</v>
      </c>
    </row>
    <row r="512" spans="1:34">
      <c r="A512" s="12" t="s">
        <v>264</v>
      </c>
      <c r="B512" s="12"/>
      <c r="C512" s="12" t="s">
        <v>58</v>
      </c>
      <c r="D512" s="12"/>
      <c r="E512" s="32">
        <v>49528</v>
      </c>
      <c r="G512" s="8">
        <f t="shared" si="59"/>
        <v>9314340</v>
      </c>
      <c r="I512" s="8">
        <v>23958625</v>
      </c>
      <c r="K512" s="8">
        <v>33272965</v>
      </c>
      <c r="M512" s="8">
        <f t="shared" si="60"/>
        <v>2952400</v>
      </c>
      <c r="O512" s="8">
        <v>266626</v>
      </c>
      <c r="Q512" s="8">
        <f>5192568-266626</f>
        <v>4925942</v>
      </c>
      <c r="S512" s="8">
        <v>8144968</v>
      </c>
      <c r="U512" s="8">
        <v>19240173</v>
      </c>
      <c r="W512" s="8">
        <f t="shared" si="61"/>
        <v>1521411</v>
      </c>
      <c r="Y512" s="8">
        <v>4366413</v>
      </c>
      <c r="AA512" s="8">
        <v>25127997</v>
      </c>
      <c r="AD512" s="8">
        <f t="shared" si="57"/>
        <v>0</v>
      </c>
      <c r="AF512" s="35">
        <f t="shared" si="58"/>
        <v>0</v>
      </c>
    </row>
    <row r="513" spans="1:34">
      <c r="A513" s="12" t="s">
        <v>890</v>
      </c>
      <c r="B513" s="12"/>
      <c r="C513" s="12" t="s">
        <v>114</v>
      </c>
      <c r="D513" s="12"/>
      <c r="E513" s="32">
        <v>46441</v>
      </c>
      <c r="F513" s="35"/>
      <c r="G513" s="8">
        <f t="shared" si="59"/>
        <v>3548358</v>
      </c>
      <c r="I513" s="8">
        <v>13532243</v>
      </c>
      <c r="K513" s="8">
        <v>17080601</v>
      </c>
      <c r="M513" s="8">
        <f>+S513-O513-Q513</f>
        <v>2714252</v>
      </c>
      <c r="O513" s="8">
        <v>185546</v>
      </c>
      <c r="Q513" s="8">
        <f>3231764-185546</f>
        <v>3046218</v>
      </c>
      <c r="S513" s="8">
        <v>5946016</v>
      </c>
      <c r="U513" s="8">
        <v>10834205</v>
      </c>
      <c r="W513" s="8">
        <f>AA513-Y513-U513</f>
        <v>739494</v>
      </c>
      <c r="Y513" s="8">
        <v>-439114</v>
      </c>
      <c r="AA513" s="8">
        <v>11134585</v>
      </c>
      <c r="AD513" s="8">
        <f t="shared" si="57"/>
        <v>0</v>
      </c>
      <c r="AF513" s="35">
        <f t="shared" si="58"/>
        <v>0</v>
      </c>
    </row>
    <row r="514" spans="1:34">
      <c r="A514" s="12" t="s">
        <v>284</v>
      </c>
      <c r="B514" s="12"/>
      <c r="C514" s="12" t="s">
        <v>531</v>
      </c>
      <c r="D514" s="12"/>
      <c r="E514" s="32">
        <v>46441</v>
      </c>
      <c r="F514" s="35"/>
      <c r="G514" s="8">
        <f t="shared" si="59"/>
        <v>4899151</v>
      </c>
      <c r="I514" s="8">
        <v>9549359</v>
      </c>
      <c r="K514" s="8">
        <v>14448510</v>
      </c>
      <c r="M514" s="8">
        <f t="shared" si="60"/>
        <v>2746881</v>
      </c>
      <c r="O514" s="8">
        <v>187577</v>
      </c>
      <c r="Q514" s="8">
        <f>3195539-187577</f>
        <v>3007962</v>
      </c>
      <c r="S514" s="8">
        <v>5942420</v>
      </c>
      <c r="U514" s="8">
        <v>6692885</v>
      </c>
      <c r="W514" s="8">
        <f t="shared" si="61"/>
        <v>770995</v>
      </c>
      <c r="Y514" s="8">
        <v>1042210</v>
      </c>
      <c r="AA514" s="8">
        <v>8506090</v>
      </c>
      <c r="AD514" s="8">
        <f>+K514-S514-AA514</f>
        <v>0</v>
      </c>
      <c r="AF514" s="35">
        <f>+G514+I514+-M514-O514-U514-W514-Y514-Q514</f>
        <v>0</v>
      </c>
    </row>
    <row r="515" spans="1:34" hidden="1">
      <c r="A515" s="108" t="s">
        <v>1035</v>
      </c>
      <c r="B515" s="13"/>
      <c r="C515" s="13" t="s">
        <v>579</v>
      </c>
      <c r="D515" s="12"/>
      <c r="E515" s="32"/>
      <c r="F515" s="35"/>
      <c r="G515" s="8">
        <f t="shared" si="59"/>
        <v>1307092</v>
      </c>
      <c r="K515" s="8">
        <v>1307092</v>
      </c>
      <c r="W515" s="8">
        <f t="shared" si="61"/>
        <v>1181102</v>
      </c>
      <c r="Y515" s="8">
        <v>125990</v>
      </c>
      <c r="AA515" s="8">
        <v>1307092</v>
      </c>
      <c r="AD515" s="8">
        <f>+K515-S515-AA515</f>
        <v>0</v>
      </c>
      <c r="AF515" s="35">
        <f>+G515+I515+-M515-O515-U515-W515-Y515-Q515</f>
        <v>0</v>
      </c>
    </row>
    <row r="516" spans="1:34">
      <c r="A516" s="12" t="s">
        <v>691</v>
      </c>
      <c r="B516" s="12"/>
      <c r="C516" s="12" t="s">
        <v>64</v>
      </c>
      <c r="D516" s="12"/>
      <c r="E516" s="32">
        <v>50237</v>
      </c>
      <c r="G516" s="8">
        <f t="shared" si="59"/>
        <v>26665021</v>
      </c>
      <c r="I516" s="8">
        <v>2584717</v>
      </c>
      <c r="K516" s="8">
        <v>29249738</v>
      </c>
      <c r="M516" s="8">
        <f t="shared" si="60"/>
        <v>2513381</v>
      </c>
      <c r="O516" s="8">
        <v>138801</v>
      </c>
      <c r="Q516" s="8">
        <f>8486260-138801</f>
        <v>8347459</v>
      </c>
      <c r="S516" s="8">
        <v>10999641</v>
      </c>
      <c r="U516" s="8">
        <v>1002664</v>
      </c>
      <c r="W516" s="8">
        <f t="shared" si="61"/>
        <v>16943323</v>
      </c>
      <c r="Y516" s="8">
        <v>304110</v>
      </c>
      <c r="AA516" s="8">
        <v>18250097</v>
      </c>
      <c r="AD516" s="8">
        <f t="shared" si="57"/>
        <v>0</v>
      </c>
      <c r="AF516" s="35">
        <f t="shared" si="58"/>
        <v>0</v>
      </c>
    </row>
    <row r="517" spans="1:34">
      <c r="A517" s="12" t="s">
        <v>878</v>
      </c>
      <c r="B517" s="12"/>
      <c r="C517" s="12" t="s">
        <v>42</v>
      </c>
      <c r="D517" s="12"/>
      <c r="E517" s="32">
        <v>48041</v>
      </c>
      <c r="F517" s="11"/>
      <c r="G517" s="8">
        <f t="shared" si="59"/>
        <v>29690760</v>
      </c>
      <c r="I517" s="8">
        <v>25231616</v>
      </c>
      <c r="K517" s="8">
        <v>54922376</v>
      </c>
      <c r="M517" s="8">
        <f t="shared" si="60"/>
        <v>19477197</v>
      </c>
      <c r="O517" s="8">
        <v>1803703</v>
      </c>
      <c r="Q517" s="8">
        <f>21675326-1803703</f>
        <v>19871623</v>
      </c>
      <c r="S517" s="8">
        <v>41152523</v>
      </c>
      <c r="U517" s="8">
        <v>7487283</v>
      </c>
      <c r="W517" s="8">
        <f t="shared" si="61"/>
        <v>3601403</v>
      </c>
      <c r="Y517" s="8">
        <v>2681167</v>
      </c>
      <c r="AA517" s="8">
        <v>13769853</v>
      </c>
      <c r="AD517" s="8">
        <f t="shared" si="57"/>
        <v>0</v>
      </c>
      <c r="AF517" s="35">
        <f t="shared" si="58"/>
        <v>0</v>
      </c>
    </row>
    <row r="518" spans="1:34">
      <c r="A518" s="12" t="s">
        <v>407</v>
      </c>
      <c r="B518" s="12"/>
      <c r="C518" s="12" t="s">
        <v>32</v>
      </c>
      <c r="D518" s="12"/>
      <c r="E518" s="32">
        <v>47381</v>
      </c>
      <c r="G518" s="8">
        <f t="shared" si="59"/>
        <v>18582837</v>
      </c>
      <c r="I518" s="8">
        <v>23389717</v>
      </c>
      <c r="K518" s="8">
        <v>41972554</v>
      </c>
      <c r="M518" s="8">
        <f t="shared" si="60"/>
        <v>14251945</v>
      </c>
      <c r="O518" s="8">
        <v>2335667</v>
      </c>
      <c r="Q518" s="8">
        <f>22753819-2335667</f>
        <v>20418152</v>
      </c>
      <c r="S518" s="8">
        <v>37005764</v>
      </c>
      <c r="U518" s="8">
        <v>5628574</v>
      </c>
      <c r="W518" s="8">
        <f t="shared" si="61"/>
        <v>3769948</v>
      </c>
      <c r="Y518" s="8">
        <v>-4431732</v>
      </c>
      <c r="AA518" s="8">
        <v>4966790</v>
      </c>
      <c r="AD518" s="8">
        <f t="shared" si="57"/>
        <v>0</v>
      </c>
      <c r="AF518" s="35">
        <f t="shared" si="58"/>
        <v>0</v>
      </c>
    </row>
    <row r="519" spans="1:34">
      <c r="A519" s="12" t="s">
        <v>363</v>
      </c>
      <c r="B519" s="12"/>
      <c r="C519" s="12" t="s">
        <v>27</v>
      </c>
      <c r="D519" s="12"/>
      <c r="E519" s="32">
        <v>44800</v>
      </c>
      <c r="G519" s="8">
        <f t="shared" si="59"/>
        <v>148824000</v>
      </c>
      <c r="I519" s="8">
        <v>139755000</v>
      </c>
      <c r="K519" s="8">
        <v>288579000</v>
      </c>
      <c r="M519" s="8">
        <f t="shared" si="60"/>
        <v>75559319</v>
      </c>
      <c r="O519" s="8">
        <v>12872337</v>
      </c>
      <c r="Q519" s="8">
        <f>116172681-12872337</f>
        <v>103300344</v>
      </c>
      <c r="S519" s="8">
        <v>191732000</v>
      </c>
      <c r="U519" s="8">
        <v>40528000</v>
      </c>
      <c r="W519" s="8">
        <f t="shared" si="61"/>
        <v>23493000</v>
      </c>
      <c r="Y519" s="8">
        <v>32826000</v>
      </c>
      <c r="AA519" s="8">
        <v>96847000</v>
      </c>
      <c r="AD519" s="8">
        <f t="shared" si="57"/>
        <v>0</v>
      </c>
      <c r="AF519" s="35">
        <f t="shared" si="58"/>
        <v>0</v>
      </c>
      <c r="AH519" s="8" t="s">
        <v>927</v>
      </c>
    </row>
    <row r="520" spans="1:34" hidden="1">
      <c r="A520" s="117" t="s">
        <v>1037</v>
      </c>
      <c r="B520" s="12"/>
      <c r="C520" s="12" t="s">
        <v>10</v>
      </c>
      <c r="D520" s="12"/>
      <c r="E520" s="32">
        <v>45807</v>
      </c>
      <c r="G520" s="8">
        <f t="shared" si="59"/>
        <v>4196117</v>
      </c>
      <c r="K520" s="8">
        <v>4196117</v>
      </c>
      <c r="M520" s="8">
        <f t="shared" si="60"/>
        <v>0</v>
      </c>
      <c r="W520" s="8">
        <f t="shared" si="61"/>
        <v>2073369</v>
      </c>
      <c r="Y520" s="8">
        <v>2122748</v>
      </c>
      <c r="AA520" s="8">
        <v>4196117</v>
      </c>
      <c r="AD520" s="8">
        <f t="shared" si="57"/>
        <v>0</v>
      </c>
      <c r="AF520" s="35">
        <f t="shared" si="58"/>
        <v>0</v>
      </c>
    </row>
    <row r="521" spans="1:34" hidden="1">
      <c r="A521" s="117" t="s">
        <v>1036</v>
      </c>
      <c r="B521" s="12"/>
      <c r="C521" s="12" t="s">
        <v>69</v>
      </c>
      <c r="D521" s="12"/>
      <c r="E521" s="32">
        <v>50427</v>
      </c>
      <c r="G521" s="8">
        <f t="shared" si="59"/>
        <v>13959868</v>
      </c>
      <c r="K521" s="8">
        <v>13959868</v>
      </c>
      <c r="M521" s="8">
        <f t="shared" si="60"/>
        <v>0</v>
      </c>
      <c r="W521" s="8">
        <f t="shared" si="61"/>
        <v>9553920</v>
      </c>
      <c r="Y521" s="8">
        <v>4405948</v>
      </c>
      <c r="AA521" s="8">
        <v>13959868</v>
      </c>
      <c r="AD521" s="8">
        <f t="shared" si="57"/>
        <v>0</v>
      </c>
      <c r="AF521" s="35">
        <f t="shared" si="58"/>
        <v>0</v>
      </c>
    </row>
    <row r="522" spans="1:34">
      <c r="A522" s="12" t="s">
        <v>862</v>
      </c>
      <c r="B522" s="12"/>
      <c r="C522" s="12" t="s">
        <v>17</v>
      </c>
      <c r="D522" s="12"/>
      <c r="E522" s="32"/>
      <c r="G522" s="8">
        <f t="shared" si="59"/>
        <v>75796218</v>
      </c>
      <c r="I522" s="8">
        <v>188920460</v>
      </c>
      <c r="K522" s="8">
        <v>264716678</v>
      </c>
      <c r="M522" s="8">
        <f t="shared" si="60"/>
        <v>40765048</v>
      </c>
      <c r="O522" s="8">
        <v>4693040</v>
      </c>
      <c r="Q522" s="8">
        <f>41525388-4693040</f>
        <v>36832348</v>
      </c>
      <c r="S522" s="8">
        <v>82290436</v>
      </c>
      <c r="U522" s="8">
        <v>157096582</v>
      </c>
      <c r="W522" s="8">
        <f t="shared" si="61"/>
        <v>17075987</v>
      </c>
      <c r="Y522" s="8">
        <v>8253673</v>
      </c>
      <c r="AA522" s="8">
        <v>182426242</v>
      </c>
      <c r="AD522" s="8">
        <f>+K522-S522-AA522</f>
        <v>0</v>
      </c>
      <c r="AF522" s="35">
        <f t="shared" si="58"/>
        <v>0</v>
      </c>
    </row>
    <row r="523" spans="1:34">
      <c r="A523" s="12" t="s">
        <v>1062</v>
      </c>
      <c r="B523" s="12"/>
      <c r="C523" s="12" t="s">
        <v>117</v>
      </c>
      <c r="D523" s="12"/>
      <c r="E523" s="32">
        <v>48223</v>
      </c>
      <c r="G523" s="8">
        <f t="shared" si="59"/>
        <v>31528000</v>
      </c>
      <c r="I523" s="8">
        <v>28412182</v>
      </c>
      <c r="K523" s="8">
        <v>59940182</v>
      </c>
      <c r="M523" s="8">
        <f t="shared" si="60"/>
        <v>30943155</v>
      </c>
      <c r="O523" s="8">
        <v>1940983</v>
      </c>
      <c r="Q523" s="8">
        <f>18779831-1940983</f>
        <v>16838848</v>
      </c>
      <c r="S523" s="8">
        <v>49722986</v>
      </c>
      <c r="U523" s="8">
        <v>21057274</v>
      </c>
      <c r="W523" s="8">
        <f t="shared" si="61"/>
        <v>-6997883</v>
      </c>
      <c r="Y523" s="8">
        <v>-3842195</v>
      </c>
      <c r="AA523" s="8">
        <v>10217196</v>
      </c>
      <c r="AD523" s="8">
        <f t="shared" si="57"/>
        <v>0</v>
      </c>
      <c r="AF523" s="35">
        <f t="shared" si="58"/>
        <v>0</v>
      </c>
      <c r="AH523" s="15" t="s">
        <v>905</v>
      </c>
    </row>
    <row r="524" spans="1:34">
      <c r="A524" s="12" t="s">
        <v>500</v>
      </c>
      <c r="B524" s="12"/>
      <c r="C524" s="12" t="s">
        <v>45</v>
      </c>
      <c r="D524" s="12"/>
      <c r="E524" s="32">
        <v>48371</v>
      </c>
      <c r="G524" s="8">
        <f t="shared" si="59"/>
        <v>7740689</v>
      </c>
      <c r="I524" s="8">
        <v>4355412</v>
      </c>
      <c r="K524" s="8">
        <v>12096101</v>
      </c>
      <c r="M524" s="8">
        <f t="shared" si="60"/>
        <v>4771814</v>
      </c>
      <c r="O524" s="8">
        <v>505446</v>
      </c>
      <c r="Q524" s="8">
        <f>2569927-505446</f>
        <v>2064481</v>
      </c>
      <c r="S524" s="8">
        <v>7341741</v>
      </c>
      <c r="U524" s="8">
        <v>2684110</v>
      </c>
      <c r="W524" s="8">
        <f t="shared" si="61"/>
        <v>1259368</v>
      </c>
      <c r="Y524" s="8">
        <v>810882</v>
      </c>
      <c r="AA524" s="8">
        <v>4754360</v>
      </c>
      <c r="AD524" s="8">
        <f t="shared" si="57"/>
        <v>0</v>
      </c>
      <c r="AF524" s="35">
        <f t="shared" si="58"/>
        <v>0</v>
      </c>
    </row>
    <row r="525" spans="1:34">
      <c r="A525" s="12" t="s">
        <v>500</v>
      </c>
      <c r="B525" s="12"/>
      <c r="C525" s="12" t="s">
        <v>63</v>
      </c>
      <c r="D525" s="12"/>
      <c r="E525" s="32">
        <v>50062</v>
      </c>
      <c r="G525" s="8">
        <f t="shared" si="59"/>
        <v>15339592</v>
      </c>
      <c r="I525" s="8">
        <v>2380236</v>
      </c>
      <c r="K525" s="8">
        <v>17719828</v>
      </c>
      <c r="M525" s="8">
        <f t="shared" si="60"/>
        <v>15994075</v>
      </c>
      <c r="O525" s="8">
        <v>177846</v>
      </c>
      <c r="Q525" s="8">
        <f>1524439-177846</f>
        <v>1346593</v>
      </c>
      <c r="S525" s="8">
        <v>17518514</v>
      </c>
      <c r="U525" s="8">
        <v>1888639</v>
      </c>
      <c r="W525" s="8">
        <f t="shared" si="61"/>
        <v>258586</v>
      </c>
      <c r="Y525" s="8">
        <v>-1945911</v>
      </c>
      <c r="AA525" s="8">
        <v>201314</v>
      </c>
      <c r="AD525" s="8">
        <f t="shared" si="57"/>
        <v>0</v>
      </c>
      <c r="AF525" s="35">
        <f t="shared" si="58"/>
        <v>0</v>
      </c>
    </row>
    <row r="526" spans="1:34">
      <c r="A526" s="12" t="s">
        <v>860</v>
      </c>
      <c r="B526" s="12"/>
      <c r="C526" s="12" t="s">
        <v>32</v>
      </c>
      <c r="D526" s="12"/>
      <c r="E526" s="32">
        <v>44719</v>
      </c>
      <c r="G526" s="8">
        <f t="shared" si="59"/>
        <v>13838290</v>
      </c>
      <c r="I526" s="8">
        <v>2941576</v>
      </c>
      <c r="K526" s="8">
        <v>16779866</v>
      </c>
      <c r="M526" s="8">
        <f t="shared" si="60"/>
        <v>8743243</v>
      </c>
      <c r="O526" s="8">
        <v>343328</v>
      </c>
      <c r="Q526" s="8">
        <f>2552468-343328</f>
        <v>2209140</v>
      </c>
      <c r="S526" s="8">
        <v>11295711</v>
      </c>
      <c r="U526" s="8">
        <v>1607576</v>
      </c>
      <c r="W526" s="8">
        <f t="shared" si="61"/>
        <v>799922</v>
      </c>
      <c r="Y526" s="8">
        <v>3076657</v>
      </c>
      <c r="AA526" s="8">
        <v>5484155</v>
      </c>
      <c r="AD526" s="8">
        <f t="shared" si="57"/>
        <v>0</v>
      </c>
      <c r="AF526" s="35">
        <f t="shared" ref="AF526:AF532" si="62">+G526+I526+-M526-O526-U526-W526-Y526-Q526</f>
        <v>0</v>
      </c>
    </row>
    <row r="527" spans="1:34">
      <c r="A527" s="12" t="s">
        <v>859</v>
      </c>
      <c r="B527" s="12"/>
      <c r="C527" s="12" t="s">
        <v>15</v>
      </c>
      <c r="D527" s="12"/>
      <c r="E527" s="32">
        <v>45997</v>
      </c>
      <c r="G527" s="8">
        <f t="shared" si="59"/>
        <v>13067779</v>
      </c>
      <c r="I527" s="8">
        <v>8566684</v>
      </c>
      <c r="K527" s="8">
        <v>21634463</v>
      </c>
      <c r="M527" s="8">
        <f t="shared" si="60"/>
        <v>8532606</v>
      </c>
      <c r="O527" s="8">
        <v>876240</v>
      </c>
      <c r="Q527" s="8">
        <f>4991320-876240</f>
        <v>4115080</v>
      </c>
      <c r="S527" s="8">
        <v>13523926</v>
      </c>
      <c r="U527" s="8">
        <v>4771035</v>
      </c>
      <c r="W527" s="8">
        <f t="shared" si="61"/>
        <v>1410686</v>
      </c>
      <c r="Y527" s="8">
        <v>1928816</v>
      </c>
      <c r="AA527" s="8">
        <v>8110537</v>
      </c>
      <c r="AD527" s="8">
        <f t="shared" si="57"/>
        <v>0</v>
      </c>
      <c r="AF527" s="35">
        <f t="shared" si="62"/>
        <v>0</v>
      </c>
    </row>
    <row r="528" spans="1:34" hidden="1">
      <c r="A528" s="117" t="s">
        <v>1038</v>
      </c>
      <c r="B528" s="12"/>
      <c r="C528" s="12" t="s">
        <v>534</v>
      </c>
      <c r="D528" s="12"/>
      <c r="E528" s="32">
        <v>48587</v>
      </c>
      <c r="G528" s="8">
        <f t="shared" si="59"/>
        <v>4568118</v>
      </c>
      <c r="K528" s="8">
        <v>4568118</v>
      </c>
      <c r="M528" s="8">
        <f t="shared" si="60"/>
        <v>0</v>
      </c>
      <c r="W528" s="8">
        <f t="shared" si="61"/>
        <v>1549361</v>
      </c>
      <c r="Y528" s="8">
        <v>3018757</v>
      </c>
      <c r="AA528" s="8">
        <v>4568118</v>
      </c>
      <c r="AD528" s="8">
        <f t="shared" si="57"/>
        <v>0</v>
      </c>
      <c r="AF528" s="35">
        <f t="shared" si="62"/>
        <v>0</v>
      </c>
    </row>
    <row r="529" spans="1:34" hidden="1">
      <c r="A529" s="12" t="s">
        <v>1039</v>
      </c>
      <c r="B529" s="12"/>
      <c r="C529" s="12" t="s">
        <v>14</v>
      </c>
      <c r="D529" s="12"/>
      <c r="E529" s="32">
        <v>44727</v>
      </c>
      <c r="G529" s="8">
        <f t="shared" si="59"/>
        <v>49761691</v>
      </c>
      <c r="K529" s="8">
        <v>49761691</v>
      </c>
      <c r="M529" s="8">
        <f t="shared" si="60"/>
        <v>0</v>
      </c>
      <c r="W529" s="8">
        <f t="shared" si="61"/>
        <v>43560431</v>
      </c>
      <c r="Y529" s="8">
        <v>6201260</v>
      </c>
      <c r="AA529" s="8">
        <v>49761691</v>
      </c>
      <c r="AD529" s="8">
        <f>+K529-S529-AA529</f>
        <v>0</v>
      </c>
      <c r="AF529" s="35">
        <f t="shared" si="62"/>
        <v>0</v>
      </c>
    </row>
    <row r="530" spans="1:34">
      <c r="A530" s="12" t="s">
        <v>452</v>
      </c>
      <c r="B530" s="12"/>
      <c r="C530" s="12" t="s">
        <v>39</v>
      </c>
      <c r="D530" s="12"/>
      <c r="E530" s="32">
        <v>44826</v>
      </c>
      <c r="G530" s="8">
        <f t="shared" si="59"/>
        <v>22240825</v>
      </c>
      <c r="I530" s="8">
        <v>52099796</v>
      </c>
      <c r="K530" s="8">
        <v>74340621</v>
      </c>
      <c r="M530" s="8">
        <f t="shared" si="60"/>
        <v>6528556</v>
      </c>
      <c r="O530" s="8">
        <v>871227</v>
      </c>
      <c r="Q530" s="8">
        <f>13460824-871227</f>
        <v>12589597</v>
      </c>
      <c r="S530" s="8">
        <v>19989380</v>
      </c>
      <c r="U530" s="8">
        <v>42872508</v>
      </c>
      <c r="W530" s="8">
        <f t="shared" si="61"/>
        <v>8797664</v>
      </c>
      <c r="Y530" s="8">
        <v>2681069</v>
      </c>
      <c r="AA530" s="8">
        <v>54351241</v>
      </c>
      <c r="AD530" s="8">
        <f>+K530-S530-AA530</f>
        <v>0</v>
      </c>
      <c r="AF530" s="35">
        <f t="shared" si="62"/>
        <v>0</v>
      </c>
    </row>
    <row r="531" spans="1:34">
      <c r="A531" s="12" t="s">
        <v>671</v>
      </c>
      <c r="B531" s="12"/>
      <c r="C531" s="12" t="s">
        <v>63</v>
      </c>
      <c r="D531" s="12"/>
      <c r="E531" s="32">
        <v>44834</v>
      </c>
      <c r="G531" s="8">
        <f t="shared" si="59"/>
        <v>43068998</v>
      </c>
      <c r="I531" s="8">
        <v>17101039</v>
      </c>
      <c r="K531" s="8">
        <v>60170037</v>
      </c>
      <c r="M531" s="8">
        <f t="shared" si="60"/>
        <v>32247105</v>
      </c>
      <c r="O531" s="8">
        <v>672478</v>
      </c>
      <c r="Q531" s="8">
        <f>7557778-672478</f>
        <v>6885300</v>
      </c>
      <c r="S531" s="8">
        <v>39804883</v>
      </c>
      <c r="U531" s="8">
        <v>13665567</v>
      </c>
      <c r="W531" s="8">
        <f t="shared" si="61"/>
        <v>1408917</v>
      </c>
      <c r="Y531" s="8">
        <v>5290670</v>
      </c>
      <c r="AA531" s="8">
        <v>20365154</v>
      </c>
      <c r="AD531" s="8">
        <f>+K531-S531-AA531</f>
        <v>0</v>
      </c>
      <c r="AF531" s="35">
        <f t="shared" si="62"/>
        <v>0</v>
      </c>
    </row>
    <row r="532" spans="1:34" hidden="1">
      <c r="A532" s="108" t="s">
        <v>1040</v>
      </c>
      <c r="B532" s="12"/>
      <c r="C532" s="12" t="s">
        <v>65</v>
      </c>
      <c r="D532" s="12"/>
      <c r="E532" s="32">
        <v>50294</v>
      </c>
      <c r="G532" s="8">
        <f t="shared" si="59"/>
        <v>0</v>
      </c>
      <c r="M532" s="8">
        <f t="shared" si="60"/>
        <v>0</v>
      </c>
      <c r="W532" s="8">
        <f t="shared" si="61"/>
        <v>0</v>
      </c>
      <c r="AD532" s="8">
        <f>+K532-S532-AA532</f>
        <v>0</v>
      </c>
      <c r="AF532" s="35">
        <f t="shared" si="62"/>
        <v>0</v>
      </c>
      <c r="AH532" s="8" t="s">
        <v>967</v>
      </c>
    </row>
    <row r="533" spans="1:34">
      <c r="A533" s="12" t="s">
        <v>595</v>
      </c>
      <c r="B533" s="12"/>
      <c r="C533" s="12" t="s">
        <v>56</v>
      </c>
      <c r="D533" s="12"/>
      <c r="E533" s="32">
        <v>49239</v>
      </c>
      <c r="F533" s="11"/>
      <c r="G533" s="8">
        <f t="shared" ref="G533:G542" si="63">+K533-I533</f>
        <v>15272616</v>
      </c>
      <c r="I533" s="8">
        <v>16926283</v>
      </c>
      <c r="K533" s="8">
        <v>32198899</v>
      </c>
      <c r="M533" s="8">
        <f t="shared" ref="M533:M542" si="64">+S533-O533-Q533</f>
        <v>13921526</v>
      </c>
      <c r="O533" s="8">
        <v>1179507</v>
      </c>
      <c r="Q533" s="8">
        <f>15809828-1179507</f>
        <v>14630321</v>
      </c>
      <c r="S533" s="8">
        <v>29731354</v>
      </c>
      <c r="U533" s="8">
        <v>4224729</v>
      </c>
      <c r="W533" s="8">
        <f t="shared" ref="W533:W542" si="65">AA533-Y533-U533</f>
        <v>938195</v>
      </c>
      <c r="Y533" s="8">
        <v>-2695379</v>
      </c>
      <c r="AA533" s="8">
        <v>2467545</v>
      </c>
      <c r="AB533" s="35"/>
      <c r="AC533" s="35"/>
      <c r="AD533" s="35">
        <f t="shared" ref="AD533:AD583" si="66">+K533-S533-AA533</f>
        <v>0</v>
      </c>
      <c r="AE533" s="35"/>
      <c r="AF533" s="35">
        <f t="shared" ref="AF533:AF583" si="67">+G533+I533+-M533-O533-U533-W533-Y533-Q533</f>
        <v>0</v>
      </c>
    </row>
    <row r="534" spans="1:34">
      <c r="A534" s="12" t="s">
        <v>323</v>
      </c>
      <c r="B534" s="12"/>
      <c r="C534" s="12" t="s">
        <v>20</v>
      </c>
      <c r="D534" s="12"/>
      <c r="E534" s="32">
        <v>44842</v>
      </c>
      <c r="G534" s="8">
        <f t="shared" si="63"/>
        <v>61510045</v>
      </c>
      <c r="I534" s="8">
        <v>47312031</v>
      </c>
      <c r="K534" s="8">
        <v>108822076</v>
      </c>
      <c r="M534" s="8">
        <f t="shared" si="64"/>
        <v>55112108</v>
      </c>
      <c r="O534" s="8">
        <v>4286631</v>
      </c>
      <c r="Q534" s="8">
        <f>30832871-4286631</f>
        <v>26546240</v>
      </c>
      <c r="S534" s="8">
        <v>85944979</v>
      </c>
      <c r="U534" s="8">
        <v>23841831</v>
      </c>
      <c r="W534" s="8">
        <f t="shared" si="65"/>
        <v>7113058</v>
      </c>
      <c r="Y534" s="8">
        <v>-8077792</v>
      </c>
      <c r="AA534" s="8">
        <v>22877097</v>
      </c>
      <c r="AD534" s="8">
        <f t="shared" si="66"/>
        <v>0</v>
      </c>
      <c r="AF534" s="35">
        <f t="shared" si="67"/>
        <v>0</v>
      </c>
    </row>
    <row r="535" spans="1:34">
      <c r="A535" s="12" t="s">
        <v>517</v>
      </c>
      <c r="B535" s="12"/>
      <c r="C535" s="12" t="s">
        <v>45</v>
      </c>
      <c r="D535" s="12"/>
      <c r="E535" s="32">
        <v>44859</v>
      </c>
      <c r="G535" s="8">
        <f t="shared" si="63"/>
        <v>12775702</v>
      </c>
      <c r="I535" s="8">
        <v>26054405</v>
      </c>
      <c r="K535" s="8">
        <v>38830107</v>
      </c>
      <c r="M535" s="8">
        <f t="shared" si="64"/>
        <v>6943667</v>
      </c>
      <c r="O535" s="8">
        <v>596206</v>
      </c>
      <c r="Q535" s="8">
        <f>6096259-596206</f>
        <v>5500053</v>
      </c>
      <c r="S535" s="8">
        <v>13039926</v>
      </c>
      <c r="U535" s="8">
        <v>21749398</v>
      </c>
      <c r="W535" s="8">
        <f t="shared" si="65"/>
        <v>1963091</v>
      </c>
      <c r="Y535" s="8">
        <v>2077692</v>
      </c>
      <c r="AA535" s="8">
        <v>25790181</v>
      </c>
      <c r="AD535" s="8">
        <f t="shared" si="66"/>
        <v>0</v>
      </c>
      <c r="AF535" s="35">
        <f t="shared" si="67"/>
        <v>0</v>
      </c>
    </row>
    <row r="536" spans="1:34">
      <c r="A536" s="12" t="s">
        <v>732</v>
      </c>
      <c r="B536" s="12"/>
      <c r="C536" s="12" t="s">
        <v>727</v>
      </c>
      <c r="D536" s="12"/>
      <c r="E536" s="32">
        <v>50658</v>
      </c>
      <c r="G536" s="8">
        <f t="shared" si="63"/>
        <v>3152296</v>
      </c>
      <c r="I536" s="8">
        <v>15109891</v>
      </c>
      <c r="K536" s="8">
        <v>18262187</v>
      </c>
      <c r="M536" s="8">
        <f t="shared" si="64"/>
        <v>1799268</v>
      </c>
      <c r="O536" s="8">
        <v>207861</v>
      </c>
      <c r="Q536" s="8">
        <f>6264377-207861</f>
        <v>6056516</v>
      </c>
      <c r="S536" s="8">
        <v>8063645</v>
      </c>
      <c r="U536" s="8">
        <v>15183109</v>
      </c>
      <c r="W536" s="8">
        <f t="shared" si="65"/>
        <v>-5431597</v>
      </c>
      <c r="Y536" s="8">
        <v>447030</v>
      </c>
      <c r="AA536" s="8">
        <v>10198542</v>
      </c>
      <c r="AD536" s="8">
        <f t="shared" si="66"/>
        <v>0</v>
      </c>
      <c r="AF536" s="35">
        <f t="shared" si="67"/>
        <v>0</v>
      </c>
    </row>
    <row r="537" spans="1:34">
      <c r="A537" s="12" t="s">
        <v>387</v>
      </c>
      <c r="B537" s="12"/>
      <c r="C537" s="12" t="s">
        <v>116</v>
      </c>
      <c r="D537" s="12"/>
      <c r="E537" s="32">
        <v>47274</v>
      </c>
      <c r="G537" s="8">
        <f t="shared" si="63"/>
        <v>20503510</v>
      </c>
      <c r="I537" s="8">
        <v>56743877</v>
      </c>
      <c r="K537" s="8">
        <v>77247387</v>
      </c>
      <c r="M537" s="8">
        <f t="shared" si="64"/>
        <v>20844250</v>
      </c>
      <c r="O537" s="8">
        <v>2613644</v>
      </c>
      <c r="Q537" s="8">
        <f>51542689-2613644</f>
        <v>48929045</v>
      </c>
      <c r="S537" s="8">
        <v>72386939</v>
      </c>
      <c r="U537" s="8">
        <v>7055802</v>
      </c>
      <c r="W537" s="8">
        <f t="shared" si="65"/>
        <v>1258550</v>
      </c>
      <c r="Y537" s="8">
        <v>-3453904</v>
      </c>
      <c r="AA537" s="8">
        <v>4860448</v>
      </c>
      <c r="AD537" s="8">
        <f t="shared" si="66"/>
        <v>0</v>
      </c>
      <c r="AF537" s="35">
        <f t="shared" si="67"/>
        <v>0</v>
      </c>
    </row>
    <row r="538" spans="1:34">
      <c r="A538" s="12" t="s">
        <v>373</v>
      </c>
      <c r="B538" s="12"/>
      <c r="C538" s="12" t="s">
        <v>28</v>
      </c>
      <c r="D538" s="12"/>
      <c r="E538" s="32">
        <v>47092</v>
      </c>
      <c r="G538" s="8">
        <f t="shared" si="63"/>
        <v>20151817</v>
      </c>
      <c r="I538" s="8">
        <v>17689528</v>
      </c>
      <c r="K538" s="8">
        <v>37841345</v>
      </c>
      <c r="M538" s="8">
        <f t="shared" si="64"/>
        <v>7435428</v>
      </c>
      <c r="O538" s="8">
        <v>985155</v>
      </c>
      <c r="Q538" s="8">
        <f>13798467-985155</f>
        <v>12813312</v>
      </c>
      <c r="S538" s="8">
        <v>21233895</v>
      </c>
      <c r="U538" s="8">
        <v>5609249</v>
      </c>
      <c r="W538" s="8">
        <f t="shared" si="65"/>
        <v>2210531</v>
      </c>
      <c r="Y538" s="8">
        <v>8787670</v>
      </c>
      <c r="AA538" s="8">
        <v>16607450</v>
      </c>
      <c r="AD538" s="8">
        <f t="shared" si="66"/>
        <v>0</v>
      </c>
      <c r="AF538" s="35">
        <f t="shared" si="67"/>
        <v>0</v>
      </c>
    </row>
    <row r="539" spans="1:34">
      <c r="A539" s="12" t="s">
        <v>861</v>
      </c>
      <c r="B539" s="12"/>
      <c r="C539" s="12" t="s">
        <v>49</v>
      </c>
      <c r="D539" s="12"/>
      <c r="E539" s="32">
        <v>48652</v>
      </c>
      <c r="G539" s="8">
        <f t="shared" si="63"/>
        <v>35006352</v>
      </c>
      <c r="I539" s="8">
        <v>9025350</v>
      </c>
      <c r="K539" s="8">
        <v>44031702</v>
      </c>
      <c r="M539" s="8">
        <f t="shared" si="64"/>
        <v>10854432</v>
      </c>
      <c r="O539" s="8">
        <v>25095056</v>
      </c>
      <c r="Q539" s="8">
        <f>26857765-25095056</f>
        <v>1762709</v>
      </c>
      <c r="S539" s="8">
        <v>37712197</v>
      </c>
      <c r="U539" s="8">
        <v>9009930</v>
      </c>
      <c r="W539" s="8">
        <f t="shared" si="65"/>
        <v>1052800</v>
      </c>
      <c r="Y539" s="8">
        <v>-3743225</v>
      </c>
      <c r="AA539" s="8">
        <v>6319505</v>
      </c>
      <c r="AD539" s="8">
        <f t="shared" si="66"/>
        <v>0</v>
      </c>
      <c r="AF539" s="35">
        <f t="shared" si="67"/>
        <v>0</v>
      </c>
    </row>
    <row r="540" spans="1:34">
      <c r="A540" s="12" t="s">
        <v>409</v>
      </c>
      <c r="B540" s="12"/>
      <c r="C540" s="12" t="s">
        <v>32</v>
      </c>
      <c r="D540" s="12"/>
      <c r="E540" s="32">
        <v>44867</v>
      </c>
      <c r="G540" s="8">
        <f t="shared" si="63"/>
        <v>108225268</v>
      </c>
      <c r="I540" s="8">
        <v>60604107</v>
      </c>
      <c r="K540" s="8">
        <v>168829375</v>
      </c>
      <c r="M540" s="8">
        <f t="shared" si="64"/>
        <v>43861445</v>
      </c>
      <c r="O540" s="8">
        <v>3422337</v>
      </c>
      <c r="Q540" s="8">
        <f>52734536-3422337</f>
        <v>49312199</v>
      </c>
      <c r="S540" s="8">
        <v>96595981</v>
      </c>
      <c r="U540" s="8">
        <v>17197510</v>
      </c>
      <c r="W540" s="8">
        <f t="shared" si="65"/>
        <v>8730936</v>
      </c>
      <c r="Y540" s="8">
        <v>46304948</v>
      </c>
      <c r="AA540" s="8">
        <v>72233394</v>
      </c>
      <c r="AD540" s="8">
        <f t="shared" si="66"/>
        <v>0</v>
      </c>
      <c r="AF540" s="35">
        <f t="shared" si="67"/>
        <v>0</v>
      </c>
    </row>
    <row r="541" spans="1:34">
      <c r="A541" s="12" t="s">
        <v>501</v>
      </c>
      <c r="B541" s="12"/>
      <c r="C541" s="12" t="s">
        <v>117</v>
      </c>
      <c r="D541" s="12"/>
      <c r="E541" s="32">
        <v>44875</v>
      </c>
      <c r="G541" s="8">
        <f t="shared" si="63"/>
        <v>173235835</v>
      </c>
      <c r="I541" s="8">
        <v>45380739</v>
      </c>
      <c r="K541" s="8">
        <v>218616574</v>
      </c>
      <c r="M541" s="8">
        <f t="shared" si="64"/>
        <v>70059084</v>
      </c>
      <c r="O541" s="8">
        <v>21041992</v>
      </c>
      <c r="Q541" s="8">
        <f>131541324-21041992</f>
        <v>110499332</v>
      </c>
      <c r="S541" s="8">
        <v>201600408</v>
      </c>
      <c r="U541" s="8">
        <v>17939259</v>
      </c>
      <c r="W541" s="8">
        <f t="shared" si="65"/>
        <v>4151162</v>
      </c>
      <c r="Y541" s="8">
        <v>-5074255</v>
      </c>
      <c r="AA541" s="8">
        <v>17016166</v>
      </c>
      <c r="AD541" s="8">
        <f t="shared" si="66"/>
        <v>0</v>
      </c>
      <c r="AF541" s="35">
        <f t="shared" si="67"/>
        <v>0</v>
      </c>
    </row>
    <row r="542" spans="1:34">
      <c r="A542" s="12" t="s">
        <v>472</v>
      </c>
      <c r="B542" s="12"/>
      <c r="C542" s="12" t="s">
        <v>466</v>
      </c>
      <c r="D542" s="12"/>
      <c r="E542" s="32">
        <v>47969</v>
      </c>
      <c r="G542" s="8">
        <f t="shared" si="63"/>
        <v>6897748</v>
      </c>
      <c r="I542" s="8">
        <v>9436524</v>
      </c>
      <c r="K542" s="8">
        <v>16334272</v>
      </c>
      <c r="M542" s="8">
        <f t="shared" si="64"/>
        <v>1700860</v>
      </c>
      <c r="O542" s="8">
        <v>268788</v>
      </c>
      <c r="Q542" s="8">
        <f>-268788+1504915</f>
        <v>1236127</v>
      </c>
      <c r="S542" s="8">
        <v>3205775</v>
      </c>
      <c r="U542" s="8">
        <v>9158024</v>
      </c>
      <c r="W542" s="8">
        <f t="shared" si="65"/>
        <v>1586636</v>
      </c>
      <c r="Y542" s="8">
        <v>2383837</v>
      </c>
      <c r="AA542" s="8">
        <v>13128497</v>
      </c>
      <c r="AD542" s="8">
        <f t="shared" si="66"/>
        <v>0</v>
      </c>
      <c r="AF542" s="35">
        <f t="shared" si="67"/>
        <v>0</v>
      </c>
      <c r="AH542" s="8" t="s">
        <v>956</v>
      </c>
    </row>
    <row r="543" spans="1:34">
      <c r="A543" s="12" t="s">
        <v>1063</v>
      </c>
      <c r="B543" s="12"/>
      <c r="C543" s="12" t="s">
        <v>242</v>
      </c>
      <c r="D543" s="12"/>
      <c r="E543" s="32">
        <v>46151</v>
      </c>
      <c r="G543" s="8">
        <f t="shared" ref="G543:G602" si="68">+K543-I543</f>
        <v>49871189</v>
      </c>
      <c r="I543" s="8">
        <v>22418789</v>
      </c>
      <c r="K543" s="8">
        <v>72289978</v>
      </c>
      <c r="M543" s="8">
        <f t="shared" ref="M543:M602" si="69">+S543-O543-Q543</f>
        <v>34470000</v>
      </c>
      <c r="O543" s="8">
        <v>724650</v>
      </c>
      <c r="Q543" s="8">
        <f>13207170-724650</f>
        <v>12482520</v>
      </c>
      <c r="S543" s="8">
        <v>47677170</v>
      </c>
      <c r="U543" s="8">
        <v>9065176</v>
      </c>
      <c r="W543" s="8">
        <f t="shared" ref="W543:W602" si="70">AA543-Y543-U543</f>
        <v>5110226</v>
      </c>
      <c r="Y543" s="8">
        <v>10437406</v>
      </c>
      <c r="AA543" s="8">
        <v>24612808</v>
      </c>
      <c r="AD543" s="8">
        <f t="shared" si="66"/>
        <v>0</v>
      </c>
      <c r="AF543" s="35">
        <f t="shared" si="67"/>
        <v>0</v>
      </c>
      <c r="AH543" s="15" t="s">
        <v>905</v>
      </c>
    </row>
    <row r="544" spans="1:34">
      <c r="A544" s="12" t="s">
        <v>672</v>
      </c>
      <c r="B544" s="12"/>
      <c r="C544" s="12" t="s">
        <v>63</v>
      </c>
      <c r="D544" s="12"/>
      <c r="E544" s="32">
        <v>44883</v>
      </c>
      <c r="G544" s="8">
        <f t="shared" si="68"/>
        <v>22892395</v>
      </c>
      <c r="I544" s="8">
        <v>38754706</v>
      </c>
      <c r="K544" s="8">
        <v>61647101</v>
      </c>
      <c r="M544" s="8">
        <f t="shared" si="69"/>
        <v>17637660</v>
      </c>
      <c r="O544" s="8">
        <v>1068633</v>
      </c>
      <c r="Q544" s="8">
        <f>30596061-1068633</f>
        <v>29527428</v>
      </c>
      <c r="S544" s="8">
        <v>48233721</v>
      </c>
      <c r="U544" s="8">
        <v>11034706</v>
      </c>
      <c r="W544" s="8">
        <f t="shared" si="70"/>
        <v>3940586</v>
      </c>
      <c r="Y544" s="8">
        <v>-1561912</v>
      </c>
      <c r="AA544" s="8">
        <v>13413380</v>
      </c>
      <c r="AD544" s="8">
        <f t="shared" si="66"/>
        <v>0</v>
      </c>
      <c r="AF544" s="35">
        <f t="shared" si="67"/>
        <v>0</v>
      </c>
    </row>
    <row r="545" spans="1:34">
      <c r="A545" s="12" t="s">
        <v>583</v>
      </c>
      <c r="B545" s="12"/>
      <c r="C545" s="12" t="s">
        <v>54</v>
      </c>
      <c r="D545" s="12"/>
      <c r="E545" s="32">
        <v>49098</v>
      </c>
      <c r="G545" s="8">
        <f t="shared" si="68"/>
        <v>58141856</v>
      </c>
      <c r="I545" s="8">
        <v>90253047</v>
      </c>
      <c r="K545" s="8">
        <v>148394903</v>
      </c>
      <c r="M545" s="8">
        <f t="shared" si="69"/>
        <v>20368973</v>
      </c>
      <c r="O545" s="8">
        <v>1401098</v>
      </c>
      <c r="Q545" s="8">
        <f>41894838-1401098</f>
        <v>40493740</v>
      </c>
      <c r="S545" s="8">
        <v>62263811</v>
      </c>
      <c r="U545" s="8">
        <v>63085406</v>
      </c>
      <c r="W545" s="8">
        <f t="shared" si="70"/>
        <v>16313566</v>
      </c>
      <c r="Y545" s="8">
        <v>6732120</v>
      </c>
      <c r="AA545" s="8">
        <v>86131092</v>
      </c>
      <c r="AD545" s="8">
        <f t="shared" si="66"/>
        <v>0</v>
      </c>
      <c r="AF545" s="35">
        <f t="shared" si="67"/>
        <v>0</v>
      </c>
    </row>
    <row r="546" spans="1:34">
      <c r="A546" s="12" t="s">
        <v>265</v>
      </c>
      <c r="B546" s="12"/>
      <c r="C546" s="12" t="s">
        <v>17</v>
      </c>
      <c r="D546" s="12"/>
      <c r="E546" s="32">
        <v>46243</v>
      </c>
      <c r="G546" s="8">
        <f t="shared" si="68"/>
        <v>19849556</v>
      </c>
      <c r="I546" s="8">
        <v>81626853</v>
      </c>
      <c r="K546" s="8">
        <v>101476409</v>
      </c>
      <c r="M546" s="8">
        <f t="shared" si="69"/>
        <v>11938471</v>
      </c>
      <c r="O546" s="8">
        <v>489336</v>
      </c>
      <c r="Q546" s="8">
        <f>21045139-489336</f>
        <v>20555803</v>
      </c>
      <c r="S546" s="8">
        <v>32983610</v>
      </c>
      <c r="U546" s="8">
        <v>62022291</v>
      </c>
      <c r="W546" s="8">
        <f t="shared" si="70"/>
        <v>5569146</v>
      </c>
      <c r="Y546" s="8">
        <v>901362</v>
      </c>
      <c r="AA546" s="8">
        <v>68492799</v>
      </c>
      <c r="AD546" s="8">
        <f t="shared" si="66"/>
        <v>0</v>
      </c>
      <c r="AF546" s="35">
        <f t="shared" si="67"/>
        <v>0</v>
      </c>
    </row>
    <row r="547" spans="1:34">
      <c r="A547" s="13" t="s">
        <v>1073</v>
      </c>
      <c r="B547" s="12"/>
      <c r="C547" s="12" t="s">
        <v>32</v>
      </c>
      <c r="D547" s="12"/>
      <c r="E547" s="32">
        <v>47399</v>
      </c>
      <c r="G547" s="8">
        <f t="shared" si="68"/>
        <v>21471117</v>
      </c>
      <c r="I547" s="8">
        <v>2405498</v>
      </c>
      <c r="K547" s="8">
        <v>23876615</v>
      </c>
      <c r="M547" s="8">
        <f t="shared" si="69"/>
        <v>11695388</v>
      </c>
      <c r="O547" s="8">
        <v>392875</v>
      </c>
      <c r="Q547" s="8">
        <f>2396294-392875</f>
        <v>2003419</v>
      </c>
      <c r="S547" s="8">
        <v>14091682</v>
      </c>
      <c r="U547" s="8">
        <v>2405498</v>
      </c>
      <c r="W547" s="8">
        <f t="shared" si="70"/>
        <v>375141</v>
      </c>
      <c r="Y547" s="8">
        <v>7004294</v>
      </c>
      <c r="AA547" s="8">
        <v>9784933</v>
      </c>
      <c r="AD547" s="8">
        <f t="shared" si="66"/>
        <v>0</v>
      </c>
      <c r="AF547" s="35">
        <f t="shared" si="67"/>
        <v>0</v>
      </c>
      <c r="AH547" s="15" t="s">
        <v>905</v>
      </c>
    </row>
    <row r="548" spans="1:34">
      <c r="A548" s="12" t="s">
        <v>640</v>
      </c>
      <c r="B548" s="12"/>
      <c r="C548" s="12" t="s">
        <v>60</v>
      </c>
      <c r="D548" s="12"/>
      <c r="E548" s="32">
        <v>44891</v>
      </c>
      <c r="G548" s="8">
        <f t="shared" si="68"/>
        <v>17840068</v>
      </c>
      <c r="I548" s="8">
        <v>17977311</v>
      </c>
      <c r="K548" s="8">
        <v>35817379</v>
      </c>
      <c r="M548" s="8">
        <f t="shared" si="69"/>
        <v>12351616</v>
      </c>
      <c r="O548" s="8">
        <v>872229</v>
      </c>
      <c r="Q548" s="8">
        <f>10945549-872229</f>
        <v>10073320</v>
      </c>
      <c r="S548" s="8">
        <v>23297165</v>
      </c>
      <c r="U548" s="8">
        <v>8787412</v>
      </c>
      <c r="W548" s="8">
        <f t="shared" si="70"/>
        <v>2243472</v>
      </c>
      <c r="Y548" s="8">
        <v>1489330</v>
      </c>
      <c r="AA548" s="8">
        <v>12520214</v>
      </c>
      <c r="AD548" s="8">
        <f t="shared" si="66"/>
        <v>0</v>
      </c>
      <c r="AF548" s="35">
        <f t="shared" si="67"/>
        <v>0</v>
      </c>
    </row>
    <row r="549" spans="1:34">
      <c r="A549" s="12" t="s">
        <v>541</v>
      </c>
      <c r="B549" s="12"/>
      <c r="C549" s="12" t="s">
        <v>48</v>
      </c>
      <c r="D549" s="12"/>
      <c r="E549" s="32">
        <v>45617</v>
      </c>
      <c r="G549" s="8">
        <f t="shared" si="68"/>
        <v>15399725</v>
      </c>
      <c r="I549" s="8">
        <v>24634356</v>
      </c>
      <c r="K549" s="8">
        <v>40034081</v>
      </c>
      <c r="M549" s="8">
        <f t="shared" si="69"/>
        <v>13462280</v>
      </c>
      <c r="O549" s="8">
        <v>1120752</v>
      </c>
      <c r="Q549" s="8">
        <f>21668014-1120752</f>
        <v>20547262</v>
      </c>
      <c r="S549" s="8">
        <v>35130294</v>
      </c>
      <c r="U549" s="8">
        <v>7009057</v>
      </c>
      <c r="W549" s="8">
        <f t="shared" si="70"/>
        <v>1924063</v>
      </c>
      <c r="Y549" s="8">
        <v>-4029333</v>
      </c>
      <c r="AA549" s="8">
        <v>4903787</v>
      </c>
      <c r="AD549" s="8">
        <f t="shared" si="66"/>
        <v>0</v>
      </c>
      <c r="AF549" s="35">
        <f t="shared" si="67"/>
        <v>0</v>
      </c>
    </row>
    <row r="550" spans="1:34">
      <c r="A550" s="12" t="s">
        <v>502</v>
      </c>
      <c r="B550" s="12"/>
      <c r="C550" s="12" t="s">
        <v>117</v>
      </c>
      <c r="D550" s="12"/>
      <c r="E550" s="32">
        <v>44909</v>
      </c>
      <c r="G550" s="8">
        <f t="shared" si="68"/>
        <v>607185693</v>
      </c>
      <c r="I550" s="8">
        <v>419254626</v>
      </c>
      <c r="K550" s="8">
        <v>1026440319</v>
      </c>
      <c r="M550" s="8">
        <f t="shared" si="69"/>
        <v>199055397</v>
      </c>
      <c r="O550" s="8">
        <v>8142650</v>
      </c>
      <c r="Q550" s="8">
        <f>225782414-8142650</f>
        <v>217639764</v>
      </c>
      <c r="S550" s="8">
        <v>424837811</v>
      </c>
      <c r="U550" s="8">
        <v>319887466</v>
      </c>
      <c r="W550" s="8">
        <f t="shared" si="70"/>
        <v>338038163</v>
      </c>
      <c r="Y550" s="8">
        <v>-56323121</v>
      </c>
      <c r="AA550" s="8">
        <v>601602508</v>
      </c>
      <c r="AD550" s="8">
        <f t="shared" si="66"/>
        <v>0</v>
      </c>
      <c r="AF550" s="35">
        <f t="shared" si="67"/>
        <v>0</v>
      </c>
    </row>
    <row r="551" spans="1:34">
      <c r="A551" s="13" t="s">
        <v>1024</v>
      </c>
      <c r="B551" s="13"/>
      <c r="C551" s="13" t="s">
        <v>117</v>
      </c>
      <c r="D551" s="12"/>
      <c r="E551" s="32"/>
      <c r="G551" s="8">
        <f t="shared" si="68"/>
        <v>859246</v>
      </c>
      <c r="I551" s="8">
        <v>4274878</v>
      </c>
      <c r="K551" s="8">
        <v>5134124</v>
      </c>
      <c r="M551" s="8">
        <f t="shared" si="69"/>
        <v>464274</v>
      </c>
      <c r="O551" s="8">
        <v>168343</v>
      </c>
      <c r="Q551" s="8">
        <f>4112117-168343</f>
        <v>3943774</v>
      </c>
      <c r="S551" s="8">
        <v>4576391</v>
      </c>
      <c r="U551" s="8">
        <v>718278</v>
      </c>
      <c r="W551" s="8">
        <f t="shared" si="70"/>
        <v>394822</v>
      </c>
      <c r="Y551" s="8">
        <v>-555367</v>
      </c>
      <c r="AA551" s="8">
        <v>557733</v>
      </c>
      <c r="AD551" s="8">
        <f t="shared" si="66"/>
        <v>0</v>
      </c>
      <c r="AF551" s="35">
        <f t="shared" si="67"/>
        <v>0</v>
      </c>
    </row>
    <row r="552" spans="1:34">
      <c r="A552" s="13" t="s">
        <v>1074</v>
      </c>
      <c r="B552" s="12"/>
      <c r="C552" s="12" t="s">
        <v>39</v>
      </c>
      <c r="D552" s="12"/>
      <c r="E552" s="32">
        <v>44917</v>
      </c>
      <c r="G552" s="8">
        <f t="shared" si="68"/>
        <v>6613135</v>
      </c>
      <c r="I552" s="8">
        <v>1697166</v>
      </c>
      <c r="K552" s="8">
        <v>8310301</v>
      </c>
      <c r="M552" s="8">
        <f t="shared" si="69"/>
        <v>2221153</v>
      </c>
      <c r="O552" s="8">
        <v>41635</v>
      </c>
      <c r="Q552" s="8">
        <f>449604-41635</f>
        <v>407969</v>
      </c>
      <c r="S552" s="8">
        <v>2670757</v>
      </c>
      <c r="U552" s="8">
        <v>1647341</v>
      </c>
      <c r="W552" s="8">
        <f t="shared" si="70"/>
        <v>266922</v>
      </c>
      <c r="Y552" s="8">
        <v>3725281</v>
      </c>
      <c r="AA552" s="8">
        <v>5639544</v>
      </c>
      <c r="AD552" s="8">
        <f t="shared" si="66"/>
        <v>0</v>
      </c>
      <c r="AF552" s="35">
        <f t="shared" si="67"/>
        <v>0</v>
      </c>
      <c r="AH552" s="15" t="s">
        <v>905</v>
      </c>
    </row>
    <row r="553" spans="1:34">
      <c r="A553" s="12" t="s">
        <v>257</v>
      </c>
      <c r="B553" s="12"/>
      <c r="C553" s="12" t="s">
        <v>255</v>
      </c>
      <c r="D553" s="12"/>
      <c r="E553" s="32">
        <v>46201</v>
      </c>
      <c r="G553" s="8">
        <f t="shared" si="68"/>
        <v>4699381</v>
      </c>
      <c r="I553" s="8">
        <v>17656890</v>
      </c>
      <c r="K553" s="8">
        <v>22356271</v>
      </c>
      <c r="M553" s="8">
        <f t="shared" si="69"/>
        <v>2717924</v>
      </c>
      <c r="O553" s="8">
        <v>229970</v>
      </c>
      <c r="Q553" s="8">
        <f>4929368-229970</f>
        <v>4699398</v>
      </c>
      <c r="S553" s="8">
        <v>7647292</v>
      </c>
      <c r="U553" s="8">
        <v>13168431</v>
      </c>
      <c r="W553" s="8">
        <f t="shared" si="70"/>
        <v>353246</v>
      </c>
      <c r="Y553" s="8">
        <v>1187302</v>
      </c>
      <c r="AA553" s="8">
        <v>14708979</v>
      </c>
      <c r="AD553" s="8">
        <f t="shared" si="66"/>
        <v>0</v>
      </c>
      <c r="AF553" s="35">
        <f t="shared" si="67"/>
        <v>0</v>
      </c>
    </row>
    <row r="554" spans="1:34">
      <c r="A554" s="12" t="s">
        <v>600</v>
      </c>
      <c r="B554" s="12"/>
      <c r="C554" s="12" t="s">
        <v>57</v>
      </c>
      <c r="D554" s="12"/>
      <c r="E554" s="32">
        <v>91397</v>
      </c>
      <c r="G554" s="8">
        <f t="shared" si="68"/>
        <v>9866699</v>
      </c>
      <c r="I554" s="8">
        <v>10373995</v>
      </c>
      <c r="K554" s="8">
        <v>20240694</v>
      </c>
      <c r="M554" s="8">
        <f t="shared" si="69"/>
        <v>5509192</v>
      </c>
      <c r="O554" s="8">
        <v>322617</v>
      </c>
      <c r="Q554" s="8">
        <f>803498-322617</f>
        <v>480881</v>
      </c>
      <c r="S554" s="8">
        <v>6312690</v>
      </c>
      <c r="U554" s="8">
        <v>10053995</v>
      </c>
      <c r="W554" s="8">
        <f t="shared" si="70"/>
        <v>1122420</v>
      </c>
      <c r="Y554" s="8">
        <v>2751589</v>
      </c>
      <c r="AA554" s="8">
        <v>13928004</v>
      </c>
      <c r="AD554" s="8">
        <f t="shared" si="66"/>
        <v>0</v>
      </c>
      <c r="AF554" s="35">
        <f t="shared" si="67"/>
        <v>0</v>
      </c>
    </row>
    <row r="555" spans="1:34">
      <c r="A555" s="12" t="s">
        <v>225</v>
      </c>
      <c r="B555" s="12"/>
      <c r="C555" s="12" t="s">
        <v>13</v>
      </c>
      <c r="D555" s="12"/>
      <c r="E555" s="32">
        <v>45922</v>
      </c>
      <c r="G555" s="8">
        <f t="shared" si="68"/>
        <v>2649896</v>
      </c>
      <c r="I555" s="8">
        <v>14691045</v>
      </c>
      <c r="K555" s="8">
        <v>17340941</v>
      </c>
      <c r="M555" s="8">
        <f t="shared" si="69"/>
        <v>2210405</v>
      </c>
      <c r="O555" s="8">
        <v>125406</v>
      </c>
      <c r="Q555" s="8">
        <f>1480679-125406</f>
        <v>1355273</v>
      </c>
      <c r="S555" s="8">
        <v>3691084</v>
      </c>
      <c r="U555" s="8">
        <v>13890990</v>
      </c>
      <c r="W555" s="8">
        <f t="shared" si="70"/>
        <v>378223</v>
      </c>
      <c r="Y555" s="8">
        <v>-619356</v>
      </c>
      <c r="AA555" s="8">
        <v>13649857</v>
      </c>
      <c r="AD555" s="8">
        <f t="shared" si="66"/>
        <v>0</v>
      </c>
      <c r="AF555" s="35">
        <f t="shared" si="67"/>
        <v>0</v>
      </c>
    </row>
    <row r="556" spans="1:34">
      <c r="A556" s="12" t="s">
        <v>566</v>
      </c>
      <c r="B556" s="12"/>
      <c r="C556" s="12" t="s">
        <v>51</v>
      </c>
      <c r="D556" s="12"/>
      <c r="E556" s="32">
        <v>48876</v>
      </c>
      <c r="G556" s="8">
        <f t="shared" si="68"/>
        <v>22343708</v>
      </c>
      <c r="I556" s="8">
        <v>68517771</v>
      </c>
      <c r="K556" s="8">
        <v>90861479</v>
      </c>
      <c r="M556" s="8">
        <f t="shared" si="69"/>
        <v>11477224</v>
      </c>
      <c r="O556" s="8">
        <v>603743</v>
      </c>
      <c r="Q556" s="8">
        <f>17936769-603743</f>
        <v>17333026</v>
      </c>
      <c r="S556" s="8">
        <v>29413993</v>
      </c>
      <c r="U556" s="8">
        <v>52455115</v>
      </c>
      <c r="W556" s="8">
        <f t="shared" si="70"/>
        <v>9802449</v>
      </c>
      <c r="Y556" s="8">
        <v>-810078</v>
      </c>
      <c r="AA556" s="8">
        <v>61447486</v>
      </c>
      <c r="AD556" s="8">
        <f t="shared" si="66"/>
        <v>0</v>
      </c>
      <c r="AF556" s="35">
        <f t="shared" si="67"/>
        <v>0</v>
      </c>
    </row>
    <row r="557" spans="1:34" hidden="1">
      <c r="A557" s="117" t="s">
        <v>1018</v>
      </c>
      <c r="B557" s="12"/>
      <c r="C557" s="12" t="s">
        <v>21</v>
      </c>
      <c r="D557" s="12"/>
      <c r="E557" s="32">
        <v>46680</v>
      </c>
      <c r="G557" s="8">
        <f t="shared" si="68"/>
        <v>2290179</v>
      </c>
      <c r="K557" s="8">
        <v>2290179</v>
      </c>
      <c r="M557" s="8">
        <f t="shared" si="69"/>
        <v>0</v>
      </c>
      <c r="W557" s="8">
        <f t="shared" si="70"/>
        <v>811377</v>
      </c>
      <c r="Y557" s="8">
        <v>1478802</v>
      </c>
      <c r="AA557" s="8">
        <v>2290179</v>
      </c>
      <c r="AD557" s="8">
        <f>+K557-S557-AA557</f>
        <v>0</v>
      </c>
      <c r="AF557" s="35">
        <f t="shared" si="67"/>
        <v>0</v>
      </c>
    </row>
    <row r="558" spans="1:34">
      <c r="A558" s="12" t="s">
        <v>725</v>
      </c>
      <c r="B558" s="12"/>
      <c r="C558" s="12" t="s">
        <v>71</v>
      </c>
      <c r="D558" s="12"/>
      <c r="E558" s="32">
        <v>50591</v>
      </c>
      <c r="G558" s="8">
        <f t="shared" si="68"/>
        <v>9357401</v>
      </c>
      <c r="I558" s="8">
        <v>3636288</v>
      </c>
      <c r="K558" s="8">
        <v>12993689</v>
      </c>
      <c r="M558" s="8">
        <f t="shared" si="69"/>
        <v>7411423</v>
      </c>
      <c r="O558" s="8">
        <v>436441</v>
      </c>
      <c r="Q558" s="8">
        <f>2132399-436441</f>
        <v>1695958</v>
      </c>
      <c r="S558" s="8">
        <v>9543822</v>
      </c>
      <c r="U558" s="8">
        <v>2826057</v>
      </c>
      <c r="W558" s="8">
        <f t="shared" si="70"/>
        <v>653043</v>
      </c>
      <c r="Y558" s="8">
        <v>-29233</v>
      </c>
      <c r="AA558" s="8">
        <v>3449867</v>
      </c>
      <c r="AD558" s="8">
        <f t="shared" si="66"/>
        <v>0</v>
      </c>
      <c r="AF558" s="35">
        <f t="shared" si="67"/>
        <v>0</v>
      </c>
    </row>
    <row r="559" spans="1:34">
      <c r="A559" s="12" t="s">
        <v>555</v>
      </c>
      <c r="B559" s="12"/>
      <c r="C559" s="12" t="s">
        <v>50</v>
      </c>
      <c r="D559" s="12"/>
      <c r="E559" s="32">
        <v>48694</v>
      </c>
      <c r="G559" s="8">
        <f t="shared" si="68"/>
        <v>38022131</v>
      </c>
      <c r="I559" s="8">
        <v>88615346</v>
      </c>
      <c r="K559" s="8">
        <v>126637477</v>
      </c>
      <c r="M559" s="8">
        <f t="shared" si="69"/>
        <v>15058434</v>
      </c>
      <c r="O559" s="8">
        <v>921416</v>
      </c>
      <c r="Q559" s="8">
        <f>44532742-921416</f>
        <v>43611326</v>
      </c>
      <c r="S559" s="8">
        <v>59591176</v>
      </c>
      <c r="U559" s="8">
        <v>46374934</v>
      </c>
      <c r="W559" s="8">
        <f t="shared" si="70"/>
        <v>11746533</v>
      </c>
      <c r="Y559" s="8">
        <v>8924834</v>
      </c>
      <c r="AA559" s="8">
        <v>67046301</v>
      </c>
      <c r="AD559" s="8">
        <f t="shared" si="66"/>
        <v>0</v>
      </c>
      <c r="AF559" s="35">
        <f t="shared" si="67"/>
        <v>0</v>
      </c>
    </row>
    <row r="560" spans="1:34">
      <c r="A560" s="12" t="s">
        <v>542</v>
      </c>
      <c r="B560" s="12"/>
      <c r="C560" s="12" t="s">
        <v>48</v>
      </c>
      <c r="D560" s="12"/>
      <c r="E560" s="32">
        <v>44925</v>
      </c>
      <c r="G560" s="8">
        <f t="shared" si="68"/>
        <v>32086483</v>
      </c>
      <c r="I560" s="8">
        <v>29357825</v>
      </c>
      <c r="K560" s="8">
        <v>61444308</v>
      </c>
      <c r="M560" s="8">
        <f t="shared" si="69"/>
        <v>19327959</v>
      </c>
      <c r="O560" s="8">
        <v>946867</v>
      </c>
      <c r="Q560" s="8">
        <f>23413605-946867</f>
        <v>22466738</v>
      </c>
      <c r="S560" s="8">
        <v>42741564</v>
      </c>
      <c r="U560" s="8">
        <v>9593036</v>
      </c>
      <c r="W560" s="8">
        <f t="shared" si="70"/>
        <v>1186550</v>
      </c>
      <c r="Y560" s="8">
        <v>7923158</v>
      </c>
      <c r="AA560" s="8">
        <v>18702744</v>
      </c>
      <c r="AD560" s="8">
        <f t="shared" si="66"/>
        <v>0</v>
      </c>
      <c r="AF560" s="35">
        <f>+G560+I560+-M560-O560-U560-W560-Y560-Q560</f>
        <v>0</v>
      </c>
    </row>
    <row r="561" spans="1:32">
      <c r="A561" s="12" t="s">
        <v>701</v>
      </c>
      <c r="B561" s="12"/>
      <c r="C561" s="12" t="s">
        <v>65</v>
      </c>
      <c r="D561" s="12"/>
      <c r="E561" s="32">
        <v>50302</v>
      </c>
      <c r="G561" s="8">
        <f t="shared" si="68"/>
        <v>11781588</v>
      </c>
      <c r="I561" s="8">
        <v>6700704</v>
      </c>
      <c r="K561" s="8">
        <v>18482292</v>
      </c>
      <c r="M561" s="8">
        <f t="shared" si="69"/>
        <v>6471503</v>
      </c>
      <c r="O561" s="8">
        <v>629896</v>
      </c>
      <c r="Q561" s="8">
        <f>5842391-629896</f>
        <v>5212495</v>
      </c>
      <c r="S561" s="8">
        <v>12313894</v>
      </c>
      <c r="U561" s="8">
        <v>3545264</v>
      </c>
      <c r="W561" s="8">
        <f t="shared" si="70"/>
        <v>900860</v>
      </c>
      <c r="Y561" s="8">
        <v>1722274</v>
      </c>
      <c r="AA561" s="8">
        <v>6168398</v>
      </c>
      <c r="AD561" s="8">
        <f t="shared" si="66"/>
        <v>0</v>
      </c>
      <c r="AF561" s="35">
        <f t="shared" si="67"/>
        <v>0</v>
      </c>
    </row>
    <row r="562" spans="1:32">
      <c r="A562" s="12" t="s">
        <v>661</v>
      </c>
      <c r="B562" s="12"/>
      <c r="C562" s="12" t="s">
        <v>62</v>
      </c>
      <c r="D562" s="12"/>
      <c r="E562" s="32">
        <v>49957</v>
      </c>
      <c r="F562" s="11"/>
      <c r="G562" s="8">
        <f t="shared" si="68"/>
        <v>9354067</v>
      </c>
      <c r="I562" s="8">
        <v>16197423</v>
      </c>
      <c r="K562" s="8">
        <v>25551490</v>
      </c>
      <c r="M562" s="8">
        <f t="shared" si="69"/>
        <v>5690067</v>
      </c>
      <c r="O562" s="8">
        <v>529188</v>
      </c>
      <c r="Q562" s="8">
        <f>13843473-529188</f>
        <v>13314285</v>
      </c>
      <c r="S562" s="8">
        <v>19533540</v>
      </c>
      <c r="U562" s="8">
        <v>3480332</v>
      </c>
      <c r="W562" s="8">
        <f t="shared" si="70"/>
        <v>3038104</v>
      </c>
      <c r="Y562" s="8">
        <v>-500486</v>
      </c>
      <c r="AA562" s="8">
        <v>6017950</v>
      </c>
      <c r="AD562" s="8">
        <f t="shared" si="66"/>
        <v>0</v>
      </c>
      <c r="AF562" s="35">
        <f t="shared" si="67"/>
        <v>0</v>
      </c>
    </row>
    <row r="563" spans="1:32" hidden="1">
      <c r="A563" s="117" t="s">
        <v>1025</v>
      </c>
      <c r="B563" s="12"/>
      <c r="C563" s="12" t="s">
        <v>57</v>
      </c>
      <c r="D563" s="12"/>
      <c r="E563" s="32">
        <v>49296</v>
      </c>
      <c r="G563" s="8">
        <f t="shared" si="68"/>
        <v>2060448</v>
      </c>
      <c r="I563" s="8">
        <v>10359970</v>
      </c>
      <c r="K563" s="8">
        <v>12420418</v>
      </c>
      <c r="M563" s="8">
        <f t="shared" si="69"/>
        <v>0</v>
      </c>
      <c r="O563" s="8">
        <v>240000</v>
      </c>
      <c r="Q563" s="8">
        <f>2520000-240000</f>
        <v>2280000</v>
      </c>
      <c r="S563" s="8">
        <v>2520000</v>
      </c>
      <c r="U563" s="8">
        <v>7839970</v>
      </c>
      <c r="W563" s="8">
        <f t="shared" si="70"/>
        <v>773243</v>
      </c>
      <c r="Y563" s="8">
        <v>1287205</v>
      </c>
      <c r="AA563" s="8">
        <v>9900418</v>
      </c>
      <c r="AD563" s="8">
        <f t="shared" si="66"/>
        <v>0</v>
      </c>
      <c r="AF563" s="35">
        <f t="shared" si="67"/>
        <v>0</v>
      </c>
    </row>
    <row r="564" spans="1:32">
      <c r="A564" s="12"/>
      <c r="B564" s="12"/>
      <c r="C564" s="12"/>
      <c r="D564" s="12"/>
      <c r="E564" s="32"/>
      <c r="AF564" s="35"/>
    </row>
    <row r="565" spans="1:32">
      <c r="A565" s="12"/>
      <c r="B565" s="12"/>
      <c r="C565" s="12"/>
      <c r="D565" s="12"/>
      <c r="E565" s="32"/>
      <c r="AA565" s="8" t="s">
        <v>805</v>
      </c>
      <c r="AF565" s="35"/>
    </row>
    <row r="566" spans="1:32">
      <c r="A566" s="12"/>
      <c r="B566" s="12"/>
      <c r="C566" s="12"/>
      <c r="D566" s="12"/>
      <c r="E566" s="32"/>
      <c r="AF566" s="35"/>
    </row>
    <row r="567" spans="1:32">
      <c r="A567" s="12" t="s">
        <v>673</v>
      </c>
      <c r="B567" s="12"/>
      <c r="C567" s="12" t="s">
        <v>63</v>
      </c>
      <c r="D567" s="12"/>
      <c r="E567" s="32">
        <v>50070</v>
      </c>
      <c r="G567" s="35">
        <f t="shared" si="68"/>
        <v>59084492</v>
      </c>
      <c r="H567" s="35"/>
      <c r="I567" s="35">
        <v>41759259</v>
      </c>
      <c r="J567" s="35"/>
      <c r="K567" s="35">
        <v>100843751</v>
      </c>
      <c r="L567" s="35"/>
      <c r="M567" s="35">
        <f t="shared" si="69"/>
        <v>23285333</v>
      </c>
      <c r="N567" s="35"/>
      <c r="O567" s="35">
        <v>2731234</v>
      </c>
      <c r="P567" s="35"/>
      <c r="Q567" s="35">
        <f>31401434-2731234</f>
        <v>28670200</v>
      </c>
      <c r="R567" s="35"/>
      <c r="S567" s="35">
        <v>54686767</v>
      </c>
      <c r="T567" s="35"/>
      <c r="U567" s="35">
        <v>12822412</v>
      </c>
      <c r="V567" s="35"/>
      <c r="W567" s="35">
        <f t="shared" si="70"/>
        <v>5908309</v>
      </c>
      <c r="X567" s="35"/>
      <c r="Y567" s="35">
        <v>27426263</v>
      </c>
      <c r="Z567" s="35"/>
      <c r="AA567" s="35">
        <v>46156984</v>
      </c>
      <c r="AD567" s="8">
        <f t="shared" si="66"/>
        <v>0</v>
      </c>
      <c r="AF567" s="35">
        <f t="shared" si="67"/>
        <v>0</v>
      </c>
    </row>
    <row r="568" spans="1:32">
      <c r="A568" s="12" t="s">
        <v>236</v>
      </c>
      <c r="B568" s="12"/>
      <c r="C568" s="12" t="s">
        <v>15</v>
      </c>
      <c r="D568" s="12"/>
      <c r="E568" s="32">
        <v>46011</v>
      </c>
      <c r="G568" s="8">
        <f t="shared" si="68"/>
        <v>6766296</v>
      </c>
      <c r="I568" s="8">
        <v>12502999</v>
      </c>
      <c r="K568" s="8">
        <v>19269295</v>
      </c>
      <c r="M568" s="8">
        <f t="shared" si="69"/>
        <v>4055730</v>
      </c>
      <c r="O568" s="8">
        <v>285344</v>
      </c>
      <c r="Q568" s="8">
        <f>4463384-285344</f>
        <v>4178040</v>
      </c>
      <c r="S568" s="8">
        <v>8519114</v>
      </c>
      <c r="U568" s="8">
        <v>9590232</v>
      </c>
      <c r="W568" s="8">
        <f t="shared" si="70"/>
        <v>3711180</v>
      </c>
      <c r="Y568" s="8">
        <v>-2551231</v>
      </c>
      <c r="AA568" s="8">
        <v>10750181</v>
      </c>
      <c r="AD568" s="8">
        <f t="shared" si="66"/>
        <v>0</v>
      </c>
      <c r="AF568" s="35">
        <f t="shared" si="67"/>
        <v>0</v>
      </c>
    </row>
    <row r="569" spans="1:32">
      <c r="A569" s="12" t="s">
        <v>620</v>
      </c>
      <c r="B569" s="12"/>
      <c r="C569" s="12" t="s">
        <v>58</v>
      </c>
      <c r="D569" s="12"/>
      <c r="E569" s="32">
        <v>49536</v>
      </c>
      <c r="G569" s="8">
        <f t="shared" si="68"/>
        <v>16907830</v>
      </c>
      <c r="I569" s="8">
        <v>25522169</v>
      </c>
      <c r="K569" s="8">
        <v>42429999</v>
      </c>
      <c r="M569" s="8">
        <f t="shared" si="69"/>
        <v>4845676</v>
      </c>
      <c r="O569" s="8">
        <v>516742</v>
      </c>
      <c r="Q569" s="8">
        <f>6303401-516742</f>
        <v>5786659</v>
      </c>
      <c r="S569" s="8">
        <v>11149077</v>
      </c>
      <c r="U569" s="8">
        <v>21617897</v>
      </c>
      <c r="W569" s="8">
        <f t="shared" si="70"/>
        <v>1950726</v>
      </c>
      <c r="Y569" s="8">
        <v>7712299</v>
      </c>
      <c r="AA569" s="8">
        <v>31280922</v>
      </c>
      <c r="AD569" s="8">
        <f t="shared" si="66"/>
        <v>0</v>
      </c>
      <c r="AF569" s="35">
        <f t="shared" si="67"/>
        <v>0</v>
      </c>
    </row>
    <row r="570" spans="1:32">
      <c r="A570" s="12" t="s">
        <v>285</v>
      </c>
      <c r="B570" s="12"/>
      <c r="C570" s="12" t="s">
        <v>114</v>
      </c>
      <c r="D570" s="12"/>
      <c r="E570" s="32">
        <v>46458</v>
      </c>
      <c r="G570" s="8">
        <f t="shared" si="68"/>
        <v>8916047</v>
      </c>
      <c r="I570" s="8">
        <v>7254776</v>
      </c>
      <c r="K570" s="8">
        <v>16170823</v>
      </c>
      <c r="M570" s="8">
        <f t="shared" si="69"/>
        <v>4264057</v>
      </c>
      <c r="O570" s="8">
        <v>170654</v>
      </c>
      <c r="Q570" s="8">
        <f>1284200-170654</f>
        <v>1113546</v>
      </c>
      <c r="S570" s="8">
        <v>5548257</v>
      </c>
      <c r="U570" s="8">
        <v>7194013</v>
      </c>
      <c r="W570" s="8">
        <f t="shared" si="70"/>
        <v>944876</v>
      </c>
      <c r="Y570" s="8">
        <v>2483677</v>
      </c>
      <c r="AA570" s="8">
        <v>10622566</v>
      </c>
      <c r="AD570" s="8">
        <f t="shared" si="66"/>
        <v>0</v>
      </c>
      <c r="AF570" s="35">
        <f t="shared" si="67"/>
        <v>0</v>
      </c>
    </row>
    <row r="571" spans="1:32">
      <c r="A571" s="12" t="s">
        <v>364</v>
      </c>
      <c r="B571" s="12"/>
      <c r="C571" s="12" t="s">
        <v>27</v>
      </c>
      <c r="D571" s="12"/>
      <c r="E571" s="32">
        <v>44933</v>
      </c>
      <c r="G571" s="8">
        <f t="shared" si="68"/>
        <v>112517589</v>
      </c>
      <c r="I571" s="8">
        <v>51338547</v>
      </c>
      <c r="K571" s="8">
        <v>163856136</v>
      </c>
      <c r="M571" s="8">
        <f t="shared" si="69"/>
        <v>53498635</v>
      </c>
      <c r="O571" s="8">
        <v>2309647</v>
      </c>
      <c r="Q571" s="8">
        <f>38205691-2309647</f>
        <v>35896044</v>
      </c>
      <c r="S571" s="8">
        <v>91704326</v>
      </c>
      <c r="U571" s="8">
        <v>21716197</v>
      </c>
      <c r="W571" s="8">
        <f t="shared" si="70"/>
        <v>5605078</v>
      </c>
      <c r="Y571" s="8">
        <v>44830535</v>
      </c>
      <c r="AA571" s="8">
        <v>72151810</v>
      </c>
      <c r="AD571" s="8">
        <f t="shared" si="66"/>
        <v>0</v>
      </c>
      <c r="AF571" s="35">
        <f t="shared" si="67"/>
        <v>0</v>
      </c>
    </row>
    <row r="572" spans="1:32" hidden="1">
      <c r="A572" s="117" t="s">
        <v>1026</v>
      </c>
      <c r="B572" s="12"/>
      <c r="C572" s="12" t="s">
        <v>740</v>
      </c>
      <c r="D572" s="12"/>
      <c r="E572" s="32">
        <v>45625</v>
      </c>
      <c r="F572" s="11"/>
      <c r="G572" s="8">
        <f t="shared" si="68"/>
        <v>4982508</v>
      </c>
      <c r="K572" s="8">
        <v>4982508</v>
      </c>
      <c r="M572" s="8">
        <f t="shared" si="69"/>
        <v>0</v>
      </c>
      <c r="W572" s="8">
        <f t="shared" si="70"/>
        <v>382802</v>
      </c>
      <c r="Y572" s="8">
        <v>4599706</v>
      </c>
      <c r="AA572" s="8">
        <v>4982508</v>
      </c>
      <c r="AD572" s="8">
        <f t="shared" si="66"/>
        <v>0</v>
      </c>
      <c r="AF572" s="35">
        <f t="shared" si="67"/>
        <v>0</v>
      </c>
    </row>
    <row r="573" spans="1:32" hidden="1">
      <c r="A573" s="117" t="s">
        <v>1027</v>
      </c>
      <c r="B573" s="12"/>
      <c r="C573" s="12" t="s">
        <v>421</v>
      </c>
      <c r="D573" s="12"/>
      <c r="E573" s="32">
        <v>47522</v>
      </c>
      <c r="G573" s="8">
        <f t="shared" si="68"/>
        <v>4885188</v>
      </c>
      <c r="K573" s="8">
        <v>4885188</v>
      </c>
      <c r="M573" s="8">
        <f t="shared" si="69"/>
        <v>0</v>
      </c>
      <c r="W573" s="8">
        <f t="shared" si="70"/>
        <v>1965376</v>
      </c>
      <c r="Y573" s="8">
        <v>2919812</v>
      </c>
      <c r="AA573" s="8">
        <v>4885188</v>
      </c>
      <c r="AD573" s="8">
        <f t="shared" si="66"/>
        <v>0</v>
      </c>
      <c r="AF573" s="35">
        <f t="shared" si="67"/>
        <v>0</v>
      </c>
    </row>
    <row r="574" spans="1:32">
      <c r="A574" s="12" t="s">
        <v>258</v>
      </c>
      <c r="B574" s="12"/>
      <c r="C574" s="12" t="s">
        <v>255</v>
      </c>
      <c r="D574" s="12"/>
      <c r="E574" s="32">
        <v>44941</v>
      </c>
      <c r="G574" s="8">
        <f t="shared" si="68"/>
        <v>17963572</v>
      </c>
      <c r="I574" s="8">
        <v>3484552</v>
      </c>
      <c r="K574" s="8">
        <v>21448124</v>
      </c>
      <c r="M574" s="8">
        <f t="shared" si="69"/>
        <v>8391984</v>
      </c>
      <c r="O574" s="8">
        <v>696174</v>
      </c>
      <c r="Q574" s="8">
        <f>3528172-696174</f>
        <v>2831998</v>
      </c>
      <c r="S574" s="8">
        <v>11920156</v>
      </c>
      <c r="U574" s="8">
        <v>3182718</v>
      </c>
      <c r="W574" s="8">
        <f t="shared" si="70"/>
        <v>1902909</v>
      </c>
      <c r="Y574" s="8">
        <v>4442341</v>
      </c>
      <c r="AA574" s="8">
        <v>9527968</v>
      </c>
      <c r="AD574" s="8">
        <f t="shared" si="66"/>
        <v>0</v>
      </c>
      <c r="AF574" s="35">
        <f t="shared" si="67"/>
        <v>0</v>
      </c>
    </row>
    <row r="575" spans="1:32" hidden="1">
      <c r="A575" s="117" t="s">
        <v>1028</v>
      </c>
      <c r="B575" s="12"/>
      <c r="C575" s="12" t="s">
        <v>59</v>
      </c>
      <c r="D575" s="12"/>
      <c r="E575" s="32">
        <v>49643</v>
      </c>
      <c r="F575" s="11"/>
      <c r="G575" s="8">
        <f t="shared" si="68"/>
        <v>3124015</v>
      </c>
      <c r="K575" s="8">
        <v>3124015</v>
      </c>
      <c r="M575" s="8">
        <f t="shared" si="69"/>
        <v>0</v>
      </c>
      <c r="W575" s="8">
        <f t="shared" si="70"/>
        <v>1731127</v>
      </c>
      <c r="Y575" s="8">
        <v>1392888</v>
      </c>
      <c r="AA575" s="8">
        <v>3124015</v>
      </c>
      <c r="AD575" s="8">
        <f t="shared" si="66"/>
        <v>0</v>
      </c>
      <c r="AF575" s="35">
        <f t="shared" si="67"/>
        <v>0</v>
      </c>
    </row>
    <row r="576" spans="1:32">
      <c r="A576" s="12" t="s">
        <v>556</v>
      </c>
      <c r="B576" s="12"/>
      <c r="C576" s="12" t="s">
        <v>50</v>
      </c>
      <c r="D576" s="12"/>
      <c r="E576" s="32">
        <v>48744</v>
      </c>
      <c r="G576" s="8">
        <f t="shared" si="68"/>
        <v>13507842</v>
      </c>
      <c r="I576" s="8">
        <v>4935258</v>
      </c>
      <c r="K576" s="8">
        <v>18443100</v>
      </c>
      <c r="M576" s="8">
        <f t="shared" si="69"/>
        <v>7180391</v>
      </c>
      <c r="O576" s="8">
        <v>179241</v>
      </c>
      <c r="Q576" s="8">
        <f>1750415-179241</f>
        <v>1571174</v>
      </c>
      <c r="S576" s="8">
        <v>8930806</v>
      </c>
      <c r="U576" s="8">
        <v>4175929</v>
      </c>
      <c r="W576" s="8">
        <f t="shared" si="70"/>
        <v>116703</v>
      </c>
      <c r="Y576" s="8">
        <v>5219662</v>
      </c>
      <c r="AA576" s="8">
        <v>9512294</v>
      </c>
      <c r="AD576" s="8">
        <f t="shared" si="66"/>
        <v>0</v>
      </c>
      <c r="AF576" s="35">
        <f t="shared" si="67"/>
        <v>0</v>
      </c>
    </row>
    <row r="577" spans="1:34">
      <c r="A577" s="12" t="s">
        <v>419</v>
      </c>
      <c r="B577" s="12"/>
      <c r="C577" s="12" t="s">
        <v>33</v>
      </c>
      <c r="D577" s="12"/>
      <c r="E577" s="32">
        <v>47464</v>
      </c>
      <c r="G577" s="8">
        <f t="shared" si="68"/>
        <v>16266072</v>
      </c>
      <c r="I577" s="8">
        <v>14865617</v>
      </c>
      <c r="K577" s="8">
        <v>31131689</v>
      </c>
      <c r="M577" s="8">
        <f t="shared" si="69"/>
        <v>6787676</v>
      </c>
      <c r="O577" s="8">
        <v>415334</v>
      </c>
      <c r="Q577" s="8">
        <f>9046016-415334</f>
        <v>8630682</v>
      </c>
      <c r="S577" s="8">
        <v>15833692</v>
      </c>
      <c r="U577" s="8">
        <v>6510617</v>
      </c>
      <c r="W577" s="8">
        <f t="shared" si="70"/>
        <v>1432762</v>
      </c>
      <c r="Y577" s="8">
        <v>7354618</v>
      </c>
      <c r="AA577" s="8">
        <v>15297997</v>
      </c>
      <c r="AD577" s="8">
        <f t="shared" si="66"/>
        <v>0</v>
      </c>
      <c r="AF577" s="35">
        <f t="shared" si="67"/>
        <v>0</v>
      </c>
    </row>
    <row r="578" spans="1:34">
      <c r="A578" s="12" t="s">
        <v>706</v>
      </c>
      <c r="B578" s="12"/>
      <c r="C578" s="12" t="s">
        <v>67</v>
      </c>
      <c r="D578" s="12"/>
      <c r="E578" s="32">
        <v>44966</v>
      </c>
      <c r="G578" s="8">
        <f t="shared" si="68"/>
        <v>17472547</v>
      </c>
      <c r="I578" s="8">
        <v>45819701</v>
      </c>
      <c r="K578" s="8">
        <v>63292248</v>
      </c>
      <c r="M578" s="8">
        <f t="shared" si="69"/>
        <v>8399218</v>
      </c>
      <c r="O578" s="8">
        <v>472026</v>
      </c>
      <c r="Q578" s="8">
        <f>27822497-472026</f>
        <v>27350471</v>
      </c>
      <c r="S578" s="8">
        <v>36221715</v>
      </c>
      <c r="U578" s="8">
        <v>21086158</v>
      </c>
      <c r="W578" s="8">
        <f t="shared" si="70"/>
        <v>1211191</v>
      </c>
      <c r="Y578" s="8">
        <v>4773184</v>
      </c>
      <c r="AA578" s="8">
        <v>27070533</v>
      </c>
      <c r="AD578" s="8">
        <f t="shared" si="66"/>
        <v>0</v>
      </c>
      <c r="AF578" s="35">
        <f t="shared" si="67"/>
        <v>0</v>
      </c>
    </row>
    <row r="579" spans="1:34">
      <c r="A579" s="12" t="s">
        <v>557</v>
      </c>
      <c r="B579" s="12"/>
      <c r="C579" s="12" t="s">
        <v>50</v>
      </c>
      <c r="D579" s="12"/>
      <c r="E579" s="32">
        <v>44958</v>
      </c>
      <c r="G579" s="8">
        <f t="shared" si="68"/>
        <v>91425567</v>
      </c>
      <c r="I579" s="8">
        <v>7200733</v>
      </c>
      <c r="K579" s="8">
        <v>98626300</v>
      </c>
      <c r="M579" s="8">
        <f t="shared" si="69"/>
        <v>49986676</v>
      </c>
      <c r="O579" s="8">
        <v>281347</v>
      </c>
      <c r="Q579" s="8">
        <f>29530097-281347</f>
        <v>29248750</v>
      </c>
      <c r="S579" s="8">
        <v>79516773</v>
      </c>
      <c r="U579" s="8">
        <v>6673756</v>
      </c>
      <c r="W579" s="8">
        <f t="shared" si="70"/>
        <v>25561695</v>
      </c>
      <c r="Y579" s="8">
        <v>-13125924</v>
      </c>
      <c r="AA579" s="8">
        <v>19109527</v>
      </c>
      <c r="AD579" s="8">
        <f t="shared" si="66"/>
        <v>0</v>
      </c>
      <c r="AF579" s="35">
        <f t="shared" si="67"/>
        <v>0</v>
      </c>
    </row>
    <row r="580" spans="1:34" hidden="1">
      <c r="A580" s="117" t="s">
        <v>1031</v>
      </c>
      <c r="B580" s="12"/>
      <c r="C580" s="12" t="s">
        <v>33</v>
      </c>
      <c r="D580" s="12"/>
      <c r="E580" s="32">
        <v>47472</v>
      </c>
      <c r="G580" s="8">
        <f t="shared" si="68"/>
        <v>1863012</v>
      </c>
      <c r="K580" s="8">
        <v>1863012</v>
      </c>
      <c r="M580" s="8">
        <f t="shared" si="69"/>
        <v>0</v>
      </c>
      <c r="W580" s="8">
        <f t="shared" si="70"/>
        <v>397021</v>
      </c>
      <c r="Y580" s="8">
        <v>1465991</v>
      </c>
      <c r="AA580" s="8">
        <v>1863012</v>
      </c>
      <c r="AD580" s="8">
        <f t="shared" si="66"/>
        <v>0</v>
      </c>
      <c r="AF580" s="35">
        <f t="shared" si="67"/>
        <v>0</v>
      </c>
    </row>
    <row r="581" spans="1:34">
      <c r="A581" s="12" t="s">
        <v>342</v>
      </c>
      <c r="B581" s="12"/>
      <c r="C581" s="12" t="s">
        <v>24</v>
      </c>
      <c r="D581" s="12"/>
      <c r="E581" s="32">
        <v>46821</v>
      </c>
      <c r="G581" s="8">
        <f t="shared" si="68"/>
        <v>30184850</v>
      </c>
      <c r="I581" s="8">
        <v>7719990</v>
      </c>
      <c r="K581" s="8">
        <v>37904840</v>
      </c>
      <c r="M581" s="8">
        <f t="shared" si="69"/>
        <v>16385825</v>
      </c>
      <c r="O581" s="8">
        <v>776835</v>
      </c>
      <c r="Q581" s="8">
        <f>9022546-776835</f>
        <v>8245711</v>
      </c>
      <c r="S581" s="8">
        <v>25408371</v>
      </c>
      <c r="U581" s="8">
        <v>4642289</v>
      </c>
      <c r="W581" s="8">
        <f t="shared" si="70"/>
        <v>2051715</v>
      </c>
      <c r="Y581" s="8">
        <v>5802465</v>
      </c>
      <c r="AA581" s="8">
        <v>12496469</v>
      </c>
      <c r="AD581" s="8">
        <f t="shared" si="66"/>
        <v>0</v>
      </c>
      <c r="AF581" s="35">
        <f t="shared" si="67"/>
        <v>0</v>
      </c>
    </row>
    <row r="582" spans="1:34" hidden="1">
      <c r="A582" s="117" t="s">
        <v>1032</v>
      </c>
      <c r="B582" s="12"/>
      <c r="C582" s="12" t="s">
        <v>21</v>
      </c>
      <c r="D582" s="12"/>
      <c r="E582" s="32"/>
      <c r="M582" s="8">
        <f t="shared" si="69"/>
        <v>0</v>
      </c>
      <c r="AD582" s="8">
        <f t="shared" si="66"/>
        <v>0</v>
      </c>
      <c r="AF582" s="35">
        <f t="shared" si="67"/>
        <v>0</v>
      </c>
      <c r="AH582" s="8" t="s">
        <v>967</v>
      </c>
    </row>
    <row r="583" spans="1:34">
      <c r="A583" s="12" t="s">
        <v>707</v>
      </c>
      <c r="B583" s="12"/>
      <c r="C583" s="12" t="s">
        <v>68</v>
      </c>
      <c r="D583" s="12"/>
      <c r="E583" s="32">
        <v>50393</v>
      </c>
      <c r="G583" s="8">
        <f t="shared" si="68"/>
        <v>23652213</v>
      </c>
      <c r="I583" s="8">
        <v>65265040</v>
      </c>
      <c r="K583" s="8">
        <v>88917253</v>
      </c>
      <c r="M583" s="8">
        <f t="shared" si="69"/>
        <v>6950520</v>
      </c>
      <c r="O583" s="8">
        <v>477989</v>
      </c>
      <c r="Q583" s="8">
        <f>7907983-477989</f>
        <v>7429994</v>
      </c>
      <c r="S583" s="8">
        <v>14858503</v>
      </c>
      <c r="U583" s="8">
        <v>58095754</v>
      </c>
      <c r="W583" s="8">
        <f t="shared" si="70"/>
        <v>4798356</v>
      </c>
      <c r="Y583" s="8">
        <v>11164640</v>
      </c>
      <c r="AA583" s="8">
        <v>74058750</v>
      </c>
      <c r="AD583" s="8">
        <f t="shared" si="66"/>
        <v>0</v>
      </c>
      <c r="AF583" s="35">
        <f t="shared" si="67"/>
        <v>0</v>
      </c>
    </row>
    <row r="584" spans="1:34">
      <c r="A584" s="12" t="s">
        <v>530</v>
      </c>
      <c r="B584" s="12"/>
      <c r="C584" s="12" t="s">
        <v>47</v>
      </c>
      <c r="D584" s="12"/>
      <c r="E584" s="32">
        <v>44974</v>
      </c>
      <c r="G584" s="8">
        <f t="shared" si="68"/>
        <v>55849909</v>
      </c>
      <c r="I584" s="8">
        <v>45437057</v>
      </c>
      <c r="K584" s="8">
        <v>101286966</v>
      </c>
      <c r="M584" s="8">
        <f t="shared" si="69"/>
        <v>34188414</v>
      </c>
      <c r="O584" s="8">
        <v>1813311</v>
      </c>
      <c r="Q584" s="8">
        <f>42893525-1813311</f>
        <v>41080214</v>
      </c>
      <c r="S584" s="8">
        <v>77081939</v>
      </c>
      <c r="U584" s="8">
        <v>21350871</v>
      </c>
      <c r="W584" s="8">
        <f t="shared" si="70"/>
        <v>13106502</v>
      </c>
      <c r="Y584" s="8">
        <v>-10252346</v>
      </c>
      <c r="AA584" s="8">
        <v>24205027</v>
      </c>
      <c r="AD584" s="8">
        <f t="shared" ref="AD584:AD607" si="71">+K584-S584-AA584</f>
        <v>0</v>
      </c>
      <c r="AF584" s="35">
        <f t="shared" ref="AF584:AF607" si="72">+G584+I584+-M584-O584-U584-W584-Y584-Q584</f>
        <v>0</v>
      </c>
    </row>
    <row r="585" spans="1:34">
      <c r="A585" s="12" t="s">
        <v>692</v>
      </c>
      <c r="B585" s="12"/>
      <c r="C585" s="12" t="s">
        <v>64</v>
      </c>
      <c r="D585" s="12"/>
      <c r="E585" s="32">
        <v>44990</v>
      </c>
      <c r="G585" s="8">
        <f t="shared" si="68"/>
        <v>102558313</v>
      </c>
      <c r="I585" s="8">
        <v>116757797</v>
      </c>
      <c r="K585" s="8">
        <v>219316110</v>
      </c>
      <c r="M585" s="8">
        <f t="shared" si="69"/>
        <v>31091712</v>
      </c>
      <c r="O585" s="8">
        <v>1313981</v>
      </c>
      <c r="Q585" s="8">
        <f>38925808-1313981</f>
        <v>37611827</v>
      </c>
      <c r="S585" s="8">
        <v>70017520</v>
      </c>
      <c r="U585" s="8">
        <v>107590982</v>
      </c>
      <c r="W585" s="8">
        <f t="shared" si="70"/>
        <v>25110323</v>
      </c>
      <c r="Y585" s="8">
        <v>16597285</v>
      </c>
      <c r="AA585" s="8">
        <v>149298590</v>
      </c>
      <c r="AD585" s="8">
        <f t="shared" si="71"/>
        <v>0</v>
      </c>
      <c r="AF585" s="35">
        <f t="shared" si="72"/>
        <v>0</v>
      </c>
    </row>
    <row r="586" spans="1:34">
      <c r="A586" s="12" t="s">
        <v>719</v>
      </c>
      <c r="B586" s="12"/>
      <c r="C586" s="12" t="s">
        <v>70</v>
      </c>
      <c r="D586" s="12"/>
      <c r="E586" s="32">
        <v>50500</v>
      </c>
      <c r="F586" s="11"/>
      <c r="G586" s="8">
        <f t="shared" si="68"/>
        <v>11940488</v>
      </c>
      <c r="I586" s="8">
        <v>5617530</v>
      </c>
      <c r="K586" s="8">
        <v>17558018</v>
      </c>
      <c r="M586" s="8">
        <f t="shared" si="69"/>
        <v>8617876</v>
      </c>
      <c r="O586" s="8">
        <v>55723</v>
      </c>
      <c r="Q586" s="8">
        <f>2503543+32939-55723</f>
        <v>2480759</v>
      </c>
      <c r="S586" s="8">
        <v>11154358</v>
      </c>
      <c r="U586" s="8">
        <v>5617530</v>
      </c>
      <c r="W586" s="8">
        <f t="shared" si="70"/>
        <v>726563</v>
      </c>
      <c r="Y586" s="8">
        <v>59567</v>
      </c>
      <c r="AA586" s="8">
        <v>6403660</v>
      </c>
      <c r="AD586" s="8">
        <f t="shared" si="71"/>
        <v>0</v>
      </c>
      <c r="AF586" s="35">
        <f t="shared" si="72"/>
        <v>0</v>
      </c>
    </row>
    <row r="587" spans="1:34">
      <c r="A587" s="12" t="s">
        <v>324</v>
      </c>
      <c r="B587" s="12"/>
      <c r="C587" s="12" t="s">
        <v>20</v>
      </c>
      <c r="D587" s="12"/>
      <c r="E587" s="32">
        <v>45005</v>
      </c>
      <c r="G587" s="8">
        <f t="shared" si="68"/>
        <v>37056042</v>
      </c>
      <c r="I587" s="8">
        <v>26391731</v>
      </c>
      <c r="K587" s="8">
        <v>63447773</v>
      </c>
      <c r="M587" s="8">
        <f t="shared" si="69"/>
        <v>21837233</v>
      </c>
      <c r="O587" s="8">
        <v>1945542</v>
      </c>
      <c r="Q587" s="8">
        <f>24716196-1945542</f>
        <v>22770654</v>
      </c>
      <c r="S587" s="8">
        <v>46553429</v>
      </c>
      <c r="U587" s="8">
        <v>5032680</v>
      </c>
      <c r="W587" s="8">
        <f t="shared" si="70"/>
        <v>5226786</v>
      </c>
      <c r="Y587" s="8">
        <v>6634878</v>
      </c>
      <c r="AA587" s="8">
        <v>16894344</v>
      </c>
      <c r="AD587" s="8">
        <f t="shared" si="71"/>
        <v>0</v>
      </c>
      <c r="AF587" s="35">
        <f t="shared" si="72"/>
        <v>0</v>
      </c>
    </row>
    <row r="588" spans="1:34">
      <c r="A588" s="12" t="s">
        <v>351</v>
      </c>
      <c r="B588" s="12"/>
      <c r="C588" s="12" t="s">
        <v>26</v>
      </c>
      <c r="D588" s="12"/>
      <c r="E588" s="32">
        <v>45013</v>
      </c>
      <c r="G588" s="8">
        <f t="shared" si="68"/>
        <v>17026917</v>
      </c>
      <c r="I588" s="8">
        <v>72161098</v>
      </c>
      <c r="K588" s="8">
        <v>89188015</v>
      </c>
      <c r="M588" s="8">
        <f t="shared" si="69"/>
        <v>9353197</v>
      </c>
      <c r="O588" s="8">
        <v>565873</v>
      </c>
      <c r="Q588" s="8">
        <f>22318543-565873</f>
        <v>21752670</v>
      </c>
      <c r="S588" s="8">
        <v>31671740</v>
      </c>
      <c r="U588" s="8">
        <v>52033758</v>
      </c>
      <c r="W588" s="8">
        <f t="shared" si="70"/>
        <v>5169399</v>
      </c>
      <c r="Y588" s="8">
        <v>313118</v>
      </c>
      <c r="AA588" s="8">
        <v>57516275</v>
      </c>
      <c r="AD588" s="8">
        <f t="shared" si="71"/>
        <v>0</v>
      </c>
      <c r="AF588" s="35">
        <f t="shared" si="72"/>
        <v>0</v>
      </c>
    </row>
    <row r="589" spans="1:34">
      <c r="A589" s="12" t="s">
        <v>503</v>
      </c>
      <c r="B589" s="12"/>
      <c r="C589" s="12" t="s">
        <v>117</v>
      </c>
      <c r="D589" s="12"/>
      <c r="E589" s="32">
        <v>48231</v>
      </c>
      <c r="G589" s="8">
        <f t="shared" si="68"/>
        <v>80996342</v>
      </c>
      <c r="I589" s="8">
        <v>25515321</v>
      </c>
      <c r="K589" s="8">
        <v>106511663</v>
      </c>
      <c r="M589" s="8">
        <f t="shared" si="69"/>
        <v>42935536</v>
      </c>
      <c r="O589" s="8">
        <v>1083141</v>
      </c>
      <c r="Q589" s="8">
        <f>6450724-1083141</f>
        <v>5367583</v>
      </c>
      <c r="S589" s="8">
        <v>49386260</v>
      </c>
      <c r="U589" s="8">
        <v>23229321</v>
      </c>
      <c r="W589" s="8">
        <f t="shared" si="70"/>
        <v>2548155</v>
      </c>
      <c r="Y589" s="8">
        <v>31347927</v>
      </c>
      <c r="AA589" s="8">
        <v>57125403</v>
      </c>
      <c r="AD589" s="8">
        <f t="shared" si="71"/>
        <v>0</v>
      </c>
      <c r="AF589" s="35">
        <f t="shared" si="72"/>
        <v>0</v>
      </c>
    </row>
    <row r="590" spans="1:34">
      <c r="A590" s="12" t="s">
        <v>633</v>
      </c>
      <c r="B590" s="12"/>
      <c r="C590" s="12" t="s">
        <v>59</v>
      </c>
      <c r="D590" s="12"/>
      <c r="E590" s="32">
        <v>49650</v>
      </c>
      <c r="G590" s="8">
        <f t="shared" si="68"/>
        <v>22079706</v>
      </c>
      <c r="I590" s="8">
        <v>26146039</v>
      </c>
      <c r="K590" s="8">
        <v>48225745</v>
      </c>
      <c r="M590" s="8">
        <f t="shared" si="69"/>
        <v>3902726</v>
      </c>
      <c r="O590" s="8">
        <v>421111</v>
      </c>
      <c r="Q590" s="8">
        <f>1694516-421111</f>
        <v>1273405</v>
      </c>
      <c r="S590" s="8">
        <v>5597242</v>
      </c>
      <c r="U590" s="8">
        <v>25073194</v>
      </c>
      <c r="W590" s="8">
        <f t="shared" si="70"/>
        <v>16179996</v>
      </c>
      <c r="Y590" s="8">
        <v>1375313</v>
      </c>
      <c r="AA590" s="8">
        <v>42628503</v>
      </c>
      <c r="AD590" s="8">
        <f t="shared" si="71"/>
        <v>0</v>
      </c>
      <c r="AF590" s="35">
        <f t="shared" si="72"/>
        <v>0</v>
      </c>
    </row>
    <row r="591" spans="1:34">
      <c r="A591" s="12" t="s">
        <v>596</v>
      </c>
      <c r="B591" s="12"/>
      <c r="C591" s="12" t="s">
        <v>56</v>
      </c>
      <c r="D591" s="12"/>
      <c r="E591" s="32">
        <v>49247</v>
      </c>
      <c r="G591" s="8">
        <f t="shared" si="68"/>
        <v>8708527</v>
      </c>
      <c r="I591" s="8">
        <v>17046679</v>
      </c>
      <c r="K591" s="8">
        <v>25755206</v>
      </c>
      <c r="M591" s="8">
        <f t="shared" si="69"/>
        <v>5036914</v>
      </c>
      <c r="O591" s="8">
        <v>548802</v>
      </c>
      <c r="Q591" s="8">
        <f>9344463-548802</f>
        <v>8795661</v>
      </c>
      <c r="S591" s="8">
        <v>14381377</v>
      </c>
      <c r="U591" s="8">
        <v>8630753</v>
      </c>
      <c r="W591" s="8">
        <f t="shared" si="70"/>
        <v>2132094</v>
      </c>
      <c r="Y591" s="8">
        <v>610982</v>
      </c>
      <c r="AA591" s="8">
        <v>11373829</v>
      </c>
      <c r="AD591" s="8">
        <f t="shared" si="71"/>
        <v>0</v>
      </c>
      <c r="AF591" s="35">
        <f t="shared" si="72"/>
        <v>0</v>
      </c>
    </row>
    <row r="592" spans="1:34">
      <c r="A592" s="12" t="s">
        <v>374</v>
      </c>
      <c r="B592" s="12"/>
      <c r="C592" s="12" t="s">
        <v>28</v>
      </c>
      <c r="D592" s="12"/>
      <c r="E592" s="32">
        <v>45641</v>
      </c>
      <c r="G592" s="8">
        <f t="shared" si="68"/>
        <v>35578947</v>
      </c>
      <c r="I592" s="8">
        <v>40187288</v>
      </c>
      <c r="K592" s="8">
        <v>75766235</v>
      </c>
      <c r="M592" s="8">
        <f t="shared" si="69"/>
        <v>11765531</v>
      </c>
      <c r="O592" s="8">
        <v>1189996</v>
      </c>
      <c r="Q592" s="8">
        <f>28454864-1189996</f>
        <v>27264868</v>
      </c>
      <c r="S592" s="8">
        <v>40220395</v>
      </c>
      <c r="U592" s="8">
        <v>26899604</v>
      </c>
      <c r="W592" s="8">
        <f t="shared" si="70"/>
        <v>6789290</v>
      </c>
      <c r="Y592" s="8">
        <v>1856946</v>
      </c>
      <c r="AA592" s="8">
        <v>35545840</v>
      </c>
      <c r="AD592" s="8">
        <f t="shared" si="71"/>
        <v>0</v>
      </c>
      <c r="AF592" s="35">
        <f t="shared" si="72"/>
        <v>0</v>
      </c>
    </row>
    <row r="593" spans="1:32">
      <c r="A593" s="12" t="s">
        <v>586</v>
      </c>
      <c r="B593" s="12"/>
      <c r="C593" s="12" t="s">
        <v>55</v>
      </c>
      <c r="D593" s="12"/>
      <c r="E593" s="32">
        <v>49148</v>
      </c>
      <c r="G593" s="8">
        <f t="shared" si="68"/>
        <v>9569669</v>
      </c>
      <c r="I593" s="8">
        <v>43157068</v>
      </c>
      <c r="K593" s="8">
        <v>52726737</v>
      </c>
      <c r="M593" s="8">
        <f t="shared" si="69"/>
        <v>5805621</v>
      </c>
      <c r="O593" s="8">
        <v>612016</v>
      </c>
      <c r="Q593" s="8">
        <f>9747968-612016</f>
        <v>9135952</v>
      </c>
      <c r="S593" s="8">
        <v>15553589</v>
      </c>
      <c r="U593" s="8">
        <v>34948915</v>
      </c>
      <c r="W593" s="8">
        <f t="shared" si="70"/>
        <v>2036472</v>
      </c>
      <c r="Y593" s="8">
        <v>187761</v>
      </c>
      <c r="AA593" s="8">
        <v>37173148</v>
      </c>
      <c r="AD593" s="8">
        <f t="shared" si="71"/>
        <v>0</v>
      </c>
      <c r="AF593" s="35">
        <f t="shared" si="72"/>
        <v>0</v>
      </c>
    </row>
    <row r="594" spans="1:32" hidden="1">
      <c r="A594" s="117" t="s">
        <v>1043</v>
      </c>
      <c r="B594" s="12"/>
      <c r="C594" s="12" t="s">
        <v>69</v>
      </c>
      <c r="D594" s="12"/>
      <c r="E594" s="32">
        <v>50468</v>
      </c>
      <c r="G594" s="8">
        <f t="shared" si="68"/>
        <v>0</v>
      </c>
      <c r="M594" s="8">
        <f t="shared" si="69"/>
        <v>0</v>
      </c>
      <c r="W594" s="8">
        <f t="shared" si="70"/>
        <v>0</v>
      </c>
      <c r="AD594" s="8">
        <f t="shared" si="71"/>
        <v>0</v>
      </c>
      <c r="AF594" s="35">
        <f t="shared" si="72"/>
        <v>0</v>
      </c>
    </row>
    <row r="595" spans="1:32" hidden="1">
      <c r="A595" s="117" t="s">
        <v>846</v>
      </c>
      <c r="B595" s="12"/>
      <c r="C595" s="12" t="s">
        <v>576</v>
      </c>
      <c r="D595" s="12"/>
      <c r="E595" s="32">
        <v>49031</v>
      </c>
      <c r="G595" s="8">
        <f t="shared" si="68"/>
        <v>0</v>
      </c>
      <c r="M595" s="8">
        <f t="shared" si="69"/>
        <v>0</v>
      </c>
      <c r="W595" s="8">
        <f t="shared" si="70"/>
        <v>0</v>
      </c>
      <c r="AD595" s="8">
        <f t="shared" si="71"/>
        <v>0</v>
      </c>
      <c r="AF595" s="35">
        <f t="shared" si="72"/>
        <v>0</v>
      </c>
    </row>
    <row r="596" spans="1:32" hidden="1">
      <c r="A596" s="117" t="s">
        <v>891</v>
      </c>
      <c r="B596" s="12"/>
      <c r="C596" s="12" t="s">
        <v>14</v>
      </c>
      <c r="D596" s="12"/>
      <c r="E596" s="32">
        <v>45971</v>
      </c>
      <c r="G596" s="8">
        <f t="shared" si="68"/>
        <v>0</v>
      </c>
      <c r="M596" s="8">
        <f t="shared" si="69"/>
        <v>0</v>
      </c>
      <c r="W596" s="8">
        <f t="shared" si="70"/>
        <v>0</v>
      </c>
      <c r="AD596" s="8">
        <f t="shared" si="71"/>
        <v>0</v>
      </c>
      <c r="AF596" s="35">
        <f t="shared" si="72"/>
        <v>0</v>
      </c>
    </row>
    <row r="597" spans="1:32">
      <c r="A597" s="12" t="s">
        <v>693</v>
      </c>
      <c r="B597" s="12"/>
      <c r="C597" s="12" t="s">
        <v>64</v>
      </c>
      <c r="D597" s="12"/>
      <c r="E597" s="32">
        <v>50252</v>
      </c>
      <c r="G597" s="8">
        <f t="shared" si="68"/>
        <v>6294726</v>
      </c>
      <c r="I597" s="8">
        <v>4338360</v>
      </c>
      <c r="K597" s="8">
        <v>10633086</v>
      </c>
      <c r="M597" s="8">
        <f t="shared" si="69"/>
        <v>4172899</v>
      </c>
      <c r="O597" s="8">
        <v>410165</v>
      </c>
      <c r="Q597" s="8">
        <f>3205993-410165</f>
        <v>2795828</v>
      </c>
      <c r="S597" s="8">
        <v>7378892</v>
      </c>
      <c r="U597" s="8">
        <v>1793584</v>
      </c>
      <c r="W597" s="8">
        <f t="shared" si="70"/>
        <v>619036</v>
      </c>
      <c r="Y597" s="8">
        <v>841574</v>
      </c>
      <c r="AA597" s="8">
        <v>3254194</v>
      </c>
      <c r="AD597" s="8">
        <f t="shared" si="71"/>
        <v>0</v>
      </c>
      <c r="AF597" s="35">
        <f t="shared" si="72"/>
        <v>0</v>
      </c>
    </row>
    <row r="598" spans="1:32">
      <c r="A598" s="12" t="s">
        <v>495</v>
      </c>
      <c r="B598" s="12"/>
      <c r="C598" s="12" t="s">
        <v>44</v>
      </c>
      <c r="D598" s="12"/>
      <c r="E598" s="32">
        <v>45658</v>
      </c>
      <c r="G598" s="8">
        <f t="shared" si="68"/>
        <v>10227880</v>
      </c>
      <c r="I598" s="8">
        <v>4345080</v>
      </c>
      <c r="K598" s="8">
        <v>14572960</v>
      </c>
      <c r="M598" s="8">
        <f t="shared" si="69"/>
        <v>5113634</v>
      </c>
      <c r="O598" s="8">
        <v>42755</v>
      </c>
      <c r="Q598" s="8">
        <f>1059703-42755</f>
        <v>1016948</v>
      </c>
      <c r="S598" s="8">
        <v>6173337</v>
      </c>
      <c r="U598" s="8">
        <v>4345080</v>
      </c>
      <c r="W598" s="8">
        <f t="shared" si="70"/>
        <v>1113065</v>
      </c>
      <c r="Y598" s="8">
        <v>2941478</v>
      </c>
      <c r="AA598" s="8">
        <v>8399623</v>
      </c>
      <c r="AD598" s="8">
        <f t="shared" si="71"/>
        <v>0</v>
      </c>
      <c r="AF598" s="35">
        <f t="shared" si="72"/>
        <v>0</v>
      </c>
    </row>
    <row r="599" spans="1:32">
      <c r="A599" s="12" t="s">
        <v>449</v>
      </c>
      <c r="B599" s="12"/>
      <c r="C599" s="12" t="s">
        <v>38</v>
      </c>
      <c r="D599" s="12"/>
      <c r="E599" s="32">
        <v>45021</v>
      </c>
      <c r="G599" s="8">
        <f t="shared" si="68"/>
        <v>16848165</v>
      </c>
      <c r="I599" s="8">
        <v>33671150</v>
      </c>
      <c r="K599" s="8">
        <v>50519315</v>
      </c>
      <c r="M599" s="8">
        <f t="shared" si="69"/>
        <v>5188022</v>
      </c>
      <c r="O599" s="8">
        <v>250891</v>
      </c>
      <c r="Q599" s="8">
        <f>3375441-250891</f>
        <v>3124550</v>
      </c>
      <c r="S599" s="8">
        <v>8563463</v>
      </c>
      <c r="U599" s="8">
        <v>31036150</v>
      </c>
      <c r="W599" s="8">
        <f t="shared" si="70"/>
        <v>5020316</v>
      </c>
      <c r="Y599" s="8">
        <v>5899386</v>
      </c>
      <c r="AA599" s="8">
        <v>41955852</v>
      </c>
      <c r="AD599" s="8">
        <f t="shared" si="71"/>
        <v>0</v>
      </c>
      <c r="AF599" s="35">
        <f t="shared" si="72"/>
        <v>0</v>
      </c>
    </row>
    <row r="600" spans="1:32">
      <c r="A600" s="12" t="s">
        <v>286</v>
      </c>
      <c r="B600" s="12"/>
      <c r="C600" s="12" t="s">
        <v>114</v>
      </c>
      <c r="D600" s="12"/>
      <c r="E600" s="32">
        <v>45039</v>
      </c>
      <c r="G600" s="8">
        <f t="shared" si="68"/>
        <v>5750006</v>
      </c>
      <c r="I600" s="8">
        <v>7129585</v>
      </c>
      <c r="K600" s="8">
        <v>12879591</v>
      </c>
      <c r="M600" s="8">
        <f t="shared" si="69"/>
        <v>2485031</v>
      </c>
      <c r="O600" s="8">
        <v>281605</v>
      </c>
      <c r="Q600" s="8">
        <f>1981509-281605</f>
        <v>1699904</v>
      </c>
      <c r="S600" s="8">
        <v>4466540</v>
      </c>
      <c r="U600" s="8">
        <v>5719564</v>
      </c>
      <c r="W600" s="8">
        <f t="shared" si="70"/>
        <v>1884312</v>
      </c>
      <c r="Y600" s="8">
        <v>809175</v>
      </c>
      <c r="AA600" s="8">
        <v>8413051</v>
      </c>
      <c r="AD600" s="8">
        <f t="shared" si="71"/>
        <v>0</v>
      </c>
      <c r="AF600" s="35">
        <f t="shared" si="72"/>
        <v>0</v>
      </c>
    </row>
    <row r="601" spans="1:32">
      <c r="A601" s="12" t="s">
        <v>518</v>
      </c>
      <c r="B601" s="12"/>
      <c r="C601" s="12" t="s">
        <v>45</v>
      </c>
      <c r="D601" s="12"/>
      <c r="E601" s="32">
        <v>48389</v>
      </c>
      <c r="G601" s="8">
        <f t="shared" si="68"/>
        <v>11727124</v>
      </c>
      <c r="I601" s="8">
        <v>44352222</v>
      </c>
      <c r="K601" s="8">
        <v>56079346</v>
      </c>
      <c r="M601" s="8">
        <f t="shared" si="69"/>
        <v>7390225</v>
      </c>
      <c r="O601" s="8">
        <v>537230</v>
      </c>
      <c r="Q601" s="8">
        <f>7976783-537230</f>
        <v>7439553</v>
      </c>
      <c r="S601" s="8">
        <v>15367008</v>
      </c>
      <c r="U601" s="8">
        <v>37745501</v>
      </c>
      <c r="W601" s="8">
        <f t="shared" si="70"/>
        <v>2007634</v>
      </c>
      <c r="Y601" s="8">
        <v>959203</v>
      </c>
      <c r="AA601" s="8">
        <v>40712338</v>
      </c>
      <c r="AD601" s="8">
        <f t="shared" si="71"/>
        <v>0</v>
      </c>
      <c r="AF601" s="35">
        <f t="shared" si="72"/>
        <v>0</v>
      </c>
    </row>
    <row r="602" spans="1:32">
      <c r="A602" s="12" t="s">
        <v>1042</v>
      </c>
      <c r="B602" s="12"/>
      <c r="C602" s="12" t="s">
        <v>50</v>
      </c>
      <c r="D602" s="12"/>
      <c r="E602" s="32"/>
      <c r="G602" s="8">
        <f t="shared" si="68"/>
        <v>34432676</v>
      </c>
      <c r="I602" s="8">
        <v>14907401</v>
      </c>
      <c r="K602" s="8">
        <v>49340077</v>
      </c>
      <c r="M602" s="8">
        <f t="shared" si="69"/>
        <v>20385432</v>
      </c>
      <c r="O602" s="8">
        <v>624562</v>
      </c>
      <c r="Q602" s="8">
        <f>3845533-624562</f>
        <v>3220971</v>
      </c>
      <c r="S602" s="8">
        <v>24230965</v>
      </c>
      <c r="U602" s="8">
        <v>12496091</v>
      </c>
      <c r="W602" s="8">
        <f t="shared" si="70"/>
        <v>810162</v>
      </c>
      <c r="Y602" s="8">
        <v>11802859</v>
      </c>
      <c r="AA602" s="8">
        <v>25109112</v>
      </c>
      <c r="AD602" s="8">
        <f t="shared" si="71"/>
        <v>0</v>
      </c>
      <c r="AF602" s="35">
        <f t="shared" si="72"/>
        <v>0</v>
      </c>
    </row>
    <row r="603" spans="1:32">
      <c r="A603" s="12" t="s">
        <v>272</v>
      </c>
      <c r="B603" s="12"/>
      <c r="C603" s="12" t="s">
        <v>115</v>
      </c>
      <c r="D603" s="12"/>
      <c r="E603" s="32">
        <v>46359</v>
      </c>
      <c r="G603" s="8">
        <f>+K603-I603</f>
        <v>78687089</v>
      </c>
      <c r="I603" s="8">
        <v>28046836</v>
      </c>
      <c r="K603" s="8">
        <v>106733925</v>
      </c>
      <c r="M603" s="8">
        <f>+S603-O603-Q603</f>
        <v>45874515</v>
      </c>
      <c r="O603" s="8">
        <v>4151513</v>
      </c>
      <c r="Q603" s="8">
        <f>46995482-4151513</f>
        <v>42843969</v>
      </c>
      <c r="S603" s="8">
        <v>92869997</v>
      </c>
      <c r="U603" s="8">
        <v>4172287</v>
      </c>
      <c r="W603" s="8">
        <f>AA603-Y603-U603</f>
        <v>32744398</v>
      </c>
      <c r="Y603" s="8">
        <v>-23052757</v>
      </c>
      <c r="AA603" s="8">
        <v>13863928</v>
      </c>
      <c r="AD603" s="8">
        <f t="shared" si="71"/>
        <v>0</v>
      </c>
      <c r="AF603" s="35">
        <f t="shared" si="72"/>
        <v>0</v>
      </c>
    </row>
    <row r="604" spans="1:32">
      <c r="A604" s="12" t="s">
        <v>383</v>
      </c>
      <c r="B604" s="12"/>
      <c r="C604" s="12" t="s">
        <v>30</v>
      </c>
      <c r="D604" s="12"/>
      <c r="E604" s="32">
        <v>47225</v>
      </c>
      <c r="G604" s="8">
        <f>+K604-I604</f>
        <v>27464499</v>
      </c>
      <c r="I604" s="8">
        <v>16575071</v>
      </c>
      <c r="K604" s="8">
        <v>44039570</v>
      </c>
      <c r="M604" s="8">
        <f>+S604-O604-Q604</f>
        <v>20011970</v>
      </c>
      <c r="O604" s="8">
        <f>2879580+5729</f>
        <v>2885309</v>
      </c>
      <c r="Q604" s="8">
        <f>11726286+26562-2879580-5729</f>
        <v>8867539</v>
      </c>
      <c r="S604" s="8">
        <v>31764818</v>
      </c>
      <c r="U604" s="8">
        <v>7104701</v>
      </c>
      <c r="W604" s="8">
        <f>AA604-Y604-U604</f>
        <v>2014462</v>
      </c>
      <c r="Y604" s="8">
        <v>3155589</v>
      </c>
      <c r="AA604" s="8">
        <v>12274752</v>
      </c>
      <c r="AD604" s="8">
        <f t="shared" si="71"/>
        <v>0</v>
      </c>
      <c r="AF604" s="35">
        <f t="shared" si="72"/>
        <v>0</v>
      </c>
    </row>
    <row r="605" spans="1:32">
      <c r="A605" s="12" t="s">
        <v>442</v>
      </c>
      <c r="B605" s="12"/>
      <c r="C605" s="12" t="s">
        <v>36</v>
      </c>
      <c r="D605" s="12"/>
      <c r="E605" s="32">
        <v>47696</v>
      </c>
      <c r="G605" s="8">
        <f>+K605-I605</f>
        <v>23136874</v>
      </c>
      <c r="I605" s="8">
        <v>22850339</v>
      </c>
      <c r="K605" s="8">
        <v>45987213</v>
      </c>
      <c r="M605" s="8">
        <f>+S605-O605-Q605</f>
        <v>11581729</v>
      </c>
      <c r="O605" s="8">
        <v>718718</v>
      </c>
      <c r="Q605" s="8">
        <f>14587631-718718</f>
        <v>13868913</v>
      </c>
      <c r="S605" s="8">
        <v>26169360</v>
      </c>
      <c r="U605" s="8">
        <v>10825783</v>
      </c>
      <c r="W605" s="8">
        <f>AA605-Y605-U605</f>
        <v>2120945</v>
      </c>
      <c r="Y605" s="8">
        <v>6871125</v>
      </c>
      <c r="AA605" s="8">
        <v>19817853</v>
      </c>
      <c r="AD605" s="8">
        <f t="shared" si="71"/>
        <v>0</v>
      </c>
      <c r="AF605" s="35">
        <f t="shared" si="72"/>
        <v>0</v>
      </c>
    </row>
    <row r="606" spans="1:32">
      <c r="A606" s="12" t="s">
        <v>259</v>
      </c>
      <c r="B606" s="12"/>
      <c r="C606" s="12" t="s">
        <v>255</v>
      </c>
      <c r="D606" s="12"/>
      <c r="E606" s="32">
        <v>46219</v>
      </c>
      <c r="G606" s="8">
        <f>+K606-I606</f>
        <v>6689696</v>
      </c>
      <c r="I606" s="8">
        <v>4832689</v>
      </c>
      <c r="K606" s="8">
        <v>11522385</v>
      </c>
      <c r="M606" s="8">
        <f>+S606-O606-Q606</f>
        <v>3092302</v>
      </c>
      <c r="O606" s="8">
        <v>398641</v>
      </c>
      <c r="Q606" s="8">
        <f>1094438-398641</f>
        <v>695797</v>
      </c>
      <c r="S606" s="8">
        <v>4186740</v>
      </c>
      <c r="U606" s="8">
        <v>4529414</v>
      </c>
      <c r="W606" s="8">
        <f>AA606-Y606-U606</f>
        <v>698433</v>
      </c>
      <c r="Y606" s="8">
        <v>2107798</v>
      </c>
      <c r="AA606" s="8">
        <v>7335645</v>
      </c>
      <c r="AD606" s="8">
        <f t="shared" si="71"/>
        <v>0</v>
      </c>
      <c r="AF606" s="35">
        <f t="shared" si="72"/>
        <v>0</v>
      </c>
    </row>
    <row r="607" spans="1:32">
      <c r="A607" s="12" t="s">
        <v>567</v>
      </c>
      <c r="B607" s="12"/>
      <c r="C607" s="12" t="s">
        <v>51</v>
      </c>
      <c r="D607" s="12"/>
      <c r="E607" s="32">
        <v>48884</v>
      </c>
      <c r="G607" s="8">
        <f>+K607-I607</f>
        <v>18855802</v>
      </c>
      <c r="I607" s="8">
        <v>24553310</v>
      </c>
      <c r="K607" s="8">
        <v>43409112</v>
      </c>
      <c r="M607" s="8">
        <f>+S607-O607-Q607</f>
        <v>7602881</v>
      </c>
      <c r="O607" s="8">
        <v>512723</v>
      </c>
      <c r="Q607" s="8">
        <f>24046956-512723</f>
        <v>23534233</v>
      </c>
      <c r="S607" s="8">
        <v>31649837</v>
      </c>
      <c r="U607" s="8">
        <v>1893836</v>
      </c>
      <c r="W607" s="8">
        <f>AA607-Y607-U607</f>
        <v>8915560</v>
      </c>
      <c r="Y607" s="8">
        <v>949879</v>
      </c>
      <c r="AA607" s="8">
        <v>11759275</v>
      </c>
      <c r="AD607" s="8">
        <f t="shared" si="71"/>
        <v>0</v>
      </c>
      <c r="AF607" s="35">
        <f t="shared" si="72"/>
        <v>0</v>
      </c>
    </row>
    <row r="608" spans="1:32">
      <c r="A608" s="13" t="s">
        <v>240</v>
      </c>
      <c r="B608" s="13"/>
      <c r="C608" s="13" t="s">
        <v>77</v>
      </c>
      <c r="D608" s="13"/>
      <c r="E608" s="13">
        <v>46060</v>
      </c>
      <c r="G608" s="8">
        <f t="shared" ref="G608:G634" si="73">+K608-I608</f>
        <v>13405060</v>
      </c>
      <c r="I608" s="8">
        <v>51090514</v>
      </c>
      <c r="K608" s="8">
        <v>64495574</v>
      </c>
      <c r="M608" s="8">
        <f t="shared" ref="M608:M634" si="74">+S608-O608-Q608</f>
        <v>6892313</v>
      </c>
      <c r="O608" s="8">
        <v>506806</v>
      </c>
      <c r="Q608" s="8">
        <f>7119117+23864-506806</f>
        <v>6636175</v>
      </c>
      <c r="S608" s="8">
        <v>14035294</v>
      </c>
      <c r="U608" s="8">
        <v>45621030</v>
      </c>
      <c r="W608" s="8">
        <f t="shared" ref="W608:W634" si="75">AA608-Y608-U608</f>
        <v>4993982</v>
      </c>
      <c r="Y608" s="8">
        <v>-154732</v>
      </c>
      <c r="AA608" s="8">
        <v>50460280</v>
      </c>
      <c r="AD608" s="8">
        <f t="shared" ref="AD608:AD634" si="76">+K608-S608-AA608</f>
        <v>0</v>
      </c>
      <c r="AF608" s="8">
        <f t="shared" ref="AF608:AF631" si="77">+G608+I608+-M608-O608-U608-W608-Y608-Q608</f>
        <v>0</v>
      </c>
    </row>
    <row r="609" spans="1:32">
      <c r="A609" s="12" t="s">
        <v>587</v>
      </c>
      <c r="B609" s="12"/>
      <c r="C609" s="12" t="s">
        <v>55</v>
      </c>
      <c r="D609" s="12"/>
      <c r="E609" s="32">
        <v>49155</v>
      </c>
      <c r="G609" s="8">
        <f t="shared" si="73"/>
        <v>7973031</v>
      </c>
      <c r="I609" s="8">
        <v>17792422</v>
      </c>
      <c r="K609" s="8">
        <v>25765453</v>
      </c>
      <c r="M609" s="8">
        <f t="shared" si="74"/>
        <v>1745387</v>
      </c>
      <c r="O609" s="8">
        <v>97592</v>
      </c>
      <c r="Q609" s="8">
        <f>873644-97592</f>
        <v>776052</v>
      </c>
      <c r="S609" s="8">
        <v>2619031</v>
      </c>
      <c r="U609" s="8">
        <v>17172422</v>
      </c>
      <c r="W609" s="8">
        <f t="shared" si="75"/>
        <v>1505968</v>
      </c>
      <c r="Y609" s="8">
        <v>4468032</v>
      </c>
      <c r="AA609" s="8">
        <v>23146422</v>
      </c>
      <c r="AD609" s="8">
        <f t="shared" si="76"/>
        <v>0</v>
      </c>
      <c r="AF609" s="35">
        <f t="shared" si="77"/>
        <v>0</v>
      </c>
    </row>
    <row r="610" spans="1:32">
      <c r="A610" s="12" t="s">
        <v>447</v>
      </c>
      <c r="B610" s="12"/>
      <c r="C610" s="12" t="s">
        <v>37</v>
      </c>
      <c r="D610" s="12"/>
      <c r="E610" s="32">
        <v>47746</v>
      </c>
      <c r="G610" s="8">
        <f t="shared" si="73"/>
        <v>5280263</v>
      </c>
      <c r="I610" s="8">
        <v>17395878</v>
      </c>
      <c r="K610" s="8">
        <v>22676141</v>
      </c>
      <c r="M610" s="8">
        <f t="shared" si="74"/>
        <v>3583075</v>
      </c>
      <c r="O610" s="8">
        <v>201046</v>
      </c>
      <c r="Q610" s="8">
        <f>3508072-201046</f>
        <v>3307026</v>
      </c>
      <c r="S610" s="8">
        <v>7091147</v>
      </c>
      <c r="U610" s="8">
        <v>14657999</v>
      </c>
      <c r="W610" s="8">
        <f t="shared" si="75"/>
        <v>881670</v>
      </c>
      <c r="Y610" s="8">
        <v>45325</v>
      </c>
      <c r="AA610" s="8">
        <v>15584994</v>
      </c>
      <c r="AD610" s="8">
        <f t="shared" si="76"/>
        <v>0</v>
      </c>
      <c r="AF610" s="35">
        <f t="shared" si="77"/>
        <v>0</v>
      </c>
    </row>
    <row r="611" spans="1:32">
      <c r="A611" s="12" t="s">
        <v>447</v>
      </c>
      <c r="B611" s="12"/>
      <c r="C611" s="12" t="s">
        <v>45</v>
      </c>
      <c r="D611" s="12"/>
      <c r="E611" s="32">
        <v>48397</v>
      </c>
      <c r="G611" s="8">
        <f t="shared" si="73"/>
        <v>29483385</v>
      </c>
      <c r="I611" s="8">
        <v>2682296</v>
      </c>
      <c r="K611" s="8">
        <v>32165681</v>
      </c>
      <c r="M611" s="8">
        <f t="shared" si="74"/>
        <v>4242805</v>
      </c>
      <c r="O611" s="8">
        <v>11285352</v>
      </c>
      <c r="Q611" s="8">
        <f>11880017-11285352</f>
        <v>594665</v>
      </c>
      <c r="S611" s="8">
        <v>16122822</v>
      </c>
      <c r="U611" s="8">
        <v>2387612</v>
      </c>
      <c r="W611" s="8">
        <f t="shared" si="75"/>
        <v>12837483</v>
      </c>
      <c r="Y611" s="8">
        <v>817764</v>
      </c>
      <c r="AA611" s="8">
        <v>16042859</v>
      </c>
      <c r="AD611" s="8">
        <f t="shared" si="76"/>
        <v>0</v>
      </c>
      <c r="AF611" s="35">
        <f t="shared" si="77"/>
        <v>0</v>
      </c>
    </row>
    <row r="612" spans="1:32">
      <c r="A612" s="12" t="s">
        <v>365</v>
      </c>
      <c r="B612" s="12"/>
      <c r="C612" s="12" t="s">
        <v>27</v>
      </c>
      <c r="D612" s="12"/>
      <c r="E612" s="32">
        <v>45047</v>
      </c>
      <c r="G612" s="8">
        <f t="shared" si="73"/>
        <v>133080851</v>
      </c>
      <c r="I612" s="8">
        <v>148424489</v>
      </c>
      <c r="K612" s="8">
        <v>281505340</v>
      </c>
      <c r="M612" s="8">
        <f t="shared" si="74"/>
        <v>97151311</v>
      </c>
      <c r="O612" s="8">
        <f>7528593+15884</f>
        <v>7544477</v>
      </c>
      <c r="Q612" s="8">
        <f>116066821+175308-7528593-15884</f>
        <v>108697652</v>
      </c>
      <c r="S612" s="8">
        <v>213393440</v>
      </c>
      <c r="U612" s="8">
        <v>47774042</v>
      </c>
      <c r="W612" s="8">
        <f t="shared" si="75"/>
        <v>14221416</v>
      </c>
      <c r="Y612" s="8">
        <v>6116442</v>
      </c>
      <c r="AA612" s="8">
        <v>68111900</v>
      </c>
      <c r="AD612" s="8">
        <f t="shared" si="76"/>
        <v>0</v>
      </c>
      <c r="AF612" s="35">
        <f t="shared" si="77"/>
        <v>0</v>
      </c>
    </row>
    <row r="613" spans="1:32">
      <c r="A613" s="12" t="s">
        <v>584</v>
      </c>
      <c r="B613" s="12"/>
      <c r="C613" s="12" t="s">
        <v>54</v>
      </c>
      <c r="D613" s="12"/>
      <c r="E613" s="32">
        <v>49106</v>
      </c>
      <c r="G613" s="8">
        <f t="shared" si="73"/>
        <v>8559194</v>
      </c>
      <c r="I613" s="8">
        <v>11571619</v>
      </c>
      <c r="K613" s="8">
        <v>20130813</v>
      </c>
      <c r="M613" s="8">
        <f t="shared" si="74"/>
        <v>4738690</v>
      </c>
      <c r="O613" s="8">
        <v>472687</v>
      </c>
      <c r="Q613" s="8">
        <f>7006341-472687</f>
        <v>6533654</v>
      </c>
      <c r="S613" s="8">
        <v>11745031</v>
      </c>
      <c r="U613" s="8">
        <v>5928644</v>
      </c>
      <c r="W613" s="8">
        <f t="shared" si="75"/>
        <v>3009625</v>
      </c>
      <c r="Y613" s="8">
        <v>-552487</v>
      </c>
      <c r="AA613" s="8">
        <v>8385782</v>
      </c>
      <c r="AD613" s="8">
        <f t="shared" si="76"/>
        <v>0</v>
      </c>
      <c r="AF613" s="35">
        <f t="shared" si="77"/>
        <v>0</v>
      </c>
    </row>
    <row r="614" spans="1:32">
      <c r="A614" s="12" t="s">
        <v>325</v>
      </c>
      <c r="B614" s="12"/>
      <c r="C614" s="12" t="s">
        <v>20</v>
      </c>
      <c r="D614" s="12"/>
      <c r="E614" s="32">
        <v>45062</v>
      </c>
      <c r="G614" s="8">
        <f t="shared" si="73"/>
        <v>69406110</v>
      </c>
      <c r="I614" s="8">
        <v>44627602</v>
      </c>
      <c r="K614" s="8">
        <v>114033712</v>
      </c>
      <c r="M614" s="8">
        <f t="shared" si="74"/>
        <v>41551771</v>
      </c>
      <c r="O614" s="8">
        <v>2664955</v>
      </c>
      <c r="Q614" s="8">
        <f>28565665-2664955</f>
        <v>25900710</v>
      </c>
      <c r="S614" s="8">
        <v>70117436</v>
      </c>
      <c r="U614" s="8">
        <v>26089735</v>
      </c>
      <c r="W614" s="8">
        <f t="shared" si="75"/>
        <v>4883579</v>
      </c>
      <c r="Y614" s="8">
        <v>12942962</v>
      </c>
      <c r="AA614" s="8">
        <v>43916276</v>
      </c>
      <c r="AD614" s="8">
        <f t="shared" si="76"/>
        <v>0</v>
      </c>
      <c r="AF614" s="35">
        <f t="shared" si="77"/>
        <v>0</v>
      </c>
    </row>
    <row r="615" spans="1:32" s="35" customFormat="1">
      <c r="A615" s="34" t="s">
        <v>634</v>
      </c>
      <c r="B615" s="34"/>
      <c r="C615" s="34" t="s">
        <v>59</v>
      </c>
      <c r="D615" s="34"/>
      <c r="E615" s="34">
        <v>49668</v>
      </c>
      <c r="G615" s="8">
        <f t="shared" si="73"/>
        <v>8741303</v>
      </c>
      <c r="H615" s="8"/>
      <c r="I615" s="8">
        <v>38341949</v>
      </c>
      <c r="J615" s="8"/>
      <c r="K615" s="8">
        <v>47083252</v>
      </c>
      <c r="L615" s="8"/>
      <c r="M615" s="8">
        <f t="shared" si="74"/>
        <v>4968073</v>
      </c>
      <c r="N615" s="8"/>
      <c r="O615" s="8">
        <v>341129</v>
      </c>
      <c r="P615" s="8"/>
      <c r="Q615" s="8">
        <f>10625767-341129</f>
        <v>10284638</v>
      </c>
      <c r="R615" s="8"/>
      <c r="S615" s="8">
        <v>15593840</v>
      </c>
      <c r="T615" s="8"/>
      <c r="U615" s="8">
        <v>29138532</v>
      </c>
      <c r="V615" s="8"/>
      <c r="W615" s="8">
        <f t="shared" si="75"/>
        <v>1646964</v>
      </c>
      <c r="X615" s="8"/>
      <c r="Y615" s="8">
        <v>703916</v>
      </c>
      <c r="Z615" s="8"/>
      <c r="AA615" s="8">
        <v>31489412</v>
      </c>
      <c r="AD615" s="35">
        <f>+K615-S615-AA615</f>
        <v>0</v>
      </c>
      <c r="AF615" s="35">
        <f t="shared" si="77"/>
        <v>0</v>
      </c>
    </row>
    <row r="616" spans="1:32">
      <c r="A616" s="12" t="s">
        <v>366</v>
      </c>
      <c r="B616" s="12"/>
      <c r="C616" s="12" t="s">
        <v>27</v>
      </c>
      <c r="D616" s="12"/>
      <c r="E616" s="32">
        <v>45070</v>
      </c>
      <c r="G616" s="8">
        <f t="shared" si="73"/>
        <v>111819487</v>
      </c>
      <c r="I616" s="8">
        <v>8386265</v>
      </c>
      <c r="K616" s="8">
        <v>120205752</v>
      </c>
      <c r="M616" s="8">
        <f t="shared" si="74"/>
        <v>11921731</v>
      </c>
      <c r="O616" s="8">
        <f>2311548+13500</f>
        <v>2325048</v>
      </c>
      <c r="Q616" s="8">
        <f>33285028+49692-2311548-13500</f>
        <v>31009672</v>
      </c>
      <c r="S616" s="8">
        <v>45256451</v>
      </c>
      <c r="U616" s="8">
        <v>7275182</v>
      </c>
      <c r="W616" s="8">
        <f t="shared" si="75"/>
        <v>46487187</v>
      </c>
      <c r="Y616" s="8">
        <v>21186932</v>
      </c>
      <c r="AA616" s="8">
        <f>74353178+596123</f>
        <v>74949301</v>
      </c>
      <c r="AD616" s="8">
        <f>+K616-S616-AA616</f>
        <v>0</v>
      </c>
      <c r="AF616" s="35">
        <f t="shared" si="77"/>
        <v>0</v>
      </c>
    </row>
    <row r="617" spans="1:32" hidden="1">
      <c r="A617" s="117" t="s">
        <v>844</v>
      </c>
      <c r="B617" s="12"/>
      <c r="C617" s="12" t="s">
        <v>41</v>
      </c>
      <c r="D617" s="12"/>
      <c r="E617" s="32">
        <v>45088</v>
      </c>
      <c r="G617" s="8">
        <f t="shared" si="73"/>
        <v>0</v>
      </c>
      <c r="M617" s="8">
        <f t="shared" si="74"/>
        <v>0</v>
      </c>
      <c r="W617" s="8">
        <f t="shared" si="75"/>
        <v>0</v>
      </c>
      <c r="AD617" s="8">
        <f t="shared" si="76"/>
        <v>0</v>
      </c>
      <c r="AF617" s="35">
        <f t="shared" si="77"/>
        <v>0</v>
      </c>
    </row>
    <row r="618" spans="1:32">
      <c r="A618" s="12" t="s">
        <v>448</v>
      </c>
      <c r="B618" s="12"/>
      <c r="C618" s="12" t="s">
        <v>37</v>
      </c>
      <c r="D618" s="12"/>
      <c r="E618" s="32">
        <v>45096</v>
      </c>
      <c r="G618" s="8">
        <f t="shared" si="73"/>
        <v>10566895</v>
      </c>
      <c r="I618" s="8">
        <v>5284352</v>
      </c>
      <c r="K618" s="8">
        <v>15851247</v>
      </c>
      <c r="M618" s="8">
        <f t="shared" si="74"/>
        <v>6445688</v>
      </c>
      <c r="O618" s="8">
        <v>314753</v>
      </c>
      <c r="Q618" s="8">
        <f>3962347-314753</f>
        <v>3647594</v>
      </c>
      <c r="S618" s="8">
        <v>10408035</v>
      </c>
      <c r="U618" s="8">
        <v>2417030</v>
      </c>
      <c r="W618" s="8">
        <f t="shared" si="75"/>
        <v>1775531</v>
      </c>
      <c r="Y618" s="8">
        <v>1250651</v>
      </c>
      <c r="AA618" s="8">
        <v>5443212</v>
      </c>
      <c r="AD618" s="8">
        <f t="shared" si="76"/>
        <v>0</v>
      </c>
      <c r="AF618" s="35">
        <f t="shared" si="77"/>
        <v>0</v>
      </c>
    </row>
    <row r="619" spans="1:32">
      <c r="A619" s="12" t="s">
        <v>273</v>
      </c>
      <c r="B619" s="12"/>
      <c r="C619" s="12" t="s">
        <v>115</v>
      </c>
      <c r="D619" s="12"/>
      <c r="E619" s="32">
        <v>46367</v>
      </c>
      <c r="G619" s="8">
        <f t="shared" si="73"/>
        <v>8217079</v>
      </c>
      <c r="I619" s="8">
        <v>9556187</v>
      </c>
      <c r="K619" s="8">
        <v>17773266</v>
      </c>
      <c r="M619" s="8">
        <f t="shared" si="74"/>
        <v>4546144</v>
      </c>
      <c r="O619" s="8">
        <v>310888</v>
      </c>
      <c r="Q619" s="8">
        <f>3719126-310888</f>
        <v>3408238</v>
      </c>
      <c r="S619" s="8">
        <v>8265270</v>
      </c>
      <c r="U619" s="8">
        <v>6591353</v>
      </c>
      <c r="W619" s="8">
        <f t="shared" si="75"/>
        <v>1168627</v>
      </c>
      <c r="Y619" s="8">
        <v>1748016</v>
      </c>
      <c r="AA619" s="8">
        <v>9507996</v>
      </c>
      <c r="AD619" s="8">
        <f t="shared" si="76"/>
        <v>0</v>
      </c>
      <c r="AF619" s="35">
        <f t="shared" si="77"/>
        <v>0</v>
      </c>
    </row>
    <row r="620" spans="1:32">
      <c r="A620" s="12" t="s">
        <v>464</v>
      </c>
      <c r="B620" s="12"/>
      <c r="C620" s="12" t="s">
        <v>41</v>
      </c>
      <c r="D620" s="12"/>
      <c r="E620" s="32">
        <v>45104</v>
      </c>
      <c r="G620" s="8">
        <f t="shared" si="73"/>
        <v>81487813</v>
      </c>
      <c r="I620" s="8">
        <v>15690939</v>
      </c>
      <c r="K620" s="8">
        <v>97178752</v>
      </c>
      <c r="M620" s="8">
        <f t="shared" si="74"/>
        <v>60424442</v>
      </c>
      <c r="O620" s="8">
        <v>2559074</v>
      </c>
      <c r="Q620" s="8">
        <f>10936938-2559074</f>
        <v>8377864</v>
      </c>
      <c r="S620" s="8">
        <v>71361380</v>
      </c>
      <c r="U620" s="8">
        <v>15690939</v>
      </c>
      <c r="W620" s="8">
        <f t="shared" si="75"/>
        <v>4568895</v>
      </c>
      <c r="Y620" s="8">
        <v>5557538</v>
      </c>
      <c r="AA620" s="8">
        <v>25817372</v>
      </c>
      <c r="AD620" s="8">
        <f t="shared" si="76"/>
        <v>0</v>
      </c>
      <c r="AF620" s="35">
        <f t="shared" si="77"/>
        <v>0</v>
      </c>
    </row>
    <row r="621" spans="1:32">
      <c r="A621" s="12" t="s">
        <v>277</v>
      </c>
      <c r="B621" s="12"/>
      <c r="C621" s="12" t="s">
        <v>18</v>
      </c>
      <c r="D621" s="12"/>
      <c r="E621" s="32">
        <v>45112</v>
      </c>
      <c r="G621" s="8">
        <f t="shared" si="73"/>
        <v>29600952</v>
      </c>
      <c r="I621" s="8">
        <v>18589746</v>
      </c>
      <c r="K621" s="8">
        <v>48190698</v>
      </c>
      <c r="M621" s="8">
        <f t="shared" si="74"/>
        <v>18398526</v>
      </c>
      <c r="O621" s="8">
        <v>1487662</v>
      </c>
      <c r="Q621" s="8">
        <f>10509138-1487662</f>
        <v>9021476</v>
      </c>
      <c r="S621" s="8">
        <v>28907664</v>
      </c>
      <c r="U621" s="8">
        <v>9142032</v>
      </c>
      <c r="W621" s="8">
        <f t="shared" si="75"/>
        <v>4667039</v>
      </c>
      <c r="Y621" s="8">
        <v>5473963</v>
      </c>
      <c r="AA621" s="8">
        <v>19283034</v>
      </c>
      <c r="AD621" s="8">
        <f t="shared" si="76"/>
        <v>0</v>
      </c>
      <c r="AF621" s="35">
        <f t="shared" si="77"/>
        <v>0</v>
      </c>
    </row>
    <row r="622" spans="1:32">
      <c r="A622" s="12" t="s">
        <v>597</v>
      </c>
      <c r="B622" s="12"/>
      <c r="C622" s="12" t="s">
        <v>56</v>
      </c>
      <c r="D622" s="12"/>
      <c r="E622" s="32">
        <v>45666</v>
      </c>
      <c r="G622" s="8">
        <f t="shared" si="73"/>
        <v>3392122</v>
      </c>
      <c r="I622" s="8">
        <v>21892323</v>
      </c>
      <c r="K622" s="8">
        <v>25284445</v>
      </c>
      <c r="M622" s="8">
        <f t="shared" si="74"/>
        <v>2347370</v>
      </c>
      <c r="O622" s="8">
        <v>199384</v>
      </c>
      <c r="Q622" s="8">
        <f>1337351-199384</f>
        <v>1137967</v>
      </c>
      <c r="S622" s="8">
        <v>3684721</v>
      </c>
      <c r="U622" s="8">
        <v>21216040</v>
      </c>
      <c r="W622" s="8">
        <f t="shared" si="75"/>
        <v>453720</v>
      </c>
      <c r="Y622" s="8">
        <v>-70036</v>
      </c>
      <c r="AA622" s="8">
        <v>21599724</v>
      </c>
      <c r="AD622" s="8">
        <f t="shared" si="76"/>
        <v>0</v>
      </c>
      <c r="AF622" s="35">
        <f t="shared" si="77"/>
        <v>0</v>
      </c>
    </row>
    <row r="623" spans="1:32">
      <c r="A623" s="12" t="s">
        <v>411</v>
      </c>
      <c r="B623" s="12"/>
      <c r="C623" s="12" t="s">
        <v>32</v>
      </c>
      <c r="D623" s="12"/>
      <c r="E623" s="32">
        <v>44081</v>
      </c>
      <c r="G623" s="8">
        <f t="shared" si="73"/>
        <v>25650817</v>
      </c>
      <c r="I623" s="8">
        <v>8857803</v>
      </c>
      <c r="K623" s="8">
        <v>34508620</v>
      </c>
      <c r="M623" s="8">
        <f t="shared" si="74"/>
        <v>16953421</v>
      </c>
      <c r="O623" s="8">
        <v>1018797</v>
      </c>
      <c r="Q623" s="8">
        <f>7995296-1018797</f>
        <v>6976499</v>
      </c>
      <c r="S623" s="8">
        <v>24948717</v>
      </c>
      <c r="U623" s="8">
        <v>4481621</v>
      </c>
      <c r="W623" s="8">
        <f t="shared" si="75"/>
        <v>1349008</v>
      </c>
      <c r="Y623" s="8">
        <v>3729274</v>
      </c>
      <c r="AA623" s="8">
        <v>9559903</v>
      </c>
      <c r="AD623" s="8">
        <f t="shared" si="76"/>
        <v>0</v>
      </c>
      <c r="AF623" s="35">
        <f t="shared" si="77"/>
        <v>0</v>
      </c>
    </row>
    <row r="624" spans="1:32">
      <c r="A624" s="12" t="s">
        <v>720</v>
      </c>
      <c r="B624" s="12"/>
      <c r="C624" s="12" t="s">
        <v>70</v>
      </c>
      <c r="D624" s="12"/>
      <c r="E624" s="32">
        <v>50518</v>
      </c>
      <c r="G624" s="8">
        <f t="shared" si="73"/>
        <v>11705991</v>
      </c>
      <c r="I624" s="8">
        <v>7664711</v>
      </c>
      <c r="K624" s="8">
        <v>19370702</v>
      </c>
      <c r="M624" s="8">
        <f t="shared" si="74"/>
        <v>5402603</v>
      </c>
      <c r="O624" s="8">
        <v>160000</v>
      </c>
      <c r="Q624" s="8">
        <f>6738758-160000</f>
        <v>6578758</v>
      </c>
      <c r="S624" s="8">
        <v>12141361</v>
      </c>
      <c r="U624" s="8">
        <v>1980815</v>
      </c>
      <c r="W624" s="8">
        <f t="shared" si="75"/>
        <v>989021</v>
      </c>
      <c r="Y624" s="8">
        <v>4259505</v>
      </c>
      <c r="AA624" s="8">
        <v>7229341</v>
      </c>
      <c r="AD624" s="8">
        <f t="shared" si="76"/>
        <v>0</v>
      </c>
      <c r="AF624" s="35">
        <f t="shared" si="77"/>
        <v>0</v>
      </c>
    </row>
    <row r="625" spans="1:32">
      <c r="A625" s="12" t="s">
        <v>625</v>
      </c>
      <c r="B625" s="12"/>
      <c r="C625" s="12" t="s">
        <v>79</v>
      </c>
      <c r="D625" s="12"/>
      <c r="E625" s="32">
        <v>49577</v>
      </c>
      <c r="G625" s="8">
        <f t="shared" si="73"/>
        <v>5320415</v>
      </c>
      <c r="I625" s="8">
        <v>5705813</v>
      </c>
      <c r="K625" s="8">
        <v>11026228</v>
      </c>
      <c r="M625" s="8">
        <f t="shared" si="74"/>
        <v>4398758</v>
      </c>
      <c r="O625" s="8">
        <v>146654</v>
      </c>
      <c r="Q625" s="8">
        <f>1036543-146654</f>
        <v>889889</v>
      </c>
      <c r="S625" s="8">
        <v>5435301</v>
      </c>
      <c r="U625" s="8">
        <v>5642279</v>
      </c>
      <c r="W625" s="8">
        <f t="shared" si="75"/>
        <v>435295</v>
      </c>
      <c r="Y625" s="8">
        <v>-486647</v>
      </c>
      <c r="AA625" s="8">
        <v>5590927</v>
      </c>
      <c r="AD625" s="8">
        <f t="shared" si="76"/>
        <v>0</v>
      </c>
      <c r="AF625" s="35">
        <f t="shared" si="77"/>
        <v>0</v>
      </c>
    </row>
    <row r="626" spans="1:32">
      <c r="A626" s="12" t="s">
        <v>674</v>
      </c>
      <c r="B626" s="12"/>
      <c r="C626" s="12" t="s">
        <v>63</v>
      </c>
      <c r="D626" s="12"/>
      <c r="E626" s="32">
        <v>49973</v>
      </c>
      <c r="G626" s="8">
        <f t="shared" si="73"/>
        <v>27798778</v>
      </c>
      <c r="I626" s="8">
        <v>14732101</v>
      </c>
      <c r="K626" s="8">
        <v>42530879</v>
      </c>
      <c r="M626" s="8">
        <f t="shared" si="74"/>
        <v>17154431</v>
      </c>
      <c r="O626" s="8">
        <v>1163232</v>
      </c>
      <c r="Q626" s="8">
        <f>14199273-1163232</f>
        <v>13036041</v>
      </c>
      <c r="S626" s="8">
        <v>31353704</v>
      </c>
      <c r="U626" s="8">
        <v>1417165</v>
      </c>
      <c r="W626" s="8">
        <f t="shared" si="75"/>
        <v>961611</v>
      </c>
      <c r="Y626" s="8">
        <v>8798399</v>
      </c>
      <c r="AA626" s="8">
        <v>11177175</v>
      </c>
      <c r="AD626" s="8">
        <f t="shared" si="76"/>
        <v>0</v>
      </c>
      <c r="AF626" s="35">
        <f t="shared" si="77"/>
        <v>0</v>
      </c>
    </row>
    <row r="627" spans="1:32">
      <c r="A627" s="12" t="s">
        <v>845</v>
      </c>
      <c r="B627" s="12"/>
      <c r="C627" s="12" t="s">
        <v>71</v>
      </c>
      <c r="D627" s="12"/>
      <c r="E627" s="32">
        <v>45138</v>
      </c>
      <c r="G627" s="8">
        <f t="shared" si="73"/>
        <v>52639790</v>
      </c>
      <c r="I627" s="8">
        <v>43130615</v>
      </c>
      <c r="K627" s="8">
        <v>95770405</v>
      </c>
      <c r="M627" s="8">
        <f t="shared" si="74"/>
        <v>27019167</v>
      </c>
      <c r="O627" s="8">
        <f>2964136+43245</f>
        <v>3007381</v>
      </c>
      <c r="Q627" s="8">
        <f>28983962+467058-2964136-43245</f>
        <v>26443639</v>
      </c>
      <c r="S627" s="8">
        <v>56470187</v>
      </c>
      <c r="U627" s="8">
        <v>26138058</v>
      </c>
      <c r="W627" s="8">
        <f t="shared" si="75"/>
        <v>5443601</v>
      </c>
      <c r="Y627" s="8">
        <v>7718559</v>
      </c>
      <c r="AA627" s="8">
        <v>39300218</v>
      </c>
      <c r="AD627" s="8">
        <f t="shared" si="76"/>
        <v>0</v>
      </c>
      <c r="AF627" s="35">
        <f t="shared" si="77"/>
        <v>0</v>
      </c>
    </row>
    <row r="628" spans="1:32">
      <c r="A628" s="12" t="s">
        <v>367</v>
      </c>
      <c r="B628" s="12"/>
      <c r="C628" s="12" t="s">
        <v>27</v>
      </c>
      <c r="D628" s="12"/>
      <c r="E628" s="32">
        <v>46524</v>
      </c>
      <c r="G628" s="8">
        <f t="shared" si="73"/>
        <v>138247127</v>
      </c>
      <c r="I628" s="8">
        <v>69986187</v>
      </c>
      <c r="K628" s="8">
        <v>208233314</v>
      </c>
      <c r="M628" s="8">
        <f t="shared" si="74"/>
        <v>60973774</v>
      </c>
      <c r="O628" s="8">
        <v>6863223</v>
      </c>
      <c r="Q628" s="8">
        <f>71259645-6863223</f>
        <v>64396422</v>
      </c>
      <c r="S628" s="8">
        <v>132233419</v>
      </c>
      <c r="U628" s="8">
        <v>24026751</v>
      </c>
      <c r="W628" s="8">
        <f t="shared" si="75"/>
        <v>12740759</v>
      </c>
      <c r="Y628" s="8">
        <v>39232385</v>
      </c>
      <c r="AA628" s="8">
        <v>75999895</v>
      </c>
      <c r="AD628" s="8">
        <f t="shared" si="76"/>
        <v>0</v>
      </c>
      <c r="AF628" s="35">
        <f t="shared" si="77"/>
        <v>0</v>
      </c>
    </row>
    <row r="629" spans="1:32">
      <c r="A629" s="12" t="s">
        <v>295</v>
      </c>
      <c r="B629" s="12"/>
      <c r="C629" s="12" t="s">
        <v>113</v>
      </c>
      <c r="D629" s="12"/>
      <c r="E629" s="32">
        <v>45146</v>
      </c>
      <c r="G629" s="8">
        <f t="shared" si="73"/>
        <v>6837089</v>
      </c>
      <c r="I629" s="8">
        <v>7899872</v>
      </c>
      <c r="K629" s="8">
        <v>14736961</v>
      </c>
      <c r="M629" s="8">
        <f t="shared" si="74"/>
        <v>3859181</v>
      </c>
      <c r="O629" s="8">
        <v>296454</v>
      </c>
      <c r="Q629" s="8">
        <f>6508049-296454</f>
        <v>6211595</v>
      </c>
      <c r="S629" s="8">
        <v>10367230</v>
      </c>
      <c r="U629" s="8">
        <v>1890431</v>
      </c>
      <c r="W629" s="8">
        <f t="shared" si="75"/>
        <v>861927</v>
      </c>
      <c r="Y629" s="8">
        <v>1617373</v>
      </c>
      <c r="AA629" s="8">
        <v>4369731</v>
      </c>
      <c r="AD629" s="8">
        <f t="shared" si="76"/>
        <v>0</v>
      </c>
      <c r="AF629" s="35">
        <f t="shared" si="77"/>
        <v>0</v>
      </c>
    </row>
    <row r="630" spans="1:32">
      <c r="A630" s="12" t="s">
        <v>412</v>
      </c>
      <c r="B630" s="12"/>
      <c r="C630" s="12" t="s">
        <v>32</v>
      </c>
      <c r="D630" s="12"/>
      <c r="E630" s="32">
        <v>45153</v>
      </c>
      <c r="G630" s="8">
        <f t="shared" si="73"/>
        <v>26376860</v>
      </c>
      <c r="I630" s="8">
        <v>21573250</v>
      </c>
      <c r="K630" s="8">
        <v>47950110</v>
      </c>
      <c r="M630" s="8">
        <f t="shared" si="74"/>
        <v>9196580</v>
      </c>
      <c r="O630" s="8">
        <v>1542818</v>
      </c>
      <c r="Q630" s="8">
        <f>24809179-1542818</f>
        <v>23266361</v>
      </c>
      <c r="S630" s="8">
        <v>34005759</v>
      </c>
      <c r="U630" s="8">
        <v>-1012428</v>
      </c>
      <c r="W630" s="8">
        <f t="shared" si="75"/>
        <v>3472579</v>
      </c>
      <c r="Y630" s="8">
        <v>11484200</v>
      </c>
      <c r="AA630" s="8">
        <v>13944351</v>
      </c>
      <c r="AD630" s="8">
        <f t="shared" si="76"/>
        <v>0</v>
      </c>
      <c r="AF630" s="35">
        <f t="shared" si="77"/>
        <v>0</v>
      </c>
    </row>
    <row r="631" spans="1:32">
      <c r="A631" s="12" t="s">
        <v>388</v>
      </c>
      <c r="B631" s="12"/>
      <c r="C631" s="12" t="s">
        <v>116</v>
      </c>
      <c r="D631" s="12"/>
      <c r="E631" s="32">
        <v>45674</v>
      </c>
      <c r="G631" s="8">
        <f t="shared" si="73"/>
        <v>7789353</v>
      </c>
      <c r="I631" s="8">
        <v>5787583</v>
      </c>
      <c r="K631" s="8">
        <v>13576936</v>
      </c>
      <c r="M631" s="8">
        <f t="shared" si="74"/>
        <v>4047067</v>
      </c>
      <c r="O631" s="8">
        <v>153000</v>
      </c>
      <c r="Q631" s="8">
        <f>4050729-153000</f>
        <v>3897729</v>
      </c>
      <c r="S631" s="8">
        <v>8097796</v>
      </c>
      <c r="U631" s="8">
        <v>2119583</v>
      </c>
      <c r="W631" s="8">
        <f t="shared" si="75"/>
        <v>482673</v>
      </c>
      <c r="Y631" s="8">
        <v>2876884</v>
      </c>
      <c r="AA631" s="8">
        <v>5479140</v>
      </c>
      <c r="AD631" s="8">
        <f t="shared" si="76"/>
        <v>0</v>
      </c>
      <c r="AF631" s="35">
        <f t="shared" si="77"/>
        <v>0</v>
      </c>
    </row>
    <row r="632" spans="1:32">
      <c r="A632" s="12" t="s">
        <v>519</v>
      </c>
      <c r="B632" s="12"/>
      <c r="C632" s="12" t="s">
        <v>45</v>
      </c>
      <c r="D632" s="12"/>
      <c r="E632" s="32">
        <v>45161</v>
      </c>
      <c r="G632" s="8">
        <f t="shared" si="73"/>
        <v>73552012</v>
      </c>
      <c r="I632" s="8">
        <v>157008883</v>
      </c>
      <c r="K632" s="8">
        <v>230560895</v>
      </c>
      <c r="M632" s="8">
        <f t="shared" si="74"/>
        <v>44438995</v>
      </c>
      <c r="O632" s="8">
        <v>2162081</v>
      </c>
      <c r="Q632" s="8">
        <f>47888252-2162081</f>
        <v>45726171</v>
      </c>
      <c r="S632" s="8">
        <v>92327247</v>
      </c>
      <c r="U632" s="8">
        <v>125313432</v>
      </c>
      <c r="W632" s="8">
        <f t="shared" si="75"/>
        <v>42819449</v>
      </c>
      <c r="Y632" s="8">
        <v>-29899233</v>
      </c>
      <c r="AA632" s="8">
        <v>138233648</v>
      </c>
      <c r="AD632" s="8">
        <f t="shared" si="76"/>
        <v>0</v>
      </c>
      <c r="AF632" s="35">
        <f>+G632+I632+-M632-O632-U632-W632-Y632-Q632</f>
        <v>0</v>
      </c>
    </row>
    <row r="633" spans="1:32">
      <c r="A633" s="12" t="s">
        <v>621</v>
      </c>
      <c r="B633" s="12"/>
      <c r="C633" s="12" t="s">
        <v>58</v>
      </c>
      <c r="D633" s="12"/>
      <c r="E633" s="32">
        <v>49544</v>
      </c>
      <c r="G633" s="8">
        <f t="shared" si="73"/>
        <v>12464030</v>
      </c>
      <c r="I633" s="8">
        <v>15569020</v>
      </c>
      <c r="K633" s="8">
        <v>28033050</v>
      </c>
      <c r="M633" s="8">
        <f t="shared" si="74"/>
        <v>5932563</v>
      </c>
      <c r="O633" s="8">
        <v>383541</v>
      </c>
      <c r="Q633" s="8">
        <f>6869850-383541</f>
        <v>6486309</v>
      </c>
      <c r="S633" s="8">
        <v>12802413</v>
      </c>
      <c r="U633" s="8">
        <v>9384028</v>
      </c>
      <c r="W633" s="8">
        <f t="shared" si="75"/>
        <v>1882956</v>
      </c>
      <c r="Y633" s="8">
        <v>3963653</v>
      </c>
      <c r="AA633" s="8">
        <v>15230637</v>
      </c>
      <c r="AD633" s="8">
        <f t="shared" si="76"/>
        <v>0</v>
      </c>
      <c r="AF633" s="35">
        <f>+G633+I633+-M633-O633-U633-W633-Y633-Q633</f>
        <v>0</v>
      </c>
    </row>
    <row r="634" spans="1:32">
      <c r="A634" s="12" t="s">
        <v>568</v>
      </c>
      <c r="B634" s="12"/>
      <c r="C634" s="12" t="s">
        <v>51</v>
      </c>
      <c r="D634" s="12"/>
      <c r="E634" s="32">
        <v>45179</v>
      </c>
      <c r="G634" s="8">
        <f t="shared" si="73"/>
        <v>74285850</v>
      </c>
      <c r="I634" s="8">
        <v>49223652</v>
      </c>
      <c r="K634" s="8">
        <v>123509502</v>
      </c>
      <c r="M634" s="8">
        <f t="shared" si="74"/>
        <v>19083917</v>
      </c>
      <c r="O634" s="8">
        <v>1821556</v>
      </c>
      <c r="Q634" s="8">
        <f>35178751-1821556</f>
        <v>33357195</v>
      </c>
      <c r="S634" s="8">
        <v>54262668</v>
      </c>
      <c r="U634" s="8">
        <v>19176038</v>
      </c>
      <c r="W634" s="8">
        <f t="shared" si="75"/>
        <v>50667946</v>
      </c>
      <c r="Y634" s="8">
        <v>-597150</v>
      </c>
      <c r="AA634" s="8">
        <v>69246834</v>
      </c>
      <c r="AD634" s="8">
        <f t="shared" si="76"/>
        <v>0</v>
      </c>
      <c r="AF634" s="35">
        <f>+G634+I634+-M634-O634-U634-W634-Y634-Q634</f>
        <v>0</v>
      </c>
    </row>
  </sheetData>
  <mergeCells count="4">
    <mergeCell ref="A1:I1"/>
    <mergeCell ref="M7:O7"/>
    <mergeCell ref="U7:Y7"/>
    <mergeCell ref="G7:J7"/>
  </mergeCells>
  <phoneticPr fontId="3" type="noConversion"/>
  <printOptions horizontalCentered="1"/>
  <pageMargins left="0.75" right="0.75" top="0.5" bottom="0.75" header="0.25" footer="0.25"/>
  <pageSetup scale="85" firstPageNumber="4" fitToWidth="2" fitToHeight="0" pageOrder="overThenDown" orientation="portrait" useFirstPageNumber="1" r:id="rId1"/>
  <headerFooter alignWithMargins="0">
    <oddFooter>&amp;C&amp;"Times New Roman,Regular"&amp;12&amp;P</oddFooter>
  </headerFooter>
  <colBreaks count="1" manualBreakCount="1">
    <brk id="12" max="63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AH636"/>
  <sheetViews>
    <sheetView view="pageBreakPreview" zoomScaleNormal="100" zoomScaleSheetLayoutView="100" workbookViewId="0">
      <pane ySplit="9" topLeftCell="A10" activePane="bottomLeft" state="frozen"/>
      <selection pane="bottomLeft" activeCell="O35" sqref="O35"/>
    </sheetView>
  </sheetViews>
  <sheetFormatPr defaultColWidth="9.140625" defaultRowHeight="12"/>
  <cols>
    <col min="1" max="1" width="32" style="8" customWidth="1"/>
    <col min="2" max="2" width="1.7109375" style="8" customWidth="1"/>
    <col min="3" max="3" width="11.7109375" style="8" customWidth="1"/>
    <col min="4" max="4" width="1.7109375" style="8" hidden="1" customWidth="1"/>
    <col min="5" max="5" width="11.7109375" style="30" hidden="1" customWidth="1"/>
    <col min="6" max="6" width="1.7109375" style="8" customWidth="1"/>
    <col min="7" max="7" width="11.7109375" style="8" customWidth="1"/>
    <col min="8" max="8" width="1.7109375" style="8" customWidth="1"/>
    <col min="9" max="9" width="11.7109375" style="8" customWidth="1"/>
    <col min="10" max="10" width="1.7109375" style="8" customWidth="1"/>
    <col min="11" max="11" width="11.7109375" style="8" customWidth="1"/>
    <col min="12" max="12" width="1.7109375" style="8" customWidth="1"/>
    <col min="13" max="13" width="11.7109375" style="8" customWidth="1"/>
    <col min="14" max="14" width="1.7109375" style="8" customWidth="1"/>
    <col min="15" max="15" width="11.7109375" style="8" customWidth="1"/>
    <col min="16" max="16" width="1.7109375" style="8" customWidth="1"/>
    <col min="17" max="17" width="11.7109375" style="8" customWidth="1"/>
    <col min="18" max="18" width="1.7109375" style="8" customWidth="1"/>
    <col min="19" max="19" width="12.28515625" style="8" bestFit="1" customWidth="1"/>
    <col min="20" max="20" width="1.7109375" style="8" customWidth="1"/>
    <col min="21" max="21" width="11.7109375" style="8" customWidth="1"/>
    <col min="22" max="22" width="1.7109375" style="8" customWidth="1"/>
    <col min="23" max="23" width="7" style="8" customWidth="1"/>
    <col min="24" max="24" width="11.7109375" style="8" customWidth="1"/>
    <col min="25" max="25" width="1.7109375" style="8" customWidth="1"/>
    <col min="26" max="26" width="11.7109375" style="8" customWidth="1"/>
    <col min="27" max="16384" width="9.140625" style="8"/>
  </cols>
  <sheetData>
    <row r="1" spans="1:26" s="15" customFormat="1">
      <c r="A1" s="52" t="s">
        <v>80</v>
      </c>
      <c r="B1" s="52"/>
      <c r="C1" s="52"/>
      <c r="D1" s="52"/>
      <c r="E1" s="53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</row>
    <row r="2" spans="1:26" s="15" customFormat="1">
      <c r="A2" s="52" t="s">
        <v>894</v>
      </c>
      <c r="B2" s="52"/>
      <c r="C2" s="52"/>
      <c r="D2" s="52"/>
      <c r="E2" s="53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</row>
    <row r="3" spans="1:26" s="15" customFormat="1">
      <c r="A3" s="52" t="s">
        <v>805</v>
      </c>
      <c r="B3" s="27"/>
      <c r="C3" s="27"/>
      <c r="D3" s="27"/>
      <c r="E3" s="54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</row>
    <row r="4" spans="1:26">
      <c r="A4" s="15" t="s">
        <v>175</v>
      </c>
    </row>
    <row r="5" spans="1:26" s="15" customFormat="1">
      <c r="A5" s="27"/>
      <c r="B5" s="11"/>
      <c r="C5" s="11"/>
      <c r="D5" s="11"/>
      <c r="E5" s="31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</row>
    <row r="6" spans="1:26">
      <c r="B6" s="55"/>
      <c r="C6" s="55"/>
      <c r="D6" s="55"/>
      <c r="E6" s="56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X6" s="16" t="s">
        <v>751</v>
      </c>
    </row>
    <row r="7" spans="1:26">
      <c r="A7" s="5"/>
      <c r="B7" s="5"/>
      <c r="C7" s="5"/>
      <c r="D7" s="5"/>
      <c r="E7" s="57"/>
      <c r="F7" s="5"/>
      <c r="G7" s="5" t="s">
        <v>81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 t="s">
        <v>749</v>
      </c>
      <c r="X7" s="16" t="s">
        <v>752</v>
      </c>
    </row>
    <row r="8" spans="1:26">
      <c r="A8" s="5"/>
      <c r="B8" s="5"/>
      <c r="C8" s="5"/>
      <c r="D8" s="5"/>
      <c r="E8" s="57"/>
      <c r="F8" s="5"/>
      <c r="G8" s="5" t="s">
        <v>83</v>
      </c>
      <c r="H8" s="5"/>
      <c r="I8" s="5"/>
      <c r="J8" s="5"/>
      <c r="K8" s="5" t="s">
        <v>96</v>
      </c>
      <c r="L8" s="5"/>
      <c r="M8" s="5" t="s">
        <v>73</v>
      </c>
      <c r="N8" s="5"/>
      <c r="O8" s="5" t="s">
        <v>95</v>
      </c>
      <c r="P8" s="5"/>
      <c r="Q8" s="5" t="s">
        <v>132</v>
      </c>
      <c r="R8" s="5"/>
      <c r="S8" s="5"/>
      <c r="T8" s="5"/>
      <c r="U8" s="16" t="s">
        <v>750</v>
      </c>
      <c r="W8" s="8" t="s">
        <v>3</v>
      </c>
      <c r="X8" s="16" t="s">
        <v>753</v>
      </c>
    </row>
    <row r="9" spans="1:26">
      <c r="A9" s="1" t="s">
        <v>206</v>
      </c>
      <c r="B9" s="16"/>
      <c r="C9" s="1" t="s">
        <v>4</v>
      </c>
      <c r="D9" s="16"/>
      <c r="E9" s="58" t="s">
        <v>205</v>
      </c>
      <c r="F9" s="5"/>
      <c r="G9" s="1" t="s">
        <v>84</v>
      </c>
      <c r="H9" s="5"/>
      <c r="I9" s="1" t="s">
        <v>85</v>
      </c>
      <c r="J9" s="5"/>
      <c r="K9" s="1" t="s">
        <v>99</v>
      </c>
      <c r="L9" s="5"/>
      <c r="M9" s="1" t="s">
        <v>97</v>
      </c>
      <c r="N9" s="5"/>
      <c r="O9" s="1" t="s">
        <v>98</v>
      </c>
      <c r="P9" s="5"/>
      <c r="Q9" s="1" t="s">
        <v>86</v>
      </c>
      <c r="R9" s="5"/>
      <c r="S9" s="1" t="s">
        <v>3</v>
      </c>
      <c r="T9" s="5"/>
      <c r="U9" s="1" t="s">
        <v>118</v>
      </c>
      <c r="V9" s="11"/>
      <c r="W9" s="11" t="s">
        <v>100</v>
      </c>
      <c r="X9" s="16" t="s">
        <v>102</v>
      </c>
    </row>
    <row r="10" spans="1:26">
      <c r="A10" s="13"/>
      <c r="B10" s="13"/>
      <c r="C10" s="13"/>
      <c r="D10" s="13"/>
      <c r="E10" s="32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59">
        <f>S10+G10+M10+K10</f>
        <v>0</v>
      </c>
    </row>
    <row r="11" spans="1:26" s="35" customFormat="1">
      <c r="A11" s="34" t="s">
        <v>207</v>
      </c>
      <c r="B11" s="34"/>
      <c r="C11" s="34" t="s">
        <v>208</v>
      </c>
      <c r="D11" s="34"/>
      <c r="E11" s="34">
        <v>61903</v>
      </c>
      <c r="G11" s="35">
        <v>35263886</v>
      </c>
      <c r="I11" s="35">
        <v>0</v>
      </c>
      <c r="K11" s="35">
        <v>0</v>
      </c>
      <c r="M11" s="35">
        <v>0</v>
      </c>
      <c r="O11" s="35">
        <v>2398852</v>
      </c>
      <c r="Q11" s="35">
        <v>0</v>
      </c>
      <c r="S11" s="44">
        <f>SUM(G11:R11)</f>
        <v>37662738</v>
      </c>
      <c r="U11" s="35">
        <v>1462954</v>
      </c>
      <c r="X11" s="35">
        <f>+'St of Net Assets - GA'!O11-'LT _Lia - GA'!U11</f>
        <v>0</v>
      </c>
    </row>
    <row r="12" spans="1:26">
      <c r="A12" s="13" t="s">
        <v>616</v>
      </c>
      <c r="B12" s="13"/>
      <c r="C12" s="13" t="s">
        <v>58</v>
      </c>
      <c r="D12" s="13"/>
      <c r="E12" s="32">
        <v>49494</v>
      </c>
      <c r="G12" s="8">
        <f>880000+1085000+31049</f>
        <v>1996049</v>
      </c>
      <c r="I12" s="8">
        <v>0</v>
      </c>
      <c r="K12" s="8">
        <v>0</v>
      </c>
      <c r="M12" s="8">
        <v>60382</v>
      </c>
      <c r="O12" s="8">
        <v>587329</v>
      </c>
      <c r="Q12" s="8">
        <v>0</v>
      </c>
      <c r="S12" s="9">
        <f t="shared" ref="S12:S67" si="0">SUM(G12:R12)</f>
        <v>2643760</v>
      </c>
      <c r="U12" s="8">
        <v>177884</v>
      </c>
      <c r="X12" s="8">
        <f>+'St of Net Assets - GA'!O12-'LT _Lia - GA'!U12</f>
        <v>0</v>
      </c>
    </row>
    <row r="13" spans="1:26">
      <c r="A13" s="13" t="s">
        <v>662</v>
      </c>
      <c r="B13" s="13"/>
      <c r="C13" s="13" t="s">
        <v>63</v>
      </c>
      <c r="D13" s="13"/>
      <c r="E13" s="32">
        <v>43489</v>
      </c>
      <c r="G13" s="8">
        <v>0</v>
      </c>
      <c r="I13" s="8">
        <v>0</v>
      </c>
      <c r="K13" s="8">
        <v>0</v>
      </c>
      <c r="M13" s="8">
        <v>0</v>
      </c>
      <c r="O13" s="8">
        <v>26232405</v>
      </c>
      <c r="Q13" s="8">
        <v>0</v>
      </c>
      <c r="S13" s="9">
        <f t="shared" si="0"/>
        <v>26232405</v>
      </c>
      <c r="U13" s="8">
        <v>1647298</v>
      </c>
      <c r="X13" s="8">
        <f>+'St of Net Assets - GA'!O13-'LT _Lia - GA'!U13</f>
        <v>0</v>
      </c>
    </row>
    <row r="14" spans="1:26" hidden="1">
      <c r="A14" s="13" t="s">
        <v>837</v>
      </c>
      <c r="B14" s="13"/>
      <c r="C14" s="13" t="s">
        <v>13</v>
      </c>
      <c r="D14" s="13"/>
      <c r="E14" s="32">
        <v>45906</v>
      </c>
      <c r="G14" s="8">
        <v>0</v>
      </c>
      <c r="I14" s="8">
        <v>0</v>
      </c>
      <c r="K14" s="8">
        <v>0</v>
      </c>
      <c r="M14" s="8">
        <v>0</v>
      </c>
      <c r="O14" s="8">
        <v>0</v>
      </c>
      <c r="Q14" s="8">
        <v>0</v>
      </c>
      <c r="S14" s="9">
        <f t="shared" si="0"/>
        <v>0</v>
      </c>
      <c r="U14" s="8">
        <v>0</v>
      </c>
      <c r="X14" s="8">
        <f>+'St of Net Assets - GA'!O14-'LT _Lia - GA'!U14</f>
        <v>0</v>
      </c>
      <c r="Z14" s="8" t="s">
        <v>956</v>
      </c>
    </row>
    <row r="15" spans="1:26">
      <c r="A15" s="13" t="s">
        <v>648</v>
      </c>
      <c r="B15" s="13"/>
      <c r="C15" s="13" t="s">
        <v>62</v>
      </c>
      <c r="D15" s="13"/>
      <c r="E15" s="32">
        <v>43497</v>
      </c>
      <c r="G15" s="8">
        <f>362751+650949+195000+39999+82940+7170000+183980+158685+646608-495512</f>
        <v>8995400</v>
      </c>
      <c r="I15" s="8">
        <v>0</v>
      </c>
      <c r="K15" s="8">
        <v>0</v>
      </c>
      <c r="M15" s="8">
        <v>0</v>
      </c>
      <c r="O15" s="8">
        <v>4194439</v>
      </c>
      <c r="Q15" s="8">
        <v>0</v>
      </c>
      <c r="S15" s="9">
        <f t="shared" si="0"/>
        <v>13189839</v>
      </c>
      <c r="U15" s="8">
        <v>615117</v>
      </c>
      <c r="X15" s="8">
        <f>+'St of Net Assets - GA'!O15-'LT _Lia - GA'!U15</f>
        <v>0</v>
      </c>
    </row>
    <row r="16" spans="1:26">
      <c r="A16" s="13" t="s">
        <v>343</v>
      </c>
      <c r="B16" s="13"/>
      <c r="C16" s="13" t="s">
        <v>25</v>
      </c>
      <c r="D16" s="13"/>
      <c r="E16" s="32">
        <v>46847</v>
      </c>
      <c r="G16" s="8">
        <f>1115000+2154998+338841</f>
        <v>3608839</v>
      </c>
      <c r="I16" s="8">
        <v>0</v>
      </c>
      <c r="K16" s="8">
        <v>0</v>
      </c>
      <c r="M16" s="8">
        <v>176657</v>
      </c>
      <c r="O16" s="8">
        <v>627585</v>
      </c>
      <c r="Q16" s="8">
        <v>0</v>
      </c>
      <c r="S16" s="9">
        <f t="shared" si="0"/>
        <v>4413081</v>
      </c>
      <c r="U16" s="8">
        <v>308499</v>
      </c>
      <c r="X16" s="8">
        <f>+'St of Net Assets - GA'!O16-'LT _Lia - GA'!U16</f>
        <v>0</v>
      </c>
    </row>
    <row r="17" spans="1:28">
      <c r="A17" s="13" t="s">
        <v>775</v>
      </c>
      <c r="B17" s="13"/>
      <c r="C17" s="13" t="s">
        <v>44</v>
      </c>
      <c r="D17" s="13"/>
      <c r="E17" s="13">
        <v>45195</v>
      </c>
      <c r="G17" s="8">
        <v>3375000</v>
      </c>
      <c r="I17" s="8">
        <v>0</v>
      </c>
      <c r="K17" s="8">
        <v>800000</v>
      </c>
      <c r="M17" s="8">
        <v>0</v>
      </c>
      <c r="O17" s="8">
        <v>3251540</v>
      </c>
      <c r="Q17" s="8">
        <v>17520185</v>
      </c>
      <c r="S17" s="9">
        <f>SUM(G17:R17)</f>
        <v>24946725</v>
      </c>
      <c r="U17" s="8">
        <v>1388011</v>
      </c>
      <c r="X17" s="8">
        <f>+'St of Net Assets - GA'!O17-'LT _Lia - GA'!U17</f>
        <v>0</v>
      </c>
    </row>
    <row r="18" spans="1:28">
      <c r="A18" s="13" t="s">
        <v>641</v>
      </c>
      <c r="B18" s="13"/>
      <c r="C18" s="13" t="s">
        <v>61</v>
      </c>
      <c r="D18" s="13"/>
      <c r="E18" s="32">
        <v>49759</v>
      </c>
      <c r="G18" s="8">
        <v>4137679</v>
      </c>
      <c r="I18" s="8">
        <v>0</v>
      </c>
      <c r="K18" s="8">
        <v>0</v>
      </c>
      <c r="M18" s="8">
        <v>0</v>
      </c>
      <c r="O18" s="8">
        <v>560829</v>
      </c>
      <c r="Q18" s="8">
        <v>0</v>
      </c>
      <c r="S18" s="9">
        <f t="shared" si="0"/>
        <v>4698508</v>
      </c>
      <c r="U18" s="8">
        <v>267896</v>
      </c>
      <c r="X18" s="8">
        <f>+'St of Net Assets - GA'!O18-'LT _Lia - GA'!U18</f>
        <v>0</v>
      </c>
    </row>
    <row r="19" spans="1:28" hidden="1">
      <c r="A19" s="13" t="s">
        <v>1019</v>
      </c>
      <c r="B19" s="13"/>
      <c r="C19" s="13" t="s">
        <v>814</v>
      </c>
      <c r="D19" s="13"/>
      <c r="E19" s="32"/>
      <c r="G19" s="8">
        <v>0</v>
      </c>
      <c r="I19" s="8">
        <v>0</v>
      </c>
      <c r="K19" s="8">
        <v>0</v>
      </c>
      <c r="M19" s="8">
        <v>0</v>
      </c>
      <c r="O19" s="8">
        <v>0</v>
      </c>
      <c r="Q19" s="8">
        <v>0</v>
      </c>
      <c r="S19" s="9">
        <f t="shared" si="0"/>
        <v>0</v>
      </c>
      <c r="U19" s="8">
        <v>0</v>
      </c>
      <c r="X19" s="8">
        <f>+'St of Net Assets - GA'!O19-'LT _Lia - GA'!U19</f>
        <v>0</v>
      </c>
    </row>
    <row r="20" spans="1:28">
      <c r="A20" s="13" t="s">
        <v>496</v>
      </c>
      <c r="B20" s="13"/>
      <c r="C20" s="13" t="s">
        <v>117</v>
      </c>
      <c r="D20" s="13"/>
      <c r="E20" s="32">
        <v>48207</v>
      </c>
      <c r="G20" s="8">
        <v>24229630</v>
      </c>
      <c r="I20" s="8">
        <v>0</v>
      </c>
      <c r="K20" s="8">
        <v>1400000</v>
      </c>
      <c r="M20" s="8">
        <v>0</v>
      </c>
      <c r="O20" s="8">
        <v>1645835</v>
      </c>
      <c r="Q20" s="8">
        <f>541943-420144</f>
        <v>121799</v>
      </c>
      <c r="S20" s="9">
        <f t="shared" si="0"/>
        <v>27397264</v>
      </c>
      <c r="U20" s="8">
        <v>2313136</v>
      </c>
      <c r="X20" s="8">
        <f>+'St of Net Assets - GA'!O20-'LT _Lia - GA'!U20</f>
        <v>0</v>
      </c>
    </row>
    <row r="21" spans="1:28">
      <c r="A21" s="13" t="s">
        <v>413</v>
      </c>
      <c r="B21" s="13"/>
      <c r="C21" s="13" t="s">
        <v>33</v>
      </c>
      <c r="D21" s="13"/>
      <c r="E21" s="32">
        <v>47415</v>
      </c>
      <c r="G21" s="8">
        <v>0</v>
      </c>
      <c r="I21" s="8">
        <v>0</v>
      </c>
      <c r="K21" s="8">
        <v>0</v>
      </c>
      <c r="M21" s="8">
        <v>0</v>
      </c>
      <c r="O21" s="8">
        <v>347825</v>
      </c>
      <c r="Q21" s="8">
        <v>0</v>
      </c>
      <c r="S21" s="9">
        <f t="shared" si="0"/>
        <v>347825</v>
      </c>
      <c r="U21" s="8">
        <v>29827</v>
      </c>
      <c r="X21" s="8">
        <f>+'St of Net Assets - GA'!O21-'LT _Lia - GA'!U21</f>
        <v>0</v>
      </c>
    </row>
    <row r="22" spans="1:28" hidden="1">
      <c r="A22" s="13" t="s">
        <v>958</v>
      </c>
      <c r="B22" s="13"/>
      <c r="C22" s="13" t="s">
        <v>814</v>
      </c>
      <c r="D22" s="13"/>
      <c r="E22" s="32">
        <v>46631</v>
      </c>
      <c r="G22" s="8">
        <v>0</v>
      </c>
      <c r="I22" s="8">
        <v>0</v>
      </c>
      <c r="K22" s="8">
        <v>0</v>
      </c>
      <c r="M22" s="8">
        <v>0</v>
      </c>
      <c r="O22" s="8">
        <v>0</v>
      </c>
      <c r="Q22" s="8">
        <v>0</v>
      </c>
      <c r="S22" s="9">
        <f t="shared" si="0"/>
        <v>0</v>
      </c>
      <c r="U22" s="8">
        <v>0</v>
      </c>
      <c r="X22" s="8">
        <f>+'St of Net Assets - GA'!O22-'LT _Lia - GA'!U22</f>
        <v>0</v>
      </c>
      <c r="Z22" s="8" t="s">
        <v>956</v>
      </c>
    </row>
    <row r="23" spans="1:28">
      <c r="A23" s="13" t="s">
        <v>368</v>
      </c>
      <c r="B23" s="13"/>
      <c r="C23" s="13" t="s">
        <v>28</v>
      </c>
      <c r="D23" s="13"/>
      <c r="E23" s="32">
        <v>47043</v>
      </c>
      <c r="G23" s="8">
        <v>12428570</v>
      </c>
      <c r="I23" s="8">
        <v>0</v>
      </c>
      <c r="K23" s="8">
        <v>0</v>
      </c>
      <c r="M23" s="8">
        <v>0</v>
      </c>
      <c r="O23" s="8">
        <v>913064</v>
      </c>
      <c r="Q23" s="8">
        <v>0</v>
      </c>
      <c r="S23" s="9">
        <f t="shared" si="0"/>
        <v>13341634</v>
      </c>
      <c r="U23" s="8">
        <v>1251631</v>
      </c>
      <c r="X23" s="8">
        <f>+'St of Net Assets - GA'!O23-'LT _Lia - GA'!U23</f>
        <v>0</v>
      </c>
    </row>
    <row r="24" spans="1:28">
      <c r="A24" s="13" t="s">
        <v>414</v>
      </c>
      <c r="B24" s="13"/>
      <c r="C24" s="13" t="s">
        <v>33</v>
      </c>
      <c r="D24" s="13"/>
      <c r="E24" s="32">
        <v>47423</v>
      </c>
      <c r="G24" s="8">
        <v>522320</v>
      </c>
      <c r="I24" s="8">
        <v>0</v>
      </c>
      <c r="K24" s="8">
        <v>0</v>
      </c>
      <c r="M24" s="8">
        <v>0</v>
      </c>
      <c r="O24" s="8">
        <v>458150</v>
      </c>
      <c r="Q24" s="8">
        <v>0</v>
      </c>
      <c r="S24" s="9">
        <f t="shared" si="0"/>
        <v>980470</v>
      </c>
      <c r="U24" s="8">
        <v>30118</v>
      </c>
      <c r="X24" s="8">
        <f>+'St of Net Assets - GA'!O24-'LT _Lia - GA'!U24</f>
        <v>0</v>
      </c>
    </row>
    <row r="25" spans="1:28">
      <c r="A25" s="13" t="s">
        <v>213</v>
      </c>
      <c r="B25" s="13"/>
      <c r="C25" s="13" t="s">
        <v>11</v>
      </c>
      <c r="D25" s="13"/>
      <c r="E25" s="32">
        <v>43505</v>
      </c>
      <c r="G25" s="8">
        <v>3800000</v>
      </c>
      <c r="I25" s="8">
        <v>109000</v>
      </c>
      <c r="K25" s="8">
        <v>0</v>
      </c>
      <c r="M25" s="8">
        <v>0</v>
      </c>
      <c r="O25" s="8">
        <v>2394320</v>
      </c>
      <c r="Q25" s="8">
        <v>495000</v>
      </c>
      <c r="S25" s="9">
        <f t="shared" si="0"/>
        <v>6798320</v>
      </c>
      <c r="U25" s="8">
        <v>1012829</v>
      </c>
      <c r="X25" s="8">
        <f>+'St of Net Assets - GA'!O25-'LT _Lia - GA'!U25</f>
        <v>0</v>
      </c>
    </row>
    <row r="26" spans="1:28">
      <c r="A26" s="13" t="s">
        <v>761</v>
      </c>
      <c r="B26" s="13"/>
      <c r="C26" s="13" t="s">
        <v>12</v>
      </c>
      <c r="D26" s="13"/>
      <c r="E26" s="32">
        <v>43513</v>
      </c>
      <c r="G26" s="8">
        <f>370675+196371+208699+38470000</f>
        <v>39245745</v>
      </c>
      <c r="I26" s="8">
        <v>0</v>
      </c>
      <c r="K26" s="8">
        <v>0</v>
      </c>
      <c r="M26" s="8">
        <v>0</v>
      </c>
      <c r="O26" s="8">
        <v>3004158</v>
      </c>
      <c r="Q26" s="8">
        <v>0</v>
      </c>
      <c r="S26" s="9">
        <f t="shared" si="0"/>
        <v>42249903</v>
      </c>
      <c r="U26" s="8">
        <v>2375939</v>
      </c>
      <c r="X26" s="8">
        <f>+'St of Net Assets - GA'!O26-'LT _Lia - GA'!U26</f>
        <v>0</v>
      </c>
      <c r="Z26" s="8" t="s">
        <v>956</v>
      </c>
    </row>
    <row r="27" spans="1:28">
      <c r="A27" s="13" t="s">
        <v>223</v>
      </c>
      <c r="B27" s="13"/>
      <c r="C27" s="13" t="s">
        <v>13</v>
      </c>
      <c r="D27" s="13"/>
      <c r="E27" s="32">
        <v>43521</v>
      </c>
      <c r="G27" s="8">
        <f>3875000+8680000+140000+253843+973978</f>
        <v>13922821</v>
      </c>
      <c r="I27" s="8">
        <v>0</v>
      </c>
      <c r="K27" s="8">
        <v>0</v>
      </c>
      <c r="M27" s="8">
        <v>0</v>
      </c>
      <c r="O27" s="8">
        <v>1655037</v>
      </c>
      <c r="Q27" s="8">
        <v>0</v>
      </c>
      <c r="S27" s="9">
        <f t="shared" si="0"/>
        <v>15577858</v>
      </c>
      <c r="U27" s="8">
        <v>911283</v>
      </c>
      <c r="X27" s="8">
        <f>+'St of Net Assets - GA'!O27-'LT _Lia - GA'!U27</f>
        <v>0</v>
      </c>
      <c r="Z27" s="8" t="s">
        <v>956</v>
      </c>
    </row>
    <row r="28" spans="1:28">
      <c r="A28" s="13" t="s">
        <v>588</v>
      </c>
      <c r="B28" s="13"/>
      <c r="C28" s="13" t="s">
        <v>56</v>
      </c>
      <c r="D28" s="13"/>
      <c r="E28" s="32">
        <v>49171</v>
      </c>
      <c r="G28" s="8">
        <v>26407984</v>
      </c>
      <c r="I28" s="8">
        <v>0</v>
      </c>
      <c r="K28" s="8">
        <v>0</v>
      </c>
      <c r="M28" s="8">
        <v>0</v>
      </c>
      <c r="O28" s="8">
        <v>2465961</v>
      </c>
      <c r="Q28" s="8">
        <v>10114747</v>
      </c>
      <c r="S28" s="9">
        <f t="shared" si="0"/>
        <v>38988692</v>
      </c>
      <c r="U28" s="8">
        <v>1342760</v>
      </c>
      <c r="X28" s="8">
        <f>+'St of Net Assets - GA'!O28-'LT _Lia - GA'!U28</f>
        <v>0</v>
      </c>
    </row>
    <row r="29" spans="1:28">
      <c r="A29" s="13" t="s">
        <v>508</v>
      </c>
      <c r="B29" s="13"/>
      <c r="C29" s="13" t="s">
        <v>45</v>
      </c>
      <c r="D29" s="13"/>
      <c r="E29" s="32">
        <v>48298</v>
      </c>
      <c r="G29" s="8">
        <v>24062305</v>
      </c>
      <c r="I29" s="8">
        <v>387965</v>
      </c>
      <c r="K29" s="8">
        <v>0</v>
      </c>
      <c r="M29" s="8">
        <v>0</v>
      </c>
      <c r="O29" s="8">
        <f>3342004+400000+875</f>
        <v>3742879</v>
      </c>
      <c r="Q29" s="8">
        <v>0</v>
      </c>
      <c r="S29" s="9">
        <f t="shared" si="0"/>
        <v>28193149</v>
      </c>
      <c r="U29" s="8">
        <f>1232000+875</f>
        <v>1232875</v>
      </c>
      <c r="X29" s="8">
        <f>+'St of Net Assets - GA'!O29-'LT _Lia - GA'!U29</f>
        <v>0</v>
      </c>
      <c r="Z29" s="8" t="s">
        <v>956</v>
      </c>
    </row>
    <row r="30" spans="1:28">
      <c r="A30" s="13" t="s">
        <v>483</v>
      </c>
      <c r="B30" s="13"/>
      <c r="C30" s="13" t="s">
        <v>44</v>
      </c>
      <c r="D30" s="13"/>
      <c r="E30" s="32">
        <v>48124</v>
      </c>
      <c r="G30" s="8">
        <v>39639503</v>
      </c>
      <c r="I30" s="8">
        <v>0</v>
      </c>
      <c r="K30" s="8">
        <v>630000</v>
      </c>
      <c r="M30" s="8">
        <v>561902</v>
      </c>
      <c r="O30" s="8">
        <v>3207889</v>
      </c>
      <c r="Q30" s="8">
        <v>0</v>
      </c>
      <c r="S30" s="9">
        <f t="shared" si="0"/>
        <v>44039294</v>
      </c>
      <c r="U30" s="8">
        <v>1712020</v>
      </c>
      <c r="X30" s="8">
        <f>+'St of Net Assets - GA'!O30-'LT _Lia - GA'!U30</f>
        <v>0</v>
      </c>
      <c r="Z30" s="8" t="s">
        <v>956</v>
      </c>
      <c r="AB30" s="8" t="s">
        <v>134</v>
      </c>
    </row>
    <row r="31" spans="1:28">
      <c r="A31" s="13" t="s">
        <v>484</v>
      </c>
      <c r="B31" s="13"/>
      <c r="C31" s="13" t="s">
        <v>44</v>
      </c>
      <c r="D31" s="13"/>
      <c r="E31" s="32">
        <v>48116</v>
      </c>
      <c r="G31" s="8">
        <f>38010000+1099964+757451</f>
        <v>39867415</v>
      </c>
      <c r="I31" s="8">
        <v>0</v>
      </c>
      <c r="K31" s="8">
        <v>210000</v>
      </c>
      <c r="M31" s="8">
        <v>0</v>
      </c>
      <c r="O31" s="8">
        <v>2562199</v>
      </c>
      <c r="Q31" s="8">
        <v>0</v>
      </c>
      <c r="S31" s="9">
        <f t="shared" si="0"/>
        <v>42639614</v>
      </c>
      <c r="U31" s="8">
        <v>2756092</v>
      </c>
      <c r="X31" s="8">
        <f>+'St of Net Assets - GA'!O31-'LT _Lia - GA'!U31</f>
        <v>0</v>
      </c>
      <c r="Z31" s="8" t="s">
        <v>956</v>
      </c>
    </row>
    <row r="32" spans="1:28">
      <c r="A32" s="13" t="s">
        <v>330</v>
      </c>
      <c r="B32" s="13"/>
      <c r="C32" s="13" t="s">
        <v>22</v>
      </c>
      <c r="D32" s="13"/>
      <c r="E32" s="32">
        <v>46706</v>
      </c>
      <c r="G32" s="8">
        <v>0</v>
      </c>
      <c r="I32" s="8">
        <v>0</v>
      </c>
      <c r="K32" s="8">
        <v>0</v>
      </c>
      <c r="M32" s="8">
        <f>58533+73708</f>
        <v>132241</v>
      </c>
      <c r="O32" s="8">
        <v>666069</v>
      </c>
      <c r="Q32" s="8">
        <v>0</v>
      </c>
      <c r="S32" s="9">
        <f t="shared" si="0"/>
        <v>798310</v>
      </c>
      <c r="U32" s="8">
        <v>141712</v>
      </c>
      <c r="X32" s="8">
        <f>+'St of Net Assets - GA'!O32-'LT _Lia - GA'!U32</f>
        <v>0</v>
      </c>
      <c r="Z32" s="8" t="s">
        <v>956</v>
      </c>
    </row>
    <row r="33" spans="1:24">
      <c r="A33" s="13" t="s">
        <v>663</v>
      </c>
      <c r="B33" s="13"/>
      <c r="C33" s="13" t="s">
        <v>63</v>
      </c>
      <c r="D33" s="13"/>
      <c r="E33" s="32">
        <v>43539</v>
      </c>
      <c r="G33" s="8">
        <v>57389975</v>
      </c>
      <c r="I33" s="8">
        <v>0</v>
      </c>
      <c r="K33" s="8">
        <v>0</v>
      </c>
      <c r="M33" s="8">
        <v>0</v>
      </c>
      <c r="O33" s="8">
        <v>1898737</v>
      </c>
      <c r="Q33" s="8">
        <f>2196800-947991+1470000</f>
        <v>2718809</v>
      </c>
      <c r="S33" s="9">
        <f t="shared" si="0"/>
        <v>62007521</v>
      </c>
      <c r="U33" s="8">
        <v>2942023</v>
      </c>
      <c r="X33" s="8">
        <f>+'St of Net Assets - GA'!O33-'LT _Lia - GA'!U33</f>
        <v>0</v>
      </c>
    </row>
    <row r="34" spans="1:24">
      <c r="A34" s="13" t="s">
        <v>815</v>
      </c>
      <c r="B34" s="13"/>
      <c r="C34" s="13" t="s">
        <v>15</v>
      </c>
      <c r="D34" s="13"/>
      <c r="E34" s="32"/>
      <c r="G34" s="8">
        <f>970000+1530000+94999+155655+38944-103921</f>
        <v>2685677</v>
      </c>
      <c r="I34" s="8">
        <v>0</v>
      </c>
      <c r="K34" s="8">
        <v>0</v>
      </c>
      <c r="M34" s="8">
        <v>66531</v>
      </c>
      <c r="O34" s="8">
        <v>707372</v>
      </c>
      <c r="Q34" s="8">
        <v>0</v>
      </c>
      <c r="S34" s="9">
        <f t="shared" ref="S34" si="1">SUM(G34:R34)</f>
        <v>3459580</v>
      </c>
      <c r="U34" s="8">
        <v>206429</v>
      </c>
      <c r="X34" s="8">
        <f>+'St of Net Assets - GA'!O34-'LT _Lia - GA'!U34</f>
        <v>0</v>
      </c>
    </row>
    <row r="35" spans="1:24">
      <c r="A35" s="13" t="s">
        <v>266</v>
      </c>
      <c r="B35" s="13"/>
      <c r="C35" s="13" t="s">
        <v>115</v>
      </c>
      <c r="D35" s="13"/>
      <c r="E35" s="32">
        <v>46300</v>
      </c>
      <c r="G35" s="8">
        <f>5513633+950288</f>
        <v>6463921</v>
      </c>
      <c r="I35" s="8">
        <v>0</v>
      </c>
      <c r="K35" s="8">
        <v>0</v>
      </c>
      <c r="M35" s="8">
        <v>604202</v>
      </c>
      <c r="O35" s="8">
        <v>609120</v>
      </c>
      <c r="Q35" s="8">
        <v>0</v>
      </c>
      <c r="S35" s="9">
        <f t="shared" si="0"/>
        <v>7677243</v>
      </c>
      <c r="U35" s="8">
        <v>545164</v>
      </c>
      <c r="X35" s="8">
        <f>+'St of Net Assets - GA'!O35-'LT _Lia - GA'!U35</f>
        <v>0</v>
      </c>
    </row>
    <row r="36" spans="1:24" hidden="1">
      <c r="A36" s="13" t="s">
        <v>960</v>
      </c>
      <c r="B36" s="13"/>
      <c r="C36" s="13" t="s">
        <v>10</v>
      </c>
      <c r="D36" s="13"/>
      <c r="E36" s="32">
        <v>45765</v>
      </c>
      <c r="G36" s="8">
        <v>0</v>
      </c>
      <c r="I36" s="8">
        <v>0</v>
      </c>
      <c r="K36" s="8">
        <v>0</v>
      </c>
      <c r="M36" s="8">
        <v>0</v>
      </c>
      <c r="O36" s="8">
        <v>0</v>
      </c>
      <c r="Q36" s="8">
        <v>0</v>
      </c>
      <c r="S36" s="9">
        <f t="shared" ref="S36" si="2">SUM(G36:R36)</f>
        <v>0</v>
      </c>
      <c r="U36" s="8">
        <v>0</v>
      </c>
      <c r="X36" s="8">
        <f>+'St of Net Assets - GA'!O36-'LT _Lia - GA'!U36</f>
        <v>0</v>
      </c>
    </row>
    <row r="37" spans="1:24">
      <c r="A37" s="13" t="s">
        <v>296</v>
      </c>
      <c r="B37" s="13"/>
      <c r="C37" s="13" t="s">
        <v>20</v>
      </c>
      <c r="D37" s="13"/>
      <c r="E37" s="32">
        <v>43547</v>
      </c>
      <c r="G37" s="8">
        <v>15785278</v>
      </c>
      <c r="I37" s="8">
        <v>0</v>
      </c>
      <c r="K37" s="8">
        <v>0</v>
      </c>
      <c r="M37" s="8">
        <v>0</v>
      </c>
      <c r="O37" s="8">
        <v>3735869</v>
      </c>
      <c r="Q37" s="8">
        <v>2035000</v>
      </c>
      <c r="S37" s="9">
        <f t="shared" si="0"/>
        <v>21556147</v>
      </c>
      <c r="U37" s="8">
        <v>1426469</v>
      </c>
      <c r="X37" s="8">
        <f>+'St of Net Assets - GA'!O37-'LT _Lia - GA'!U37</f>
        <v>0</v>
      </c>
    </row>
    <row r="38" spans="1:24">
      <c r="A38" s="13" t="s">
        <v>297</v>
      </c>
      <c r="B38" s="13"/>
      <c r="C38" s="13" t="s">
        <v>20</v>
      </c>
      <c r="D38" s="13"/>
      <c r="E38" s="32">
        <v>43554</v>
      </c>
      <c r="G38" s="8">
        <v>12916640</v>
      </c>
      <c r="I38" s="8">
        <v>0</v>
      </c>
      <c r="K38" s="8">
        <v>1480000</v>
      </c>
      <c r="M38" s="8">
        <v>81096</v>
      </c>
      <c r="O38" s="8">
        <v>3115997</v>
      </c>
      <c r="Q38" s="8">
        <v>0</v>
      </c>
      <c r="S38" s="9">
        <f t="shared" si="0"/>
        <v>17593733</v>
      </c>
      <c r="U38" s="8">
        <v>1772866</v>
      </c>
      <c r="X38" s="8">
        <f>+'St of Net Assets - GA'!O38-'LT _Lia - GA'!U38</f>
        <v>0</v>
      </c>
    </row>
    <row r="39" spans="1:24">
      <c r="A39" s="13" t="s">
        <v>278</v>
      </c>
      <c r="B39" s="13"/>
      <c r="C39" s="13" t="s">
        <v>114</v>
      </c>
      <c r="D39" s="13"/>
      <c r="E39" s="32">
        <v>46425</v>
      </c>
      <c r="G39" s="8">
        <v>0</v>
      </c>
      <c r="I39" s="8">
        <v>181430</v>
      </c>
      <c r="K39" s="8">
        <v>0</v>
      </c>
      <c r="M39" s="8">
        <v>100181</v>
      </c>
      <c r="O39" s="8">
        <v>1178710</v>
      </c>
      <c r="Q39" s="8">
        <v>0</v>
      </c>
      <c r="S39" s="9">
        <f t="shared" si="0"/>
        <v>1460321</v>
      </c>
      <c r="U39" s="8">
        <v>78847</v>
      </c>
      <c r="X39" s="8">
        <f>+'St of Net Assets - GA'!O39-'LT _Lia - GA'!U39</f>
        <v>0</v>
      </c>
    </row>
    <row r="40" spans="1:24">
      <c r="A40" s="13" t="s">
        <v>384</v>
      </c>
      <c r="B40" s="13"/>
      <c r="C40" s="13" t="s">
        <v>116</v>
      </c>
      <c r="D40" s="13"/>
      <c r="E40" s="32">
        <v>47241</v>
      </c>
      <c r="G40" s="8">
        <f>84000000+19955000+7760000</f>
        <v>111715000</v>
      </c>
      <c r="I40" s="8">
        <v>0</v>
      </c>
      <c r="K40" s="8">
        <f>15000000+69000000</f>
        <v>84000000</v>
      </c>
      <c r="M40" s="8">
        <v>3562000</v>
      </c>
      <c r="O40" s="8">
        <v>5062925</v>
      </c>
      <c r="Q40" s="8">
        <v>0</v>
      </c>
      <c r="S40" s="9">
        <f t="shared" si="0"/>
        <v>204339925</v>
      </c>
      <c r="U40" s="8">
        <v>88431478</v>
      </c>
      <c r="X40" s="8">
        <f>+'St of Net Assets - GA'!O40-'LT _Lia - GA'!U40</f>
        <v>0</v>
      </c>
    </row>
    <row r="41" spans="1:24">
      <c r="A41" s="13" t="s">
        <v>298</v>
      </c>
      <c r="B41" s="13"/>
      <c r="C41" s="13" t="s">
        <v>20</v>
      </c>
      <c r="D41" s="13"/>
      <c r="E41" s="32">
        <v>43562</v>
      </c>
      <c r="G41" s="8">
        <v>7765171</v>
      </c>
      <c r="I41" s="8">
        <v>274000</v>
      </c>
      <c r="K41" s="8">
        <v>0</v>
      </c>
      <c r="M41" s="8">
        <v>144000</v>
      </c>
      <c r="O41" s="8">
        <v>3146303</v>
      </c>
      <c r="Q41" s="8">
        <v>0</v>
      </c>
      <c r="S41" s="9">
        <f t="shared" si="0"/>
        <v>11329474</v>
      </c>
      <c r="U41" s="8">
        <v>2578161</v>
      </c>
      <c r="X41" s="8">
        <f>+'St of Net Assets - GA'!O41-'LT _Lia - GA'!U41</f>
        <v>0</v>
      </c>
    </row>
    <row r="42" spans="1:24">
      <c r="A42" s="13" t="s">
        <v>231</v>
      </c>
      <c r="B42" s="13"/>
      <c r="C42" s="13" t="s">
        <v>15</v>
      </c>
      <c r="D42" s="13"/>
      <c r="E42" s="32">
        <v>43570</v>
      </c>
      <c r="G42" s="8">
        <v>2990489</v>
      </c>
      <c r="I42" s="8">
        <v>0</v>
      </c>
      <c r="K42" s="8">
        <v>0</v>
      </c>
      <c r="M42" s="8">
        <v>22719</v>
      </c>
      <c r="O42" s="8">
        <v>1834226</v>
      </c>
      <c r="Q42" s="8">
        <v>0</v>
      </c>
      <c r="S42" s="9">
        <f t="shared" si="0"/>
        <v>4847434</v>
      </c>
      <c r="U42" s="8">
        <v>332146</v>
      </c>
      <c r="X42" s="8">
        <f>+'St of Net Assets - GA'!O42-'LT _Lia - GA'!U42</f>
        <v>0</v>
      </c>
    </row>
    <row r="43" spans="1:24">
      <c r="A43" s="13" t="s">
        <v>443</v>
      </c>
      <c r="B43" s="13"/>
      <c r="C43" s="13" t="s">
        <v>37</v>
      </c>
      <c r="D43" s="13"/>
      <c r="E43" s="32">
        <v>43596</v>
      </c>
      <c r="G43" s="8">
        <v>0</v>
      </c>
      <c r="I43" s="8">
        <v>0</v>
      </c>
      <c r="K43" s="8">
        <v>0</v>
      </c>
      <c r="M43" s="8">
        <v>348886</v>
      </c>
      <c r="O43" s="8">
        <v>1669018</v>
      </c>
      <c r="Q43" s="8">
        <v>0</v>
      </c>
      <c r="S43" s="9">
        <f t="shared" si="0"/>
        <v>2017904</v>
      </c>
      <c r="U43" s="8">
        <v>512162</v>
      </c>
      <c r="X43" s="8">
        <f>+'St of Net Assets - GA'!O43-'LT _Lia - GA'!U43</f>
        <v>0</v>
      </c>
    </row>
    <row r="44" spans="1:24">
      <c r="A44" s="13" t="s">
        <v>715</v>
      </c>
      <c r="B44" s="13"/>
      <c r="C44" s="13" t="s">
        <v>70</v>
      </c>
      <c r="D44" s="13"/>
      <c r="E44" s="32">
        <v>43604</v>
      </c>
      <c r="G44" s="8">
        <v>0</v>
      </c>
      <c r="I44" s="8">
        <v>68000</v>
      </c>
      <c r="K44" s="8">
        <v>0</v>
      </c>
      <c r="M44" s="8">
        <v>0</v>
      </c>
      <c r="O44" s="8">
        <v>502483</v>
      </c>
      <c r="Q44" s="8">
        <v>0</v>
      </c>
      <c r="S44" s="9">
        <f t="shared" si="0"/>
        <v>570483</v>
      </c>
      <c r="U44" s="8">
        <v>34000</v>
      </c>
      <c r="X44" s="8">
        <f>+'St of Net Assets - GA'!O44-'LT _Lia - GA'!U44</f>
        <v>0</v>
      </c>
    </row>
    <row r="45" spans="1:24">
      <c r="A45" s="13" t="s">
        <v>571</v>
      </c>
      <c r="B45" s="13"/>
      <c r="C45" s="13" t="s">
        <v>53</v>
      </c>
      <c r="D45" s="13"/>
      <c r="E45" s="32">
        <v>48926</v>
      </c>
      <c r="G45" s="8">
        <v>0</v>
      </c>
      <c r="I45" s="8">
        <v>0</v>
      </c>
      <c r="K45" s="8">
        <v>0</v>
      </c>
      <c r="M45" s="8">
        <v>0</v>
      </c>
      <c r="O45" s="8">
        <v>1518973</v>
      </c>
      <c r="Q45" s="8">
        <v>10000</v>
      </c>
      <c r="S45" s="9">
        <f t="shared" si="0"/>
        <v>1528973</v>
      </c>
      <c r="U45" s="8">
        <v>131648</v>
      </c>
      <c r="X45" s="8">
        <f>+'St of Net Assets - GA'!O45-'LT _Lia - GA'!U45</f>
        <v>0</v>
      </c>
    </row>
    <row r="46" spans="1:24">
      <c r="A46" s="13" t="s">
        <v>299</v>
      </c>
      <c r="B46" s="13"/>
      <c r="C46" s="13" t="s">
        <v>20</v>
      </c>
      <c r="D46" s="13"/>
      <c r="E46" s="32">
        <v>43612</v>
      </c>
      <c r="G46" s="8">
        <v>14770438</v>
      </c>
      <c r="I46" s="8">
        <v>0</v>
      </c>
      <c r="K46" s="8">
        <v>0</v>
      </c>
      <c r="M46" s="8">
        <v>0</v>
      </c>
      <c r="O46" s="8">
        <v>3296987</v>
      </c>
      <c r="Q46" s="8">
        <v>0</v>
      </c>
      <c r="S46" s="9">
        <f t="shared" si="0"/>
        <v>18067425</v>
      </c>
      <c r="U46" s="8">
        <v>1881190</v>
      </c>
      <c r="X46" s="8">
        <f>+'St of Net Assets - GA'!O46-'LT _Lia - GA'!U46</f>
        <v>0</v>
      </c>
    </row>
    <row r="47" spans="1:24">
      <c r="A47" s="13" t="s">
        <v>377</v>
      </c>
      <c r="B47" s="13"/>
      <c r="C47" s="13" t="s">
        <v>30</v>
      </c>
      <c r="D47" s="13"/>
      <c r="E47" s="32">
        <v>47167</v>
      </c>
      <c r="G47" s="8">
        <v>0</v>
      </c>
      <c r="I47" s="8">
        <v>0</v>
      </c>
      <c r="K47" s="8">
        <v>0</v>
      </c>
      <c r="M47" s="8">
        <v>0</v>
      </c>
      <c r="O47" s="8">
        <v>830788</v>
      </c>
      <c r="Q47" s="8">
        <v>0</v>
      </c>
      <c r="S47" s="9">
        <f t="shared" si="0"/>
        <v>830788</v>
      </c>
      <c r="U47" s="8">
        <v>138620</v>
      </c>
      <c r="X47" s="8">
        <f>+'St of Net Assets - GA'!O47-'LT _Lia - GA'!U47</f>
        <v>0</v>
      </c>
    </row>
    <row r="48" spans="1:24">
      <c r="A48" s="13" t="s">
        <v>336</v>
      </c>
      <c r="B48" s="13"/>
      <c r="C48" s="13" t="s">
        <v>24</v>
      </c>
      <c r="D48" s="13"/>
      <c r="E48" s="32">
        <v>46789</v>
      </c>
      <c r="G48" s="8">
        <v>0</v>
      </c>
      <c r="I48" s="8">
        <v>0</v>
      </c>
      <c r="K48" s="8">
        <v>0</v>
      </c>
      <c r="M48" s="8">
        <v>0</v>
      </c>
      <c r="O48" s="8">
        <v>843499</v>
      </c>
      <c r="Q48" s="8">
        <v>0</v>
      </c>
      <c r="S48" s="9">
        <f t="shared" si="0"/>
        <v>843499</v>
      </c>
      <c r="U48" s="8">
        <v>194959</v>
      </c>
      <c r="X48" s="8">
        <f>+'St of Net Assets - GA'!O48-'LT _Lia - GA'!U48</f>
        <v>0</v>
      </c>
    </row>
    <row r="49" spans="1:34">
      <c r="A49" s="13" t="s">
        <v>344</v>
      </c>
      <c r="B49" s="13"/>
      <c r="C49" s="13" t="s">
        <v>25</v>
      </c>
      <c r="D49" s="13"/>
      <c r="E49" s="32">
        <v>46854</v>
      </c>
      <c r="G49" s="8">
        <f>1970000+101094</f>
        <v>2071094</v>
      </c>
      <c r="I49" s="8">
        <v>925967</v>
      </c>
      <c r="K49" s="8">
        <v>0</v>
      </c>
      <c r="M49" s="8">
        <v>109491</v>
      </c>
      <c r="O49" s="8">
        <v>404048</v>
      </c>
      <c r="Q49" s="8">
        <v>0</v>
      </c>
      <c r="S49" s="9">
        <f t="shared" si="0"/>
        <v>3510600</v>
      </c>
      <c r="U49" s="8">
        <v>421054</v>
      </c>
      <c r="X49" s="8">
        <f>+'St of Net Assets - GA'!O49-'LT _Lia - GA'!U49</f>
        <v>0</v>
      </c>
    </row>
    <row r="50" spans="1:34">
      <c r="A50" s="13" t="s">
        <v>536</v>
      </c>
      <c r="B50" s="13"/>
      <c r="C50" s="13" t="s">
        <v>48</v>
      </c>
      <c r="D50" s="13"/>
      <c r="E50" s="32">
        <v>48611</v>
      </c>
      <c r="G50" s="8">
        <v>0</v>
      </c>
      <c r="I50" s="8">
        <v>0</v>
      </c>
      <c r="K50" s="8">
        <v>0</v>
      </c>
      <c r="M50" s="8">
        <v>893000</v>
      </c>
      <c r="O50" s="8">
        <v>363413</v>
      </c>
      <c r="Q50" s="8">
        <v>0</v>
      </c>
      <c r="S50" s="9">
        <f t="shared" si="0"/>
        <v>1256413</v>
      </c>
      <c r="U50" s="8">
        <v>22000</v>
      </c>
      <c r="X50" s="8">
        <f>+'St of Net Assets - GA'!O50-'LT _Lia - GA'!U50</f>
        <v>0</v>
      </c>
    </row>
    <row r="51" spans="1:34">
      <c r="A51" s="13" t="s">
        <v>267</v>
      </c>
      <c r="B51" s="13"/>
      <c r="C51" s="13" t="s">
        <v>115</v>
      </c>
      <c r="D51" s="13"/>
      <c r="E51" s="32">
        <v>46318</v>
      </c>
      <c r="G51" s="8">
        <v>4617466</v>
      </c>
      <c r="I51" s="8">
        <v>0</v>
      </c>
      <c r="K51" s="8">
        <v>2350000</v>
      </c>
      <c r="M51" s="8">
        <v>184287</v>
      </c>
      <c r="O51" s="8">
        <v>977654</v>
      </c>
      <c r="Q51" s="8">
        <v>0</v>
      </c>
      <c r="S51" s="9">
        <f t="shared" si="0"/>
        <v>8129407</v>
      </c>
      <c r="U51" s="8">
        <v>383762</v>
      </c>
      <c r="X51" s="8">
        <f>+'St of Net Assets - GA'!O51-'LT _Lia - GA'!U51</f>
        <v>0</v>
      </c>
    </row>
    <row r="52" spans="1:34" hidden="1">
      <c r="A52" s="13" t="s">
        <v>962</v>
      </c>
      <c r="B52" s="13"/>
      <c r="C52" s="13" t="s">
        <v>60</v>
      </c>
      <c r="D52" s="13"/>
      <c r="E52" s="32">
        <v>49692</v>
      </c>
      <c r="G52" s="8">
        <v>0</v>
      </c>
      <c r="I52" s="8">
        <v>0</v>
      </c>
      <c r="K52" s="8">
        <v>0</v>
      </c>
      <c r="M52" s="8">
        <v>0</v>
      </c>
      <c r="O52" s="8">
        <v>0</v>
      </c>
      <c r="Q52" s="8">
        <v>0</v>
      </c>
      <c r="S52" s="9">
        <f t="shared" ref="S52" si="3">SUM(G52:R52)</f>
        <v>0</v>
      </c>
      <c r="U52" s="8">
        <v>0</v>
      </c>
      <c r="X52" s="8">
        <f>+'St of Net Assets - GA'!O52-'LT _Lia - GA'!U52</f>
        <v>0</v>
      </c>
      <c r="Z52" s="8" t="s">
        <v>956</v>
      </c>
    </row>
    <row r="53" spans="1:34">
      <c r="A53" s="13" t="s">
        <v>352</v>
      </c>
      <c r="B53" s="13"/>
      <c r="C53" s="13" t="s">
        <v>27</v>
      </c>
      <c r="D53" s="13"/>
      <c r="E53" s="32">
        <v>43620</v>
      </c>
      <c r="G53" s="8">
        <v>27919988</v>
      </c>
      <c r="I53" s="8">
        <v>0</v>
      </c>
      <c r="K53" s="8">
        <v>0</v>
      </c>
      <c r="M53" s="8">
        <v>0</v>
      </c>
      <c r="O53" s="8">
        <v>2212253</v>
      </c>
      <c r="Q53" s="8">
        <v>0</v>
      </c>
      <c r="S53" s="9">
        <f t="shared" si="0"/>
        <v>30132241</v>
      </c>
      <c r="U53" s="8">
        <v>2175000</v>
      </c>
      <c r="X53" s="8">
        <f>+'St of Net Assets - GA'!O53-'LT _Lia - GA'!U53</f>
        <v>0</v>
      </c>
    </row>
    <row r="54" spans="1:34">
      <c r="A54" s="13" t="s">
        <v>333</v>
      </c>
      <c r="B54" s="13"/>
      <c r="C54" s="13" t="s">
        <v>23</v>
      </c>
      <c r="D54" s="13"/>
      <c r="E54" s="32">
        <v>46748</v>
      </c>
      <c r="G54" s="8">
        <v>28794053</v>
      </c>
      <c r="I54" s="8">
        <v>0</v>
      </c>
      <c r="K54" s="8">
        <v>0</v>
      </c>
      <c r="M54" s="8">
        <v>80715</v>
      </c>
      <c r="O54" s="8">
        <v>1473450</v>
      </c>
      <c r="Q54" s="8">
        <v>0</v>
      </c>
      <c r="S54" s="9">
        <f t="shared" si="0"/>
        <v>30348218</v>
      </c>
      <c r="U54" s="8">
        <v>1293771</v>
      </c>
      <c r="X54" s="8">
        <f>+'St of Net Assets - GA'!O54-'LT _Lia - GA'!U54</f>
        <v>0</v>
      </c>
    </row>
    <row r="55" spans="1:34">
      <c r="A55" s="13" t="s">
        <v>525</v>
      </c>
      <c r="B55" s="13"/>
      <c r="C55" s="13" t="s">
        <v>47</v>
      </c>
      <c r="D55" s="13"/>
      <c r="E55" s="32">
        <v>48462</v>
      </c>
      <c r="G55" s="8">
        <f>82163+260798+3130000+80000+389201</f>
        <v>3942162</v>
      </c>
      <c r="I55" s="8">
        <v>0</v>
      </c>
      <c r="K55" s="8">
        <v>0</v>
      </c>
      <c r="M55" s="8">
        <v>36624</v>
      </c>
      <c r="O55" s="8">
        <v>749522</v>
      </c>
      <c r="Q55" s="8">
        <v>0</v>
      </c>
      <c r="S55" s="9">
        <f t="shared" si="0"/>
        <v>4728308</v>
      </c>
      <c r="U55" s="8">
        <v>812659</v>
      </c>
      <c r="X55" s="8">
        <f>+'St of Net Assets - GA'!O55-'LT _Lia - GA'!U55</f>
        <v>0</v>
      </c>
    </row>
    <row r="56" spans="1:34">
      <c r="A56" s="13" t="s">
        <v>274</v>
      </c>
      <c r="B56" s="13"/>
      <c r="C56" s="13" t="s">
        <v>18</v>
      </c>
      <c r="D56" s="13"/>
      <c r="E56" s="32">
        <v>46383</v>
      </c>
      <c r="G56" s="8">
        <v>21884882</v>
      </c>
      <c r="I56" s="8">
        <v>0</v>
      </c>
      <c r="K56" s="8">
        <v>0</v>
      </c>
      <c r="M56" s="8">
        <v>0</v>
      </c>
      <c r="O56" s="8">
        <v>888392</v>
      </c>
      <c r="Q56" s="8">
        <v>0</v>
      </c>
      <c r="S56" s="9">
        <f t="shared" si="0"/>
        <v>22773274</v>
      </c>
      <c r="U56" s="8">
        <v>614256</v>
      </c>
      <c r="X56" s="8">
        <f>+'St of Net Assets - GA'!O56-'LT _Lia - GA'!U56</f>
        <v>0</v>
      </c>
    </row>
    <row r="57" spans="1:34">
      <c r="A57" s="13" t="s">
        <v>345</v>
      </c>
      <c r="B57" s="13"/>
      <c r="C57" s="13" t="s">
        <v>25</v>
      </c>
      <c r="D57" s="13"/>
      <c r="E57" s="32">
        <v>46862</v>
      </c>
      <c r="G57" s="8">
        <v>0</v>
      </c>
      <c r="I57" s="8">
        <v>0</v>
      </c>
      <c r="K57" s="8">
        <v>0</v>
      </c>
      <c r="M57" s="8">
        <v>0</v>
      </c>
      <c r="O57" s="8">
        <v>733159</v>
      </c>
      <c r="Q57" s="8">
        <v>0</v>
      </c>
      <c r="S57" s="9">
        <f t="shared" si="0"/>
        <v>733159</v>
      </c>
      <c r="U57" s="8">
        <v>77722</v>
      </c>
      <c r="X57" s="8">
        <f>+'St of Net Assets - GA'!O57-'LT _Lia - GA'!U57</f>
        <v>0</v>
      </c>
    </row>
    <row r="58" spans="1:34">
      <c r="A58" s="13" t="s">
        <v>675</v>
      </c>
      <c r="B58" s="13"/>
      <c r="C58" s="13" t="s">
        <v>64</v>
      </c>
      <c r="D58" s="13"/>
      <c r="E58" s="32">
        <v>50096</v>
      </c>
      <c r="G58" s="8">
        <v>0</v>
      </c>
      <c r="I58" s="8">
        <v>0</v>
      </c>
      <c r="K58" s="8">
        <v>0</v>
      </c>
      <c r="M58" s="8">
        <v>38809</v>
      </c>
      <c r="O58" s="8">
        <v>205504</v>
      </c>
      <c r="Q58" s="8">
        <v>0</v>
      </c>
      <c r="S58" s="9">
        <f t="shared" si="0"/>
        <v>244313</v>
      </c>
      <c r="U58" s="8">
        <v>30376</v>
      </c>
      <c r="X58" s="8">
        <f>+'St of Net Assets - GA'!O58-'LT _Lia - GA'!U58</f>
        <v>0</v>
      </c>
    </row>
    <row r="59" spans="1:34">
      <c r="A59" s="13" t="s">
        <v>626</v>
      </c>
      <c r="B59" s="13"/>
      <c r="C59" s="13" t="s">
        <v>59</v>
      </c>
      <c r="D59" s="13"/>
      <c r="E59" s="32">
        <v>49593</v>
      </c>
      <c r="G59" s="8">
        <v>585000</v>
      </c>
      <c r="I59" s="8">
        <v>0</v>
      </c>
      <c r="K59" s="8">
        <v>0</v>
      </c>
      <c r="M59" s="8">
        <v>0</v>
      </c>
      <c r="O59" s="8">
        <v>589044</v>
      </c>
      <c r="Q59" s="8">
        <v>0</v>
      </c>
      <c r="S59" s="9">
        <f>SUM(G59:R59)</f>
        <v>1174044</v>
      </c>
      <c r="U59" s="8">
        <v>144036</v>
      </c>
      <c r="X59" s="8">
        <f>+'St of Net Assets - GA'!O59-'LT _Lia - GA'!U59</f>
        <v>0</v>
      </c>
    </row>
    <row r="60" spans="1:34" hidden="1">
      <c r="A60" s="13" t="s">
        <v>898</v>
      </c>
      <c r="B60" s="13"/>
      <c r="C60" s="13" t="s">
        <v>10</v>
      </c>
      <c r="D60" s="13"/>
      <c r="E60" s="32">
        <v>49593</v>
      </c>
      <c r="G60" s="8">
        <v>0</v>
      </c>
      <c r="I60" s="8">
        <v>0</v>
      </c>
      <c r="K60" s="8">
        <v>0</v>
      </c>
      <c r="M60" s="8">
        <v>0</v>
      </c>
      <c r="O60" s="8">
        <v>0</v>
      </c>
      <c r="Q60" s="8">
        <v>0</v>
      </c>
      <c r="S60" s="9">
        <f t="shared" si="0"/>
        <v>0</v>
      </c>
      <c r="U60" s="8">
        <v>0</v>
      </c>
      <c r="X60" s="8">
        <f>+'St of Net Assets - GA'!O60-'LT _Lia - GA'!U60</f>
        <v>0</v>
      </c>
      <c r="Z60" s="8" t="s">
        <v>956</v>
      </c>
    </row>
    <row r="61" spans="1:34">
      <c r="A61" s="13" t="s">
        <v>509</v>
      </c>
      <c r="B61" s="13"/>
      <c r="C61" s="13" t="s">
        <v>45</v>
      </c>
      <c r="D61" s="13"/>
      <c r="E61" s="32">
        <v>48306</v>
      </c>
      <c r="G61" s="8">
        <v>0</v>
      </c>
      <c r="I61" s="8">
        <v>0</v>
      </c>
      <c r="K61" s="8">
        <v>414439</v>
      </c>
      <c r="M61" s="8">
        <v>4782957</v>
      </c>
      <c r="O61" s="8">
        <v>3133182</v>
      </c>
      <c r="Q61" s="8">
        <v>177500</v>
      </c>
      <c r="S61" s="9">
        <f t="shared" si="0"/>
        <v>8508078</v>
      </c>
      <c r="U61" s="8">
        <v>976718</v>
      </c>
      <c r="X61" s="8">
        <f>+'St of Net Assets - GA'!O61-'LT _Lia - GA'!U61</f>
        <v>0</v>
      </c>
    </row>
    <row r="62" spans="1:34">
      <c r="A62" s="13" t="s">
        <v>642</v>
      </c>
      <c r="B62" s="13"/>
      <c r="C62" s="13" t="s">
        <v>61</v>
      </c>
      <c r="D62" s="13"/>
      <c r="E62" s="32">
        <v>49767</v>
      </c>
      <c r="G62" s="8">
        <f>175000+270000</f>
        <v>445000</v>
      </c>
      <c r="I62" s="8">
        <v>0</v>
      </c>
      <c r="K62" s="8">
        <v>0</v>
      </c>
      <c r="M62" s="8">
        <v>0</v>
      </c>
      <c r="O62" s="8">
        <v>173927</v>
      </c>
      <c r="Q62" s="8">
        <v>0</v>
      </c>
      <c r="S62" s="9">
        <f t="shared" si="0"/>
        <v>618927</v>
      </c>
      <c r="U62" s="8">
        <v>219352</v>
      </c>
      <c r="X62" s="8">
        <f>+'St of Net Assets - GA'!O62-'LT _Lia - GA'!U62</f>
        <v>0</v>
      </c>
    </row>
    <row r="63" spans="1:34">
      <c r="A63" s="13" t="s">
        <v>733</v>
      </c>
      <c r="B63" s="13"/>
      <c r="C63" s="13" t="s">
        <v>72</v>
      </c>
      <c r="D63" s="13"/>
      <c r="E63" s="32">
        <v>43638</v>
      </c>
      <c r="G63" s="8">
        <v>27605000</v>
      </c>
      <c r="I63" s="8">
        <v>0</v>
      </c>
      <c r="K63" s="8">
        <v>0</v>
      </c>
      <c r="M63" s="8">
        <v>0</v>
      </c>
      <c r="O63" s="8">
        <v>2816282</v>
      </c>
      <c r="Q63" s="8">
        <f>256386+1352922</f>
        <v>1609308</v>
      </c>
      <c r="S63" s="9">
        <f t="shared" si="0"/>
        <v>32030590</v>
      </c>
      <c r="U63" s="8">
        <v>1253143</v>
      </c>
      <c r="X63" s="8">
        <f>+'St of Net Assets - GA'!O63-'LT _Lia - GA'!U63</f>
        <v>0</v>
      </c>
    </row>
    <row r="64" spans="1:34" hidden="1">
      <c r="A64" s="88" t="s">
        <v>961</v>
      </c>
      <c r="B64" s="13"/>
      <c r="C64" s="13" t="s">
        <v>48</v>
      </c>
      <c r="D64" s="13"/>
      <c r="E64" s="32">
        <v>43646</v>
      </c>
      <c r="G64" s="8">
        <v>0</v>
      </c>
      <c r="I64" s="8">
        <v>0</v>
      </c>
      <c r="K64" s="8">
        <v>0</v>
      </c>
      <c r="M64" s="8">
        <v>0</v>
      </c>
      <c r="O64" s="8">
        <v>0</v>
      </c>
      <c r="Q64" s="8">
        <v>0</v>
      </c>
      <c r="S64" s="9">
        <f t="shared" ref="S64" si="4">SUM(G64:R64)</f>
        <v>0</v>
      </c>
      <c r="U64" s="8">
        <v>0</v>
      </c>
      <c r="X64" s="8">
        <f>+'St of Net Assets - GA'!O64-'LT _Lia - GA'!U64</f>
        <v>0</v>
      </c>
      <c r="AH64" s="8" t="s">
        <v>876</v>
      </c>
    </row>
    <row r="65" spans="1:26">
      <c r="A65" s="13" t="s">
        <v>873</v>
      </c>
      <c r="B65" s="13"/>
      <c r="C65" s="13" t="s">
        <v>20</v>
      </c>
      <c r="D65" s="13"/>
      <c r="E65" s="32">
        <v>43646</v>
      </c>
      <c r="G65" s="8">
        <v>15482896</v>
      </c>
      <c r="I65" s="8">
        <v>0</v>
      </c>
      <c r="K65" s="8">
        <v>9270311</v>
      </c>
      <c r="M65" s="8">
        <v>528184</v>
      </c>
      <c r="O65" s="8">
        <v>4757239</v>
      </c>
      <c r="Q65" s="8">
        <v>30000</v>
      </c>
      <c r="S65" s="9">
        <f t="shared" si="0"/>
        <v>30068630</v>
      </c>
      <c r="U65" s="8">
        <v>2221504</v>
      </c>
      <c r="X65" s="8">
        <f>+'St of Net Assets - GA'!O65-'LT _Lia - GA'!U65</f>
        <v>0</v>
      </c>
    </row>
    <row r="66" spans="1:26">
      <c r="A66" s="12" t="s">
        <v>232</v>
      </c>
      <c r="B66" s="13"/>
      <c r="C66" s="13" t="s">
        <v>15</v>
      </c>
      <c r="D66" s="13"/>
      <c r="E66" s="32">
        <v>45237</v>
      </c>
      <c r="G66" s="8">
        <f>110000+760000+3710000</f>
        <v>4580000</v>
      </c>
      <c r="I66" s="8">
        <v>0</v>
      </c>
      <c r="K66" s="8">
        <v>0</v>
      </c>
      <c r="M66" s="8">
        <v>36396</v>
      </c>
      <c r="O66" s="8">
        <f>403249+259411</f>
        <v>662660</v>
      </c>
      <c r="Q66" s="8">
        <v>0</v>
      </c>
      <c r="S66" s="9">
        <f t="shared" si="0"/>
        <v>5279056</v>
      </c>
      <c r="U66" s="8">
        <v>288622</v>
      </c>
      <c r="X66" s="8">
        <f>+'St of Net Assets - GA'!O66-'LT _Lia - GA'!U66</f>
        <v>0</v>
      </c>
      <c r="Z66" s="8" t="s">
        <v>956</v>
      </c>
    </row>
    <row r="67" spans="1:26">
      <c r="A67" s="13" t="s">
        <v>434</v>
      </c>
      <c r="B67" s="13"/>
      <c r="C67" s="13" t="s">
        <v>435</v>
      </c>
      <c r="D67" s="13"/>
      <c r="E67" s="32">
        <v>47613</v>
      </c>
      <c r="G67" s="8">
        <v>565000</v>
      </c>
      <c r="I67" s="8">
        <v>0</v>
      </c>
      <c r="K67" s="8">
        <v>0</v>
      </c>
      <c r="M67" s="8">
        <v>0</v>
      </c>
      <c r="O67" s="8">
        <v>195391</v>
      </c>
      <c r="Q67" s="8">
        <v>0</v>
      </c>
      <c r="S67" s="9">
        <f t="shared" si="0"/>
        <v>760391</v>
      </c>
      <c r="U67" s="8">
        <v>96283</v>
      </c>
      <c r="X67" s="8">
        <f>+'St of Net Assets - GA'!O67-'LT _Lia - GA'!U67</f>
        <v>0</v>
      </c>
    </row>
    <row r="68" spans="1:26">
      <c r="A68" s="13" t="s">
        <v>676</v>
      </c>
      <c r="B68" s="13"/>
      <c r="C68" s="13" t="s">
        <v>64</v>
      </c>
      <c r="D68" s="13"/>
      <c r="E68" s="13">
        <v>50112</v>
      </c>
      <c r="G68" s="8">
        <v>1625000</v>
      </c>
      <c r="I68" s="8">
        <v>0</v>
      </c>
      <c r="K68" s="8">
        <v>0</v>
      </c>
      <c r="M68" s="8">
        <v>0</v>
      </c>
      <c r="O68" s="8">
        <v>611231</v>
      </c>
      <c r="Q68" s="8">
        <v>38636</v>
      </c>
      <c r="S68" s="9">
        <f>SUM(G68:R68)</f>
        <v>2274867</v>
      </c>
      <c r="U68" s="8">
        <v>173914</v>
      </c>
      <c r="X68" s="8">
        <f>+'St of Net Assets - GA'!O68-'LT _Lia - GA'!U68</f>
        <v>0</v>
      </c>
    </row>
    <row r="69" spans="1:26">
      <c r="A69" s="13" t="s">
        <v>677</v>
      </c>
      <c r="B69" s="13"/>
      <c r="C69" s="13" t="s">
        <v>64</v>
      </c>
      <c r="D69" s="13"/>
      <c r="E69" s="32">
        <v>50120</v>
      </c>
      <c r="G69" s="8">
        <f>14235000+215729+8189</f>
        <v>14458918</v>
      </c>
      <c r="I69" s="8">
        <v>0</v>
      </c>
      <c r="K69" s="8">
        <v>0</v>
      </c>
      <c r="M69" s="8">
        <v>89064</v>
      </c>
      <c r="O69" s="8">
        <f>90000+890901</f>
        <v>980901</v>
      </c>
      <c r="Q69" s="8">
        <v>519128</v>
      </c>
      <c r="S69" s="9">
        <f t="shared" ref="S69:S84" si="5">SUM(G69:R69)</f>
        <v>16048011</v>
      </c>
      <c r="U69" s="8">
        <v>424426</v>
      </c>
      <c r="X69" s="8">
        <f>+'St of Net Assets - GA'!O69-'LT _Lia - GA'!U69</f>
        <v>0</v>
      </c>
      <c r="Z69" s="8" t="s">
        <v>956</v>
      </c>
    </row>
    <row r="70" spans="1:26">
      <c r="A70" s="13" t="s">
        <v>301</v>
      </c>
      <c r="B70" s="13"/>
      <c r="C70" s="13" t="s">
        <v>20</v>
      </c>
      <c r="D70" s="13"/>
      <c r="E70" s="32">
        <v>43653</v>
      </c>
      <c r="G70" s="8">
        <v>0</v>
      </c>
      <c r="I70" s="8">
        <v>0</v>
      </c>
      <c r="K70" s="8">
        <v>0</v>
      </c>
      <c r="M70" s="8">
        <v>0</v>
      </c>
      <c r="O70" s="8">
        <v>1091905</v>
      </c>
      <c r="Q70" s="8">
        <v>0</v>
      </c>
      <c r="S70" s="9">
        <f t="shared" si="5"/>
        <v>1091905</v>
      </c>
      <c r="U70" s="8">
        <v>156541</v>
      </c>
      <c r="X70" s="8">
        <f>+'St of Net Assets - GA'!O70-'LT _Lia - GA'!U70</f>
        <v>0</v>
      </c>
    </row>
    <row r="71" spans="1:26">
      <c r="A71" s="13" t="s">
        <v>965</v>
      </c>
      <c r="B71" s="13"/>
      <c r="C71" s="13" t="s">
        <v>50</v>
      </c>
      <c r="D71" s="13"/>
      <c r="E71" s="32">
        <v>48678</v>
      </c>
      <c r="G71" s="8">
        <v>21884882</v>
      </c>
      <c r="I71" s="8">
        <v>0</v>
      </c>
      <c r="K71" s="8">
        <v>0</v>
      </c>
      <c r="M71" s="8">
        <v>0</v>
      </c>
      <c r="O71" s="8">
        <v>888392</v>
      </c>
      <c r="Q71" s="8">
        <v>0</v>
      </c>
      <c r="S71" s="9">
        <f t="shared" si="5"/>
        <v>22773274</v>
      </c>
      <c r="U71" s="8">
        <v>614256</v>
      </c>
      <c r="X71" s="8">
        <f>+'St of Net Assets - GA'!O71-'LT _Lia - GA'!U71</f>
        <v>0</v>
      </c>
      <c r="Z71" s="8" t="s">
        <v>956</v>
      </c>
    </row>
    <row r="72" spans="1:26">
      <c r="A72" s="13" t="s">
        <v>252</v>
      </c>
      <c r="B72" s="13"/>
      <c r="C72" s="13" t="s">
        <v>16</v>
      </c>
      <c r="D72" s="13"/>
      <c r="E72" s="32">
        <v>46177</v>
      </c>
      <c r="G72" s="8">
        <v>0</v>
      </c>
      <c r="I72" s="8">
        <v>0</v>
      </c>
      <c r="K72" s="8">
        <v>0</v>
      </c>
      <c r="M72" s="8">
        <v>71113</v>
      </c>
      <c r="O72" s="8">
        <v>365023</v>
      </c>
      <c r="Q72" s="8">
        <v>0</v>
      </c>
      <c r="S72" s="9">
        <f t="shared" si="5"/>
        <v>436136</v>
      </c>
      <c r="U72" s="8">
        <v>57186</v>
      </c>
      <c r="X72" s="8">
        <f>+'St of Net Assets - GA'!O72-'LT _Lia - GA'!U72</f>
        <v>0</v>
      </c>
    </row>
    <row r="73" spans="1:26">
      <c r="A73" s="13" t="s">
        <v>526</v>
      </c>
      <c r="B73" s="13"/>
      <c r="C73" s="13" t="s">
        <v>47</v>
      </c>
      <c r="D73" s="13"/>
      <c r="E73" s="32">
        <v>43661</v>
      </c>
      <c r="G73" s="8">
        <v>16949971</v>
      </c>
      <c r="I73" s="8">
        <v>0</v>
      </c>
      <c r="K73" s="8">
        <v>1156000</v>
      </c>
      <c r="M73" s="8">
        <v>865189</v>
      </c>
      <c r="O73" s="8">
        <v>5421946</v>
      </c>
      <c r="Q73" s="8">
        <v>0</v>
      </c>
      <c r="S73" s="9">
        <f t="shared" si="5"/>
        <v>24393106</v>
      </c>
      <c r="U73" s="8">
        <v>2832499</v>
      </c>
      <c r="X73" s="8">
        <f>+'St of Net Assets - GA'!O73-'LT _Lia - GA'!U73</f>
        <v>0</v>
      </c>
    </row>
    <row r="74" spans="1:26" hidden="1">
      <c r="A74" s="13" t="s">
        <v>966</v>
      </c>
      <c r="B74" s="13"/>
      <c r="C74" s="13" t="s">
        <v>727</v>
      </c>
      <c r="D74" s="13"/>
      <c r="E74" s="32">
        <v>43679</v>
      </c>
      <c r="G74" s="8">
        <v>0</v>
      </c>
      <c r="I74" s="8">
        <v>0</v>
      </c>
      <c r="K74" s="8">
        <v>0</v>
      </c>
      <c r="M74" s="8">
        <v>0</v>
      </c>
      <c r="O74" s="8">
        <v>0</v>
      </c>
      <c r="Q74" s="8">
        <v>0</v>
      </c>
      <c r="S74" s="9">
        <f t="shared" si="5"/>
        <v>0</v>
      </c>
      <c r="U74" s="8">
        <v>0</v>
      </c>
      <c r="X74" s="8">
        <f>+'St of Net Assets - GA'!O74-'LT _Lia - GA'!U74</f>
        <v>0</v>
      </c>
      <c r="Z74" s="8" t="s">
        <v>956</v>
      </c>
    </row>
    <row r="75" spans="1:26">
      <c r="A75" s="13" t="s">
        <v>290</v>
      </c>
      <c r="B75" s="13"/>
      <c r="C75" s="13" t="s">
        <v>113</v>
      </c>
      <c r="D75" s="13"/>
      <c r="E75" s="32">
        <v>46508</v>
      </c>
      <c r="G75" s="8">
        <v>8476598</v>
      </c>
      <c r="I75" s="8">
        <v>456670</v>
      </c>
      <c r="K75" s="8">
        <v>0</v>
      </c>
      <c r="M75" s="8">
        <v>0</v>
      </c>
      <c r="O75" s="8">
        <v>428372</v>
      </c>
      <c r="Q75" s="8">
        <v>0</v>
      </c>
      <c r="S75" s="9">
        <f t="shared" si="5"/>
        <v>9361640</v>
      </c>
      <c r="U75" s="8">
        <v>253067</v>
      </c>
      <c r="X75" s="8">
        <f>+'St of Net Assets - GA'!O75-'LT _Lia - GA'!U75</f>
        <v>0</v>
      </c>
    </row>
    <row r="76" spans="1:26">
      <c r="A76" s="13" t="s">
        <v>217</v>
      </c>
      <c r="B76" s="13"/>
      <c r="C76" s="13" t="s">
        <v>12</v>
      </c>
      <c r="D76" s="13"/>
      <c r="E76" s="32">
        <v>45856</v>
      </c>
      <c r="G76" s="8">
        <v>160000</v>
      </c>
      <c r="I76" s="8">
        <v>0</v>
      </c>
      <c r="K76" s="8">
        <v>0</v>
      </c>
      <c r="M76" s="8">
        <v>0</v>
      </c>
      <c r="O76" s="8">
        <v>1077978</v>
      </c>
      <c r="Q76" s="8">
        <v>0</v>
      </c>
      <c r="S76" s="9">
        <f t="shared" si="5"/>
        <v>1237978</v>
      </c>
      <c r="U76" s="8">
        <v>89301</v>
      </c>
      <c r="X76" s="8">
        <f>+'St of Net Assets - GA'!O76-'LT _Lia - GA'!U76</f>
        <v>0</v>
      </c>
    </row>
    <row r="77" spans="1:26">
      <c r="A77" s="13"/>
      <c r="B77" s="13"/>
      <c r="C77" s="13"/>
      <c r="D77" s="13"/>
      <c r="E77" s="32"/>
      <c r="S77" s="9"/>
    </row>
    <row r="78" spans="1:26">
      <c r="A78" s="13"/>
      <c r="B78" s="13"/>
      <c r="C78" s="13"/>
      <c r="D78" s="13"/>
      <c r="E78" s="32"/>
      <c r="S78" s="9"/>
      <c r="U78" s="8" t="s">
        <v>805</v>
      </c>
    </row>
    <row r="79" spans="1:26">
      <c r="A79" s="13"/>
      <c r="B79" s="13"/>
      <c r="C79" s="13"/>
      <c r="D79" s="13"/>
      <c r="E79" s="32"/>
      <c r="S79" s="9"/>
    </row>
    <row r="80" spans="1:26">
      <c r="A80" s="13" t="s">
        <v>217</v>
      </c>
      <c r="B80" s="13"/>
      <c r="C80" s="13" t="s">
        <v>39</v>
      </c>
      <c r="D80" s="13"/>
      <c r="E80" s="32">
        <v>47787</v>
      </c>
      <c r="G80" s="35">
        <v>2426521</v>
      </c>
      <c r="H80" s="35"/>
      <c r="I80" s="35">
        <v>0</v>
      </c>
      <c r="J80" s="35"/>
      <c r="K80" s="35">
        <v>0</v>
      </c>
      <c r="L80" s="35"/>
      <c r="M80" s="35">
        <v>0</v>
      </c>
      <c r="N80" s="35"/>
      <c r="O80" s="35">
        <v>1304232</v>
      </c>
      <c r="P80" s="35"/>
      <c r="Q80" s="35">
        <v>0</v>
      </c>
      <c r="R80" s="35"/>
      <c r="S80" s="44">
        <f t="shared" si="5"/>
        <v>3730753</v>
      </c>
      <c r="T80" s="35"/>
      <c r="U80" s="35">
        <v>930506</v>
      </c>
      <c r="X80" s="8">
        <f>+'St of Net Assets - GA'!O80-'LT _Lia - GA'!U80</f>
        <v>0</v>
      </c>
    </row>
    <row r="81" spans="1:26">
      <c r="A81" s="13" t="s">
        <v>217</v>
      </c>
      <c r="B81" s="13"/>
      <c r="C81" s="13" t="s">
        <v>47</v>
      </c>
      <c r="D81" s="13"/>
      <c r="E81" s="32">
        <v>48470</v>
      </c>
      <c r="G81" s="8">
        <f>438000+8025000+3090000+7195000+275000+495838-328932+85388</f>
        <v>19275294</v>
      </c>
      <c r="I81" s="8">
        <v>0</v>
      </c>
      <c r="K81" s="8">
        <v>0</v>
      </c>
      <c r="M81" s="8">
        <v>0</v>
      </c>
      <c r="O81" s="8">
        <v>456929</v>
      </c>
      <c r="Q81" s="8">
        <v>0</v>
      </c>
      <c r="S81" s="9">
        <f t="shared" si="5"/>
        <v>19732223</v>
      </c>
      <c r="U81" s="8">
        <v>539753</v>
      </c>
      <c r="X81" s="8">
        <f>+'St of Net Assets - GA'!O81-'LT _Lia - GA'!U81</f>
        <v>0</v>
      </c>
    </row>
    <row r="82" spans="1:26" hidden="1">
      <c r="A82" s="90" t="s">
        <v>901</v>
      </c>
      <c r="B82" s="13"/>
      <c r="C82" s="13" t="s">
        <v>114</v>
      </c>
      <c r="D82" s="13"/>
      <c r="E82" s="32">
        <v>46755</v>
      </c>
      <c r="S82" s="9">
        <f>SUM(G82:R82)</f>
        <v>0</v>
      </c>
      <c r="X82" s="8">
        <f>+'St of Net Assets - GA'!O82-'LT _Lia - GA'!U82</f>
        <v>0</v>
      </c>
      <c r="Z82" s="8" t="s">
        <v>967</v>
      </c>
    </row>
    <row r="83" spans="1:26">
      <c r="A83" s="13" t="s">
        <v>334</v>
      </c>
      <c r="B83" s="13"/>
      <c r="C83" s="13" t="s">
        <v>23</v>
      </c>
      <c r="D83" s="13"/>
      <c r="E83" s="32">
        <v>46755</v>
      </c>
      <c r="G83" s="8">
        <v>25093564</v>
      </c>
      <c r="I83" s="8">
        <v>50000</v>
      </c>
      <c r="K83" s="8">
        <v>0</v>
      </c>
      <c r="M83" s="8">
        <v>116045</v>
      </c>
      <c r="O83" s="8">
        <v>1600997</v>
      </c>
      <c r="Q83" s="8">
        <v>0</v>
      </c>
      <c r="S83" s="9">
        <f t="shared" si="5"/>
        <v>26860606</v>
      </c>
      <c r="U83" s="8">
        <v>1636342</v>
      </c>
      <c r="X83" s="8">
        <f>+'St of Net Assets - GA'!O83-'LT _Lia - GA'!U83</f>
        <v>0</v>
      </c>
    </row>
    <row r="84" spans="1:26">
      <c r="A84" s="13" t="s">
        <v>291</v>
      </c>
      <c r="B84" s="13"/>
      <c r="C84" s="13" t="s">
        <v>113</v>
      </c>
      <c r="D84" s="13"/>
      <c r="E84" s="32">
        <v>43687</v>
      </c>
      <c r="G84" s="8">
        <v>13244727</v>
      </c>
      <c r="I84" s="8">
        <v>0</v>
      </c>
      <c r="K84" s="8">
        <v>0</v>
      </c>
      <c r="M84" s="8">
        <v>11605</v>
      </c>
      <c r="O84" s="8">
        <v>1202067</v>
      </c>
      <c r="Q84" s="8">
        <v>0</v>
      </c>
      <c r="S84" s="9">
        <f t="shared" si="5"/>
        <v>14458399</v>
      </c>
      <c r="U84" s="8">
        <v>303770</v>
      </c>
      <c r="X84" s="8">
        <f>+'St of Net Assets - GA'!O84-'LT _Lia - GA'!U84</f>
        <v>0</v>
      </c>
    </row>
    <row r="85" spans="1:26">
      <c r="A85" s="13" t="s">
        <v>569</v>
      </c>
      <c r="B85" s="13"/>
      <c r="C85" s="13" t="s">
        <v>52</v>
      </c>
      <c r="D85" s="13"/>
      <c r="E85" s="32">
        <v>45252</v>
      </c>
      <c r="G85" s="8">
        <v>0</v>
      </c>
      <c r="I85" s="8">
        <v>0</v>
      </c>
      <c r="K85" s="8">
        <v>0</v>
      </c>
      <c r="M85" s="8">
        <v>0</v>
      </c>
      <c r="O85" s="8">
        <v>323572</v>
      </c>
      <c r="Q85" s="8">
        <v>0</v>
      </c>
      <c r="S85" s="9">
        <f t="shared" ref="S85:S139" si="6">SUM(G85:R85)</f>
        <v>323572</v>
      </c>
      <c r="U85" s="8">
        <v>11667</v>
      </c>
      <c r="X85" s="8">
        <f>+'St of Net Assets - GA'!O85-'LT _Lia - GA'!U85</f>
        <v>0</v>
      </c>
    </row>
    <row r="86" spans="1:26">
      <c r="A86" s="13" t="s">
        <v>389</v>
      </c>
      <c r="B86" s="13"/>
      <c r="C86" s="13" t="s">
        <v>31</v>
      </c>
      <c r="D86" s="13"/>
      <c r="E86" s="32">
        <v>43695</v>
      </c>
      <c r="G86" s="8">
        <v>6223196</v>
      </c>
      <c r="I86" s="8">
        <v>0</v>
      </c>
      <c r="K86" s="8">
        <v>0</v>
      </c>
      <c r="M86" s="8">
        <v>44838</v>
      </c>
      <c r="O86" s="8">
        <v>1265992</v>
      </c>
      <c r="Q86" s="8">
        <v>0</v>
      </c>
      <c r="S86" s="9">
        <f t="shared" si="6"/>
        <v>7534026</v>
      </c>
      <c r="U86" s="8">
        <v>443868</v>
      </c>
      <c r="X86" s="8">
        <f>+'St of Net Assets - GA'!O86-'LT _Lia - GA'!U86</f>
        <v>0</v>
      </c>
    </row>
    <row r="87" spans="1:26">
      <c r="A87" s="13" t="s">
        <v>510</v>
      </c>
      <c r="B87" s="13"/>
      <c r="C87" s="13" t="s">
        <v>45</v>
      </c>
      <c r="D87" s="13"/>
      <c r="E87" s="32">
        <v>43703</v>
      </c>
      <c r="G87" s="8">
        <v>2199047</v>
      </c>
      <c r="I87" s="8">
        <v>0</v>
      </c>
      <c r="K87" s="8">
        <v>0</v>
      </c>
      <c r="M87" s="8">
        <v>2364534</v>
      </c>
      <c r="O87" s="8">
        <v>674112</v>
      </c>
      <c r="Q87" s="8">
        <v>0</v>
      </c>
      <c r="S87" s="9">
        <f t="shared" si="6"/>
        <v>5237693</v>
      </c>
      <c r="U87" s="8">
        <v>375041</v>
      </c>
      <c r="X87" s="8">
        <f>+'St of Net Assets - GA'!O87-'LT _Lia - GA'!U87</f>
        <v>0</v>
      </c>
    </row>
    <row r="88" spans="1:26">
      <c r="A88" s="13" t="s">
        <v>353</v>
      </c>
      <c r="B88" s="13"/>
      <c r="C88" s="13" t="s">
        <v>27</v>
      </c>
      <c r="D88" s="13"/>
      <c r="E88" s="32">
        <v>46946</v>
      </c>
      <c r="G88" s="8">
        <v>61248181</v>
      </c>
      <c r="I88" s="8">
        <v>0</v>
      </c>
      <c r="K88" s="8">
        <v>3100000</v>
      </c>
      <c r="M88" s="8">
        <v>212749</v>
      </c>
      <c r="O88" s="8">
        <v>590878</v>
      </c>
      <c r="Q88" s="8">
        <v>1163310</v>
      </c>
      <c r="S88" s="9">
        <f t="shared" si="6"/>
        <v>66315118</v>
      </c>
      <c r="U88" s="8">
        <v>4307548</v>
      </c>
      <c r="X88" s="8">
        <f>+'St of Net Assets - GA'!O88-'LT _Lia - GA'!U88</f>
        <v>0</v>
      </c>
    </row>
    <row r="89" spans="1:26">
      <c r="A89" s="13" t="s">
        <v>511</v>
      </c>
      <c r="B89" s="13"/>
      <c r="C89" s="13" t="s">
        <v>45</v>
      </c>
      <c r="D89" s="13"/>
      <c r="E89" s="32">
        <v>48314</v>
      </c>
      <c r="G89" s="8">
        <f>108000+64400+160000</f>
        <v>332400</v>
      </c>
      <c r="I89" s="8">
        <v>328937</v>
      </c>
      <c r="K89" s="8">
        <v>4730000</v>
      </c>
      <c r="M89" s="8">
        <v>0</v>
      </c>
      <c r="O89" s="8">
        <v>2806114</v>
      </c>
      <c r="Q89" s="8">
        <v>5475</v>
      </c>
      <c r="S89" s="9">
        <f t="shared" si="6"/>
        <v>8202926</v>
      </c>
      <c r="U89" s="8">
        <v>273696</v>
      </c>
      <c r="X89" s="8">
        <f>+'St of Net Assets - GA'!O89-'LT _Lia - GA'!U89</f>
        <v>0</v>
      </c>
    </row>
    <row r="90" spans="1:26">
      <c r="A90" s="13" t="s">
        <v>650</v>
      </c>
      <c r="B90" s="13"/>
      <c r="C90" s="13" t="s">
        <v>62</v>
      </c>
      <c r="D90" s="13"/>
      <c r="E90" s="32">
        <v>43711</v>
      </c>
      <c r="G90" s="8">
        <v>0</v>
      </c>
      <c r="I90" s="8">
        <v>0</v>
      </c>
      <c r="K90" s="8">
        <f>801677+60000</f>
        <v>861677</v>
      </c>
      <c r="M90" s="8">
        <v>598140</v>
      </c>
      <c r="O90" s="8">
        <v>2393260</v>
      </c>
      <c r="Q90" s="8">
        <v>100806</v>
      </c>
      <c r="S90" s="9">
        <f t="shared" si="6"/>
        <v>3953883</v>
      </c>
      <c r="U90" s="8">
        <v>719983</v>
      </c>
      <c r="X90" s="8">
        <f>+'St of Net Assets - GA'!O90-'LT _Lia - GA'!U90</f>
        <v>0</v>
      </c>
    </row>
    <row r="91" spans="1:26">
      <c r="A91" s="13" t="s">
        <v>649</v>
      </c>
      <c r="B91" s="13"/>
      <c r="C91" s="13" t="s">
        <v>62</v>
      </c>
      <c r="D91" s="13"/>
      <c r="E91" s="32">
        <v>49833</v>
      </c>
      <c r="G91" s="8">
        <v>44750000</v>
      </c>
      <c r="I91" s="8">
        <v>0</v>
      </c>
      <c r="K91" s="8">
        <v>3435000</v>
      </c>
      <c r="M91" s="8">
        <v>1082000</v>
      </c>
      <c r="O91" s="8">
        <v>4232000</v>
      </c>
      <c r="Q91" s="8">
        <v>6145000</v>
      </c>
      <c r="S91" s="9">
        <f t="shared" si="6"/>
        <v>59644000</v>
      </c>
      <c r="U91" s="8">
        <v>3632000</v>
      </c>
      <c r="X91" s="8">
        <f>+'St of Net Assets - GA'!O91-'LT _Lia - GA'!U91</f>
        <v>0</v>
      </c>
    </row>
    <row r="92" spans="1:26">
      <c r="A92" s="13" t="s">
        <v>378</v>
      </c>
      <c r="B92" s="13"/>
      <c r="C92" s="13" t="s">
        <v>30</v>
      </c>
      <c r="D92" s="13"/>
      <c r="E92" s="32">
        <v>47175</v>
      </c>
      <c r="G92" s="8">
        <v>10559668</v>
      </c>
      <c r="I92" s="8">
        <v>0</v>
      </c>
      <c r="K92" s="8">
        <v>0</v>
      </c>
      <c r="M92" s="8">
        <v>0</v>
      </c>
      <c r="O92" s="8">
        <v>979578</v>
      </c>
      <c r="Q92" s="8">
        <v>0</v>
      </c>
      <c r="S92" s="9">
        <f t="shared" si="6"/>
        <v>11539246</v>
      </c>
      <c r="U92" s="8">
        <v>858447</v>
      </c>
      <c r="X92" s="8">
        <f>+'St of Net Assets - GA'!O92-'LT _Lia - GA'!U92</f>
        <v>0</v>
      </c>
    </row>
    <row r="93" spans="1:26">
      <c r="A93" s="13" t="s">
        <v>560</v>
      </c>
      <c r="B93" s="13"/>
      <c r="C93" s="13" t="s">
        <v>78</v>
      </c>
      <c r="D93" s="13"/>
      <c r="E93" s="32">
        <v>48793</v>
      </c>
      <c r="G93" s="8">
        <v>5065928</v>
      </c>
      <c r="I93" s="8">
        <v>0</v>
      </c>
      <c r="K93" s="8">
        <v>0</v>
      </c>
      <c r="M93" s="8">
        <v>0</v>
      </c>
      <c r="O93" s="8">
        <v>638177</v>
      </c>
      <c r="Q93" s="8">
        <v>0</v>
      </c>
      <c r="S93" s="9">
        <f>SUM(G93:R93)</f>
        <v>5704105</v>
      </c>
      <c r="U93" s="8">
        <v>373729</v>
      </c>
      <c r="X93" s="8">
        <f>+'St of Net Assets - GA'!O93-'LT _Lia - GA'!U93</f>
        <v>0</v>
      </c>
    </row>
    <row r="94" spans="1:26" hidden="1"/>
    <row r="95" spans="1:26" hidden="1">
      <c r="A95" s="13" t="s">
        <v>838</v>
      </c>
      <c r="B95" s="13"/>
      <c r="C95" s="13" t="s">
        <v>740</v>
      </c>
      <c r="D95" s="13"/>
      <c r="E95" s="32">
        <v>45260</v>
      </c>
      <c r="G95" s="8">
        <v>0</v>
      </c>
      <c r="I95" s="8">
        <v>0</v>
      </c>
      <c r="K95" s="8">
        <v>0</v>
      </c>
      <c r="M95" s="8">
        <v>0</v>
      </c>
      <c r="O95" s="8">
        <v>0</v>
      </c>
      <c r="Q95" s="8">
        <v>0</v>
      </c>
      <c r="S95" s="9">
        <f t="shared" si="6"/>
        <v>0</v>
      </c>
      <c r="U95" s="8">
        <v>0</v>
      </c>
      <c r="X95" s="8">
        <f>+'St of Net Assets - GA'!O94-'LT _Lia - GA'!U95</f>
        <v>0</v>
      </c>
    </row>
    <row r="96" spans="1:26">
      <c r="A96" s="13" t="s">
        <v>708</v>
      </c>
      <c r="B96" s="13"/>
      <c r="C96" s="13" t="s">
        <v>69</v>
      </c>
      <c r="D96" s="13"/>
      <c r="E96" s="32">
        <v>50419</v>
      </c>
      <c r="G96" s="8">
        <v>0</v>
      </c>
      <c r="I96" s="8">
        <v>0</v>
      </c>
      <c r="K96" s="8">
        <v>318089</v>
      </c>
      <c r="M96" s="8">
        <v>66014</v>
      </c>
      <c r="O96" s="8">
        <v>791168</v>
      </c>
      <c r="Q96" s="8">
        <v>0</v>
      </c>
      <c r="S96" s="9">
        <f t="shared" si="6"/>
        <v>1175271</v>
      </c>
      <c r="U96" s="8">
        <v>201554</v>
      </c>
      <c r="X96" s="8">
        <f>+'St of Net Assets - GA'!O95-'LT _Lia - GA'!U96</f>
        <v>0</v>
      </c>
    </row>
    <row r="97" spans="1:26" s="35" customFormat="1">
      <c r="A97" s="34" t="s">
        <v>253</v>
      </c>
      <c r="B97" s="34"/>
      <c r="C97" s="34" t="s">
        <v>16</v>
      </c>
      <c r="D97" s="34"/>
      <c r="E97" s="34">
        <v>45278</v>
      </c>
      <c r="G97" s="8">
        <v>0</v>
      </c>
      <c r="H97" s="8"/>
      <c r="I97" s="8">
        <v>0</v>
      </c>
      <c r="J97" s="8"/>
      <c r="K97" s="8">
        <v>0</v>
      </c>
      <c r="L97" s="8"/>
      <c r="M97" s="8">
        <v>52922</v>
      </c>
      <c r="N97" s="8"/>
      <c r="O97" s="8">
        <v>1487054</v>
      </c>
      <c r="P97" s="8"/>
      <c r="Q97" s="8">
        <v>0</v>
      </c>
      <c r="R97" s="8"/>
      <c r="S97" s="9">
        <f t="shared" si="6"/>
        <v>1539976</v>
      </c>
      <c r="T97" s="8"/>
      <c r="U97" s="8">
        <v>92622</v>
      </c>
      <c r="X97" s="35">
        <f>+'St of Net Assets - GA'!O96-'LT _Lia - GA'!U97</f>
        <v>0</v>
      </c>
    </row>
    <row r="98" spans="1:26">
      <c r="A98" s="13" t="s">
        <v>385</v>
      </c>
      <c r="B98" s="13"/>
      <c r="C98" s="13" t="s">
        <v>116</v>
      </c>
      <c r="D98" s="13"/>
      <c r="E98" s="32">
        <v>47258</v>
      </c>
      <c r="G98" s="8">
        <v>0</v>
      </c>
      <c r="I98" s="8">
        <v>0</v>
      </c>
      <c r="K98" s="8">
        <v>0</v>
      </c>
      <c r="M98" s="8">
        <v>0</v>
      </c>
      <c r="O98" s="8">
        <v>397954</v>
      </c>
      <c r="Q98" s="8">
        <v>0</v>
      </c>
      <c r="S98" s="9">
        <f t="shared" si="6"/>
        <v>397954</v>
      </c>
      <c r="U98" s="8">
        <v>14924</v>
      </c>
      <c r="X98" s="8">
        <f>+'St of Net Assets - GA'!O97-'LT _Lia - GA'!U98</f>
        <v>0</v>
      </c>
    </row>
    <row r="99" spans="1:26" hidden="1">
      <c r="A99" s="13" t="s">
        <v>839</v>
      </c>
      <c r="B99" s="13"/>
      <c r="C99" s="13" t="s">
        <v>534</v>
      </c>
      <c r="D99" s="13"/>
      <c r="E99" s="32">
        <v>43729</v>
      </c>
      <c r="G99" s="8">
        <v>0</v>
      </c>
      <c r="I99" s="8">
        <v>0</v>
      </c>
      <c r="K99" s="8">
        <v>0</v>
      </c>
      <c r="M99" s="8">
        <v>0</v>
      </c>
      <c r="O99" s="8">
        <v>0</v>
      </c>
      <c r="Q99" s="8">
        <v>0</v>
      </c>
      <c r="S99" s="9">
        <f t="shared" ref="S99" si="7">SUM(G99:R99)</f>
        <v>0</v>
      </c>
      <c r="U99" s="8">
        <v>0</v>
      </c>
      <c r="X99" s="8">
        <f>+'St of Net Assets - GA'!O98-'LT _Lia - GA'!U99</f>
        <v>0</v>
      </c>
      <c r="Z99" s="8" t="s">
        <v>956</v>
      </c>
    </row>
    <row r="100" spans="1:26">
      <c r="A100" s="13" t="s">
        <v>906</v>
      </c>
      <c r="B100" s="13"/>
      <c r="C100" s="13" t="s">
        <v>40</v>
      </c>
      <c r="D100" s="13"/>
      <c r="E100" s="13">
        <v>47829</v>
      </c>
      <c r="G100" s="8">
        <v>5466670</v>
      </c>
      <c r="I100" s="8">
        <v>0</v>
      </c>
      <c r="K100" s="8">
        <v>0</v>
      </c>
      <c r="M100" s="8">
        <v>0</v>
      </c>
      <c r="O100" s="8">
        <v>472773</v>
      </c>
      <c r="Q100" s="8">
        <v>0</v>
      </c>
      <c r="S100" s="9">
        <f t="shared" si="6"/>
        <v>5939443</v>
      </c>
      <c r="U100" s="8">
        <v>300661</v>
      </c>
      <c r="X100" s="8">
        <f>+'St of Net Assets - GA'!O99-'LT _Lia - GA'!U100</f>
        <v>0</v>
      </c>
    </row>
    <row r="101" spans="1:26">
      <c r="A101" s="34" t="s">
        <v>907</v>
      </c>
      <c r="B101" s="13"/>
      <c r="C101" s="13" t="s">
        <v>50</v>
      </c>
      <c r="D101" s="13"/>
      <c r="E101" s="32">
        <v>43737</v>
      </c>
      <c r="G101" s="8">
        <v>70663795</v>
      </c>
      <c r="I101" s="8">
        <v>0</v>
      </c>
      <c r="K101" s="8">
        <v>0</v>
      </c>
      <c r="M101" s="8">
        <v>0</v>
      </c>
      <c r="O101" s="8">
        <v>2986831</v>
      </c>
      <c r="Q101" s="8">
        <v>0</v>
      </c>
      <c r="S101" s="9">
        <f t="shared" si="6"/>
        <v>73650626</v>
      </c>
      <c r="U101" s="8">
        <v>4050144</v>
      </c>
      <c r="X101" s="8">
        <f>+'St of Net Assets - GA'!O100-'LT _Lia - GA'!U101</f>
        <v>0</v>
      </c>
    </row>
    <row r="102" spans="1:26">
      <c r="A102" s="13" t="s">
        <v>1052</v>
      </c>
      <c r="B102" s="13"/>
      <c r="C102" s="13" t="s">
        <v>22</v>
      </c>
      <c r="D102" s="13"/>
      <c r="E102" s="32">
        <v>46714</v>
      </c>
      <c r="G102" s="8">
        <f>1770000+184581</f>
        <v>1954581</v>
      </c>
      <c r="I102" s="8">
        <v>0</v>
      </c>
      <c r="K102" s="8">
        <v>0</v>
      </c>
      <c r="M102" s="8">
        <v>109076</v>
      </c>
      <c r="O102" s="8">
        <v>1237487</v>
      </c>
      <c r="Q102" s="8">
        <v>0</v>
      </c>
      <c r="S102" s="9">
        <f t="shared" si="6"/>
        <v>3301144</v>
      </c>
      <c r="U102" s="8">
        <v>335998</v>
      </c>
      <c r="X102" s="8">
        <f>+'St of Net Assets - GA'!O101-'LT _Lia - GA'!U102</f>
        <v>0</v>
      </c>
      <c r="Z102" s="15" t="s">
        <v>905</v>
      </c>
    </row>
    <row r="103" spans="1:26">
      <c r="A103" s="13" t="s">
        <v>302</v>
      </c>
      <c r="B103" s="13"/>
      <c r="C103" s="13" t="s">
        <v>20</v>
      </c>
      <c r="D103" s="13"/>
      <c r="E103" s="32">
        <v>45286</v>
      </c>
      <c r="G103" s="8">
        <v>1544128</v>
      </c>
      <c r="I103" s="8">
        <v>0</v>
      </c>
      <c r="K103" s="8">
        <v>0</v>
      </c>
      <c r="M103" s="8">
        <v>0</v>
      </c>
      <c r="O103" s="8">
        <v>105750</v>
      </c>
      <c r="Q103" s="8">
        <v>0</v>
      </c>
      <c r="S103" s="9">
        <f t="shared" si="6"/>
        <v>1649878</v>
      </c>
      <c r="U103" s="8">
        <v>1649878</v>
      </c>
      <c r="X103" s="8">
        <f>+'St of Net Assets - GA'!O102-'LT _Lia - GA'!U103</f>
        <v>0</v>
      </c>
    </row>
    <row r="104" spans="1:26">
      <c r="A104" s="13" t="s">
        <v>678</v>
      </c>
      <c r="B104" s="13"/>
      <c r="C104" s="13" t="s">
        <v>64</v>
      </c>
      <c r="D104" s="13"/>
      <c r="E104" s="32">
        <v>50138</v>
      </c>
      <c r="G104" s="8">
        <v>0</v>
      </c>
      <c r="I104" s="8">
        <v>94257</v>
      </c>
      <c r="K104" s="8">
        <v>0</v>
      </c>
      <c r="M104" s="8">
        <v>1129224</v>
      </c>
      <c r="O104" s="8">
        <v>869370</v>
      </c>
      <c r="Q104" s="8">
        <v>0</v>
      </c>
      <c r="S104" s="9">
        <f t="shared" si="6"/>
        <v>2092851</v>
      </c>
      <c r="U104" s="8">
        <v>259180</v>
      </c>
      <c r="X104" s="8">
        <f>+'St of Net Assets - GA'!O103-'LT _Lia - GA'!U104</f>
        <v>0</v>
      </c>
    </row>
    <row r="105" spans="1:26">
      <c r="A105" s="13" t="s">
        <v>379</v>
      </c>
      <c r="B105" s="13"/>
      <c r="C105" s="13" t="s">
        <v>30</v>
      </c>
      <c r="D105" s="13"/>
      <c r="E105" s="32">
        <v>47183</v>
      </c>
      <c r="G105" s="8">
        <v>0</v>
      </c>
      <c r="I105" s="8">
        <v>0</v>
      </c>
      <c r="K105" s="8">
        <v>0</v>
      </c>
      <c r="M105" s="8">
        <v>157225</v>
      </c>
      <c r="O105" s="8">
        <v>1745927</v>
      </c>
      <c r="Q105" s="8">
        <v>321221</v>
      </c>
      <c r="S105" s="9">
        <f t="shared" si="6"/>
        <v>2224373</v>
      </c>
      <c r="U105" s="8">
        <v>497296</v>
      </c>
      <c r="X105" s="8">
        <f>+'St of Net Assets - GA'!O104-'LT _Lia - GA'!U105</f>
        <v>0</v>
      </c>
    </row>
    <row r="106" spans="1:26">
      <c r="A106" s="13" t="s">
        <v>465</v>
      </c>
      <c r="B106" s="13"/>
      <c r="C106" s="13" t="s">
        <v>466</v>
      </c>
      <c r="D106" s="13"/>
      <c r="E106" s="32">
        <v>45294</v>
      </c>
      <c r="G106" s="8">
        <v>1910314</v>
      </c>
      <c r="I106" s="8">
        <v>0</v>
      </c>
      <c r="K106" s="8">
        <v>0</v>
      </c>
      <c r="M106" s="8">
        <v>30763</v>
      </c>
      <c r="O106" s="8">
        <v>707944</v>
      </c>
      <c r="Q106" s="8">
        <v>0</v>
      </c>
      <c r="S106" s="9">
        <f t="shared" si="6"/>
        <v>2649021</v>
      </c>
      <c r="U106" s="8">
        <v>312031</v>
      </c>
      <c r="X106" s="8">
        <f>+'St of Net Assets - GA'!O105-'LT _Lia - GA'!U106</f>
        <v>0</v>
      </c>
    </row>
    <row r="107" spans="1:26">
      <c r="A107" s="13" t="s">
        <v>617</v>
      </c>
      <c r="B107" s="13"/>
      <c r="C107" s="13" t="s">
        <v>58</v>
      </c>
      <c r="D107" s="13"/>
      <c r="E107" s="32">
        <v>43745</v>
      </c>
      <c r="G107" s="8">
        <v>34292658</v>
      </c>
      <c r="I107" s="8">
        <v>0</v>
      </c>
      <c r="K107" s="8">
        <v>805000</v>
      </c>
      <c r="M107" s="8">
        <v>0</v>
      </c>
      <c r="O107" s="8">
        <v>1704143</v>
      </c>
      <c r="Q107" s="8">
        <v>0</v>
      </c>
      <c r="S107" s="9">
        <f t="shared" si="6"/>
        <v>36801801</v>
      </c>
      <c r="U107" s="8">
        <f>190000+1327132</f>
        <v>1517132</v>
      </c>
      <c r="X107" s="8">
        <f>+'St of Net Assets - GA'!O106-'LT _Lia - GA'!U107</f>
        <v>0</v>
      </c>
    </row>
    <row r="108" spans="1:26">
      <c r="A108" s="13" t="s">
        <v>971</v>
      </c>
      <c r="B108" s="13"/>
      <c r="C108" s="13" t="s">
        <v>71</v>
      </c>
      <c r="D108" s="13"/>
      <c r="E108" s="32">
        <v>50534</v>
      </c>
      <c r="G108" s="8">
        <v>0</v>
      </c>
      <c r="I108" s="8">
        <v>0</v>
      </c>
      <c r="K108" s="8">
        <v>0</v>
      </c>
      <c r="M108" s="8">
        <v>0</v>
      </c>
      <c r="O108" s="8">
        <v>548661</v>
      </c>
      <c r="Q108" s="8">
        <v>0</v>
      </c>
      <c r="S108" s="9">
        <f t="shared" si="6"/>
        <v>548661</v>
      </c>
      <c r="U108" s="8">
        <v>33082</v>
      </c>
      <c r="X108" s="8">
        <f>+'St of Net Assets - GA'!O107-'LT _Lia - GA'!U108</f>
        <v>0</v>
      </c>
    </row>
    <row r="109" spans="1:26">
      <c r="A109" s="13" t="s">
        <v>910</v>
      </c>
      <c r="B109" s="13"/>
      <c r="C109" s="13" t="s">
        <v>32</v>
      </c>
      <c r="D109" s="13"/>
      <c r="E109" s="32">
        <v>43752</v>
      </c>
      <c r="G109" s="8">
        <v>628860293</v>
      </c>
      <c r="I109" s="8">
        <v>0</v>
      </c>
      <c r="K109" s="8">
        <v>0</v>
      </c>
      <c r="M109" s="8">
        <v>124116676</v>
      </c>
      <c r="O109" s="8">
        <v>54403432</v>
      </c>
      <c r="Q109" s="8">
        <v>0</v>
      </c>
      <c r="S109" s="9">
        <f t="shared" si="6"/>
        <v>807380401</v>
      </c>
      <c r="U109" s="8">
        <v>32048627</v>
      </c>
      <c r="X109" s="8">
        <f>+'St of Net Assets - GA'!O108-'LT _Lia - GA'!U109</f>
        <v>0</v>
      </c>
    </row>
    <row r="110" spans="1:26">
      <c r="A110" s="13" t="s">
        <v>581</v>
      </c>
      <c r="B110" s="13"/>
      <c r="C110" s="13" t="s">
        <v>54</v>
      </c>
      <c r="D110" s="13"/>
      <c r="E110" s="32">
        <v>43760</v>
      </c>
      <c r="G110" s="8">
        <v>0</v>
      </c>
      <c r="I110" s="8">
        <v>0</v>
      </c>
      <c r="K110" s="8">
        <v>336000</v>
      </c>
      <c r="M110" s="8">
        <v>631196</v>
      </c>
      <c r="O110" s="8">
        <v>1546646</v>
      </c>
      <c r="Q110" s="8">
        <v>780378</v>
      </c>
      <c r="S110" s="9">
        <f t="shared" si="6"/>
        <v>3294220</v>
      </c>
      <c r="U110" s="8">
        <v>1300321</v>
      </c>
      <c r="X110" s="8">
        <f>+'St of Net Assets - GA'!O109-'LT _Lia - GA'!U110</f>
        <v>0</v>
      </c>
    </row>
    <row r="111" spans="1:26">
      <c r="A111" s="13" t="s">
        <v>260</v>
      </c>
      <c r="B111" s="13"/>
      <c r="C111" s="13" t="s">
        <v>17</v>
      </c>
      <c r="D111" s="13"/>
      <c r="E111" s="32">
        <v>46284</v>
      </c>
      <c r="G111" s="8">
        <v>0</v>
      </c>
      <c r="I111" s="8">
        <v>0</v>
      </c>
      <c r="K111" s="8">
        <v>0</v>
      </c>
      <c r="M111" s="8">
        <v>100915</v>
      </c>
      <c r="O111" s="8">
        <v>1411656</v>
      </c>
      <c r="Q111" s="8">
        <v>0</v>
      </c>
      <c r="S111" s="9">
        <f t="shared" si="6"/>
        <v>1512571</v>
      </c>
      <c r="U111" s="8">
        <v>126543</v>
      </c>
      <c r="X111" s="8">
        <f>+'St of Net Assets - GA'!O110-'LT _Lia - GA'!U111</f>
        <v>0</v>
      </c>
    </row>
    <row r="112" spans="1:26">
      <c r="A112" s="13" t="s">
        <v>627</v>
      </c>
      <c r="B112" s="13"/>
      <c r="C112" s="13" t="s">
        <v>59</v>
      </c>
      <c r="D112" s="13"/>
      <c r="E112" s="32">
        <v>49601</v>
      </c>
      <c r="G112" s="8">
        <f>335000+4800000+130000+28628+217749</f>
        <v>5511377</v>
      </c>
      <c r="I112" s="8">
        <v>0</v>
      </c>
      <c r="K112" s="8">
        <v>0</v>
      </c>
      <c r="M112" s="8">
        <v>152000</v>
      </c>
      <c r="O112" s="8">
        <v>423376</v>
      </c>
      <c r="Q112" s="8">
        <v>0</v>
      </c>
      <c r="S112" s="9">
        <f t="shared" si="6"/>
        <v>6086753</v>
      </c>
      <c r="U112" s="8">
        <v>120187</v>
      </c>
      <c r="X112" s="8">
        <f>+'St of Net Assets - GA'!O111-'LT _Lia - GA'!U112</f>
        <v>0</v>
      </c>
    </row>
    <row r="113" spans="1:28">
      <c r="A113" s="13" t="s">
        <v>694</v>
      </c>
      <c r="B113" s="13"/>
      <c r="C113" s="13" t="s">
        <v>65</v>
      </c>
      <c r="D113" s="13"/>
      <c r="E113" s="32">
        <v>43778</v>
      </c>
      <c r="G113" s="8">
        <v>3620310</v>
      </c>
      <c r="I113" s="8">
        <v>0</v>
      </c>
      <c r="K113" s="8">
        <v>0</v>
      </c>
      <c r="M113" s="8">
        <v>96651</v>
      </c>
      <c r="O113" s="8">
        <v>1168949</v>
      </c>
      <c r="Q113" s="8">
        <v>0</v>
      </c>
      <c r="S113" s="9">
        <f t="shared" si="6"/>
        <v>4885910</v>
      </c>
      <c r="U113" s="8">
        <v>481594</v>
      </c>
      <c r="X113" s="8">
        <f>+'St of Net Assets - GA'!O112-'LT _Lia - GA'!U113</f>
        <v>0</v>
      </c>
    </row>
    <row r="114" spans="1:28">
      <c r="A114" s="13" t="s">
        <v>609</v>
      </c>
      <c r="B114" s="13"/>
      <c r="C114" s="13" t="s">
        <v>112</v>
      </c>
      <c r="D114" s="13"/>
      <c r="E114" s="32">
        <v>49411</v>
      </c>
      <c r="G114" s="8">
        <v>6992530</v>
      </c>
      <c r="I114" s="8">
        <v>0</v>
      </c>
      <c r="K114" s="8">
        <v>0</v>
      </c>
      <c r="M114" s="8">
        <v>0</v>
      </c>
      <c r="O114" s="8">
        <v>664638</v>
      </c>
      <c r="Q114" s="8">
        <v>0</v>
      </c>
      <c r="S114" s="9">
        <f t="shared" si="6"/>
        <v>7657168</v>
      </c>
      <c r="U114" s="8">
        <v>385056</v>
      </c>
      <c r="X114" s="8">
        <f>+'St of Net Assets - GA'!O113-'LT _Lia - GA'!U114</f>
        <v>0</v>
      </c>
    </row>
    <row r="115" spans="1:28">
      <c r="A115" s="13" t="s">
        <v>485</v>
      </c>
      <c r="B115" s="13"/>
      <c r="C115" s="13" t="s">
        <v>44</v>
      </c>
      <c r="D115" s="13"/>
      <c r="E115" s="32">
        <v>48132</v>
      </c>
      <c r="G115" s="8">
        <v>4780000</v>
      </c>
      <c r="I115" s="8">
        <v>0</v>
      </c>
      <c r="K115" s="8">
        <v>0</v>
      </c>
      <c r="M115" s="8">
        <v>143016</v>
      </c>
      <c r="O115" s="8">
        <v>951481</v>
      </c>
      <c r="Q115" s="8">
        <v>0</v>
      </c>
      <c r="S115" s="9">
        <f t="shared" si="6"/>
        <v>5874497</v>
      </c>
      <c r="U115" s="8">
        <v>271844</v>
      </c>
      <c r="X115" s="8">
        <f>+'St of Net Assets - GA'!O114-'LT _Lia - GA'!U115</f>
        <v>0</v>
      </c>
    </row>
    <row r="116" spans="1:28">
      <c r="A116" s="13" t="s">
        <v>911</v>
      </c>
      <c r="B116" s="13"/>
      <c r="C116" s="13" t="s">
        <v>115</v>
      </c>
      <c r="D116" s="13"/>
      <c r="E116" s="32"/>
      <c r="G116" s="8">
        <v>1670000</v>
      </c>
      <c r="I116" s="8">
        <v>0</v>
      </c>
      <c r="K116" s="8">
        <v>0</v>
      </c>
      <c r="M116" s="8">
        <v>0</v>
      </c>
      <c r="O116" s="8">
        <v>1106634</v>
      </c>
      <c r="Q116" s="8">
        <v>0</v>
      </c>
      <c r="S116" s="9">
        <f t="shared" si="6"/>
        <v>2776634</v>
      </c>
      <c r="U116" s="8">
        <v>616364</v>
      </c>
      <c r="X116" s="8">
        <f>+'St of Net Assets - GA'!O115-'LT _Lia - GA'!U116</f>
        <v>0</v>
      </c>
    </row>
    <row r="117" spans="1:28">
      <c r="A117" s="13" t="s">
        <v>908</v>
      </c>
      <c r="B117" s="13"/>
      <c r="C117" s="13" t="s">
        <v>20</v>
      </c>
      <c r="D117" s="13"/>
      <c r="E117" s="32">
        <v>43794</v>
      </c>
      <c r="G117" s="8">
        <f>3085000+8085000+5500000</f>
        <v>16670000</v>
      </c>
      <c r="I117" s="8">
        <v>0</v>
      </c>
      <c r="K117" s="8">
        <v>0</v>
      </c>
      <c r="M117" s="8">
        <v>775783</v>
      </c>
      <c r="O117" s="8">
        <f>6059957+192000+12000+247514</f>
        <v>6511471</v>
      </c>
      <c r="Q117" s="8">
        <v>0</v>
      </c>
      <c r="S117" s="9">
        <f t="shared" si="6"/>
        <v>23957254</v>
      </c>
      <c r="U117" s="8">
        <f>1859568+29326</f>
        <v>1888894</v>
      </c>
      <c r="X117" s="8">
        <f>+'St of Net Assets - GA'!O116-'LT _Lia - GA'!U117</f>
        <v>0</v>
      </c>
    </row>
    <row r="118" spans="1:28">
      <c r="A118" s="13" t="s">
        <v>303</v>
      </c>
      <c r="B118" s="13"/>
      <c r="C118" s="13" t="s">
        <v>20</v>
      </c>
      <c r="D118" s="13"/>
      <c r="E118" s="32">
        <v>43786</v>
      </c>
      <c r="G118" s="8">
        <f>167606189+21250000</f>
        <v>188856189</v>
      </c>
      <c r="I118" s="8">
        <v>0</v>
      </c>
      <c r="K118" s="8">
        <v>0</v>
      </c>
      <c r="M118" s="8">
        <v>1751391</v>
      </c>
      <c r="O118" s="8">
        <v>51728362</v>
      </c>
      <c r="Q118" s="8">
        <v>7452655</v>
      </c>
      <c r="S118" s="9">
        <f t="shared" si="6"/>
        <v>249788597</v>
      </c>
      <c r="U118" s="8">
        <v>21255784</v>
      </c>
      <c r="X118" s="8">
        <f>+'St of Net Assets - GA'!O117-'LT _Lia - GA'!U118</f>
        <v>0</v>
      </c>
    </row>
    <row r="119" spans="1:28">
      <c r="A119" s="13" t="s">
        <v>275</v>
      </c>
      <c r="B119" s="13"/>
      <c r="C119" s="13" t="s">
        <v>18</v>
      </c>
      <c r="D119" s="13"/>
      <c r="E119" s="32">
        <v>46391</v>
      </c>
      <c r="G119" s="8">
        <f>268621+8110000</f>
        <v>8378621</v>
      </c>
      <c r="I119" s="8">
        <v>0</v>
      </c>
      <c r="K119" s="8">
        <v>0</v>
      </c>
      <c r="M119" s="8">
        <v>207528</v>
      </c>
      <c r="O119" s="8">
        <v>722056</v>
      </c>
      <c r="Q119" s="8">
        <v>0</v>
      </c>
      <c r="S119" s="9">
        <f t="shared" si="6"/>
        <v>9308205</v>
      </c>
      <c r="U119" s="8">
        <v>523786</v>
      </c>
      <c r="X119" s="8">
        <f>+'St of Net Assets - GA'!O118-'LT _Lia - GA'!U119</f>
        <v>0</v>
      </c>
    </row>
    <row r="120" spans="1:28">
      <c r="A120" s="13" t="s">
        <v>527</v>
      </c>
      <c r="B120" s="13"/>
      <c r="C120" s="13" t="s">
        <v>47</v>
      </c>
      <c r="D120" s="13"/>
      <c r="E120" s="32">
        <v>48488</v>
      </c>
      <c r="G120" s="8">
        <v>0</v>
      </c>
      <c r="I120" s="8">
        <v>0</v>
      </c>
      <c r="K120" s="8">
        <v>0</v>
      </c>
      <c r="M120" s="8">
        <v>0</v>
      </c>
      <c r="O120" s="8">
        <v>2457396</v>
      </c>
      <c r="Q120" s="8">
        <v>0</v>
      </c>
      <c r="S120" s="9">
        <f t="shared" si="6"/>
        <v>2457396</v>
      </c>
      <c r="U120" s="8">
        <v>322487</v>
      </c>
      <c r="X120" s="8">
        <f>+'St of Net Assets - GA'!O119-'LT _Lia - GA'!U120</f>
        <v>0</v>
      </c>
    </row>
    <row r="121" spans="1:28">
      <c r="A121" s="13" t="s">
        <v>622</v>
      </c>
      <c r="B121" s="13"/>
      <c r="C121" s="13" t="s">
        <v>79</v>
      </c>
      <c r="D121" s="13"/>
      <c r="E121" s="32">
        <v>45302</v>
      </c>
      <c r="G121" s="8">
        <v>25550487</v>
      </c>
      <c r="I121" s="8">
        <v>2707199</v>
      </c>
      <c r="K121" s="8">
        <v>0</v>
      </c>
      <c r="M121" s="8">
        <v>66123</v>
      </c>
      <c r="O121" s="8">
        <v>1808974</v>
      </c>
      <c r="Q121" s="8">
        <v>0</v>
      </c>
      <c r="S121" s="9">
        <f t="shared" si="6"/>
        <v>30132783</v>
      </c>
      <c r="U121" s="8">
        <v>1059798</v>
      </c>
      <c r="X121" s="8">
        <f>+'St of Net Assets - GA'!O120-'LT _Lia - GA'!U121</f>
        <v>0</v>
      </c>
    </row>
    <row r="122" spans="1:28" hidden="1">
      <c r="A122" s="13" t="s">
        <v>914</v>
      </c>
      <c r="B122" s="13"/>
      <c r="C122" s="13" t="s">
        <v>534</v>
      </c>
      <c r="D122" s="13"/>
      <c r="E122" s="32"/>
      <c r="G122" s="8">
        <v>0</v>
      </c>
      <c r="I122" s="8">
        <v>0</v>
      </c>
      <c r="K122" s="8">
        <v>0</v>
      </c>
      <c r="M122" s="8">
        <v>0</v>
      </c>
      <c r="O122" s="8">
        <v>0</v>
      </c>
      <c r="Q122" s="8">
        <v>0</v>
      </c>
      <c r="S122" s="9">
        <f t="shared" si="6"/>
        <v>0</v>
      </c>
      <c r="U122" s="8">
        <v>0</v>
      </c>
      <c r="X122" s="8">
        <f>+'St of Net Assets - GA'!O121-'LT _Lia - GA'!U122</f>
        <v>0</v>
      </c>
    </row>
    <row r="123" spans="1:28" hidden="1">
      <c r="A123" s="13" t="s">
        <v>829</v>
      </c>
      <c r="B123" s="13"/>
      <c r="C123" s="13" t="s">
        <v>57</v>
      </c>
      <c r="D123" s="13"/>
      <c r="E123" s="32">
        <v>64964</v>
      </c>
      <c r="G123" s="8">
        <v>0</v>
      </c>
      <c r="I123" s="8">
        <v>0</v>
      </c>
      <c r="K123" s="8">
        <v>0</v>
      </c>
      <c r="M123" s="8">
        <v>0</v>
      </c>
      <c r="O123" s="8">
        <v>0</v>
      </c>
      <c r="Q123" s="8">
        <v>0</v>
      </c>
      <c r="S123" s="9">
        <f>SUM(G123:R123)</f>
        <v>0</v>
      </c>
      <c r="U123" s="8">
        <v>0</v>
      </c>
      <c r="X123" s="8">
        <f>+'St of Net Assets - GA'!O122-'LT _Lia - GA'!U123</f>
        <v>0</v>
      </c>
    </row>
    <row r="124" spans="1:28">
      <c r="A124" s="13" t="s">
        <v>292</v>
      </c>
      <c r="B124" s="13"/>
      <c r="C124" s="13" t="s">
        <v>113</v>
      </c>
      <c r="D124" s="13"/>
      <c r="E124" s="32">
        <v>46516</v>
      </c>
      <c r="G124" s="8">
        <v>13773091</v>
      </c>
      <c r="I124" s="8">
        <v>0</v>
      </c>
      <c r="K124" s="8">
        <v>0</v>
      </c>
      <c r="M124" s="8">
        <v>0</v>
      </c>
      <c r="O124" s="8">
        <v>575623</v>
      </c>
      <c r="Q124" s="8">
        <f>129115+30430</f>
        <v>159545</v>
      </c>
      <c r="S124" s="9">
        <f t="shared" si="6"/>
        <v>14508259</v>
      </c>
      <c r="U124" s="8">
        <v>438497</v>
      </c>
      <c r="X124" s="8">
        <f>+'St of Net Assets - GA'!O123-'LT _Lia - GA'!U124</f>
        <v>0</v>
      </c>
      <c r="AB124" s="8" t="s">
        <v>764</v>
      </c>
    </row>
    <row r="125" spans="1:28">
      <c r="A125" s="13" t="s">
        <v>486</v>
      </c>
      <c r="B125" s="13"/>
      <c r="C125" s="13" t="s">
        <v>44</v>
      </c>
      <c r="D125" s="13"/>
      <c r="E125" s="32">
        <v>48140</v>
      </c>
      <c r="G125" s="8">
        <v>0</v>
      </c>
      <c r="I125" s="8">
        <v>0</v>
      </c>
      <c r="K125" s="8">
        <v>0</v>
      </c>
      <c r="M125" s="8">
        <v>67000</v>
      </c>
      <c r="O125" s="8">
        <v>906884</v>
      </c>
      <c r="Q125" s="8">
        <v>0</v>
      </c>
      <c r="S125" s="9">
        <f t="shared" si="6"/>
        <v>973884</v>
      </c>
      <c r="U125" s="8">
        <v>145294</v>
      </c>
      <c r="X125" s="8">
        <f>+'St of Net Assets - GA'!O124-'LT _Lia - GA'!U125</f>
        <v>0</v>
      </c>
    </row>
    <row r="126" spans="1:28">
      <c r="A126" s="13" t="s">
        <v>279</v>
      </c>
      <c r="B126" s="13"/>
      <c r="C126" s="13" t="s">
        <v>114</v>
      </c>
      <c r="D126" s="13"/>
      <c r="E126" s="32">
        <v>45328</v>
      </c>
      <c r="G126" s="8">
        <v>9595868</v>
      </c>
      <c r="I126" s="8">
        <v>0</v>
      </c>
      <c r="K126" s="8">
        <v>0</v>
      </c>
      <c r="M126" s="8">
        <v>59970</v>
      </c>
      <c r="O126" s="8">
        <v>691207</v>
      </c>
      <c r="Q126" s="8">
        <v>0</v>
      </c>
      <c r="S126" s="9">
        <f t="shared" si="6"/>
        <v>10347045</v>
      </c>
      <c r="U126" s="8">
        <v>662102</v>
      </c>
      <c r="X126" s="8">
        <f>+'St of Net Assets - GA'!O125-'LT _Lia - GA'!U126</f>
        <v>0</v>
      </c>
    </row>
    <row r="127" spans="1:28">
      <c r="A127" s="13" t="s">
        <v>354</v>
      </c>
      <c r="B127" s="13"/>
      <c r="C127" s="13" t="s">
        <v>27</v>
      </c>
      <c r="D127" s="13"/>
      <c r="E127" s="32">
        <v>43802</v>
      </c>
      <c r="G127" s="8">
        <f>8575000+8005000+419998+22235+216802+41665000+31225000+2724547+2960106+9500124+5240000+28755000+1985000+1098654+17155000+486397+210605000+64300000+4084897+1542565+26665118-8082798+4855000+1830000+81171-175347</f>
        <v>465739469</v>
      </c>
      <c r="I127" s="8">
        <v>0</v>
      </c>
      <c r="K127" s="8">
        <f>15000000+10795+60000000+94431+60000000+219823</f>
        <v>135325049</v>
      </c>
      <c r="M127" s="8">
        <v>98975</v>
      </c>
      <c r="O127" s="8">
        <v>63393570</v>
      </c>
      <c r="Q127" s="8">
        <v>16356841</v>
      </c>
      <c r="S127" s="9">
        <f t="shared" si="6"/>
        <v>680913904</v>
      </c>
      <c r="U127" s="8">
        <v>99952193</v>
      </c>
      <c r="X127" s="8">
        <f>+'St of Net Assets - GA'!O126-'LT _Lia - GA'!U127</f>
        <v>0</v>
      </c>
    </row>
    <row r="128" spans="1:28" hidden="1">
      <c r="A128" s="13" t="s">
        <v>830</v>
      </c>
      <c r="B128" s="13"/>
      <c r="C128" s="13" t="s">
        <v>603</v>
      </c>
      <c r="D128" s="13"/>
      <c r="E128" s="32">
        <v>49312</v>
      </c>
      <c r="G128" s="8">
        <v>0</v>
      </c>
      <c r="I128" s="8">
        <v>0</v>
      </c>
      <c r="K128" s="8">
        <v>0</v>
      </c>
      <c r="M128" s="8">
        <v>0</v>
      </c>
      <c r="O128" s="8">
        <v>0</v>
      </c>
      <c r="Q128" s="8">
        <v>0</v>
      </c>
      <c r="S128" s="9">
        <f t="shared" ref="S128" si="8">SUM(G128:R128)</f>
        <v>0</v>
      </c>
      <c r="U128" s="8">
        <v>0</v>
      </c>
      <c r="X128" s="8">
        <f>+'St of Net Assets - GA'!O127-'LT _Lia - GA'!U128</f>
        <v>0</v>
      </c>
    </row>
    <row r="129" spans="1:26">
      <c r="A129" s="13" t="s">
        <v>218</v>
      </c>
      <c r="B129" s="13"/>
      <c r="C129" s="13" t="s">
        <v>12</v>
      </c>
      <c r="D129" s="13"/>
      <c r="E129" s="32">
        <v>43810</v>
      </c>
      <c r="G129" s="8">
        <v>5116385</v>
      </c>
      <c r="I129" s="8">
        <v>0</v>
      </c>
      <c r="K129" s="8">
        <v>0</v>
      </c>
      <c r="M129" s="8">
        <v>0</v>
      </c>
      <c r="O129" s="8">
        <v>1034447</v>
      </c>
      <c r="Q129" s="8">
        <v>0</v>
      </c>
      <c r="S129" s="9">
        <f t="shared" si="6"/>
        <v>6150832</v>
      </c>
      <c r="U129" s="8">
        <v>339478</v>
      </c>
      <c r="X129" s="8">
        <f>+'St of Net Assets - GA'!O128-'LT _Lia - GA'!U129</f>
        <v>0</v>
      </c>
    </row>
    <row r="130" spans="1:26">
      <c r="A130" s="13" t="s">
        <v>427</v>
      </c>
      <c r="B130" s="13"/>
      <c r="C130" s="13" t="s">
        <v>428</v>
      </c>
      <c r="D130" s="13"/>
      <c r="E130" s="32">
        <v>47548</v>
      </c>
      <c r="G130" s="8">
        <v>0</v>
      </c>
      <c r="I130" s="8">
        <v>0</v>
      </c>
      <c r="K130" s="8">
        <v>0</v>
      </c>
      <c r="M130" s="8">
        <v>30845</v>
      </c>
      <c r="O130" s="8">
        <v>273817</v>
      </c>
      <c r="Q130" s="8">
        <v>0</v>
      </c>
      <c r="S130" s="9">
        <f t="shared" si="6"/>
        <v>304662</v>
      </c>
      <c r="U130" s="8">
        <v>41954</v>
      </c>
      <c r="X130" s="8">
        <f>+'St of Net Assets - GA'!O129-'LT _Lia - GA'!U130</f>
        <v>0</v>
      </c>
    </row>
    <row r="131" spans="1:26" hidden="1">
      <c r="A131" s="88" t="s">
        <v>969</v>
      </c>
      <c r="B131" s="13"/>
      <c r="C131" s="13" t="s">
        <v>603</v>
      </c>
      <c r="D131" s="13"/>
      <c r="E131" s="32">
        <v>49320</v>
      </c>
      <c r="G131" s="8">
        <v>0</v>
      </c>
      <c r="I131" s="8">
        <v>0</v>
      </c>
      <c r="K131" s="8">
        <v>0</v>
      </c>
      <c r="M131" s="8">
        <v>0</v>
      </c>
      <c r="O131" s="8">
        <v>0</v>
      </c>
      <c r="Q131" s="8">
        <v>0</v>
      </c>
      <c r="S131" s="9">
        <f t="shared" si="6"/>
        <v>0</v>
      </c>
      <c r="U131" s="8">
        <v>0</v>
      </c>
      <c r="X131" s="8">
        <f>+'St of Net Assets - GA'!O130-'LT _Lia - GA'!U131</f>
        <v>0</v>
      </c>
    </row>
    <row r="132" spans="1:26">
      <c r="A132" s="13" t="s">
        <v>664</v>
      </c>
      <c r="B132" s="13"/>
      <c r="C132" s="13" t="s">
        <v>63</v>
      </c>
      <c r="D132" s="13"/>
      <c r="E132" s="32">
        <v>49981</v>
      </c>
      <c r="G132" s="8">
        <v>3932747</v>
      </c>
      <c r="I132" s="8">
        <v>0</v>
      </c>
      <c r="K132" s="8">
        <v>3341327</v>
      </c>
      <c r="M132" s="8">
        <v>0</v>
      </c>
      <c r="O132" s="8">
        <v>1919838</v>
      </c>
      <c r="Q132" s="8">
        <v>0</v>
      </c>
      <c r="S132" s="9">
        <f t="shared" si="6"/>
        <v>9193912</v>
      </c>
      <c r="U132" s="8">
        <v>1666894</v>
      </c>
      <c r="X132" s="8">
        <f>+'St of Net Assets - GA'!O131-'LT _Lia - GA'!U132</f>
        <v>0</v>
      </c>
    </row>
    <row r="133" spans="1:26">
      <c r="A133" s="13" t="s">
        <v>415</v>
      </c>
      <c r="B133" s="13"/>
      <c r="C133" s="13" t="s">
        <v>33</v>
      </c>
      <c r="D133" s="13"/>
      <c r="E133" s="32">
        <v>47431</v>
      </c>
      <c r="G133" s="8">
        <v>0</v>
      </c>
      <c r="I133" s="8">
        <v>5440</v>
      </c>
      <c r="K133" s="8">
        <v>0</v>
      </c>
      <c r="M133" s="8">
        <v>0</v>
      </c>
      <c r="O133" s="8">
        <v>526847</v>
      </c>
      <c r="Q133" s="8">
        <v>0</v>
      </c>
      <c r="S133" s="9">
        <f t="shared" si="6"/>
        <v>532287</v>
      </c>
      <c r="U133" s="8">
        <v>42639</v>
      </c>
      <c r="X133" s="8">
        <f>+'St of Net Assets - GA'!O132-'LT _Lia - GA'!U133</f>
        <v>0</v>
      </c>
    </row>
    <row r="134" spans="1:26">
      <c r="A134" s="13" t="s">
        <v>287</v>
      </c>
      <c r="B134" s="13"/>
      <c r="C134" s="13" t="s">
        <v>19</v>
      </c>
      <c r="D134" s="13"/>
      <c r="E134" s="32">
        <v>43828</v>
      </c>
      <c r="G134" s="8">
        <v>0</v>
      </c>
      <c r="I134" s="8">
        <v>0</v>
      </c>
      <c r="K134" s="8">
        <v>0</v>
      </c>
      <c r="M134" s="8">
        <v>91160</v>
      </c>
      <c r="O134" s="8">
        <v>1289375</v>
      </c>
      <c r="Q134" s="8">
        <v>0</v>
      </c>
      <c r="S134" s="9">
        <f t="shared" si="6"/>
        <v>1380535</v>
      </c>
      <c r="U134" s="8">
        <v>88308</v>
      </c>
      <c r="X134" s="8">
        <f>+'St of Net Assets - GA'!O133-'LT _Lia - GA'!U134</f>
        <v>0</v>
      </c>
    </row>
    <row r="135" spans="1:26">
      <c r="A135" s="13" t="s">
        <v>816</v>
      </c>
      <c r="B135" s="13"/>
      <c r="C135" s="13" t="s">
        <v>63</v>
      </c>
      <c r="D135" s="13"/>
      <c r="E135" s="32"/>
      <c r="G135" s="8">
        <v>1425000</v>
      </c>
      <c r="I135" s="8">
        <v>0</v>
      </c>
      <c r="K135" s="8">
        <v>1453870</v>
      </c>
      <c r="M135" s="8">
        <v>1478000</v>
      </c>
      <c r="O135" s="8">
        <v>1091880</v>
      </c>
      <c r="Q135" s="8">
        <v>532000</v>
      </c>
      <c r="S135" s="9">
        <f t="shared" si="6"/>
        <v>5980750</v>
      </c>
      <c r="U135" s="8">
        <v>566449</v>
      </c>
      <c r="X135" s="8">
        <f>+'St of Net Assets - GA'!O134-'LT _Lia - GA'!U135</f>
        <v>0</v>
      </c>
    </row>
    <row r="136" spans="1:26">
      <c r="A136" s="13" t="s">
        <v>915</v>
      </c>
      <c r="B136" s="13"/>
      <c r="C136" s="13" t="s">
        <v>48</v>
      </c>
      <c r="D136" s="13"/>
      <c r="E136" s="32">
        <v>45336</v>
      </c>
      <c r="G136" s="8">
        <v>0</v>
      </c>
      <c r="I136" s="8">
        <v>0</v>
      </c>
      <c r="K136" s="8">
        <v>0</v>
      </c>
      <c r="M136" s="8">
        <v>146269</v>
      </c>
      <c r="O136" s="8">
        <v>597228</v>
      </c>
      <c r="Q136" s="8">
        <v>0</v>
      </c>
      <c r="S136" s="9">
        <f t="shared" si="6"/>
        <v>743497</v>
      </c>
      <c r="U136" s="8">
        <v>50960</v>
      </c>
      <c r="X136" s="8">
        <f>+'St of Net Assets - GA'!O135-'LT _Lia - GA'!U136</f>
        <v>0</v>
      </c>
    </row>
    <row r="137" spans="1:26">
      <c r="A137" s="13" t="s">
        <v>916</v>
      </c>
      <c r="B137" s="13"/>
      <c r="C137" s="13" t="s">
        <v>113</v>
      </c>
      <c r="D137" s="13"/>
      <c r="E137" s="32">
        <v>45344</v>
      </c>
      <c r="G137" s="8">
        <v>0</v>
      </c>
      <c r="I137" s="8">
        <v>0</v>
      </c>
      <c r="K137" s="8">
        <v>0</v>
      </c>
      <c r="M137" s="8">
        <v>0</v>
      </c>
      <c r="O137" s="8">
        <v>528180</v>
      </c>
      <c r="Q137" s="8">
        <v>0</v>
      </c>
      <c r="S137" s="9">
        <f t="shared" si="6"/>
        <v>528180</v>
      </c>
      <c r="U137" s="8">
        <v>106916</v>
      </c>
      <c r="X137" s="8">
        <f>+'St of Net Assets - GA'!O136-'LT _Lia - GA'!U137</f>
        <v>0</v>
      </c>
    </row>
    <row r="138" spans="1:26">
      <c r="A138" s="13" t="s">
        <v>280</v>
      </c>
      <c r="B138" s="13"/>
      <c r="C138" s="13" t="s">
        <v>114</v>
      </c>
      <c r="D138" s="13"/>
      <c r="E138" s="32">
        <v>46433</v>
      </c>
      <c r="G138" s="8">
        <v>1363222</v>
      </c>
      <c r="I138" s="8">
        <v>0</v>
      </c>
      <c r="K138" s="8">
        <v>0</v>
      </c>
      <c r="M138" s="8">
        <v>428000</v>
      </c>
      <c r="O138" s="8">
        <v>489276</v>
      </c>
      <c r="Q138" s="8">
        <v>0</v>
      </c>
      <c r="S138" s="9">
        <f t="shared" si="6"/>
        <v>2280498</v>
      </c>
      <c r="U138" s="8">
        <v>384613</v>
      </c>
      <c r="X138" s="8">
        <f>+'St of Net Assets - GA'!O137-'LT _Lia - GA'!U138</f>
        <v>0</v>
      </c>
    </row>
    <row r="139" spans="1:26">
      <c r="A139" s="13" t="s">
        <v>280</v>
      </c>
      <c r="B139" s="13"/>
      <c r="C139" s="13" t="s">
        <v>112</v>
      </c>
      <c r="D139" s="13"/>
      <c r="E139" s="32">
        <v>49429</v>
      </c>
      <c r="G139" s="8">
        <v>3973992</v>
      </c>
      <c r="I139" s="8">
        <v>0</v>
      </c>
      <c r="K139" s="8">
        <v>0</v>
      </c>
      <c r="M139" s="8">
        <v>0</v>
      </c>
      <c r="O139" s="8">
        <v>456964</v>
      </c>
      <c r="Q139" s="8">
        <v>0</v>
      </c>
      <c r="S139" s="9">
        <f t="shared" si="6"/>
        <v>4430956</v>
      </c>
      <c r="U139" s="8">
        <v>334212</v>
      </c>
      <c r="X139" s="8">
        <f>+'St of Net Assets - GA'!O138-'LT _Lia - GA'!U139</f>
        <v>0</v>
      </c>
    </row>
    <row r="140" spans="1:26" hidden="1">
      <c r="A140" s="13" t="s">
        <v>917</v>
      </c>
      <c r="B140" s="13"/>
      <c r="C140" s="13" t="s">
        <v>67</v>
      </c>
      <c r="D140" s="13"/>
      <c r="E140" s="32"/>
      <c r="G140" s="8">
        <v>0</v>
      </c>
      <c r="I140" s="8">
        <v>0</v>
      </c>
      <c r="K140" s="8">
        <v>0</v>
      </c>
      <c r="M140" s="8">
        <v>0</v>
      </c>
      <c r="O140" s="8">
        <v>0</v>
      </c>
      <c r="Q140" s="8">
        <v>0</v>
      </c>
      <c r="S140" s="9">
        <f t="shared" ref="S140:S145" si="9">SUM(G140:R140)</f>
        <v>0</v>
      </c>
      <c r="U140" s="8">
        <v>0</v>
      </c>
      <c r="X140" s="8">
        <f>+'St of Net Assets - GA'!O139-'LT _Lia - GA'!U140</f>
        <v>0</v>
      </c>
    </row>
    <row r="141" spans="1:26">
      <c r="A141" s="13" t="s">
        <v>589</v>
      </c>
      <c r="B141" s="13"/>
      <c r="C141" s="13" t="s">
        <v>56</v>
      </c>
      <c r="D141" s="13"/>
      <c r="E141" s="32">
        <v>49189</v>
      </c>
      <c r="G141" s="8">
        <v>6786013</v>
      </c>
      <c r="I141" s="8">
        <v>27607</v>
      </c>
      <c r="K141" s="8">
        <v>0</v>
      </c>
      <c r="M141" s="8">
        <v>0</v>
      </c>
      <c r="O141" s="8">
        <v>1007505</v>
      </c>
      <c r="Q141" s="8">
        <v>0</v>
      </c>
      <c r="S141" s="9">
        <f t="shared" si="9"/>
        <v>7821125</v>
      </c>
      <c r="U141" s="8">
        <v>435538</v>
      </c>
      <c r="X141" s="8">
        <f>+'St of Net Assets - GA'!O140-'LT _Lia - GA'!U141</f>
        <v>0</v>
      </c>
    </row>
    <row r="142" spans="1:26">
      <c r="A142" s="13" t="s">
        <v>817</v>
      </c>
      <c r="B142" s="13"/>
      <c r="C142" s="13" t="s">
        <v>579</v>
      </c>
      <c r="D142" s="13"/>
      <c r="E142" s="32"/>
      <c r="G142" s="8">
        <v>1226000</v>
      </c>
      <c r="I142" s="8">
        <v>0</v>
      </c>
      <c r="K142" s="8">
        <v>0</v>
      </c>
      <c r="M142" s="8">
        <v>0</v>
      </c>
      <c r="O142" s="8">
        <v>496724</v>
      </c>
      <c r="Q142" s="8">
        <v>0</v>
      </c>
      <c r="S142" s="9">
        <f t="shared" si="9"/>
        <v>1722724</v>
      </c>
      <c r="U142" s="8">
        <v>215360</v>
      </c>
      <c r="X142" s="8">
        <f>+'St of Net Assets - GA'!O141-'LT _Lia - GA'!U142</f>
        <v>0</v>
      </c>
    </row>
    <row r="143" spans="1:26">
      <c r="A143" s="13" t="s">
        <v>665</v>
      </c>
      <c r="B143" s="13"/>
      <c r="C143" s="13" t="s">
        <v>63</v>
      </c>
      <c r="D143" s="13"/>
      <c r="E143" s="32">
        <v>43836</v>
      </c>
      <c r="G143" s="8">
        <v>4855000</v>
      </c>
      <c r="I143" s="8">
        <v>92271</v>
      </c>
      <c r="K143" s="8">
        <v>0</v>
      </c>
      <c r="M143" s="8">
        <v>321334</v>
      </c>
      <c r="O143" s="8">
        <v>2421815</v>
      </c>
      <c r="Q143" s="8">
        <v>0</v>
      </c>
      <c r="S143" s="9">
        <f t="shared" si="9"/>
        <v>7690420</v>
      </c>
      <c r="U143" s="8">
        <v>899743</v>
      </c>
      <c r="X143" s="8">
        <f>+'St of Net Assets - GA'!O142-'LT _Lia - GA'!U143</f>
        <v>0</v>
      </c>
    </row>
    <row r="144" spans="1:26">
      <c r="A144" s="13" t="s">
        <v>1053</v>
      </c>
      <c r="B144" s="13"/>
      <c r="C144" s="13" t="s">
        <v>20</v>
      </c>
      <c r="D144" s="13"/>
      <c r="E144" s="32">
        <v>46557</v>
      </c>
      <c r="G144" s="8">
        <v>1637988</v>
      </c>
      <c r="I144" s="8">
        <v>0</v>
      </c>
      <c r="K144" s="8">
        <v>0</v>
      </c>
      <c r="M144" s="8">
        <v>2165670</v>
      </c>
      <c r="O144" s="8">
        <v>1389346</v>
      </c>
      <c r="Q144" s="8">
        <v>139000</v>
      </c>
      <c r="S144" s="9">
        <f t="shared" si="9"/>
        <v>5332004</v>
      </c>
      <c r="U144" s="8">
        <v>871962</v>
      </c>
      <c r="X144" s="8">
        <f>+'St of Net Assets - GA'!O143-'LT _Lia - GA'!U144</f>
        <v>0</v>
      </c>
      <c r="Z144" s="15" t="s">
        <v>919</v>
      </c>
    </row>
    <row r="145" spans="1:26">
      <c r="A145" s="13" t="s">
        <v>828</v>
      </c>
      <c r="B145" s="13"/>
      <c r="C145" s="13" t="s">
        <v>71</v>
      </c>
      <c r="D145" s="13"/>
      <c r="E145" s="13">
        <v>48934</v>
      </c>
      <c r="G145" s="8">
        <v>0</v>
      </c>
      <c r="I145" s="8">
        <v>0</v>
      </c>
      <c r="K145" s="8">
        <v>0</v>
      </c>
      <c r="M145" s="8">
        <v>56383</v>
      </c>
      <c r="O145" s="8">
        <v>746836</v>
      </c>
      <c r="Q145" s="8">
        <v>63128</v>
      </c>
      <c r="S145" s="9">
        <f t="shared" si="9"/>
        <v>866347</v>
      </c>
      <c r="U145" s="8">
        <v>142564</v>
      </c>
      <c r="X145" s="8">
        <f>+'St of Net Assets - GA'!O144-'LT _Lia - GA'!U145</f>
        <v>0</v>
      </c>
    </row>
    <row r="146" spans="1:26">
      <c r="A146" s="13" t="s">
        <v>572</v>
      </c>
      <c r="B146" s="13"/>
      <c r="C146" s="13" t="s">
        <v>53</v>
      </c>
      <c r="D146" s="13"/>
      <c r="E146" s="32">
        <v>48934</v>
      </c>
      <c r="G146" s="8">
        <v>0</v>
      </c>
      <c r="I146" s="8">
        <v>0</v>
      </c>
      <c r="K146" s="8">
        <v>0</v>
      </c>
      <c r="M146" s="8">
        <v>0</v>
      </c>
      <c r="O146" s="8">
        <v>497572</v>
      </c>
      <c r="Q146" s="8">
        <v>0</v>
      </c>
      <c r="S146" s="9">
        <f t="shared" ref="S146:S160" si="10">SUM(G146:R146)</f>
        <v>497572</v>
      </c>
      <c r="U146" s="8">
        <v>11514</v>
      </c>
      <c r="X146" s="8">
        <f>+'St of Net Assets - GA'!O148-'LT _Lia - GA'!U146</f>
        <v>0</v>
      </c>
    </row>
    <row r="147" spans="1:26" hidden="1">
      <c r="A147" s="13" t="s">
        <v>921</v>
      </c>
      <c r="B147" s="13"/>
      <c r="C147" s="13" t="s">
        <v>40</v>
      </c>
      <c r="D147" s="13"/>
      <c r="E147" s="32">
        <v>47837</v>
      </c>
      <c r="G147" s="8">
        <v>0</v>
      </c>
      <c r="I147" s="8">
        <v>0</v>
      </c>
      <c r="K147" s="8">
        <v>0</v>
      </c>
      <c r="M147" s="8">
        <v>0</v>
      </c>
      <c r="O147" s="8">
        <v>0</v>
      </c>
      <c r="Q147" s="8">
        <v>0</v>
      </c>
      <c r="S147" s="9">
        <f t="shared" si="10"/>
        <v>0</v>
      </c>
      <c r="U147" s="8">
        <v>0</v>
      </c>
      <c r="X147" s="8">
        <f>+'St of Net Assets - GA'!O149-'LT _Lia - GA'!U147</f>
        <v>0</v>
      </c>
    </row>
    <row r="148" spans="1:26">
      <c r="A148" s="13"/>
      <c r="B148" s="13"/>
      <c r="C148" s="13"/>
      <c r="D148" s="13"/>
      <c r="E148" s="32"/>
      <c r="S148" s="9"/>
    </row>
    <row r="149" spans="1:26">
      <c r="A149" s="13"/>
      <c r="B149" s="13"/>
      <c r="C149" s="13"/>
      <c r="D149" s="13"/>
      <c r="E149" s="32"/>
      <c r="S149" s="9"/>
      <c r="U149" s="8" t="s">
        <v>805</v>
      </c>
    </row>
    <row r="150" spans="1:26">
      <c r="A150" s="13"/>
      <c r="B150" s="13"/>
      <c r="C150" s="13"/>
      <c r="D150" s="13"/>
      <c r="E150" s="32"/>
      <c r="S150" s="9"/>
    </row>
    <row r="151" spans="1:26">
      <c r="A151" s="13" t="s">
        <v>467</v>
      </c>
      <c r="B151" s="13"/>
      <c r="C151" s="13" t="s">
        <v>466</v>
      </c>
      <c r="D151" s="13"/>
      <c r="E151" s="32">
        <v>47928</v>
      </c>
      <c r="G151" s="35">
        <v>1395517</v>
      </c>
      <c r="H151" s="35"/>
      <c r="I151" s="35">
        <v>0</v>
      </c>
      <c r="J151" s="35"/>
      <c r="K151" s="35">
        <v>0</v>
      </c>
      <c r="L151" s="35"/>
      <c r="M151" s="35">
        <v>0</v>
      </c>
      <c r="N151" s="35"/>
      <c r="O151" s="35">
        <v>374598</v>
      </c>
      <c r="P151" s="35"/>
      <c r="Q151" s="35">
        <v>0</v>
      </c>
      <c r="R151" s="35"/>
      <c r="S151" s="44">
        <f t="shared" si="10"/>
        <v>1770115</v>
      </c>
      <c r="T151" s="35"/>
      <c r="U151" s="35">
        <v>140315</v>
      </c>
      <c r="X151" s="8">
        <f>+'St of Net Assets - GA'!O150-'LT _Lia - GA'!U151</f>
        <v>0</v>
      </c>
    </row>
    <row r="152" spans="1:26">
      <c r="A152" s="13" t="s">
        <v>546</v>
      </c>
      <c r="B152" s="13"/>
      <c r="C152" s="13" t="s">
        <v>50</v>
      </c>
      <c r="D152" s="13"/>
      <c r="E152" s="32">
        <v>43844</v>
      </c>
      <c r="G152" s="8">
        <v>228566297</v>
      </c>
      <c r="I152" s="8">
        <v>0</v>
      </c>
      <c r="K152" s="8">
        <v>2100000</v>
      </c>
      <c r="M152" s="8">
        <v>3311491</v>
      </c>
      <c r="O152" s="8">
        <v>6311363</v>
      </c>
      <c r="Q152" s="8">
        <f>10000000+15350000</f>
        <v>25350000</v>
      </c>
      <c r="S152" s="9">
        <f t="shared" si="10"/>
        <v>265639151</v>
      </c>
      <c r="U152" s="8">
        <v>7884953</v>
      </c>
      <c r="X152" s="8">
        <f>+'St of Net Assets - GA'!O151-'LT _Lia - GA'!U152</f>
        <v>0</v>
      </c>
    </row>
    <row r="153" spans="1:26">
      <c r="A153" s="13" t="s">
        <v>924</v>
      </c>
      <c r="B153" s="13"/>
      <c r="C153" s="13" t="s">
        <v>32</v>
      </c>
      <c r="D153" s="13"/>
      <c r="E153" s="32">
        <v>43851</v>
      </c>
      <c r="G153" s="8">
        <v>0</v>
      </c>
      <c r="I153" s="8">
        <v>0</v>
      </c>
      <c r="K153" s="8">
        <v>0</v>
      </c>
      <c r="M153" s="8">
        <v>662200</v>
      </c>
      <c r="O153" s="8">
        <v>1016522</v>
      </c>
      <c r="Q153" s="8">
        <v>0</v>
      </c>
      <c r="S153" s="9">
        <f t="shared" si="10"/>
        <v>1678722</v>
      </c>
      <c r="U153" s="8">
        <v>389305</v>
      </c>
      <c r="X153" s="8">
        <f>+'St of Net Assets - GA'!O152-'LT _Lia - GA'!U153</f>
        <v>0</v>
      </c>
    </row>
    <row r="154" spans="1:26" hidden="1">
      <c r="A154" s="13" t="s">
        <v>925</v>
      </c>
      <c r="B154" s="13"/>
      <c r="C154" s="13" t="s">
        <v>22</v>
      </c>
      <c r="D154" s="13"/>
      <c r="E154" s="32">
        <v>43869</v>
      </c>
      <c r="G154" s="8">
        <v>0</v>
      </c>
      <c r="I154" s="8">
        <v>0</v>
      </c>
      <c r="K154" s="8">
        <v>0</v>
      </c>
      <c r="M154" s="8">
        <v>0</v>
      </c>
      <c r="O154" s="8">
        <v>0</v>
      </c>
      <c r="Q154" s="8">
        <v>0</v>
      </c>
      <c r="S154" s="9">
        <f t="shared" si="10"/>
        <v>0</v>
      </c>
      <c r="U154" s="8">
        <v>0</v>
      </c>
      <c r="X154" s="8">
        <f>+'St of Net Assets - GA'!O153-'LT _Lia - GA'!U154</f>
        <v>0</v>
      </c>
    </row>
    <row r="155" spans="1:26">
      <c r="A155" s="13" t="s">
        <v>926</v>
      </c>
      <c r="B155" s="13"/>
      <c r="C155" s="13" t="s">
        <v>23</v>
      </c>
      <c r="D155" s="13"/>
      <c r="E155" s="32"/>
      <c r="G155" s="8">
        <v>35315283</v>
      </c>
      <c r="I155" s="8">
        <v>0</v>
      </c>
      <c r="K155" s="8">
        <v>0</v>
      </c>
      <c r="M155" s="8">
        <v>175559</v>
      </c>
      <c r="O155" s="8">
        <v>1387654</v>
      </c>
      <c r="Q155" s="8">
        <v>0</v>
      </c>
      <c r="S155" s="9">
        <f t="shared" si="10"/>
        <v>36878496</v>
      </c>
      <c r="U155" s="8">
        <v>2414953</v>
      </c>
      <c r="X155" s="8">
        <f>+'St of Net Assets - GA'!O154-'LT _Lia - GA'!U155</f>
        <v>0</v>
      </c>
    </row>
    <row r="156" spans="1:26">
      <c r="A156" s="13" t="s">
        <v>210</v>
      </c>
      <c r="B156" s="13"/>
      <c r="C156" s="13" t="s">
        <v>10</v>
      </c>
      <c r="D156" s="13"/>
      <c r="E156" s="32">
        <v>43885</v>
      </c>
      <c r="G156" s="8">
        <v>0</v>
      </c>
      <c r="I156" s="8">
        <v>0</v>
      </c>
      <c r="K156" s="8">
        <v>0</v>
      </c>
      <c r="M156" s="8">
        <v>0</v>
      </c>
      <c r="O156" s="8">
        <v>556592</v>
      </c>
      <c r="Q156" s="8">
        <v>0</v>
      </c>
      <c r="S156" s="9">
        <f t="shared" si="10"/>
        <v>556592</v>
      </c>
      <c r="U156" s="8">
        <v>55241</v>
      </c>
      <c r="X156" s="8">
        <f>+'St of Net Assets - GA'!O155-'LT _Lia - GA'!U156</f>
        <v>0</v>
      </c>
    </row>
    <row r="157" spans="1:26">
      <c r="A157" s="13" t="s">
        <v>695</v>
      </c>
      <c r="B157" s="13"/>
      <c r="C157" s="13" t="s">
        <v>65</v>
      </c>
      <c r="D157" s="13"/>
      <c r="E157" s="32">
        <v>43893</v>
      </c>
      <c r="G157" s="8">
        <v>4640622</v>
      </c>
      <c r="I157" s="8">
        <v>0</v>
      </c>
      <c r="K157" s="8">
        <v>0</v>
      </c>
      <c r="M157" s="8">
        <v>149658</v>
      </c>
      <c r="O157" s="8">
        <v>1561167</v>
      </c>
      <c r="Q157" s="8">
        <v>0</v>
      </c>
      <c r="S157" s="9">
        <f t="shared" si="10"/>
        <v>6351447</v>
      </c>
      <c r="U157" s="8">
        <v>671714</v>
      </c>
      <c r="X157" s="8">
        <f>+'St of Net Assets - GA'!O156-'LT _Lia - GA'!U157</f>
        <v>0</v>
      </c>
    </row>
    <row r="158" spans="1:26">
      <c r="A158" s="13" t="s">
        <v>355</v>
      </c>
      <c r="B158" s="13"/>
      <c r="C158" s="13" t="s">
        <v>27</v>
      </c>
      <c r="D158" s="13"/>
      <c r="E158" s="32">
        <v>47027</v>
      </c>
      <c r="G158" s="8">
        <f>203574743+5336842</f>
        <v>208911585</v>
      </c>
      <c r="I158" s="8">
        <v>0</v>
      </c>
      <c r="K158" s="8">
        <v>18500000</v>
      </c>
      <c r="M158" s="8">
        <v>0</v>
      </c>
      <c r="O158" s="8">
        <v>11135566</v>
      </c>
      <c r="Q158" s="8">
        <v>0</v>
      </c>
      <c r="S158" s="9">
        <f t="shared" si="10"/>
        <v>238547151</v>
      </c>
      <c r="U158" s="8">
        <v>16588954</v>
      </c>
      <c r="X158" s="8">
        <f>+'St of Net Assets - GA'!O157-'LT _Lia - GA'!U158</f>
        <v>0</v>
      </c>
    </row>
    <row r="159" spans="1:26">
      <c r="A159" s="13" t="s">
        <v>305</v>
      </c>
      <c r="B159" s="13"/>
      <c r="C159" s="13" t="s">
        <v>20</v>
      </c>
      <c r="D159" s="13"/>
      <c r="E159" s="32">
        <v>43901</v>
      </c>
      <c r="G159" s="8">
        <v>7192181</v>
      </c>
      <c r="I159" s="8">
        <v>0</v>
      </c>
      <c r="K159" s="8">
        <v>0</v>
      </c>
      <c r="M159" s="8">
        <v>0</v>
      </c>
      <c r="O159" s="8">
        <v>6692451</v>
      </c>
      <c r="Q159" s="8">
        <v>0</v>
      </c>
      <c r="S159" s="9">
        <f t="shared" si="10"/>
        <v>13884632</v>
      </c>
      <c r="U159" s="8">
        <v>5091226</v>
      </c>
      <c r="X159" s="8">
        <f>+'St of Net Assets - GA'!O158-'LT _Lia - GA'!U159</f>
        <v>0</v>
      </c>
      <c r="Z159" s="8" t="s">
        <v>956</v>
      </c>
    </row>
    <row r="160" spans="1:26">
      <c r="A160" s="13" t="s">
        <v>276</v>
      </c>
      <c r="B160" s="13"/>
      <c r="C160" s="13" t="s">
        <v>18</v>
      </c>
      <c r="D160" s="13"/>
      <c r="E160" s="32">
        <v>46409</v>
      </c>
      <c r="G160" s="8">
        <f>1600000+144998+296930+206320-175270</f>
        <v>2072978</v>
      </c>
      <c r="I160" s="8">
        <v>0</v>
      </c>
      <c r="K160" s="8">
        <v>0</v>
      </c>
      <c r="M160" s="8">
        <v>0</v>
      </c>
      <c r="O160" s="8">
        <v>355073</v>
      </c>
      <c r="Q160" s="8">
        <v>180000</v>
      </c>
      <c r="S160" s="9">
        <f t="shared" si="10"/>
        <v>2608051</v>
      </c>
      <c r="U160" s="8">
        <v>343533</v>
      </c>
      <c r="X160" s="8">
        <f>+'St of Net Assets - GA'!O159-'LT _Lia - GA'!U160</f>
        <v>0</v>
      </c>
    </row>
    <row r="161" spans="1:26">
      <c r="A161" s="13" t="s">
        <v>390</v>
      </c>
      <c r="B161" s="13"/>
      <c r="C161" s="13" t="s">
        <v>31</v>
      </c>
      <c r="D161" s="13"/>
      <c r="E161" s="32">
        <v>69682</v>
      </c>
      <c r="G161" s="8">
        <v>3935883</v>
      </c>
      <c r="I161" s="8">
        <v>0</v>
      </c>
      <c r="K161" s="8">
        <v>0</v>
      </c>
      <c r="M161" s="8">
        <v>149199</v>
      </c>
      <c r="O161" s="8">
        <v>670925</v>
      </c>
      <c r="Q161" s="8">
        <v>0</v>
      </c>
      <c r="S161" s="9">
        <f t="shared" ref="S161:S219" si="11">SUM(G161:R161)</f>
        <v>4756007</v>
      </c>
      <c r="U161" s="8">
        <v>426490</v>
      </c>
      <c r="X161" s="8">
        <f>+'St of Net Assets - GA'!O160-'LT _Lia - GA'!U161</f>
        <v>0</v>
      </c>
    </row>
    <row r="162" spans="1:26">
      <c r="A162" s="13" t="s">
        <v>441</v>
      </c>
      <c r="B162" s="13"/>
      <c r="C162" s="13" t="s">
        <v>36</v>
      </c>
      <c r="D162" s="13"/>
      <c r="E162" s="32">
        <v>47688</v>
      </c>
      <c r="G162" s="8">
        <f>285000+1785000+65000+42301+206592-152520</f>
        <v>2231373</v>
      </c>
      <c r="I162" s="8">
        <v>0</v>
      </c>
      <c r="K162" s="8">
        <v>14000</v>
      </c>
      <c r="M162" s="8">
        <v>0</v>
      </c>
      <c r="O162" s="8">
        <v>1342797</v>
      </c>
      <c r="Q162" s="8">
        <v>0</v>
      </c>
      <c r="S162" s="9">
        <f t="shared" si="11"/>
        <v>3588170</v>
      </c>
      <c r="U162" s="8">
        <v>266623</v>
      </c>
      <c r="X162" s="8">
        <f>+'St of Net Assets - GA'!O161-'LT _Lia - GA'!U162</f>
        <v>0</v>
      </c>
    </row>
    <row r="163" spans="1:26" hidden="1">
      <c r="A163" s="13" t="s">
        <v>929</v>
      </c>
      <c r="B163" s="13"/>
      <c r="C163" s="13" t="s">
        <v>40</v>
      </c>
      <c r="D163" s="13"/>
      <c r="E163" s="32"/>
      <c r="G163" s="8">
        <v>0</v>
      </c>
      <c r="I163" s="8">
        <v>0</v>
      </c>
      <c r="K163" s="8">
        <v>0</v>
      </c>
      <c r="M163" s="8">
        <v>0</v>
      </c>
      <c r="O163" s="8">
        <v>0</v>
      </c>
      <c r="Q163" s="8">
        <v>0</v>
      </c>
      <c r="S163" s="9">
        <f t="shared" si="11"/>
        <v>0</v>
      </c>
      <c r="U163" s="8">
        <v>0</v>
      </c>
      <c r="X163" s="8">
        <f>+'St of Net Assets - GA'!O162-'LT _Lia - GA'!U163</f>
        <v>0</v>
      </c>
    </row>
    <row r="164" spans="1:26">
      <c r="A164" s="13" t="s">
        <v>281</v>
      </c>
      <c r="B164" s="13"/>
      <c r="C164" s="13" t="s">
        <v>114</v>
      </c>
      <c r="D164" s="13"/>
      <c r="E164" s="32">
        <v>43919</v>
      </c>
      <c r="G164" s="8">
        <v>7900000</v>
      </c>
      <c r="I164" s="8">
        <v>0</v>
      </c>
      <c r="K164" s="8">
        <v>0</v>
      </c>
      <c r="M164" s="8">
        <v>471446</v>
      </c>
      <c r="O164" s="8">
        <v>1360686</v>
      </c>
      <c r="Q164" s="8">
        <v>45000</v>
      </c>
      <c r="S164" s="9">
        <f t="shared" si="11"/>
        <v>9777132</v>
      </c>
      <c r="U164" s="8">
        <v>344888</v>
      </c>
      <c r="X164" s="8">
        <f>+'St of Net Assets - GA'!O163-'LT _Lia - GA'!U164</f>
        <v>0</v>
      </c>
    </row>
    <row r="165" spans="1:26">
      <c r="A165" s="13" t="s">
        <v>563</v>
      </c>
      <c r="B165" s="13"/>
      <c r="C165" s="13" t="s">
        <v>51</v>
      </c>
      <c r="D165" s="13"/>
      <c r="E165" s="32">
        <v>48835</v>
      </c>
      <c r="G165" s="8">
        <v>5849316</v>
      </c>
      <c r="I165" s="8">
        <v>0</v>
      </c>
      <c r="K165" s="8">
        <v>411754</v>
      </c>
      <c r="M165" s="8">
        <v>21241</v>
      </c>
      <c r="O165" s="8">
        <v>620055</v>
      </c>
      <c r="Q165" s="8">
        <v>1188097</v>
      </c>
      <c r="S165" s="9">
        <f t="shared" si="11"/>
        <v>8090463</v>
      </c>
      <c r="U165" s="8">
        <v>456317</v>
      </c>
      <c r="X165" s="8">
        <f>+'St of Net Assets - GA'!O164-'LT _Lia - GA'!U165</f>
        <v>0</v>
      </c>
    </row>
    <row r="166" spans="1:26">
      <c r="A166" s="13" t="s">
        <v>282</v>
      </c>
      <c r="B166" s="13"/>
      <c r="C166" s="13" t="s">
        <v>114</v>
      </c>
      <c r="D166" s="13"/>
      <c r="E166" s="32">
        <v>43927</v>
      </c>
      <c r="G166" s="8">
        <v>613000</v>
      </c>
      <c r="I166" s="8">
        <v>0</v>
      </c>
      <c r="K166" s="8">
        <v>0</v>
      </c>
      <c r="M166" s="8">
        <v>2350050</v>
      </c>
      <c r="O166" s="8">
        <v>583624</v>
      </c>
      <c r="Q166" s="8">
        <v>0</v>
      </c>
      <c r="S166" s="9">
        <f t="shared" si="11"/>
        <v>3546674</v>
      </c>
      <c r="U166" s="8">
        <v>919527</v>
      </c>
      <c r="X166" s="8">
        <f>+'St of Net Assets - GA'!O165-'LT _Lia - GA'!U166</f>
        <v>0</v>
      </c>
    </row>
    <row r="167" spans="1:26">
      <c r="A167" s="13" t="s">
        <v>237</v>
      </c>
      <c r="B167" s="13"/>
      <c r="C167" s="13" t="s">
        <v>77</v>
      </c>
      <c r="D167" s="13"/>
      <c r="E167" s="32">
        <v>46037</v>
      </c>
      <c r="G167" s="8">
        <f>2170000+6820000+167020</f>
        <v>9157020</v>
      </c>
      <c r="I167" s="8">
        <v>0</v>
      </c>
      <c r="K167" s="8">
        <v>0</v>
      </c>
      <c r="M167" s="8">
        <v>0</v>
      </c>
      <c r="O167" s="8">
        <v>681869</v>
      </c>
      <c r="Q167" s="8">
        <v>56927</v>
      </c>
      <c r="S167" s="9">
        <f t="shared" si="11"/>
        <v>9895816</v>
      </c>
      <c r="U167" s="8">
        <v>445631</v>
      </c>
      <c r="X167" s="8">
        <f>+'St of Net Assets - GA'!O166-'LT _Lia - GA'!U167</f>
        <v>0</v>
      </c>
    </row>
    <row r="168" spans="1:26">
      <c r="A168" s="12" t="s">
        <v>237</v>
      </c>
      <c r="B168" s="12"/>
      <c r="C168" s="12" t="s">
        <v>531</v>
      </c>
      <c r="D168" s="12"/>
      <c r="E168" s="32">
        <v>48512</v>
      </c>
      <c r="G168" s="8">
        <f>990000+66449</f>
        <v>1056449</v>
      </c>
      <c r="I168" s="8">
        <v>0</v>
      </c>
      <c r="K168" s="8">
        <v>0</v>
      </c>
      <c r="M168" s="8">
        <v>0</v>
      </c>
      <c r="O168" s="8">
        <v>202278</v>
      </c>
      <c r="Q168" s="8">
        <v>0</v>
      </c>
      <c r="S168" s="9">
        <f t="shared" si="11"/>
        <v>1258727</v>
      </c>
      <c r="U168" s="8">
        <v>114550</v>
      </c>
      <c r="X168" s="8">
        <f>+'St of Net Assets - GA'!O167-'LT _Lia - GA'!U168</f>
        <v>0</v>
      </c>
    </row>
    <row r="169" spans="1:26" hidden="1">
      <c r="A169" s="13" t="s">
        <v>931</v>
      </c>
      <c r="B169" s="13"/>
      <c r="C169" s="13" t="s">
        <v>55</v>
      </c>
      <c r="D169" s="13"/>
      <c r="E169" s="32">
        <v>49122</v>
      </c>
      <c r="G169" s="8">
        <v>0</v>
      </c>
      <c r="I169" s="8">
        <v>0</v>
      </c>
      <c r="K169" s="8">
        <v>0</v>
      </c>
      <c r="M169" s="8">
        <v>0</v>
      </c>
      <c r="O169" s="8">
        <v>0</v>
      </c>
      <c r="Q169" s="8">
        <v>0</v>
      </c>
      <c r="S169" s="9">
        <f t="shared" ref="S169:S170" si="12">SUM(G169:R169)</f>
        <v>0</v>
      </c>
      <c r="U169" s="8">
        <v>0</v>
      </c>
      <c r="X169" s="8">
        <f>+'St of Net Assets - GA'!O168-'LT _Lia - GA'!U169</f>
        <v>0</v>
      </c>
    </row>
    <row r="170" spans="1:26">
      <c r="A170" s="13" t="s">
        <v>734</v>
      </c>
      <c r="B170" s="13"/>
      <c r="C170" s="13" t="s">
        <v>72</v>
      </c>
      <c r="D170" s="13"/>
      <c r="E170" s="32">
        <v>50674</v>
      </c>
      <c r="G170" s="8">
        <v>3175660</v>
      </c>
      <c r="I170" s="8">
        <v>0</v>
      </c>
      <c r="K170" s="8">
        <v>0</v>
      </c>
      <c r="M170" s="8">
        <v>46346</v>
      </c>
      <c r="O170" s="8">
        <v>905180</v>
      </c>
      <c r="Q170" s="8">
        <v>0</v>
      </c>
      <c r="S170" s="9">
        <f t="shared" si="12"/>
        <v>4127186</v>
      </c>
      <c r="U170" s="8">
        <v>371193</v>
      </c>
      <c r="X170" s="8">
        <f>+'St of Net Assets - GA'!O169-'LT _Lia - GA'!U170</f>
        <v>0</v>
      </c>
    </row>
    <row r="171" spans="1:26">
      <c r="A171" s="12" t="s">
        <v>974</v>
      </c>
      <c r="B171" s="13"/>
      <c r="C171" s="13" t="s">
        <v>57</v>
      </c>
      <c r="D171" s="13"/>
      <c r="E171" s="32">
        <v>43935</v>
      </c>
      <c r="G171" s="8">
        <v>27381327</v>
      </c>
      <c r="I171" s="8">
        <v>0</v>
      </c>
      <c r="K171" s="8">
        <v>0</v>
      </c>
      <c r="M171" s="8">
        <v>0</v>
      </c>
      <c r="O171" s="8">
        <f>1600433+39412</f>
        <v>1639845</v>
      </c>
      <c r="Q171" s="8">
        <v>1189864</v>
      </c>
      <c r="S171" s="9">
        <f t="shared" si="11"/>
        <v>30211036</v>
      </c>
      <c r="U171" s="8">
        <v>742278</v>
      </c>
      <c r="X171" s="8">
        <f>+'St of Net Assets - GA'!O170-'LT _Lia - GA'!U171</f>
        <v>0</v>
      </c>
      <c r="Z171" s="8" t="s">
        <v>956</v>
      </c>
    </row>
    <row r="172" spans="1:26" hidden="1">
      <c r="A172" s="12" t="s">
        <v>932</v>
      </c>
      <c r="B172" s="13"/>
      <c r="C172" s="13" t="s">
        <v>727</v>
      </c>
      <c r="D172" s="13"/>
      <c r="E172" s="32">
        <v>50617</v>
      </c>
      <c r="G172" s="8">
        <v>0</v>
      </c>
      <c r="I172" s="8">
        <v>0</v>
      </c>
      <c r="K172" s="8">
        <v>0</v>
      </c>
      <c r="M172" s="8">
        <v>0</v>
      </c>
      <c r="O172" s="8">
        <v>0</v>
      </c>
      <c r="Q172" s="8">
        <v>0</v>
      </c>
      <c r="S172" s="9">
        <f t="shared" si="11"/>
        <v>0</v>
      </c>
      <c r="U172" s="8">
        <v>0</v>
      </c>
      <c r="X172" s="8">
        <f>+'St of Net Assets - GA'!O171-'LT _Lia - GA'!U172</f>
        <v>0</v>
      </c>
    </row>
    <row r="173" spans="1:26">
      <c r="A173" s="13" t="s">
        <v>241</v>
      </c>
      <c r="B173" s="13"/>
      <c r="C173" s="13" t="s">
        <v>242</v>
      </c>
      <c r="D173" s="13"/>
      <c r="E173" s="32">
        <v>46094</v>
      </c>
      <c r="G173" s="8">
        <f>2245000+1848576+2429669+8755000+2199979+489664+3000000</f>
        <v>20967888</v>
      </c>
      <c r="I173" s="8">
        <v>474236</v>
      </c>
      <c r="K173" s="8">
        <v>0</v>
      </c>
      <c r="M173" s="8">
        <v>89947</v>
      </c>
      <c r="O173" s="8">
        <v>1084906</v>
      </c>
      <c r="Q173" s="8">
        <v>0</v>
      </c>
      <c r="S173" s="9">
        <f t="shared" si="11"/>
        <v>22616977</v>
      </c>
      <c r="U173" s="8">
        <v>1830514</v>
      </c>
      <c r="X173" s="8">
        <f>+'St of Net Assets - GA'!O172-'LT _Lia - GA'!U173</f>
        <v>0</v>
      </c>
    </row>
    <row r="174" spans="1:26">
      <c r="A174" s="13" t="s">
        <v>450</v>
      </c>
      <c r="B174" s="13"/>
      <c r="C174" s="13" t="s">
        <v>39</v>
      </c>
      <c r="D174" s="13"/>
      <c r="E174" s="32">
        <v>47795</v>
      </c>
      <c r="G174" s="8">
        <v>358181</v>
      </c>
      <c r="I174" s="8">
        <v>387949</v>
      </c>
      <c r="K174" s="8">
        <v>0</v>
      </c>
      <c r="M174" s="8">
        <v>18301</v>
      </c>
      <c r="O174" s="8">
        <v>1358627</v>
      </c>
      <c r="Q174" s="8">
        <v>0</v>
      </c>
      <c r="S174" s="9">
        <f t="shared" si="11"/>
        <v>2123058</v>
      </c>
      <c r="U174" s="8">
        <v>436389</v>
      </c>
      <c r="X174" s="8">
        <f>+'St of Net Assets - GA'!O173-'LT _Lia - GA'!U174</f>
        <v>0</v>
      </c>
    </row>
    <row r="175" spans="1:26">
      <c r="A175" s="13" t="s">
        <v>729</v>
      </c>
      <c r="B175" s="13"/>
      <c r="C175" s="13" t="s">
        <v>727</v>
      </c>
      <c r="D175" s="13"/>
      <c r="E175" s="32">
        <v>50625</v>
      </c>
      <c r="G175" s="8">
        <f>660000+390000+135000+1915000+164610</f>
        <v>3264610</v>
      </c>
      <c r="I175" s="8">
        <v>0</v>
      </c>
      <c r="K175" s="8">
        <v>0</v>
      </c>
      <c r="M175" s="8">
        <v>0</v>
      </c>
      <c r="O175" s="8">
        <v>566173</v>
      </c>
      <c r="Q175" s="8">
        <v>0</v>
      </c>
      <c r="S175" s="9">
        <f t="shared" si="11"/>
        <v>3830783</v>
      </c>
      <c r="U175" s="8">
        <v>301961</v>
      </c>
      <c r="X175" s="8">
        <f>+'St of Net Assets - GA'!O174-'LT _Lia - GA'!U175</f>
        <v>0</v>
      </c>
    </row>
    <row r="176" spans="1:26" hidden="1">
      <c r="A176" s="13" t="s">
        <v>934</v>
      </c>
      <c r="B176" s="13"/>
      <c r="C176" s="13" t="s">
        <v>10</v>
      </c>
      <c r="D176" s="13"/>
      <c r="E176" s="32"/>
      <c r="G176" s="8">
        <v>0</v>
      </c>
      <c r="I176" s="8">
        <v>0</v>
      </c>
      <c r="K176" s="8">
        <v>0</v>
      </c>
      <c r="M176" s="8">
        <v>0</v>
      </c>
      <c r="O176" s="8">
        <v>0</v>
      </c>
      <c r="Q176" s="8">
        <v>0</v>
      </c>
      <c r="S176" s="9">
        <f t="shared" ref="S176" si="13">SUM(G176:R176)</f>
        <v>0</v>
      </c>
      <c r="U176" s="8">
        <v>0</v>
      </c>
      <c r="X176" s="8">
        <f>+'St of Net Assets - GA'!O175-'LT _Lia - GA'!U176</f>
        <v>0</v>
      </c>
    </row>
    <row r="177" spans="1:26">
      <c r="A177" s="12" t="s">
        <v>520</v>
      </c>
      <c r="B177" s="34"/>
      <c r="C177" s="34" t="s">
        <v>46</v>
      </c>
      <c r="D177" s="34"/>
      <c r="E177" s="34">
        <v>48413</v>
      </c>
      <c r="F177" s="35"/>
      <c r="G177" s="8">
        <v>0</v>
      </c>
      <c r="I177" s="8">
        <v>0</v>
      </c>
      <c r="K177" s="8">
        <v>0</v>
      </c>
      <c r="M177" s="8">
        <v>0</v>
      </c>
      <c r="O177" s="8">
        <v>909618</v>
      </c>
      <c r="Q177" s="8">
        <v>0</v>
      </c>
      <c r="S177" s="9">
        <f t="shared" si="11"/>
        <v>909618</v>
      </c>
      <c r="U177" s="8">
        <v>47260</v>
      </c>
      <c r="X177" s="8">
        <f>+'St of Net Assets - GA'!O176-'LT _Lia - GA'!U177</f>
        <v>0</v>
      </c>
    </row>
    <row r="178" spans="1:26" hidden="1">
      <c r="A178" s="12" t="s">
        <v>1020</v>
      </c>
      <c r="B178" s="34"/>
      <c r="C178" s="34" t="s">
        <v>72</v>
      </c>
      <c r="D178" s="34"/>
      <c r="E178" s="34"/>
      <c r="F178" s="35"/>
      <c r="S178" s="9"/>
      <c r="Z178" s="8" t="s">
        <v>967</v>
      </c>
    </row>
    <row r="179" spans="1:26">
      <c r="A179" s="13" t="s">
        <v>487</v>
      </c>
      <c r="B179" s="13"/>
      <c r="C179" s="13" t="s">
        <v>44</v>
      </c>
      <c r="D179" s="13"/>
      <c r="E179" s="32">
        <v>43943</v>
      </c>
      <c r="G179" s="8">
        <v>45754133</v>
      </c>
      <c r="I179" s="8">
        <v>0</v>
      </c>
      <c r="K179" s="8">
        <v>0</v>
      </c>
      <c r="M179" s="8">
        <v>5845974</v>
      </c>
      <c r="O179" s="8">
        <f>6604453+59425</f>
        <v>6663878</v>
      </c>
      <c r="Q179" s="8">
        <v>0</v>
      </c>
      <c r="S179" s="9">
        <f t="shared" si="11"/>
        <v>58263985</v>
      </c>
      <c r="U179" s="8">
        <v>2248645</v>
      </c>
      <c r="X179" s="8">
        <f>+'St of Net Assets - GA'!O178-'LT _Lia - GA'!U179</f>
        <v>0</v>
      </c>
    </row>
    <row r="180" spans="1:26">
      <c r="A180" s="13" t="s">
        <v>306</v>
      </c>
      <c r="B180" s="13"/>
      <c r="C180" s="13" t="s">
        <v>20</v>
      </c>
      <c r="D180" s="13"/>
      <c r="E180" s="32">
        <v>43950</v>
      </c>
      <c r="G180" s="8">
        <v>8432954</v>
      </c>
      <c r="I180" s="8">
        <v>0</v>
      </c>
      <c r="K180" s="8">
        <v>0</v>
      </c>
      <c r="M180" s="8">
        <v>0</v>
      </c>
      <c r="O180" s="8">
        <f>96284+2742050</f>
        <v>2838334</v>
      </c>
      <c r="Q180" s="8">
        <f>4250000+330631+302101+919147</f>
        <v>5801879</v>
      </c>
      <c r="S180" s="9">
        <f t="shared" si="11"/>
        <v>17073167</v>
      </c>
      <c r="U180" s="8">
        <f>5777+4377417</f>
        <v>4383194</v>
      </c>
      <c r="X180" s="8">
        <f>+'St of Net Assets - GA'!O179-'LT _Lia - GA'!U180</f>
        <v>0</v>
      </c>
    </row>
    <row r="181" spans="1:26" hidden="1">
      <c r="A181" s="13" t="s">
        <v>840</v>
      </c>
      <c r="B181" s="13"/>
      <c r="C181" s="13" t="s">
        <v>28</v>
      </c>
      <c r="D181" s="13"/>
      <c r="E181" s="32">
        <v>47050</v>
      </c>
      <c r="G181" s="8">
        <v>0</v>
      </c>
      <c r="I181" s="8">
        <v>0</v>
      </c>
      <c r="K181" s="8">
        <v>0</v>
      </c>
      <c r="M181" s="8">
        <v>0</v>
      </c>
      <c r="O181" s="8">
        <v>0</v>
      </c>
      <c r="Q181" s="8">
        <v>0</v>
      </c>
      <c r="S181" s="9">
        <f t="shared" si="11"/>
        <v>0</v>
      </c>
      <c r="U181" s="8">
        <v>0</v>
      </c>
      <c r="X181" s="8">
        <f>+'St of Net Assets - GA'!O180-'LT _Lia - GA'!U181</f>
        <v>0</v>
      </c>
    </row>
    <row r="182" spans="1:26">
      <c r="A182" s="13" t="s">
        <v>702</v>
      </c>
      <c r="B182" s="13"/>
      <c r="C182" s="13" t="s">
        <v>66</v>
      </c>
      <c r="D182" s="13"/>
      <c r="E182" s="13">
        <v>50328</v>
      </c>
      <c r="G182" s="8">
        <v>11243619</v>
      </c>
      <c r="I182" s="8">
        <v>835000</v>
      </c>
      <c r="K182" s="8">
        <v>174000</v>
      </c>
      <c r="M182" s="8">
        <v>56988</v>
      </c>
      <c r="O182" s="8">
        <v>332479</v>
      </c>
      <c r="Q182" s="8">
        <v>0</v>
      </c>
      <c r="S182" s="9">
        <f t="shared" si="11"/>
        <v>12642086</v>
      </c>
      <c r="U182" s="8">
        <v>649281</v>
      </c>
      <c r="X182" s="8">
        <f>+'St of Net Assets - GA'!O181-'LT _Lia - GA'!U182</f>
        <v>0</v>
      </c>
    </row>
    <row r="183" spans="1:26">
      <c r="A183" s="13" t="s">
        <v>851</v>
      </c>
      <c r="B183" s="13"/>
      <c r="C183" s="13" t="s">
        <v>116</v>
      </c>
      <c r="D183" s="13"/>
      <c r="E183" s="13">
        <v>46102</v>
      </c>
      <c r="G183" s="8">
        <f>1160000+14944987+1352266+820000</f>
        <v>18277253</v>
      </c>
      <c r="I183" s="8">
        <v>0</v>
      </c>
      <c r="K183" s="8">
        <v>0</v>
      </c>
      <c r="M183" s="8">
        <v>0</v>
      </c>
      <c r="O183" s="8">
        <v>3524177</v>
      </c>
      <c r="Q183" s="8">
        <v>0</v>
      </c>
      <c r="S183" s="9">
        <f>SUM(G183:R183)</f>
        <v>21801430</v>
      </c>
      <c r="U183" s="8">
        <v>1259784</v>
      </c>
      <c r="X183" s="8">
        <f>+'St of Net Assets - GA'!O182-'LT _Lia - GA'!U183</f>
        <v>0</v>
      </c>
    </row>
    <row r="184" spans="1:26">
      <c r="A184" s="13" t="s">
        <v>243</v>
      </c>
      <c r="B184" s="13"/>
      <c r="C184" s="13" t="s">
        <v>242</v>
      </c>
      <c r="D184" s="13"/>
      <c r="E184" s="32">
        <v>46102</v>
      </c>
      <c r="G184" s="8">
        <v>29900992</v>
      </c>
      <c r="I184" s="8">
        <v>0</v>
      </c>
      <c r="K184" s="8">
        <v>0</v>
      </c>
      <c r="M184" s="8">
        <v>209841</v>
      </c>
      <c r="O184" s="8">
        <v>9629137</v>
      </c>
      <c r="Q184" s="8">
        <v>0</v>
      </c>
      <c r="S184" s="9">
        <f t="shared" si="11"/>
        <v>39739970</v>
      </c>
      <c r="U184" s="8">
        <v>2996384</v>
      </c>
      <c r="X184" s="8">
        <f>+'St of Net Assets - GA'!O183-'LT _Lia - GA'!U184</f>
        <v>0</v>
      </c>
    </row>
    <row r="185" spans="1:26">
      <c r="A185" s="13" t="s">
        <v>436</v>
      </c>
      <c r="B185" s="13"/>
      <c r="C185" s="13" t="s">
        <v>435</v>
      </c>
      <c r="D185" s="13"/>
      <c r="E185" s="32">
        <v>47621</v>
      </c>
      <c r="G185" s="8">
        <f>465000+1240000+174999+78999</f>
        <v>1958998</v>
      </c>
      <c r="I185" s="8">
        <v>0</v>
      </c>
      <c r="K185" s="8">
        <v>0</v>
      </c>
      <c r="M185" s="8">
        <v>0</v>
      </c>
      <c r="O185" s="8">
        <v>435472</v>
      </c>
      <c r="Q185" s="8">
        <f>129690-82635</f>
        <v>47055</v>
      </c>
      <c r="S185" s="9">
        <f t="shared" si="11"/>
        <v>2441525</v>
      </c>
      <c r="U185" s="8">
        <v>147154</v>
      </c>
      <c r="X185" s="8">
        <f>+'St of Net Assets - GA'!O184-'LT _Lia - GA'!U185</f>
        <v>0</v>
      </c>
    </row>
    <row r="186" spans="1:26">
      <c r="A186" s="13" t="s">
        <v>346</v>
      </c>
      <c r="B186" s="13"/>
      <c r="C186" s="13" t="s">
        <v>25</v>
      </c>
      <c r="D186" s="13"/>
      <c r="E186" s="32">
        <v>46870</v>
      </c>
      <c r="G186" s="8">
        <f>7904550+710000+230000+8110000+9829998</f>
        <v>26784548</v>
      </c>
      <c r="I186" s="8">
        <v>0</v>
      </c>
      <c r="K186" s="8">
        <v>255000</v>
      </c>
      <c r="M186" s="8">
        <v>452253</v>
      </c>
      <c r="O186" s="8">
        <v>1273405</v>
      </c>
      <c r="Q186" s="8">
        <v>350043</v>
      </c>
      <c r="S186" s="9">
        <f t="shared" si="11"/>
        <v>29115249</v>
      </c>
      <c r="U186" s="8">
        <v>630978</v>
      </c>
      <c r="X186" s="8">
        <f>+'St of Net Assets - GA'!O185-'LT _Lia - GA'!U186</f>
        <v>0</v>
      </c>
    </row>
    <row r="187" spans="1:26">
      <c r="A187" s="13" t="s">
        <v>468</v>
      </c>
      <c r="B187" s="13"/>
      <c r="C187" s="13" t="s">
        <v>466</v>
      </c>
      <c r="D187" s="13"/>
      <c r="E187" s="32">
        <v>47936</v>
      </c>
      <c r="G187" s="8">
        <v>2775000</v>
      </c>
      <c r="I187" s="8">
        <v>0</v>
      </c>
      <c r="K187" s="8">
        <v>0</v>
      </c>
      <c r="M187" s="8">
        <v>0</v>
      </c>
      <c r="O187" s="8">
        <v>804370</v>
      </c>
      <c r="Q187" s="8">
        <v>0</v>
      </c>
      <c r="S187" s="9">
        <f t="shared" si="11"/>
        <v>3579370</v>
      </c>
      <c r="U187" s="8">
        <v>195976</v>
      </c>
      <c r="X187" s="8">
        <f>+'St of Net Assets - GA'!O186-'LT _Lia - GA'!U187</f>
        <v>0</v>
      </c>
    </row>
    <row r="188" spans="1:26" hidden="1">
      <c r="A188" s="12" t="s">
        <v>841</v>
      </c>
      <c r="B188" s="13"/>
      <c r="C188" s="13" t="s">
        <v>61</v>
      </c>
      <c r="D188" s="13"/>
      <c r="E188" s="32">
        <v>49775</v>
      </c>
      <c r="G188" s="8">
        <v>0</v>
      </c>
      <c r="I188" s="8">
        <v>0</v>
      </c>
      <c r="K188" s="8">
        <v>0</v>
      </c>
      <c r="M188" s="8">
        <v>0</v>
      </c>
      <c r="O188" s="8">
        <v>0</v>
      </c>
      <c r="Q188" s="8">
        <v>0</v>
      </c>
      <c r="S188" s="9">
        <f t="shared" si="11"/>
        <v>0</v>
      </c>
      <c r="U188" s="8">
        <v>0</v>
      </c>
      <c r="X188" s="8">
        <f>+'St of Net Assets - GA'!O187-'LT _Lia - GA'!U188</f>
        <v>0</v>
      </c>
    </row>
    <row r="189" spans="1:26">
      <c r="A189" s="13" t="s">
        <v>651</v>
      </c>
      <c r="B189" s="13"/>
      <c r="C189" s="13" t="s">
        <v>62</v>
      </c>
      <c r="D189" s="13"/>
      <c r="E189" s="32">
        <v>49841</v>
      </c>
      <c r="G189" s="8">
        <v>13055000</v>
      </c>
      <c r="I189" s="8">
        <v>0</v>
      </c>
      <c r="K189" s="8">
        <v>0</v>
      </c>
      <c r="M189" s="8">
        <v>0</v>
      </c>
      <c r="O189" s="8">
        <v>682820</v>
      </c>
      <c r="Q189" s="8">
        <v>0</v>
      </c>
      <c r="S189" s="9">
        <f t="shared" si="11"/>
        <v>13737820</v>
      </c>
      <c r="U189" s="8">
        <v>538568</v>
      </c>
      <c r="X189" s="8">
        <f>+'St of Net Assets - GA'!O188-'LT _Lia - GA'!U189</f>
        <v>0</v>
      </c>
    </row>
    <row r="190" spans="1:26" hidden="1">
      <c r="A190" s="91" t="s">
        <v>972</v>
      </c>
      <c r="B190" s="13"/>
      <c r="C190" s="13" t="s">
        <v>41</v>
      </c>
      <c r="D190" s="13"/>
      <c r="E190" s="32">
        <v>45369</v>
      </c>
      <c r="S190" s="9">
        <f t="shared" si="11"/>
        <v>0</v>
      </c>
      <c r="X190" s="8">
        <f>+'St of Net Assets - GA'!O189-'LT _Lia - GA'!U190</f>
        <v>0</v>
      </c>
    </row>
    <row r="191" spans="1:26">
      <c r="A191" s="13" t="s">
        <v>307</v>
      </c>
      <c r="B191" s="13"/>
      <c r="C191" s="13" t="s">
        <v>20</v>
      </c>
      <c r="D191" s="13"/>
      <c r="E191" s="32">
        <v>43976</v>
      </c>
      <c r="G191" s="8">
        <v>30167685</v>
      </c>
      <c r="I191" s="8">
        <v>0</v>
      </c>
      <c r="K191" s="8">
        <v>0</v>
      </c>
      <c r="M191" s="8">
        <v>0</v>
      </c>
      <c r="O191" s="8">
        <f>1062514+17394</f>
        <v>1079908</v>
      </c>
      <c r="Q191" s="8">
        <f>606033+455011</f>
        <v>1061044</v>
      </c>
      <c r="S191" s="9">
        <f t="shared" si="11"/>
        <v>32308637</v>
      </c>
      <c r="U191" s="8">
        <v>1885058</v>
      </c>
      <c r="X191" s="8">
        <f>+'St of Net Assets - GA'!O190-'LT _Lia - GA'!U191</f>
        <v>0</v>
      </c>
    </row>
    <row r="192" spans="1:26">
      <c r="A192" s="12" t="s">
        <v>936</v>
      </c>
      <c r="B192" s="12"/>
      <c r="C192" s="12" t="s">
        <v>28</v>
      </c>
      <c r="D192" s="13"/>
      <c r="E192" s="32"/>
      <c r="G192" s="8">
        <v>5159597</v>
      </c>
      <c r="I192" s="8">
        <v>0</v>
      </c>
      <c r="K192" s="8">
        <v>0</v>
      </c>
      <c r="M192" s="8">
        <v>0</v>
      </c>
      <c r="O192" s="8">
        <v>168398</v>
      </c>
      <c r="Q192" s="8">
        <v>0</v>
      </c>
      <c r="S192" s="9">
        <f t="shared" si="11"/>
        <v>5327995</v>
      </c>
      <c r="U192" s="8">
        <v>125238</v>
      </c>
      <c r="X192" s="8">
        <f>+'St of Net Assets - GA'!O191-'LT _Lia - GA'!U192</f>
        <v>0</v>
      </c>
    </row>
    <row r="193" spans="1:26">
      <c r="A193" s="13" t="s">
        <v>238</v>
      </c>
      <c r="B193" s="13"/>
      <c r="C193" s="13" t="s">
        <v>77</v>
      </c>
      <c r="D193" s="13"/>
      <c r="E193" s="32">
        <v>46045</v>
      </c>
      <c r="G193" s="8">
        <f>8395000+115050-92363</f>
        <v>8417687</v>
      </c>
      <c r="I193" s="8">
        <v>0</v>
      </c>
      <c r="K193" s="8">
        <v>0</v>
      </c>
      <c r="M193" s="8">
        <v>0</v>
      </c>
      <c r="O193" s="8">
        <v>377205</v>
      </c>
      <c r="Q193" s="8">
        <v>0</v>
      </c>
      <c r="S193" s="9">
        <f t="shared" si="11"/>
        <v>8794892</v>
      </c>
      <c r="U193" s="8">
        <v>340078</v>
      </c>
      <c r="X193" s="8">
        <f>+'St of Net Assets - GA'!O192-'LT _Lia - GA'!U193</f>
        <v>0</v>
      </c>
    </row>
    <row r="194" spans="1:26">
      <c r="A194" s="13" t="s">
        <v>937</v>
      </c>
      <c r="B194" s="13"/>
      <c r="C194" s="13" t="s">
        <v>13</v>
      </c>
      <c r="D194" s="13"/>
      <c r="E194" s="32"/>
      <c r="G194" s="8">
        <v>926901</v>
      </c>
      <c r="I194" s="8">
        <v>0</v>
      </c>
      <c r="K194" s="8">
        <v>0</v>
      </c>
      <c r="M194" s="8">
        <v>0</v>
      </c>
      <c r="O194" s="8">
        <v>574271</v>
      </c>
      <c r="Q194" s="8">
        <v>0</v>
      </c>
      <c r="S194" s="9">
        <f t="shared" si="11"/>
        <v>1501172</v>
      </c>
      <c r="U194" s="8">
        <v>222660</v>
      </c>
      <c r="X194" s="8">
        <f>+'St of Net Assets - GA'!O193-'LT _Lia - GA'!U194</f>
        <v>0</v>
      </c>
    </row>
    <row r="195" spans="1:26">
      <c r="A195" s="13" t="s">
        <v>268</v>
      </c>
      <c r="B195" s="13"/>
      <c r="C195" s="13" t="s">
        <v>115</v>
      </c>
      <c r="D195" s="13"/>
      <c r="E195" s="32">
        <v>46334</v>
      </c>
      <c r="G195" s="8">
        <v>2275000</v>
      </c>
      <c r="I195" s="8">
        <v>0</v>
      </c>
      <c r="K195" s="8">
        <v>0</v>
      </c>
      <c r="M195" s="8">
        <v>69454</v>
      </c>
      <c r="O195" s="8">
        <v>521535</v>
      </c>
      <c r="Q195" s="8">
        <v>0</v>
      </c>
      <c r="S195" s="9">
        <f t="shared" si="11"/>
        <v>2865989</v>
      </c>
      <c r="U195" s="8">
        <v>242613</v>
      </c>
      <c r="X195" s="8">
        <f>+'St of Net Assets - GA'!O194-'LT _Lia - GA'!U195</f>
        <v>0</v>
      </c>
    </row>
    <row r="196" spans="1:26">
      <c r="A196" s="12" t="s">
        <v>1054</v>
      </c>
      <c r="B196" s="13"/>
      <c r="C196" s="13" t="s">
        <v>56</v>
      </c>
      <c r="D196" s="13"/>
      <c r="E196" s="32">
        <v>49197</v>
      </c>
      <c r="G196" s="8">
        <f>24090000+398540</f>
        <v>24488540</v>
      </c>
      <c r="I196" s="8">
        <v>45912</v>
      </c>
      <c r="K196" s="8">
        <v>0</v>
      </c>
      <c r="M196" s="8">
        <f>278632+13477</f>
        <v>292109</v>
      </c>
      <c r="O196" s="8">
        <f>981369+13721</f>
        <v>995090</v>
      </c>
      <c r="Q196" s="8">
        <v>113747</v>
      </c>
      <c r="S196" s="9">
        <f t="shared" si="11"/>
        <v>25935398</v>
      </c>
      <c r="U196" s="8">
        <f>465316+11465</f>
        <v>476781</v>
      </c>
      <c r="X196" s="8">
        <f>+'St of Net Assets - GA'!O195-'LT _Lia - GA'!U196</f>
        <v>0</v>
      </c>
      <c r="Z196" s="15" t="s">
        <v>905</v>
      </c>
    </row>
    <row r="197" spans="1:26">
      <c r="A197" s="13" t="s">
        <v>416</v>
      </c>
      <c r="B197" s="13"/>
      <c r="C197" s="13" t="s">
        <v>33</v>
      </c>
      <c r="D197" s="13"/>
      <c r="E197" s="32">
        <v>43984</v>
      </c>
      <c r="G197" s="8">
        <v>0</v>
      </c>
      <c r="I197" s="8">
        <v>311476</v>
      </c>
      <c r="K197" s="8">
        <v>0</v>
      </c>
      <c r="M197" s="8">
        <v>1619361</v>
      </c>
      <c r="O197" s="8">
        <v>3628625</v>
      </c>
      <c r="Q197" s="8">
        <v>0</v>
      </c>
      <c r="S197" s="9">
        <f t="shared" si="11"/>
        <v>5559462</v>
      </c>
      <c r="U197" s="8">
        <v>1303362</v>
      </c>
      <c r="X197" s="8">
        <f>+'St of Net Assets - GA'!O196-'LT _Lia - GA'!U197</f>
        <v>0</v>
      </c>
    </row>
    <row r="198" spans="1:26">
      <c r="A198" s="13" t="s">
        <v>393</v>
      </c>
      <c r="B198" s="13"/>
      <c r="C198" s="13" t="s">
        <v>32</v>
      </c>
      <c r="D198" s="13"/>
      <c r="E198" s="32">
        <v>47332</v>
      </c>
      <c r="G198" s="8">
        <v>6555000</v>
      </c>
      <c r="I198" s="8">
        <v>0</v>
      </c>
      <c r="K198" s="8">
        <v>0</v>
      </c>
      <c r="M198" s="8">
        <v>554000</v>
      </c>
      <c r="O198" s="8">
        <v>1240180</v>
      </c>
      <c r="Q198" s="8">
        <v>0</v>
      </c>
      <c r="S198" s="9">
        <f t="shared" si="11"/>
        <v>8349180</v>
      </c>
      <c r="U198" s="8">
        <v>427283</v>
      </c>
      <c r="X198" s="8">
        <f>+'St of Net Assets - GA'!O197-'LT _Lia - GA'!U198</f>
        <v>0</v>
      </c>
    </row>
    <row r="199" spans="1:26">
      <c r="A199" s="13" t="s">
        <v>488</v>
      </c>
      <c r="B199" s="13"/>
      <c r="C199" s="13" t="s">
        <v>44</v>
      </c>
      <c r="D199" s="13"/>
      <c r="E199" s="32">
        <v>48157</v>
      </c>
      <c r="G199" s="8">
        <v>0</v>
      </c>
      <c r="I199" s="8">
        <v>0</v>
      </c>
      <c r="K199" s="8">
        <v>0</v>
      </c>
      <c r="M199" s="8">
        <v>50093</v>
      </c>
      <c r="O199" s="8">
        <v>1095351</v>
      </c>
      <c r="Q199" s="8">
        <v>0</v>
      </c>
      <c r="S199" s="9">
        <f t="shared" si="11"/>
        <v>1145444</v>
      </c>
      <c r="U199" s="8">
        <v>181318</v>
      </c>
      <c r="X199" s="8">
        <f>+'St of Net Assets - GA'!O198-'LT _Lia - GA'!U199</f>
        <v>0</v>
      </c>
    </row>
    <row r="200" spans="1:26">
      <c r="A200" s="13" t="s">
        <v>394</v>
      </c>
      <c r="B200" s="13"/>
      <c r="C200" s="13" t="s">
        <v>32</v>
      </c>
      <c r="D200" s="13"/>
      <c r="E200" s="32">
        <v>47340</v>
      </c>
      <c r="G200" s="8">
        <v>14625000</v>
      </c>
      <c r="I200" s="8">
        <v>0</v>
      </c>
      <c r="K200" s="8">
        <v>0</v>
      </c>
      <c r="M200" s="8">
        <v>0</v>
      </c>
      <c r="O200" s="8">
        <v>2558313</v>
      </c>
      <c r="Q200" s="8">
        <v>118120</v>
      </c>
      <c r="S200" s="9">
        <f t="shared" si="11"/>
        <v>17301433</v>
      </c>
      <c r="U200" s="8">
        <v>2124775</v>
      </c>
      <c r="X200" s="8">
        <f>+'St of Net Assets - GA'!O199-'LT _Lia - GA'!U200</f>
        <v>0</v>
      </c>
    </row>
    <row r="201" spans="1:26" hidden="1">
      <c r="A201" s="13" t="s">
        <v>836</v>
      </c>
      <c r="B201" s="13"/>
      <c r="C201" s="13" t="s">
        <v>70</v>
      </c>
      <c r="D201" s="13"/>
      <c r="E201" s="32">
        <v>50484</v>
      </c>
      <c r="G201" s="8">
        <v>0</v>
      </c>
      <c r="I201" s="8">
        <v>0</v>
      </c>
      <c r="K201" s="8">
        <v>0</v>
      </c>
      <c r="M201" s="8">
        <v>0</v>
      </c>
      <c r="O201" s="8">
        <v>0</v>
      </c>
      <c r="Q201" s="8">
        <v>0</v>
      </c>
      <c r="S201" s="9">
        <f t="shared" si="11"/>
        <v>0</v>
      </c>
      <c r="U201" s="8">
        <v>0</v>
      </c>
      <c r="X201" s="8">
        <f>+'St of Net Assets - GA'!O200-'LT _Lia - GA'!U201</f>
        <v>0</v>
      </c>
    </row>
    <row r="202" spans="1:26">
      <c r="A202" s="13" t="s">
        <v>644</v>
      </c>
      <c r="B202" s="13"/>
      <c r="C202" s="13" t="s">
        <v>61</v>
      </c>
      <c r="D202" s="13"/>
      <c r="E202" s="32">
        <v>49783</v>
      </c>
      <c r="G202" s="8">
        <v>10221155</v>
      </c>
      <c r="I202" s="8">
        <v>0</v>
      </c>
      <c r="K202" s="8">
        <v>1480000</v>
      </c>
      <c r="M202" s="8">
        <v>0</v>
      </c>
      <c r="O202" s="8">
        <v>337793</v>
      </c>
      <c r="Q202" s="8">
        <v>0</v>
      </c>
      <c r="S202" s="9">
        <f t="shared" si="11"/>
        <v>12038948</v>
      </c>
      <c r="U202" s="8">
        <v>471479</v>
      </c>
      <c r="X202" s="8">
        <f>+'St of Net Assets - GA'!O201-'LT _Lia - GA'!U202</f>
        <v>0</v>
      </c>
    </row>
    <row r="203" spans="1:26" hidden="1">
      <c r="A203" s="13" t="s">
        <v>938</v>
      </c>
      <c r="B203" s="13"/>
      <c r="C203" s="13" t="s">
        <v>534</v>
      </c>
      <c r="D203" s="13"/>
      <c r="E203" s="32"/>
      <c r="G203" s="8">
        <v>0</v>
      </c>
      <c r="I203" s="8">
        <v>0</v>
      </c>
      <c r="K203" s="8">
        <v>0</v>
      </c>
      <c r="M203" s="8">
        <v>0</v>
      </c>
      <c r="O203" s="8">
        <v>0</v>
      </c>
      <c r="Q203" s="8">
        <v>0</v>
      </c>
      <c r="S203" s="9">
        <f t="shared" si="11"/>
        <v>0</v>
      </c>
      <c r="U203" s="8">
        <v>0</v>
      </c>
      <c r="X203" s="8">
        <f>+'St of Net Assets - GA'!O202-'LT _Lia - GA'!U203</f>
        <v>0</v>
      </c>
    </row>
    <row r="204" spans="1:26">
      <c r="A204" s="13" t="s">
        <v>636</v>
      </c>
      <c r="B204" s="13"/>
      <c r="C204" s="13" t="s">
        <v>60</v>
      </c>
      <c r="D204" s="13"/>
      <c r="E204" s="32">
        <v>43992</v>
      </c>
      <c r="G204" s="8">
        <v>6053741</v>
      </c>
      <c r="I204" s="8">
        <v>0</v>
      </c>
      <c r="K204" s="8">
        <v>0</v>
      </c>
      <c r="M204" s="8">
        <v>143000</v>
      </c>
      <c r="O204" s="8">
        <v>1195718</v>
      </c>
      <c r="Q204" s="8">
        <v>0</v>
      </c>
      <c r="S204" s="9">
        <f t="shared" si="11"/>
        <v>7392459</v>
      </c>
      <c r="U204" s="8">
        <v>851254</v>
      </c>
      <c r="X204" s="8">
        <f>+'St of Net Assets - GA'!O203-'LT _Lia - GA'!U204</f>
        <v>0</v>
      </c>
    </row>
    <row r="205" spans="1:26">
      <c r="A205" s="13" t="s">
        <v>709</v>
      </c>
      <c r="B205" s="13"/>
      <c r="C205" s="13" t="s">
        <v>69</v>
      </c>
      <c r="D205" s="13"/>
      <c r="E205" s="32">
        <v>44008</v>
      </c>
      <c r="G205" s="8">
        <v>3271869</v>
      </c>
      <c r="I205" s="8">
        <v>0</v>
      </c>
      <c r="K205" s="8">
        <v>0</v>
      </c>
      <c r="M205" s="8">
        <v>0</v>
      </c>
      <c r="O205" s="8">
        <v>1769729</v>
      </c>
      <c r="Q205" s="8">
        <v>0</v>
      </c>
      <c r="S205" s="9">
        <f t="shared" si="11"/>
        <v>5041598</v>
      </c>
      <c r="U205" s="8">
        <v>395650</v>
      </c>
      <c r="X205" s="8">
        <f>+'St of Net Assets - GA'!O204-'LT _Lia - GA'!U205</f>
        <v>0</v>
      </c>
    </row>
    <row r="206" spans="1:26">
      <c r="A206" s="13" t="s">
        <v>564</v>
      </c>
      <c r="B206" s="13"/>
      <c r="C206" s="13" t="s">
        <v>51</v>
      </c>
      <c r="D206" s="13"/>
      <c r="E206" s="32">
        <v>48843</v>
      </c>
      <c r="G206" s="8">
        <v>6136908</v>
      </c>
      <c r="I206" s="8">
        <v>0</v>
      </c>
      <c r="K206" s="8">
        <v>430000</v>
      </c>
      <c r="M206" s="8">
        <v>148510</v>
      </c>
      <c r="O206" s="8">
        <v>1440851</v>
      </c>
      <c r="Q206" s="8">
        <v>0</v>
      </c>
      <c r="S206" s="9">
        <f t="shared" si="11"/>
        <v>8156269</v>
      </c>
      <c r="U206" s="8">
        <v>460417</v>
      </c>
      <c r="X206" s="8">
        <f>+'St of Net Assets - GA'!O205-'LT _Lia - GA'!U206</f>
        <v>0</v>
      </c>
    </row>
    <row r="207" spans="1:26" hidden="1">
      <c r="A207" s="12" t="s">
        <v>835</v>
      </c>
      <c r="B207" s="13"/>
      <c r="C207" s="13" t="s">
        <v>21</v>
      </c>
      <c r="D207" s="13"/>
      <c r="E207" s="32">
        <v>46649</v>
      </c>
      <c r="G207" s="8">
        <v>0</v>
      </c>
      <c r="I207" s="8">
        <v>0</v>
      </c>
      <c r="K207" s="8">
        <v>0</v>
      </c>
      <c r="M207" s="8">
        <v>0</v>
      </c>
      <c r="O207" s="8">
        <v>0</v>
      </c>
      <c r="Q207" s="8">
        <v>0</v>
      </c>
      <c r="S207" s="9">
        <f t="shared" si="11"/>
        <v>0</v>
      </c>
      <c r="U207" s="8">
        <v>0</v>
      </c>
      <c r="X207" s="8">
        <f>+'St of Net Assets - GA'!O206-'LT _Lia - GA'!U207</f>
        <v>0</v>
      </c>
    </row>
    <row r="208" spans="1:26" hidden="1">
      <c r="A208" s="12" t="s">
        <v>939</v>
      </c>
      <c r="B208" s="13"/>
      <c r="C208" s="13" t="s">
        <v>40</v>
      </c>
      <c r="D208" s="13"/>
      <c r="E208" s="32">
        <v>47852</v>
      </c>
      <c r="G208" s="8">
        <v>0</v>
      </c>
      <c r="I208" s="8">
        <v>0</v>
      </c>
      <c r="K208" s="8">
        <v>0</v>
      </c>
      <c r="M208" s="8">
        <v>0</v>
      </c>
      <c r="O208" s="8">
        <v>0</v>
      </c>
      <c r="Q208" s="8">
        <v>0</v>
      </c>
      <c r="S208" s="9">
        <f t="shared" si="11"/>
        <v>0</v>
      </c>
      <c r="U208" s="8">
        <v>0</v>
      </c>
      <c r="X208" s="8">
        <f>+'St of Net Assets - GA'!O207-'LT _Lia - GA'!U208</f>
        <v>0</v>
      </c>
    </row>
    <row r="209" spans="1:26">
      <c r="A209" s="13" t="s">
        <v>623</v>
      </c>
      <c r="B209" s="13"/>
      <c r="C209" s="13" t="s">
        <v>79</v>
      </c>
      <c r="D209" s="13"/>
      <c r="E209" s="32">
        <v>44016</v>
      </c>
      <c r="G209" s="8">
        <f>9134990+9499877+130000</f>
        <v>18764867</v>
      </c>
      <c r="I209" s="8">
        <v>0</v>
      </c>
      <c r="K209" s="8">
        <v>0</v>
      </c>
      <c r="M209" s="8">
        <v>0</v>
      </c>
      <c r="O209" s="8">
        <v>3989197</v>
      </c>
      <c r="Q209" s="8">
        <v>0</v>
      </c>
      <c r="S209" s="9">
        <f t="shared" si="11"/>
        <v>22754064</v>
      </c>
      <c r="U209" s="8">
        <v>1081856</v>
      </c>
      <c r="X209" s="8">
        <f>+'St of Net Assets - GA'!O208-'LT _Lia - GA'!U209</f>
        <v>0</v>
      </c>
    </row>
    <row r="210" spans="1:26">
      <c r="A210" s="13" t="s">
        <v>717</v>
      </c>
      <c r="B210" s="13"/>
      <c r="C210" s="13" t="s">
        <v>70</v>
      </c>
      <c r="D210" s="13"/>
      <c r="E210" s="32">
        <v>50492</v>
      </c>
      <c r="G210" s="8">
        <v>1680000</v>
      </c>
      <c r="I210" s="8">
        <v>0</v>
      </c>
      <c r="K210" s="8">
        <v>153000</v>
      </c>
      <c r="M210" s="8">
        <v>72773</v>
      </c>
      <c r="O210" s="8">
        <v>770934</v>
      </c>
      <c r="Q210" s="8">
        <v>0</v>
      </c>
      <c r="S210" s="9">
        <f t="shared" si="11"/>
        <v>2676707</v>
      </c>
      <c r="U210" s="8">
        <v>144235</v>
      </c>
      <c r="X210" s="8">
        <f>+'St of Net Assets - GA'!O209-'LT _Lia - GA'!U210</f>
        <v>0</v>
      </c>
    </row>
    <row r="211" spans="1:26">
      <c r="A211" s="13" t="s">
        <v>356</v>
      </c>
      <c r="B211" s="13"/>
      <c r="C211" s="13" t="s">
        <v>27</v>
      </c>
      <c r="D211" s="13"/>
      <c r="E211" s="32">
        <v>46961</v>
      </c>
      <c r="G211" s="8">
        <v>19972848</v>
      </c>
      <c r="I211" s="8">
        <v>0</v>
      </c>
      <c r="K211" s="8">
        <v>0</v>
      </c>
      <c r="M211" s="8">
        <v>0</v>
      </c>
      <c r="O211" s="8">
        <f>6845905+334400+114822</f>
        <v>7295127</v>
      </c>
      <c r="Q211" s="8">
        <v>0</v>
      </c>
      <c r="S211" s="9">
        <f t="shared" si="11"/>
        <v>27267975</v>
      </c>
      <c r="U211" s="8">
        <f>2693357+46593</f>
        <v>2739950</v>
      </c>
      <c r="X211" s="8">
        <f>+'St of Net Assets - GA'!O210-'LT _Lia - GA'!U211</f>
        <v>0</v>
      </c>
    </row>
    <row r="212" spans="1:26">
      <c r="A212" s="13" t="s">
        <v>294</v>
      </c>
      <c r="B212" s="13"/>
      <c r="C212" s="13" t="s">
        <v>113</v>
      </c>
      <c r="D212" s="13"/>
      <c r="E212" s="32">
        <v>44024</v>
      </c>
      <c r="G212" s="8">
        <v>18197711</v>
      </c>
      <c r="I212" s="8">
        <v>0</v>
      </c>
      <c r="K212" s="8">
        <v>0</v>
      </c>
      <c r="M212" s="8">
        <v>108633</v>
      </c>
      <c r="O212" s="8">
        <v>1238650</v>
      </c>
      <c r="Q212" s="8">
        <v>0</v>
      </c>
      <c r="S212" s="9">
        <f t="shared" si="11"/>
        <v>19544994</v>
      </c>
      <c r="U212" s="8">
        <v>377174</v>
      </c>
      <c r="X212" s="8">
        <f>+'St of Net Assets - GA'!O211-'LT _Lia - GA'!U212</f>
        <v>0</v>
      </c>
    </row>
    <row r="213" spans="1:26">
      <c r="A213" s="13" t="s">
        <v>375</v>
      </c>
      <c r="B213" s="13"/>
      <c r="C213" s="13" t="s">
        <v>29</v>
      </c>
      <c r="D213" s="13"/>
      <c r="E213" s="32">
        <v>65680</v>
      </c>
      <c r="G213" s="8">
        <v>42835445</v>
      </c>
      <c r="I213" s="8">
        <v>0</v>
      </c>
      <c r="K213" s="8">
        <v>0</v>
      </c>
      <c r="M213" s="8">
        <v>0</v>
      </c>
      <c r="O213" s="8">
        <v>1638833</v>
      </c>
      <c r="Q213" s="8">
        <v>0</v>
      </c>
      <c r="S213" s="9">
        <f t="shared" si="11"/>
        <v>44474278</v>
      </c>
      <c r="U213" s="8">
        <v>664506</v>
      </c>
      <c r="X213" s="8">
        <f>+'St of Net Assets - GA'!O212-'LT _Lia - GA'!U213</f>
        <v>0</v>
      </c>
    </row>
    <row r="214" spans="1:26">
      <c r="A214" s="13" t="s">
        <v>376</v>
      </c>
      <c r="B214" s="13"/>
      <c r="C214" s="13" t="s">
        <v>29</v>
      </c>
      <c r="D214" s="13"/>
      <c r="E214" s="32">
        <v>44032</v>
      </c>
      <c r="G214" s="8">
        <v>23730000</v>
      </c>
      <c r="I214" s="8">
        <v>0</v>
      </c>
      <c r="K214" s="8">
        <v>0</v>
      </c>
      <c r="M214" s="8">
        <v>0</v>
      </c>
      <c r="O214" s="8">
        <v>675452</v>
      </c>
      <c r="Q214" s="8">
        <v>0</v>
      </c>
      <c r="S214" s="9">
        <f t="shared" si="11"/>
        <v>24405452</v>
      </c>
      <c r="U214" s="8">
        <v>664107</v>
      </c>
      <c r="X214" s="8">
        <f>+'St of Net Assets - GA'!O213-'LT _Lia - GA'!U214</f>
        <v>0</v>
      </c>
    </row>
    <row r="215" spans="1:26">
      <c r="A215" s="13" t="s">
        <v>696</v>
      </c>
      <c r="B215" s="13"/>
      <c r="C215" s="13" t="s">
        <v>65</v>
      </c>
      <c r="D215" s="13"/>
      <c r="E215" s="32">
        <v>50278</v>
      </c>
      <c r="G215" s="8">
        <v>890000</v>
      </c>
      <c r="I215" s="8">
        <v>0</v>
      </c>
      <c r="K215" s="8">
        <v>240733</v>
      </c>
      <c r="M215" s="8">
        <v>0</v>
      </c>
      <c r="O215" s="8">
        <v>703659</v>
      </c>
      <c r="Q215" s="8">
        <v>0</v>
      </c>
      <c r="S215" s="9">
        <f t="shared" si="11"/>
        <v>1834392</v>
      </c>
      <c r="U215" s="8">
        <v>254465</v>
      </c>
      <c r="X215" s="8">
        <f>+'St of Net Assets - GA'!O214-'LT _Lia - GA'!U215</f>
        <v>0</v>
      </c>
    </row>
    <row r="216" spans="1:26">
      <c r="A216" s="12" t="s">
        <v>980</v>
      </c>
      <c r="B216" s="13"/>
      <c r="C216" s="13" t="s">
        <v>20</v>
      </c>
      <c r="D216" s="13"/>
      <c r="E216" s="32">
        <v>44040</v>
      </c>
      <c r="G216" s="8">
        <v>52955151</v>
      </c>
      <c r="I216" s="8">
        <v>0</v>
      </c>
      <c r="K216" s="8">
        <v>0</v>
      </c>
      <c r="M216" s="8">
        <v>2451556</v>
      </c>
      <c r="O216" s="8">
        <f>3559148+46665</f>
        <v>3605813</v>
      </c>
      <c r="Q216" s="8">
        <v>0</v>
      </c>
      <c r="S216" s="9">
        <f t="shared" si="11"/>
        <v>59012520</v>
      </c>
      <c r="U216" s="8">
        <v>2323456</v>
      </c>
      <c r="X216" s="8">
        <f>+'St of Net Assets - GA'!O215-'LT _Lia - GA'!U216</f>
        <v>0</v>
      </c>
      <c r="Z216" s="8" t="s">
        <v>956</v>
      </c>
    </row>
    <row r="217" spans="1:26">
      <c r="A217" s="12" t="s">
        <v>888</v>
      </c>
      <c r="B217" s="13"/>
      <c r="C217" s="13" t="s">
        <v>12</v>
      </c>
      <c r="D217" s="13"/>
      <c r="E217" s="32">
        <v>44057</v>
      </c>
      <c r="G217" s="8">
        <v>19809233</v>
      </c>
      <c r="I217" s="8">
        <v>0</v>
      </c>
      <c r="K217" s="8">
        <v>0</v>
      </c>
      <c r="M217" s="8">
        <v>0</v>
      </c>
      <c r="O217" s="8">
        <v>1719932</v>
      </c>
      <c r="Q217" s="8">
        <v>0</v>
      </c>
      <c r="S217" s="9">
        <f t="shared" si="11"/>
        <v>21529165</v>
      </c>
      <c r="U217" s="8">
        <v>1198646</v>
      </c>
      <c r="X217" s="8">
        <f>+'St of Net Assets - GA'!O216-'LT _Lia - GA'!U217</f>
        <v>0</v>
      </c>
    </row>
    <row r="218" spans="1:26">
      <c r="A218" s="13" t="s">
        <v>573</v>
      </c>
      <c r="B218" s="13"/>
      <c r="C218" s="13" t="s">
        <v>53</v>
      </c>
      <c r="D218" s="13"/>
      <c r="E218" s="32">
        <v>48942</v>
      </c>
      <c r="G218" s="8">
        <f>2875000+34999+215000</f>
        <v>3124999</v>
      </c>
      <c r="I218" s="8">
        <v>0</v>
      </c>
      <c r="K218" s="8">
        <v>5230000</v>
      </c>
      <c r="M218" s="8">
        <v>1066819</v>
      </c>
      <c r="O218" s="8">
        <v>975197</v>
      </c>
      <c r="Q218" s="8">
        <v>60684</v>
      </c>
      <c r="S218" s="9">
        <f t="shared" si="11"/>
        <v>10457699</v>
      </c>
      <c r="U218" s="8">
        <v>5862831</v>
      </c>
      <c r="X218" s="8">
        <f>+'St of Net Assets - GA'!O217-'LT _Lia - GA'!U218</f>
        <v>0</v>
      </c>
    </row>
    <row r="219" spans="1:26" hidden="1">
      <c r="A219" s="12" t="s">
        <v>940</v>
      </c>
      <c r="B219" s="13"/>
      <c r="C219" s="13" t="s">
        <v>77</v>
      </c>
      <c r="D219" s="13"/>
      <c r="E219" s="32">
        <v>45377</v>
      </c>
      <c r="G219" s="8">
        <v>0</v>
      </c>
      <c r="I219" s="8">
        <v>0</v>
      </c>
      <c r="K219" s="8">
        <v>0</v>
      </c>
      <c r="M219" s="8">
        <v>0</v>
      </c>
      <c r="O219" s="8">
        <v>0</v>
      </c>
      <c r="Q219" s="8">
        <v>0</v>
      </c>
      <c r="S219" s="9">
        <f t="shared" si="11"/>
        <v>0</v>
      </c>
      <c r="U219" s="8">
        <v>0</v>
      </c>
      <c r="X219" s="8">
        <f>+'St of Net Assets - GA'!O218-'LT _Lia - GA'!U219</f>
        <v>0</v>
      </c>
    </row>
    <row r="220" spans="1:26">
      <c r="A220" s="13" t="s">
        <v>624</v>
      </c>
      <c r="B220" s="13"/>
      <c r="C220" s="13" t="s">
        <v>79</v>
      </c>
      <c r="D220" s="13"/>
      <c r="E220" s="32">
        <v>45385</v>
      </c>
      <c r="G220" s="8">
        <v>4390778</v>
      </c>
      <c r="I220" s="8">
        <v>0</v>
      </c>
      <c r="K220" s="8">
        <v>0</v>
      </c>
      <c r="M220" s="8">
        <v>262000</v>
      </c>
      <c r="O220" s="8">
        <v>495137</v>
      </c>
      <c r="Q220" s="8">
        <v>0</v>
      </c>
      <c r="S220" s="9">
        <f t="shared" ref="S220:S228" si="14">SUM(G220:R220)</f>
        <v>5147915</v>
      </c>
      <c r="U220" s="8">
        <v>386974</v>
      </c>
      <c r="X220" s="8">
        <f>+'St of Net Assets - GA'!O219-'LT _Lia - GA'!U220</f>
        <v>0</v>
      </c>
    </row>
    <row r="221" spans="1:26">
      <c r="A221" s="13" t="s">
        <v>679</v>
      </c>
      <c r="B221" s="13"/>
      <c r="C221" s="13" t="s">
        <v>64</v>
      </c>
      <c r="D221" s="13"/>
      <c r="E221" s="32">
        <v>44065</v>
      </c>
      <c r="G221" s="8">
        <v>12274578</v>
      </c>
      <c r="I221" s="8">
        <v>0</v>
      </c>
      <c r="K221" s="8">
        <v>0</v>
      </c>
      <c r="M221" s="8">
        <v>900000</v>
      </c>
      <c r="O221" s="8">
        <f>84024+1133280</f>
        <v>1217304</v>
      </c>
      <c r="Q221" s="8">
        <v>0</v>
      </c>
      <c r="S221" s="9">
        <f t="shared" si="14"/>
        <v>14391882</v>
      </c>
      <c r="U221" s="8">
        <v>784246</v>
      </c>
      <c r="X221" s="8">
        <f>+'St of Net Assets - GA'!O223-'LT _Lia - GA'!U221</f>
        <v>0</v>
      </c>
    </row>
    <row r="222" spans="1:26" hidden="1">
      <c r="A222" s="12" t="s">
        <v>1030</v>
      </c>
      <c r="B222" s="13"/>
      <c r="C222" s="13" t="s">
        <v>28</v>
      </c>
      <c r="D222" s="13"/>
      <c r="E222" s="32">
        <v>47068</v>
      </c>
      <c r="S222" s="9">
        <f t="shared" si="14"/>
        <v>0</v>
      </c>
      <c r="X222" s="8">
        <f>+'St of Net Assets - GA'!O224-'LT _Lia - GA'!U222</f>
        <v>0</v>
      </c>
      <c r="Z222" s="15" t="s">
        <v>973</v>
      </c>
    </row>
    <row r="223" spans="1:26">
      <c r="A223" s="13" t="s">
        <v>269</v>
      </c>
      <c r="B223" s="13"/>
      <c r="C223" s="13" t="s">
        <v>115</v>
      </c>
      <c r="D223" s="13"/>
      <c r="E223" s="32">
        <v>46342</v>
      </c>
      <c r="G223" s="8">
        <f>1980000+2200000+200000+233744-177772+175200+5310000-148811+2700</f>
        <v>9775061</v>
      </c>
      <c r="I223" s="8">
        <v>0</v>
      </c>
      <c r="K223" s="8">
        <v>0</v>
      </c>
      <c r="M223" s="8">
        <v>698235</v>
      </c>
      <c r="O223" s="8">
        <v>1375037</v>
      </c>
      <c r="Q223" s="8">
        <v>0</v>
      </c>
      <c r="S223" s="9">
        <f t="shared" si="14"/>
        <v>11848333</v>
      </c>
      <c r="U223" s="8">
        <v>643033</v>
      </c>
      <c r="X223" s="8">
        <f>+'St of Net Assets - GA'!O225-'LT _Lia - GA'!U223</f>
        <v>0</v>
      </c>
    </row>
    <row r="224" spans="1:26">
      <c r="A224" s="13"/>
      <c r="B224" s="13"/>
      <c r="C224" s="13"/>
      <c r="D224" s="13"/>
      <c r="E224" s="32"/>
      <c r="S224" s="9"/>
    </row>
    <row r="225" spans="1:26">
      <c r="A225" s="13"/>
      <c r="B225" s="13"/>
      <c r="C225" s="13"/>
      <c r="D225" s="13"/>
      <c r="E225" s="32"/>
      <c r="S225" s="9"/>
      <c r="U225" s="8" t="s">
        <v>805</v>
      </c>
    </row>
    <row r="226" spans="1:26">
      <c r="A226" s="13"/>
      <c r="B226" s="13"/>
      <c r="C226" s="13"/>
      <c r="D226" s="13"/>
      <c r="E226" s="32"/>
      <c r="S226" s="9"/>
    </row>
    <row r="227" spans="1:26">
      <c r="A227" s="13" t="s">
        <v>254</v>
      </c>
      <c r="B227" s="13"/>
      <c r="C227" s="13" t="s">
        <v>255</v>
      </c>
      <c r="D227" s="13"/>
      <c r="E227" s="32">
        <v>46193</v>
      </c>
      <c r="G227" s="35">
        <f>745000+620701+16785000+444788+566223-70358</f>
        <v>19091354</v>
      </c>
      <c r="H227" s="35"/>
      <c r="I227" s="35">
        <v>5935</v>
      </c>
      <c r="J227" s="35"/>
      <c r="K227" s="35">
        <v>0</v>
      </c>
      <c r="L227" s="35"/>
      <c r="M227" s="35">
        <v>762000</v>
      </c>
      <c r="N227" s="35"/>
      <c r="O227" s="35">
        <v>1157205</v>
      </c>
      <c r="P227" s="35"/>
      <c r="Q227" s="35">
        <v>0</v>
      </c>
      <c r="R227" s="35"/>
      <c r="S227" s="44">
        <f t="shared" si="14"/>
        <v>21016494</v>
      </c>
      <c r="T227" s="35"/>
      <c r="U227" s="35">
        <v>565935</v>
      </c>
      <c r="X227" s="8">
        <f>+'St of Net Assets - GA'!O226-'LT _Lia - GA'!U227</f>
        <v>0</v>
      </c>
    </row>
    <row r="228" spans="1:26">
      <c r="A228" s="13" t="s">
        <v>220</v>
      </c>
      <c r="B228" s="13"/>
      <c r="C228" s="13" t="s">
        <v>12</v>
      </c>
      <c r="D228" s="13"/>
      <c r="E228" s="13">
        <v>45864</v>
      </c>
      <c r="G228" s="8">
        <v>10680000</v>
      </c>
      <c r="I228" s="8">
        <v>0</v>
      </c>
      <c r="K228" s="8">
        <v>0</v>
      </c>
      <c r="M228" s="8">
        <v>1322000</v>
      </c>
      <c r="O228" s="8">
        <v>667322</v>
      </c>
      <c r="Q228" s="8">
        <v>0</v>
      </c>
      <c r="S228" s="9">
        <f t="shared" si="14"/>
        <v>12669322</v>
      </c>
      <c r="U228" s="8">
        <v>621536</v>
      </c>
      <c r="X228" s="8">
        <f>+'St of Net Assets - GA'!O227-'LT _Lia - GA'!U228</f>
        <v>0</v>
      </c>
    </row>
    <row r="229" spans="1:26">
      <c r="A229" s="13" t="s">
        <v>357</v>
      </c>
      <c r="B229" s="13"/>
      <c r="C229" s="13" t="s">
        <v>27</v>
      </c>
      <c r="D229" s="13"/>
      <c r="E229" s="32">
        <v>44073</v>
      </c>
      <c r="G229" s="8">
        <v>6499989</v>
      </c>
      <c r="I229" s="8">
        <v>0</v>
      </c>
      <c r="K229" s="8">
        <v>140000</v>
      </c>
      <c r="M229" s="8">
        <v>173586</v>
      </c>
      <c r="O229" s="8">
        <f>1255119+612</f>
        <v>1255731</v>
      </c>
      <c r="Q229" s="8">
        <v>26838</v>
      </c>
      <c r="S229" s="9">
        <f t="shared" ref="S229:S297" si="15">SUM(G229:R229)</f>
        <v>8096144</v>
      </c>
      <c r="U229" s="8">
        <f>992477+612</f>
        <v>993089</v>
      </c>
      <c r="X229" s="8">
        <f>+'St of Net Assets - GA'!O228-'LT _Lia - GA'!U229</f>
        <v>0</v>
      </c>
    </row>
    <row r="230" spans="1:26">
      <c r="A230" s="12" t="s">
        <v>942</v>
      </c>
      <c r="B230" s="13"/>
      <c r="C230" s="13" t="s">
        <v>42</v>
      </c>
      <c r="D230" s="13"/>
      <c r="E230" s="32">
        <v>45393</v>
      </c>
      <c r="G230" s="8">
        <v>34158066</v>
      </c>
      <c r="I230" s="8">
        <v>0</v>
      </c>
      <c r="K230" s="8">
        <v>1829000</v>
      </c>
      <c r="M230" s="8">
        <v>92744</v>
      </c>
      <c r="O230" s="8">
        <v>1003588</v>
      </c>
      <c r="Q230" s="8">
        <v>0</v>
      </c>
      <c r="S230" s="9">
        <f t="shared" si="15"/>
        <v>37083398</v>
      </c>
      <c r="U230" s="8">
        <v>1693300</v>
      </c>
      <c r="X230" s="8">
        <f>+'St of Net Assets - GA'!O229-'LT _Lia - GA'!U230</f>
        <v>0</v>
      </c>
    </row>
    <row r="231" spans="1:26">
      <c r="A231" s="13" t="s">
        <v>628</v>
      </c>
      <c r="B231" s="13"/>
      <c r="C231" s="13" t="s">
        <v>59</v>
      </c>
      <c r="D231" s="13"/>
      <c r="E231" s="32">
        <v>49619</v>
      </c>
      <c r="G231" s="8">
        <v>0</v>
      </c>
      <c r="I231" s="8">
        <v>0</v>
      </c>
      <c r="K231" s="8">
        <v>0</v>
      </c>
      <c r="M231" s="8">
        <v>0</v>
      </c>
      <c r="O231" s="8">
        <v>365013</v>
      </c>
      <c r="Q231" s="8">
        <v>0</v>
      </c>
      <c r="S231" s="9">
        <f t="shared" si="15"/>
        <v>365013</v>
      </c>
      <c r="U231" s="8">
        <v>17998</v>
      </c>
      <c r="X231" s="8">
        <f>+'St of Net Assets - GA'!O230-'LT _Lia - GA'!U231</f>
        <v>0</v>
      </c>
    </row>
    <row r="232" spans="1:26">
      <c r="A232" s="13" t="s">
        <v>628</v>
      </c>
      <c r="B232" s="13"/>
      <c r="C232" s="13" t="s">
        <v>63</v>
      </c>
      <c r="D232" s="13"/>
      <c r="E232" s="32">
        <v>50013</v>
      </c>
      <c r="G232" s="8">
        <v>14665381</v>
      </c>
      <c r="I232" s="8">
        <v>8716126</v>
      </c>
      <c r="K232" s="8">
        <v>0</v>
      </c>
      <c r="M232" s="8">
        <v>525793</v>
      </c>
      <c r="O232" s="8">
        <f>651615+1408296</f>
        <v>2059911</v>
      </c>
      <c r="Q232" s="8">
        <v>14178871</v>
      </c>
      <c r="S232" s="9">
        <f t="shared" si="15"/>
        <v>40146082</v>
      </c>
      <c r="U232" s="8">
        <v>2267720</v>
      </c>
      <c r="X232" s="8">
        <f>+'St of Net Assets - GA'!O231-'LT _Lia - GA'!U232</f>
        <v>0</v>
      </c>
    </row>
    <row r="233" spans="1:26">
      <c r="A233" s="13" t="s">
        <v>628</v>
      </c>
      <c r="B233" s="13"/>
      <c r="C233" s="13" t="s">
        <v>71</v>
      </c>
      <c r="D233" s="13"/>
      <c r="E233" s="32">
        <v>50559</v>
      </c>
      <c r="G233" s="8">
        <v>0</v>
      </c>
      <c r="I233" s="8">
        <v>0</v>
      </c>
      <c r="K233" s="8">
        <v>143856</v>
      </c>
      <c r="M233" s="8">
        <v>58659</v>
      </c>
      <c r="O233" s="8">
        <v>631060</v>
      </c>
      <c r="Q233" s="8">
        <v>0</v>
      </c>
      <c r="S233" s="9">
        <f t="shared" si="15"/>
        <v>833575</v>
      </c>
      <c r="U233" s="8">
        <v>98211</v>
      </c>
      <c r="X233" s="8">
        <f>+'St of Net Assets - GA'!O232-'LT _Lia - GA'!U233</f>
        <v>0</v>
      </c>
    </row>
    <row r="234" spans="1:26">
      <c r="A234" s="13" t="s">
        <v>386</v>
      </c>
      <c r="B234" s="13"/>
      <c r="C234" s="13" t="s">
        <v>116</v>
      </c>
      <c r="D234" s="13"/>
      <c r="E234" s="32">
        <v>47266</v>
      </c>
      <c r="G234" s="8">
        <v>7429989</v>
      </c>
      <c r="I234" s="8">
        <v>0</v>
      </c>
      <c r="K234" s="8">
        <v>0</v>
      </c>
      <c r="M234" s="8">
        <v>0</v>
      </c>
      <c r="O234" s="8">
        <v>877166</v>
      </c>
      <c r="Q234" s="8">
        <v>0</v>
      </c>
      <c r="S234" s="9">
        <f t="shared" si="15"/>
        <v>8307155</v>
      </c>
      <c r="U234" s="8">
        <v>432058</v>
      </c>
      <c r="X234" s="8">
        <f>+'St of Net Assets - GA'!O233-'LT _Lia - GA'!U234</f>
        <v>0</v>
      </c>
    </row>
    <row r="235" spans="1:26">
      <c r="A235" s="13" t="s">
        <v>437</v>
      </c>
      <c r="B235" s="13"/>
      <c r="C235" s="13" t="s">
        <v>435</v>
      </c>
      <c r="D235" s="13"/>
      <c r="E235" s="32">
        <v>45401</v>
      </c>
      <c r="G235" s="8">
        <v>2550000</v>
      </c>
      <c r="I235" s="8">
        <v>0</v>
      </c>
      <c r="K235" s="8">
        <v>0</v>
      </c>
      <c r="M235" s="8">
        <v>74346</v>
      </c>
      <c r="O235" s="8">
        <v>1481777</v>
      </c>
      <c r="Q235" s="8">
        <v>0</v>
      </c>
      <c r="S235" s="9">
        <f t="shared" si="15"/>
        <v>4106123</v>
      </c>
      <c r="U235" s="8">
        <v>238479</v>
      </c>
      <c r="X235" s="8">
        <f>+'St of Net Assets - GA'!O234-'LT _Lia - GA'!U235</f>
        <v>0</v>
      </c>
    </row>
    <row r="236" spans="1:26">
      <c r="A236" s="13" t="s">
        <v>261</v>
      </c>
      <c r="B236" s="13"/>
      <c r="C236" s="13" t="s">
        <v>17</v>
      </c>
      <c r="D236" s="13"/>
      <c r="E236" s="32">
        <v>46235</v>
      </c>
      <c r="G236" s="8">
        <v>0</v>
      </c>
      <c r="I236" s="8">
        <v>46585</v>
      </c>
      <c r="K236" s="8">
        <v>0</v>
      </c>
      <c r="M236" s="8">
        <v>0</v>
      </c>
      <c r="O236" s="8">
        <f>1068536+12688</f>
        <v>1081224</v>
      </c>
      <c r="Q236" s="8">
        <v>0</v>
      </c>
      <c r="S236" s="9">
        <f t="shared" si="15"/>
        <v>1127809</v>
      </c>
      <c r="U236" s="8">
        <v>84975</v>
      </c>
      <c r="X236" s="8">
        <f>+'St of Net Assets - GA'!O235-'LT _Lia - GA'!U236</f>
        <v>0</v>
      </c>
    </row>
    <row r="237" spans="1:26">
      <c r="A237" s="13" t="s">
        <v>327</v>
      </c>
      <c r="B237" s="13"/>
      <c r="C237" s="13" t="s">
        <v>21</v>
      </c>
      <c r="D237" s="13"/>
      <c r="E237" s="32">
        <v>44099</v>
      </c>
      <c r="G237" s="8">
        <v>0</v>
      </c>
      <c r="I237" s="8">
        <v>0</v>
      </c>
      <c r="K237" s="8">
        <v>0</v>
      </c>
      <c r="M237" s="8">
        <v>0</v>
      </c>
      <c r="O237" s="8">
        <v>843158</v>
      </c>
      <c r="Q237" s="8">
        <v>0</v>
      </c>
      <c r="S237" s="9">
        <f t="shared" si="15"/>
        <v>843158</v>
      </c>
      <c r="U237" s="8">
        <v>196977</v>
      </c>
      <c r="X237" s="8">
        <f>+'St of Net Assets - GA'!O236-'LT _Lia - GA'!U237</f>
        <v>0</v>
      </c>
    </row>
    <row r="238" spans="1:26">
      <c r="A238" s="13" t="s">
        <v>358</v>
      </c>
      <c r="B238" s="13"/>
      <c r="C238" s="13" t="s">
        <v>27</v>
      </c>
      <c r="D238" s="13"/>
      <c r="E238" s="32">
        <v>46979</v>
      </c>
      <c r="G238" s="8">
        <v>0</v>
      </c>
      <c r="I238" s="8">
        <v>0</v>
      </c>
      <c r="K238" s="8">
        <v>455000</v>
      </c>
      <c r="M238" s="8">
        <v>0</v>
      </c>
      <c r="O238" s="8">
        <v>3735146</v>
      </c>
      <c r="Q238" s="8">
        <v>0</v>
      </c>
      <c r="S238" s="9">
        <f t="shared" si="15"/>
        <v>4190146</v>
      </c>
      <c r="U238" s="8">
        <v>648529</v>
      </c>
      <c r="X238" s="8">
        <f>+'St of Net Assets - GA'!O237-'LT _Lia - GA'!U238</f>
        <v>0</v>
      </c>
      <c r="Z238" s="15" t="s">
        <v>905</v>
      </c>
    </row>
    <row r="239" spans="1:26">
      <c r="A239" s="13" t="s">
        <v>244</v>
      </c>
      <c r="B239" s="13"/>
      <c r="C239" s="13" t="s">
        <v>242</v>
      </c>
      <c r="D239" s="13"/>
      <c r="E239" s="32">
        <v>44107</v>
      </c>
      <c r="G239" s="8">
        <v>105625000</v>
      </c>
      <c r="I239" s="8">
        <v>0</v>
      </c>
      <c r="K239" s="8">
        <v>0</v>
      </c>
      <c r="M239" s="8">
        <v>339525</v>
      </c>
      <c r="O239" s="8">
        <v>6578966</v>
      </c>
      <c r="Q239" s="8">
        <v>4173518</v>
      </c>
      <c r="S239" s="9">
        <f t="shared" si="15"/>
        <v>116717009</v>
      </c>
      <c r="U239" s="8">
        <v>3321931</v>
      </c>
      <c r="X239" s="8">
        <f>+'St of Net Assets - GA'!O238-'LT _Lia - GA'!U239</f>
        <v>0</v>
      </c>
    </row>
    <row r="240" spans="1:26">
      <c r="A240" s="12" t="s">
        <v>981</v>
      </c>
      <c r="B240" s="13"/>
      <c r="C240" s="13" t="s">
        <v>27</v>
      </c>
      <c r="D240" s="13"/>
      <c r="E240" s="32">
        <v>46953</v>
      </c>
      <c r="G240" s="8">
        <v>26389281</v>
      </c>
      <c r="I240" s="8">
        <v>0</v>
      </c>
      <c r="K240" s="8">
        <v>0</v>
      </c>
      <c r="M240" s="8">
        <v>0</v>
      </c>
      <c r="O240" s="8">
        <v>653612</v>
      </c>
      <c r="Q240" s="8">
        <v>0</v>
      </c>
      <c r="S240" s="9">
        <f t="shared" si="15"/>
        <v>27042893</v>
      </c>
      <c r="U240" s="8">
        <v>937494</v>
      </c>
      <c r="X240" s="8">
        <f>+'St of Net Assets - GA'!O239-'LT _Lia - GA'!U240</f>
        <v>0</v>
      </c>
    </row>
    <row r="241" spans="1:24">
      <c r="A241" s="13" t="s">
        <v>422</v>
      </c>
      <c r="B241" s="13"/>
      <c r="C241" s="13" t="s">
        <v>421</v>
      </c>
      <c r="D241" s="13"/>
      <c r="E241" s="32">
        <v>47498</v>
      </c>
      <c r="G241" s="8">
        <v>3470000</v>
      </c>
      <c r="I241" s="8">
        <v>0</v>
      </c>
      <c r="K241" s="8">
        <v>0</v>
      </c>
      <c r="M241" s="8">
        <v>0</v>
      </c>
      <c r="O241" s="8">
        <v>120589</v>
      </c>
      <c r="Q241" s="8">
        <v>0</v>
      </c>
      <c r="S241" s="9">
        <f t="shared" si="15"/>
        <v>3590589</v>
      </c>
      <c r="U241" s="8">
        <v>69334</v>
      </c>
      <c r="X241" s="8">
        <f>+'St of Net Assets - GA'!O240-'LT _Lia - GA'!U241</f>
        <v>0</v>
      </c>
    </row>
    <row r="242" spans="1:24">
      <c r="A242" s="13" t="s">
        <v>645</v>
      </c>
      <c r="B242" s="13"/>
      <c r="C242" s="13" t="s">
        <v>61</v>
      </c>
      <c r="D242" s="13"/>
      <c r="E242" s="32">
        <v>49791</v>
      </c>
      <c r="G242" s="8">
        <f>90000+5275000+3750000+179996+274769</f>
        <v>9569765</v>
      </c>
      <c r="I242" s="8">
        <v>72021</v>
      </c>
      <c r="K242" s="8">
        <v>0</v>
      </c>
      <c r="M242" s="8">
        <v>0</v>
      </c>
      <c r="O242" s="8">
        <v>394631</v>
      </c>
      <c r="Q242" s="8">
        <v>0</v>
      </c>
      <c r="S242" s="9">
        <f t="shared" si="15"/>
        <v>10036417</v>
      </c>
      <c r="U242" s="8">
        <v>38752</v>
      </c>
      <c r="X242" s="8">
        <f>+'St of Net Assets - GA'!O241-'LT _Lia - GA'!U242</f>
        <v>0</v>
      </c>
    </row>
    <row r="243" spans="1:24">
      <c r="A243" s="13" t="s">
        <v>429</v>
      </c>
      <c r="B243" s="13"/>
      <c r="C243" s="13" t="s">
        <v>428</v>
      </c>
      <c r="D243" s="13"/>
      <c r="E243" s="32">
        <v>45245</v>
      </c>
      <c r="G243" s="8">
        <v>0</v>
      </c>
      <c r="I243" s="8">
        <v>0</v>
      </c>
      <c r="K243" s="8">
        <v>0</v>
      </c>
      <c r="M243" s="8">
        <v>14076</v>
      </c>
      <c r="O243" s="8">
        <v>973785</v>
      </c>
      <c r="Q243" s="8">
        <v>0</v>
      </c>
      <c r="S243" s="9">
        <f t="shared" si="15"/>
        <v>987861</v>
      </c>
      <c r="U243" s="8">
        <v>202556</v>
      </c>
      <c r="X243" s="8">
        <f>+'St of Net Assets - GA'!O242-'LT _Lia - GA'!U243</f>
        <v>0</v>
      </c>
    </row>
    <row r="244" spans="1:24">
      <c r="A244" s="13" t="s">
        <v>473</v>
      </c>
      <c r="B244" s="13"/>
      <c r="C244" s="13" t="s">
        <v>42</v>
      </c>
      <c r="D244" s="13"/>
      <c r="E244" s="32">
        <v>44115</v>
      </c>
      <c r="G244" s="8">
        <v>15721702</v>
      </c>
      <c r="I244" s="8">
        <v>0</v>
      </c>
      <c r="K244" s="8">
        <v>35000</v>
      </c>
      <c r="M244" s="8">
        <v>215410</v>
      </c>
      <c r="O244" s="8">
        <v>1184281</v>
      </c>
      <c r="Q244" s="8">
        <v>0</v>
      </c>
      <c r="S244" s="9">
        <f t="shared" si="15"/>
        <v>17156393</v>
      </c>
      <c r="U244" s="8">
        <v>884436</v>
      </c>
      <c r="X244" s="8">
        <f>+'St of Net Assets - GA'!O243-'LT _Lia - GA'!U244</f>
        <v>0</v>
      </c>
    </row>
    <row r="245" spans="1:24" hidden="1">
      <c r="A245" s="12" t="s">
        <v>945</v>
      </c>
      <c r="B245" s="13"/>
      <c r="C245" s="13" t="s">
        <v>22</v>
      </c>
      <c r="D245" s="13"/>
      <c r="E245" s="32">
        <v>45419</v>
      </c>
      <c r="G245" s="8">
        <v>0</v>
      </c>
      <c r="I245" s="8">
        <v>0</v>
      </c>
      <c r="K245" s="8">
        <v>0</v>
      </c>
      <c r="M245" s="8">
        <v>0</v>
      </c>
      <c r="O245" s="8">
        <v>0</v>
      </c>
      <c r="Q245" s="8">
        <v>0</v>
      </c>
      <c r="S245" s="9">
        <f t="shared" si="15"/>
        <v>0</v>
      </c>
      <c r="U245" s="8">
        <v>0</v>
      </c>
      <c r="X245" s="8">
        <f>+'St of Net Assets - GA'!O244-'LT _Lia - GA'!U245</f>
        <v>0</v>
      </c>
    </row>
    <row r="246" spans="1:24">
      <c r="A246" s="13" t="s">
        <v>528</v>
      </c>
      <c r="B246" s="13"/>
      <c r="C246" s="13" t="s">
        <v>47</v>
      </c>
      <c r="D246" s="13"/>
      <c r="E246" s="32">
        <v>48496</v>
      </c>
      <c r="G246" s="8">
        <v>35070817</v>
      </c>
      <c r="I246" s="8">
        <v>0</v>
      </c>
      <c r="K246" s="8">
        <v>0</v>
      </c>
      <c r="M246" s="8">
        <v>127119</v>
      </c>
      <c r="O246" s="8">
        <v>1262094</v>
      </c>
      <c r="Q246" s="8">
        <v>0</v>
      </c>
      <c r="S246" s="9">
        <f t="shared" si="15"/>
        <v>36460030</v>
      </c>
      <c r="U246" s="8">
        <v>1806824</v>
      </c>
      <c r="X246" s="8">
        <f>+'St of Net Assets - GA'!O245-'LT _Lia - GA'!U246</f>
        <v>0</v>
      </c>
    </row>
    <row r="247" spans="1:24">
      <c r="A247" s="13" t="s">
        <v>528</v>
      </c>
      <c r="B247" s="13"/>
      <c r="C247" s="13" t="s">
        <v>78</v>
      </c>
      <c r="D247" s="13"/>
      <c r="E247" s="32">
        <v>48801</v>
      </c>
      <c r="G247" s="8">
        <v>15380172</v>
      </c>
      <c r="I247" s="8">
        <v>0</v>
      </c>
      <c r="K247" s="8">
        <v>0</v>
      </c>
      <c r="M247" s="8">
        <v>65621</v>
      </c>
      <c r="O247" s="8">
        <v>927749</v>
      </c>
      <c r="Q247" s="8">
        <v>0</v>
      </c>
      <c r="S247" s="9">
        <f t="shared" si="15"/>
        <v>16373542</v>
      </c>
      <c r="U247" s="8">
        <v>116148</v>
      </c>
      <c r="X247" s="8">
        <f>+'St of Net Assets - GA'!O246-'LT _Lia - GA'!U247</f>
        <v>0</v>
      </c>
    </row>
    <row r="248" spans="1:24">
      <c r="A248" s="13" t="s">
        <v>360</v>
      </c>
      <c r="B248" s="13"/>
      <c r="C248" s="13" t="s">
        <v>27</v>
      </c>
      <c r="D248" s="13"/>
      <c r="E248" s="32">
        <v>47019</v>
      </c>
      <c r="G248" s="8">
        <v>171431136</v>
      </c>
      <c r="I248" s="8">
        <f>640000+8000000+4155</f>
        <v>8644155</v>
      </c>
      <c r="K248" s="8">
        <v>0</v>
      </c>
      <c r="M248" s="8">
        <v>193626</v>
      </c>
      <c r="O248" s="8">
        <v>9175022</v>
      </c>
      <c r="Q248" s="8">
        <v>0</v>
      </c>
      <c r="S248" s="9">
        <f t="shared" si="15"/>
        <v>189443939</v>
      </c>
      <c r="U248" s="8">
        <v>12793983</v>
      </c>
      <c r="X248" s="8">
        <f>+'St of Net Assets - GA'!O247-'LT _Lia - GA'!U248</f>
        <v>0</v>
      </c>
    </row>
    <row r="249" spans="1:24">
      <c r="A249" s="13" t="s">
        <v>438</v>
      </c>
      <c r="B249" s="13"/>
      <c r="C249" s="13" t="s">
        <v>435</v>
      </c>
      <c r="D249" s="13"/>
      <c r="E249" s="32">
        <v>44123</v>
      </c>
      <c r="G249" s="8">
        <f>8430000+3020000</f>
        <v>11450000</v>
      </c>
      <c r="I249" s="8">
        <v>0</v>
      </c>
      <c r="K249" s="8">
        <v>0</v>
      </c>
      <c r="M249" s="8">
        <v>780000</v>
      </c>
      <c r="O249" s="8">
        <v>792616</v>
      </c>
      <c r="Q249" s="8">
        <v>0</v>
      </c>
      <c r="S249" s="9">
        <f t="shared" si="15"/>
        <v>13022616</v>
      </c>
      <c r="U249" s="8">
        <v>489208</v>
      </c>
      <c r="X249" s="8">
        <f>+'St of Net Assets - GA'!O248-'LT _Lia - GA'!U249</f>
        <v>0</v>
      </c>
    </row>
    <row r="250" spans="1:24">
      <c r="A250" s="13" t="s">
        <v>214</v>
      </c>
      <c r="B250" s="13"/>
      <c r="C250" s="13" t="s">
        <v>11</v>
      </c>
      <c r="D250" s="13"/>
      <c r="E250" s="32">
        <v>45823</v>
      </c>
      <c r="G250" s="8">
        <v>0</v>
      </c>
      <c r="I250" s="8">
        <v>0</v>
      </c>
      <c r="K250" s="8">
        <v>157850</v>
      </c>
      <c r="M250" s="8">
        <v>0</v>
      </c>
      <c r="O250" s="8">
        <v>906054</v>
      </c>
      <c r="Q250" s="8">
        <v>0</v>
      </c>
      <c r="S250" s="9">
        <f t="shared" si="15"/>
        <v>1063904</v>
      </c>
      <c r="U250" s="8">
        <v>145203</v>
      </c>
      <c r="X250" s="8">
        <f>+'St of Net Assets - GA'!O249-'LT _Lia - GA'!U250</f>
        <v>0</v>
      </c>
    </row>
    <row r="251" spans="1:24">
      <c r="A251" s="13" t="s">
        <v>430</v>
      </c>
      <c r="B251" s="13"/>
      <c r="C251" s="13" t="s">
        <v>34</v>
      </c>
      <c r="D251" s="13"/>
      <c r="E251" s="32">
        <v>47571</v>
      </c>
      <c r="G251" s="8">
        <v>2560000</v>
      </c>
      <c r="I251" s="8">
        <v>1811358</v>
      </c>
      <c r="K251" s="8">
        <v>0</v>
      </c>
      <c r="M251" s="8">
        <v>0</v>
      </c>
      <c r="O251" s="8">
        <v>239008</v>
      </c>
      <c r="Q251" s="8">
        <v>0</v>
      </c>
      <c r="S251" s="9">
        <f t="shared" si="15"/>
        <v>4610366</v>
      </c>
      <c r="U251" s="8">
        <v>173669</v>
      </c>
      <c r="X251" s="8">
        <f>+'St of Net Assets - GA'!O250-'LT _Lia - GA'!U251</f>
        <v>0</v>
      </c>
    </row>
    <row r="252" spans="1:24">
      <c r="A252" s="13" t="s">
        <v>680</v>
      </c>
      <c r="B252" s="13"/>
      <c r="C252" s="13" t="s">
        <v>64</v>
      </c>
      <c r="D252" s="13"/>
      <c r="E252" s="32">
        <v>50161</v>
      </c>
      <c r="G252" s="8">
        <v>0</v>
      </c>
      <c r="I252" s="8">
        <v>0</v>
      </c>
      <c r="K252" s="8">
        <v>0</v>
      </c>
      <c r="M252" s="8">
        <v>0</v>
      </c>
      <c r="O252" s="8">
        <v>3373941</v>
      </c>
      <c r="Q252" s="8">
        <v>0</v>
      </c>
      <c r="S252" s="9">
        <f t="shared" si="15"/>
        <v>3373941</v>
      </c>
      <c r="U252" s="8">
        <v>349544</v>
      </c>
      <c r="X252" s="8">
        <f>+'St of Net Assets - GA'!O251-'LT _Lia - GA'!U252</f>
        <v>0</v>
      </c>
    </row>
    <row r="253" spans="1:24">
      <c r="A253" s="13" t="s">
        <v>681</v>
      </c>
      <c r="B253" s="13"/>
      <c r="C253" s="13" t="s">
        <v>64</v>
      </c>
      <c r="D253" s="13"/>
      <c r="E253" s="32">
        <v>45427</v>
      </c>
      <c r="G253" s="8">
        <v>18692766</v>
      </c>
      <c r="I253" s="8">
        <v>0</v>
      </c>
      <c r="K253" s="8">
        <v>0</v>
      </c>
      <c r="M253" s="8">
        <v>278822</v>
      </c>
      <c r="O253" s="8">
        <v>961564</v>
      </c>
      <c r="Q253" s="8">
        <v>0</v>
      </c>
      <c r="S253" s="9">
        <f t="shared" si="15"/>
        <v>19933152</v>
      </c>
      <c r="U253" s="8">
        <v>903213</v>
      </c>
      <c r="X253" s="8">
        <f>+'St of Net Assets - GA'!O252-'LT _Lia - GA'!U253</f>
        <v>0</v>
      </c>
    </row>
    <row r="254" spans="1:24">
      <c r="A254" s="13" t="s">
        <v>547</v>
      </c>
      <c r="B254" s="13"/>
      <c r="C254" s="13" t="s">
        <v>50</v>
      </c>
      <c r="D254" s="13"/>
      <c r="E254" s="32">
        <v>48751</v>
      </c>
      <c r="G254" s="8">
        <v>0</v>
      </c>
      <c r="I254" s="8">
        <v>0</v>
      </c>
      <c r="K254" s="8">
        <v>182190</v>
      </c>
      <c r="M254" s="8">
        <v>415434</v>
      </c>
      <c r="O254" s="8">
        <v>1878831</v>
      </c>
      <c r="Q254" s="8">
        <v>0</v>
      </c>
      <c r="S254" s="9">
        <f t="shared" si="15"/>
        <v>2476455</v>
      </c>
      <c r="U254" s="8">
        <v>601956</v>
      </c>
      <c r="X254" s="8">
        <f>+'St of Net Assets - GA'!O253-'LT _Lia - GA'!U254</f>
        <v>0</v>
      </c>
    </row>
    <row r="255" spans="1:24">
      <c r="A255" s="13" t="s">
        <v>666</v>
      </c>
      <c r="B255" s="13"/>
      <c r="C255" s="13" t="s">
        <v>63</v>
      </c>
      <c r="D255" s="13"/>
      <c r="E255" s="32">
        <v>50021</v>
      </c>
      <c r="G255" s="8">
        <v>31360374</v>
      </c>
      <c r="I255" s="8">
        <v>0</v>
      </c>
      <c r="K255" s="8">
        <v>0</v>
      </c>
      <c r="M255" s="8">
        <v>0</v>
      </c>
      <c r="O255" s="8">
        <f>12250+2379686</f>
        <v>2391936</v>
      </c>
      <c r="Q255" s="8">
        <v>0</v>
      </c>
      <c r="S255" s="9">
        <f t="shared" si="15"/>
        <v>33752310</v>
      </c>
      <c r="U255" s="8">
        <f>2643932+10404</f>
        <v>2654336</v>
      </c>
      <c r="X255" s="8">
        <f>+'St of Net Assets - GA'!O254-'LT _Lia - GA'!U255</f>
        <v>0</v>
      </c>
    </row>
    <row r="256" spans="1:24">
      <c r="A256" s="13" t="s">
        <v>618</v>
      </c>
      <c r="B256" s="13"/>
      <c r="C256" s="13" t="s">
        <v>58</v>
      </c>
      <c r="D256" s="13"/>
      <c r="E256" s="32">
        <v>49502</v>
      </c>
      <c r="G256" s="8">
        <v>725000</v>
      </c>
      <c r="I256" s="8">
        <v>0</v>
      </c>
      <c r="K256" s="8">
        <v>0</v>
      </c>
      <c r="M256" s="8">
        <v>109279</v>
      </c>
      <c r="O256" s="8">
        <v>650244</v>
      </c>
      <c r="Q256" s="8">
        <v>0</v>
      </c>
      <c r="S256" s="9">
        <f t="shared" si="15"/>
        <v>1484523</v>
      </c>
      <c r="U256" s="8">
        <v>132679</v>
      </c>
      <c r="X256" s="8">
        <f>+'St of Net Assets - GA'!O255-'LT _Lia - GA'!U256</f>
        <v>0</v>
      </c>
    </row>
    <row r="257" spans="1:26">
      <c r="A257" s="13" t="s">
        <v>337</v>
      </c>
      <c r="B257" s="13"/>
      <c r="C257" s="13" t="s">
        <v>24</v>
      </c>
      <c r="D257" s="13"/>
      <c r="E257" s="32">
        <v>44131</v>
      </c>
      <c r="G257" s="8">
        <f>135000+3416454+1595000</f>
        <v>5146454</v>
      </c>
      <c r="I257" s="8">
        <v>0</v>
      </c>
      <c r="K257" s="8">
        <v>0</v>
      </c>
      <c r="M257" s="8">
        <v>2960317</v>
      </c>
      <c r="O257" s="8">
        <v>1089987</v>
      </c>
      <c r="Q257" s="8">
        <v>0</v>
      </c>
      <c r="S257" s="9">
        <f t="shared" si="15"/>
        <v>9196758</v>
      </c>
      <c r="U257" s="8">
        <v>943379</v>
      </c>
      <c r="X257" s="8">
        <f>+'St of Net Assets - GA'!O256-'LT _Lia - GA'!U257</f>
        <v>0</v>
      </c>
    </row>
    <row r="258" spans="1:26">
      <c r="A258" s="13" t="s">
        <v>309</v>
      </c>
      <c r="B258" s="13"/>
      <c r="C258" s="13" t="s">
        <v>20</v>
      </c>
      <c r="D258" s="13"/>
      <c r="E258" s="32">
        <v>46565</v>
      </c>
      <c r="G258" s="8">
        <v>15553886</v>
      </c>
      <c r="I258" s="8">
        <v>0</v>
      </c>
      <c r="K258" s="8">
        <v>0</v>
      </c>
      <c r="M258" s="8">
        <v>0</v>
      </c>
      <c r="O258" s="8">
        <v>1592259</v>
      </c>
      <c r="Q258" s="8">
        <v>0</v>
      </c>
      <c r="S258" s="9">
        <f t="shared" si="15"/>
        <v>17146145</v>
      </c>
      <c r="U258" s="8">
        <v>556144</v>
      </c>
      <c r="X258" s="8">
        <f>+'St of Net Assets - GA'!O257-'LT _Lia - GA'!U258</f>
        <v>0</v>
      </c>
    </row>
    <row r="259" spans="1:26" ht="12" customHeight="1">
      <c r="A259" s="13" t="s">
        <v>451</v>
      </c>
      <c r="B259" s="13"/>
      <c r="C259" s="13" t="s">
        <v>39</v>
      </c>
      <c r="D259" s="13"/>
      <c r="E259" s="32">
        <v>47803</v>
      </c>
      <c r="G259" s="8">
        <v>12412402</v>
      </c>
      <c r="I259" s="8">
        <v>19577</v>
      </c>
      <c r="K259" s="8">
        <v>0</v>
      </c>
      <c r="M259" s="8">
        <v>255433</v>
      </c>
      <c r="O259" s="8">
        <v>1336592</v>
      </c>
      <c r="Q259" s="8">
        <v>0</v>
      </c>
      <c r="S259" s="9">
        <f t="shared" si="15"/>
        <v>14024004</v>
      </c>
      <c r="U259" s="8">
        <v>496196</v>
      </c>
      <c r="X259" s="8">
        <f>+'St of Net Assets - GA'!O258-'LT _Lia - GA'!U259</f>
        <v>0</v>
      </c>
    </row>
    <row r="260" spans="1:26" ht="12" customHeight="1">
      <c r="A260" s="13" t="s">
        <v>395</v>
      </c>
      <c r="B260" s="13"/>
      <c r="C260" s="13" t="s">
        <v>32</v>
      </c>
      <c r="D260" s="13"/>
      <c r="E260" s="32">
        <v>45435</v>
      </c>
      <c r="G260" s="8">
        <v>38346530</v>
      </c>
      <c r="I260" s="8">
        <v>0</v>
      </c>
      <c r="K260" s="8">
        <v>0</v>
      </c>
      <c r="M260" s="8">
        <v>1111000</v>
      </c>
      <c r="O260" s="8">
        <v>1622918</v>
      </c>
      <c r="Q260" s="8">
        <v>0</v>
      </c>
      <c r="S260" s="9">
        <f t="shared" si="15"/>
        <v>41080448</v>
      </c>
      <c r="U260" s="8">
        <v>2533559</v>
      </c>
      <c r="X260" s="8">
        <f>+'St of Net Assets - GA'!O259-'LT _Lia - GA'!U260</f>
        <v>0</v>
      </c>
    </row>
    <row r="261" spans="1:26" ht="12" hidden="1" customHeight="1">
      <c r="A261" s="12" t="s">
        <v>947</v>
      </c>
      <c r="B261" s="12"/>
      <c r="C261" s="12" t="s">
        <v>43</v>
      </c>
      <c r="D261" s="13"/>
      <c r="E261" s="32"/>
      <c r="G261" s="8">
        <v>0</v>
      </c>
      <c r="I261" s="8">
        <v>0</v>
      </c>
      <c r="K261" s="8">
        <v>0</v>
      </c>
      <c r="M261" s="8">
        <v>0</v>
      </c>
      <c r="O261" s="8">
        <v>0</v>
      </c>
      <c r="Q261" s="8">
        <v>0</v>
      </c>
      <c r="S261" s="9">
        <v>0</v>
      </c>
      <c r="U261" s="8">
        <v>0</v>
      </c>
      <c r="X261" s="8">
        <f>+'St of Net Assets - GA'!O260-'LT _Lia - GA'!U261</f>
        <v>0</v>
      </c>
    </row>
    <row r="262" spans="1:26" s="35" customFormat="1" ht="12" customHeight="1">
      <c r="A262" s="34" t="s">
        <v>697</v>
      </c>
      <c r="B262" s="34"/>
      <c r="C262" s="34" t="s">
        <v>65</v>
      </c>
      <c r="D262" s="34"/>
      <c r="E262" s="34">
        <v>50286</v>
      </c>
      <c r="G262" s="8">
        <f>7695000+87994+118555+242388+3565000+1059989+327369+230673-163665+37000</f>
        <v>13200303</v>
      </c>
      <c r="H262" s="8"/>
      <c r="I262" s="8">
        <v>0</v>
      </c>
      <c r="J262" s="8"/>
      <c r="K262" s="8">
        <v>0</v>
      </c>
      <c r="L262" s="8"/>
      <c r="M262" s="8">
        <v>192180</v>
      </c>
      <c r="N262" s="8"/>
      <c r="O262" s="8">
        <v>1218012</v>
      </c>
      <c r="P262" s="8"/>
      <c r="Q262" s="8">
        <v>0</v>
      </c>
      <c r="R262" s="8"/>
      <c r="S262" s="9">
        <f t="shared" si="15"/>
        <v>14610495</v>
      </c>
      <c r="T262" s="8"/>
      <c r="U262" s="8">
        <v>752695</v>
      </c>
      <c r="X262" s="8">
        <f>+'St of Net Assets - GA'!O261-'LT _Lia - GA'!U262</f>
        <v>0</v>
      </c>
      <c r="Z262" s="46"/>
    </row>
    <row r="263" spans="1:26" ht="12" customHeight="1">
      <c r="A263" s="13" t="s">
        <v>469</v>
      </c>
      <c r="B263" s="13"/>
      <c r="C263" s="13" t="s">
        <v>466</v>
      </c>
      <c r="D263" s="13"/>
      <c r="E263" s="32">
        <v>44149</v>
      </c>
      <c r="G263" s="8">
        <v>15035928</v>
      </c>
      <c r="I263" s="8">
        <v>0</v>
      </c>
      <c r="K263" s="8">
        <v>0</v>
      </c>
      <c r="M263" s="8">
        <v>0</v>
      </c>
      <c r="O263" s="8">
        <v>1062798</v>
      </c>
      <c r="Q263" s="8">
        <v>0</v>
      </c>
      <c r="S263" s="9">
        <f t="shared" si="15"/>
        <v>16098726</v>
      </c>
      <c r="U263" s="8">
        <v>271096</v>
      </c>
      <c r="X263" s="8">
        <f>+'St of Net Assets - GA'!O262-'LT _Lia - GA'!U263</f>
        <v>0</v>
      </c>
    </row>
    <row r="264" spans="1:26" ht="12" hidden="1" customHeight="1">
      <c r="A264" s="12" t="s">
        <v>948</v>
      </c>
      <c r="B264" s="13"/>
      <c r="C264" s="13" t="s">
        <v>61</v>
      </c>
      <c r="D264" s="13"/>
      <c r="E264" s="32">
        <v>49809</v>
      </c>
      <c r="G264" s="8">
        <v>0</v>
      </c>
      <c r="I264" s="8">
        <v>0</v>
      </c>
      <c r="K264" s="8">
        <v>0</v>
      </c>
      <c r="M264" s="8">
        <v>0</v>
      </c>
      <c r="O264" s="8">
        <v>0</v>
      </c>
      <c r="Q264" s="8">
        <v>0</v>
      </c>
      <c r="S264" s="9">
        <f t="shared" si="15"/>
        <v>0</v>
      </c>
      <c r="U264" s="8">
        <v>0</v>
      </c>
      <c r="X264" s="8">
        <f>+'St of Net Assets - GA'!O263-'LT _Lia - GA'!U264</f>
        <v>0</v>
      </c>
    </row>
    <row r="265" spans="1:26" ht="12" hidden="1" customHeight="1">
      <c r="A265" s="12" t="s">
        <v>982</v>
      </c>
      <c r="B265" s="13"/>
      <c r="C265" s="13" t="s">
        <v>38</v>
      </c>
      <c r="D265" s="13"/>
      <c r="E265" s="32"/>
      <c r="G265" s="8">
        <v>0</v>
      </c>
      <c r="I265" s="8">
        <v>0</v>
      </c>
      <c r="K265" s="8">
        <v>0</v>
      </c>
      <c r="M265" s="8">
        <v>0</v>
      </c>
      <c r="O265" s="8">
        <v>0</v>
      </c>
      <c r="Q265" s="8">
        <v>0</v>
      </c>
      <c r="S265" s="9">
        <f t="shared" si="15"/>
        <v>0</v>
      </c>
      <c r="U265" s="8">
        <v>0</v>
      </c>
      <c r="X265" s="8">
        <f>+'St of Net Assets - GA'!O264-'LT _Lia - GA'!U265</f>
        <v>0</v>
      </c>
      <c r="Z265" s="8" t="s">
        <v>956</v>
      </c>
    </row>
    <row r="266" spans="1:26" ht="12" customHeight="1">
      <c r="A266" s="13" t="s">
        <v>652</v>
      </c>
      <c r="B266" s="13"/>
      <c r="C266" s="13" t="s">
        <v>62</v>
      </c>
      <c r="D266" s="13"/>
      <c r="E266" s="32">
        <v>49858</v>
      </c>
      <c r="G266" s="8">
        <v>71674135</v>
      </c>
      <c r="I266" s="8">
        <v>0</v>
      </c>
      <c r="K266" s="8">
        <v>0</v>
      </c>
      <c r="M266" s="8">
        <v>328886</v>
      </c>
      <c r="O266" s="8">
        <v>4459010</v>
      </c>
      <c r="Q266" s="8">
        <v>0</v>
      </c>
      <c r="S266" s="9">
        <f t="shared" si="15"/>
        <v>76462031</v>
      </c>
      <c r="U266" s="8">
        <v>4830617</v>
      </c>
      <c r="X266" s="8">
        <f>+'St of Net Assets - GA'!O265-'LT _Lia - GA'!U266</f>
        <v>0</v>
      </c>
    </row>
    <row r="267" spans="1:26" ht="12" customHeight="1">
      <c r="A267" s="13" t="s">
        <v>512</v>
      </c>
      <c r="B267" s="13"/>
      <c r="C267" s="13" t="s">
        <v>45</v>
      </c>
      <c r="D267" s="13"/>
      <c r="E267" s="32">
        <v>48322</v>
      </c>
      <c r="G267" s="8">
        <v>0</v>
      </c>
      <c r="I267" s="8">
        <v>105004</v>
      </c>
      <c r="K267" s="8">
        <v>0</v>
      </c>
      <c r="M267" s="8">
        <v>15375000</v>
      </c>
      <c r="O267" s="8">
        <v>684836</v>
      </c>
      <c r="Q267" s="8">
        <v>0</v>
      </c>
      <c r="S267" s="9">
        <f t="shared" si="15"/>
        <v>16164840</v>
      </c>
      <c r="U267" s="8">
        <v>399542</v>
      </c>
      <c r="X267" s="8">
        <f>+'St of Net Assets - GA'!O266-'LT _Lia - GA'!U267</f>
        <v>0</v>
      </c>
    </row>
    <row r="268" spans="1:26" ht="12" customHeight="1">
      <c r="A268" s="13" t="s">
        <v>856</v>
      </c>
      <c r="B268" s="13"/>
      <c r="C268" s="13" t="s">
        <v>56</v>
      </c>
      <c r="D268" s="13"/>
      <c r="E268" s="32">
        <v>49205</v>
      </c>
      <c r="G268" s="8">
        <v>5363168</v>
      </c>
      <c r="I268" s="8">
        <v>0</v>
      </c>
      <c r="K268" s="8">
        <v>0</v>
      </c>
      <c r="M268" s="8">
        <v>69838</v>
      </c>
      <c r="O268" s="8">
        <v>673198</v>
      </c>
      <c r="Q268" s="8">
        <v>0</v>
      </c>
      <c r="S268" s="9">
        <f t="shared" si="15"/>
        <v>6106204</v>
      </c>
      <c r="U268" s="8">
        <v>377458</v>
      </c>
      <c r="X268" s="8">
        <f>+'St of Net Assets - GA'!O267-'LT _Lia - GA'!U268</f>
        <v>0</v>
      </c>
    </row>
    <row r="269" spans="1:26">
      <c r="A269" s="12" t="s">
        <v>221</v>
      </c>
      <c r="B269" s="13"/>
      <c r="C269" s="13" t="s">
        <v>12</v>
      </c>
      <c r="D269" s="13"/>
      <c r="E269" s="32">
        <v>45872</v>
      </c>
      <c r="G269" s="8">
        <v>20465325</v>
      </c>
      <c r="I269" s="8">
        <v>273909</v>
      </c>
      <c r="K269" s="8">
        <v>200000</v>
      </c>
      <c r="M269" s="8">
        <v>0</v>
      </c>
      <c r="O269" s="8">
        <v>1349333</v>
      </c>
      <c r="Q269" s="8">
        <v>0</v>
      </c>
      <c r="S269" s="9">
        <f t="shared" si="15"/>
        <v>22288567</v>
      </c>
      <c r="U269" s="8">
        <v>894100</v>
      </c>
      <c r="X269" s="8">
        <f>+'St of Net Assets - GA'!O268-'LT _Lia - GA'!U269</f>
        <v>0</v>
      </c>
      <c r="Z269" s="8" t="s">
        <v>956</v>
      </c>
    </row>
    <row r="270" spans="1:26">
      <c r="A270" s="13" t="s">
        <v>504</v>
      </c>
      <c r="B270" s="13"/>
      <c r="C270" s="13" t="s">
        <v>505</v>
      </c>
      <c r="D270" s="13"/>
      <c r="E270" s="32">
        <v>48256</v>
      </c>
      <c r="G270" s="8">
        <f>51000+13370000</f>
        <v>13421000</v>
      </c>
      <c r="I270" s="8">
        <v>0</v>
      </c>
      <c r="K270" s="8">
        <f>1350000</f>
        <v>1350000</v>
      </c>
      <c r="M270" s="8">
        <v>6468</v>
      </c>
      <c r="O270" s="8">
        <v>907374</v>
      </c>
      <c r="Q270" s="8">
        <v>0</v>
      </c>
      <c r="S270" s="9">
        <f t="shared" si="15"/>
        <v>15684842</v>
      </c>
      <c r="U270" s="8">
        <v>1842730</v>
      </c>
      <c r="X270" s="8">
        <f>+'St of Net Assets - GA'!O269-'LT _Lia - GA'!U270</f>
        <v>0</v>
      </c>
    </row>
    <row r="271" spans="1:26">
      <c r="A271" s="12" t="s">
        <v>548</v>
      </c>
      <c r="B271" s="13"/>
      <c r="C271" s="13" t="s">
        <v>50</v>
      </c>
      <c r="D271" s="13"/>
      <c r="E271" s="32">
        <v>48686</v>
      </c>
      <c r="G271" s="8">
        <v>0</v>
      </c>
      <c r="I271" s="8">
        <v>1500000</v>
      </c>
      <c r="K271" s="8">
        <v>0</v>
      </c>
      <c r="M271" s="8">
        <v>632000</v>
      </c>
      <c r="O271" s="8">
        <v>316183</v>
      </c>
      <c r="Q271" s="8">
        <v>0</v>
      </c>
      <c r="S271" s="9">
        <f t="shared" si="15"/>
        <v>2448183</v>
      </c>
      <c r="U271" s="8">
        <v>784625</v>
      </c>
      <c r="X271" s="8">
        <f>+'St of Net Assets - GA'!O270-'LT _Lia - GA'!U271</f>
        <v>0</v>
      </c>
      <c r="Z271" s="8" t="s">
        <v>956</v>
      </c>
    </row>
    <row r="272" spans="1:26" hidden="1">
      <c r="A272" s="12" t="s">
        <v>949</v>
      </c>
      <c r="B272" s="12"/>
      <c r="C272" s="12" t="s">
        <v>603</v>
      </c>
      <c r="D272" s="13"/>
      <c r="E272" s="32"/>
      <c r="G272" s="8">
        <v>0</v>
      </c>
      <c r="I272" s="8">
        <v>0</v>
      </c>
      <c r="K272" s="8">
        <v>0</v>
      </c>
      <c r="M272" s="8">
        <v>0</v>
      </c>
      <c r="O272" s="8">
        <v>0</v>
      </c>
      <c r="Q272" s="8">
        <v>0</v>
      </c>
      <c r="S272" s="9">
        <f t="shared" si="15"/>
        <v>0</v>
      </c>
      <c r="U272" s="8">
        <v>0</v>
      </c>
      <c r="X272" s="8">
        <f>+'St of Net Assets - GA'!O271-'LT _Lia - GA'!U272</f>
        <v>0</v>
      </c>
    </row>
    <row r="273" spans="1:26">
      <c r="A273" s="13" t="s">
        <v>474</v>
      </c>
      <c r="B273" s="13"/>
      <c r="C273" s="13" t="s">
        <v>42</v>
      </c>
      <c r="D273" s="13"/>
      <c r="E273" s="32">
        <v>47985</v>
      </c>
      <c r="G273" s="8">
        <v>0</v>
      </c>
      <c r="I273" s="8">
        <v>0</v>
      </c>
      <c r="K273" s="8">
        <v>653759</v>
      </c>
      <c r="M273" s="8">
        <v>72820</v>
      </c>
      <c r="O273" s="8">
        <v>600878</v>
      </c>
      <c r="Q273" s="8">
        <v>0</v>
      </c>
      <c r="S273" s="9">
        <f t="shared" si="15"/>
        <v>1327457</v>
      </c>
      <c r="U273" s="8">
        <v>210720</v>
      </c>
      <c r="X273" s="8">
        <f>+'St of Net Assets - GA'!O272-'LT _Lia - GA'!U273</f>
        <v>0</v>
      </c>
    </row>
    <row r="274" spans="1:26">
      <c r="A274" s="13" t="s">
        <v>506</v>
      </c>
      <c r="B274" s="13"/>
      <c r="C274" s="13" t="s">
        <v>505</v>
      </c>
      <c r="D274" s="13"/>
      <c r="E274" s="13">
        <v>48264</v>
      </c>
      <c r="G274" s="8">
        <v>23179423</v>
      </c>
      <c r="I274" s="8">
        <v>0</v>
      </c>
      <c r="K274" s="8">
        <v>0</v>
      </c>
      <c r="M274" s="8">
        <v>18197</v>
      </c>
      <c r="O274" s="8">
        <v>998417</v>
      </c>
      <c r="Q274" s="8">
        <v>0</v>
      </c>
      <c r="S274" s="9">
        <f t="shared" si="15"/>
        <v>24196037</v>
      </c>
      <c r="U274" s="8">
        <v>807842</v>
      </c>
      <c r="X274" s="8">
        <f>+'St of Net Assets - GA'!O273-'LT _Lia - GA'!U274</f>
        <v>0</v>
      </c>
    </row>
    <row r="275" spans="1:26">
      <c r="A275" s="13" t="s">
        <v>682</v>
      </c>
      <c r="B275" s="13"/>
      <c r="C275" s="13" t="s">
        <v>64</v>
      </c>
      <c r="D275" s="13"/>
      <c r="E275" s="32">
        <v>50179</v>
      </c>
      <c r="G275" s="8">
        <v>8903528</v>
      </c>
      <c r="I275" s="8">
        <v>0</v>
      </c>
      <c r="K275" s="8">
        <v>0</v>
      </c>
      <c r="M275" s="8">
        <v>20164</v>
      </c>
      <c r="O275" s="8">
        <f>634773+9280</f>
        <v>644053</v>
      </c>
      <c r="Q275" s="8">
        <v>0</v>
      </c>
      <c r="S275" s="9">
        <f t="shared" si="15"/>
        <v>9567745</v>
      </c>
      <c r="U275" s="8">
        <f>662785+4592</f>
        <v>667377</v>
      </c>
      <c r="X275" s="8">
        <f>+'St of Net Assets - GA'!O274-'LT _Lia - GA'!U275</f>
        <v>0</v>
      </c>
    </row>
    <row r="276" spans="1:26">
      <c r="A276" s="13" t="s">
        <v>338</v>
      </c>
      <c r="B276" s="13"/>
      <c r="C276" s="13" t="s">
        <v>24</v>
      </c>
      <c r="D276" s="13"/>
      <c r="E276" s="32">
        <v>46797</v>
      </c>
      <c r="G276" s="8">
        <v>0</v>
      </c>
      <c r="I276" s="8">
        <v>0</v>
      </c>
      <c r="K276" s="8">
        <v>0</v>
      </c>
      <c r="M276" s="8">
        <v>0</v>
      </c>
      <c r="O276" s="8">
        <v>0</v>
      </c>
      <c r="Q276" s="8">
        <v>0</v>
      </c>
      <c r="S276" s="9">
        <f t="shared" si="15"/>
        <v>0</v>
      </c>
      <c r="U276" s="8">
        <v>0</v>
      </c>
      <c r="X276" s="8">
        <f>+'St of Net Assets - GA'!O275-'LT _Lia - GA'!U276</f>
        <v>0</v>
      </c>
      <c r="Z276" s="8" t="s">
        <v>950</v>
      </c>
    </row>
    <row r="277" spans="1:26">
      <c r="A277" s="13" t="s">
        <v>380</v>
      </c>
      <c r="B277" s="13"/>
      <c r="C277" s="13" t="s">
        <v>30</v>
      </c>
      <c r="D277" s="13"/>
      <c r="E277" s="32">
        <v>47191</v>
      </c>
      <c r="G277" s="8">
        <v>46057000</v>
      </c>
      <c r="I277" s="8">
        <v>0</v>
      </c>
      <c r="K277" s="8">
        <v>0</v>
      </c>
      <c r="M277" s="8">
        <v>0</v>
      </c>
      <c r="O277" s="8">
        <f>2881286+27631</f>
        <v>2908917</v>
      </c>
      <c r="Q277" s="8">
        <f>183220+155847-50318</f>
        <v>288749</v>
      </c>
      <c r="S277" s="9">
        <f t="shared" si="15"/>
        <v>49254666</v>
      </c>
      <c r="U277" s="8">
        <f>2264596+6748</f>
        <v>2271344</v>
      </c>
      <c r="X277" s="8">
        <f>+'St of Net Assets - GA'!O276-'LT _Lia - GA'!U277</f>
        <v>0</v>
      </c>
    </row>
    <row r="278" spans="1:26">
      <c r="A278" s="13" t="s">
        <v>592</v>
      </c>
      <c r="B278" s="13"/>
      <c r="C278" s="13" t="s">
        <v>56</v>
      </c>
      <c r="D278" s="13"/>
      <c r="E278" s="32">
        <v>44164</v>
      </c>
      <c r="G278" s="8">
        <v>26971730</v>
      </c>
      <c r="I278" s="8">
        <v>0</v>
      </c>
      <c r="K278" s="8">
        <v>0</v>
      </c>
      <c r="M278" s="8">
        <v>1500161</v>
      </c>
      <c r="O278" s="8">
        <v>2601987</v>
      </c>
      <c r="Q278" s="8">
        <v>0</v>
      </c>
      <c r="S278" s="9">
        <f t="shared" si="15"/>
        <v>31073878</v>
      </c>
      <c r="U278" s="8">
        <v>2111570</v>
      </c>
      <c r="X278" s="8">
        <f>+'St of Net Assets - GA'!O277-'LT _Lia - GA'!U278</f>
        <v>0</v>
      </c>
    </row>
    <row r="279" spans="1:26">
      <c r="A279" s="13" t="s">
        <v>423</v>
      </c>
      <c r="B279" s="13"/>
      <c r="C279" s="13" t="s">
        <v>421</v>
      </c>
      <c r="D279" s="13"/>
      <c r="E279" s="32">
        <v>44172</v>
      </c>
      <c r="G279" s="8">
        <v>0</v>
      </c>
      <c r="I279" s="8">
        <v>0</v>
      </c>
      <c r="K279" s="8">
        <v>0</v>
      </c>
      <c r="M279" s="8">
        <v>0</v>
      </c>
      <c r="O279" s="8">
        <v>1116680</v>
      </c>
      <c r="Q279" s="8">
        <v>0</v>
      </c>
      <c r="S279" s="9">
        <f t="shared" si="15"/>
        <v>1116680</v>
      </c>
      <c r="U279" s="8">
        <v>164437</v>
      </c>
      <c r="X279" s="8">
        <f>+'St of Net Assets - GA'!O278-'LT _Lia - GA'!U279</f>
        <v>0</v>
      </c>
    </row>
    <row r="280" spans="1:26">
      <c r="A280" s="13" t="s">
        <v>549</v>
      </c>
      <c r="B280" s="13"/>
      <c r="C280" s="13" t="s">
        <v>50</v>
      </c>
      <c r="D280" s="13"/>
      <c r="E280" s="32">
        <v>44180</v>
      </c>
      <c r="G280" s="8">
        <v>101669750</v>
      </c>
      <c r="I280" s="8">
        <v>0</v>
      </c>
      <c r="K280" s="8">
        <v>0</v>
      </c>
      <c r="M280" s="8">
        <v>1115843</v>
      </c>
      <c r="O280" s="8">
        <v>8196088</v>
      </c>
      <c r="Q280" s="8">
        <v>276000</v>
      </c>
      <c r="S280" s="9">
        <f t="shared" si="15"/>
        <v>111257681</v>
      </c>
      <c r="U280" s="8">
        <v>4482047</v>
      </c>
      <c r="X280" s="8">
        <f>+'St of Net Assets - GA'!O279-'LT _Lia - GA'!U280</f>
        <v>0</v>
      </c>
    </row>
    <row r="281" spans="1:26">
      <c r="A281" s="13" t="s">
        <v>489</v>
      </c>
      <c r="B281" s="13"/>
      <c r="C281" s="13" t="s">
        <v>44</v>
      </c>
      <c r="D281" s="13"/>
      <c r="E281" s="32">
        <v>48165</v>
      </c>
      <c r="G281" s="8">
        <f>14705000+275000+88794</f>
        <v>15068794</v>
      </c>
      <c r="I281" s="8">
        <v>0</v>
      </c>
      <c r="K281" s="8">
        <v>0</v>
      </c>
      <c r="M281" s="8">
        <v>890000</v>
      </c>
      <c r="O281" s="8">
        <f>39173+843324+150000</f>
        <v>1032497</v>
      </c>
      <c r="Q281" s="8">
        <v>0</v>
      </c>
      <c r="S281" s="9">
        <f t="shared" si="15"/>
        <v>16991291</v>
      </c>
      <c r="U281" s="8">
        <v>931153</v>
      </c>
      <c r="X281" s="8">
        <f>+'St of Net Assets - GA'!O280-'LT _Lia - GA'!U281</f>
        <v>0</v>
      </c>
    </row>
    <row r="282" spans="1:26">
      <c r="A282" s="13" t="s">
        <v>710</v>
      </c>
      <c r="B282" s="13"/>
      <c r="C282" s="13" t="s">
        <v>69</v>
      </c>
      <c r="D282" s="13"/>
      <c r="E282" s="32">
        <v>50435</v>
      </c>
      <c r="G282" s="8">
        <v>58165030</v>
      </c>
      <c r="I282" s="8">
        <v>0</v>
      </c>
      <c r="K282" s="8">
        <v>0</v>
      </c>
      <c r="M282" s="8">
        <v>2173347</v>
      </c>
      <c r="O282" s="8">
        <f>3269786+142005</f>
        <v>3411791</v>
      </c>
      <c r="Q282" s="8">
        <v>0</v>
      </c>
      <c r="S282" s="9">
        <f t="shared" si="15"/>
        <v>63750168</v>
      </c>
      <c r="U282" s="8">
        <f>14200+2731181</f>
        <v>2745381</v>
      </c>
      <c r="X282" s="8">
        <f>+'St of Net Assets - GA'!O281-'LT _Lia - GA'!U282</f>
        <v>0</v>
      </c>
    </row>
    <row r="283" spans="1:26" hidden="1">
      <c r="A283" s="12" t="s">
        <v>1021</v>
      </c>
      <c r="B283" s="13"/>
      <c r="C283" s="13" t="s">
        <v>41</v>
      </c>
      <c r="D283" s="13"/>
      <c r="E283" s="32">
        <v>47878</v>
      </c>
      <c r="G283" s="8">
        <v>0</v>
      </c>
      <c r="I283" s="8">
        <v>0</v>
      </c>
      <c r="K283" s="8">
        <v>0</v>
      </c>
      <c r="M283" s="8">
        <v>0</v>
      </c>
      <c r="O283" s="8">
        <v>0</v>
      </c>
      <c r="Q283" s="8">
        <v>0</v>
      </c>
      <c r="S283" s="9">
        <f t="shared" si="15"/>
        <v>0</v>
      </c>
      <c r="U283" s="8">
        <v>0</v>
      </c>
      <c r="X283" s="8">
        <f>+'St of Net Assets - GA'!O282-'LT _Lia - GA'!U283</f>
        <v>0</v>
      </c>
      <c r="Z283" s="15"/>
    </row>
    <row r="284" spans="1:26">
      <c r="A284" s="13" t="s">
        <v>683</v>
      </c>
      <c r="B284" s="13"/>
      <c r="C284" s="13" t="s">
        <v>64</v>
      </c>
      <c r="D284" s="13"/>
      <c r="E284" s="32">
        <v>50245</v>
      </c>
      <c r="G284" s="8">
        <v>6931750</v>
      </c>
      <c r="I284" s="8">
        <v>0</v>
      </c>
      <c r="K284" s="8">
        <v>128750</v>
      </c>
      <c r="M284" s="8">
        <v>1875000</v>
      </c>
      <c r="O284" s="8">
        <f>47000+796275</f>
        <v>843275</v>
      </c>
      <c r="Q284" s="8">
        <v>0</v>
      </c>
      <c r="S284" s="9">
        <f t="shared" si="15"/>
        <v>9778775</v>
      </c>
      <c r="U284" s="8">
        <v>633564</v>
      </c>
      <c r="X284" s="8">
        <f>+'St of Net Assets - GA'!O283-'LT _Lia - GA'!U284</f>
        <v>0</v>
      </c>
    </row>
    <row r="285" spans="1:26">
      <c r="A285" s="13" t="s">
        <v>653</v>
      </c>
      <c r="B285" s="13"/>
      <c r="C285" s="13" t="s">
        <v>62</v>
      </c>
      <c r="D285" s="13"/>
      <c r="E285" s="32">
        <v>49866</v>
      </c>
      <c r="G285" s="8">
        <v>25370080</v>
      </c>
      <c r="I285" s="8">
        <v>0</v>
      </c>
      <c r="K285" s="8">
        <v>0</v>
      </c>
      <c r="M285" s="8">
        <v>25506</v>
      </c>
      <c r="O285" s="8">
        <f>1207144+15451</f>
        <v>1222595</v>
      </c>
      <c r="Q285" s="8">
        <v>0</v>
      </c>
      <c r="S285" s="9">
        <f t="shared" si="15"/>
        <v>26618181</v>
      </c>
      <c r="U285" s="8">
        <f>1312065+2743</f>
        <v>1314808</v>
      </c>
      <c r="X285" s="8">
        <f>+'St of Net Assets - GA'!O284-'LT _Lia - GA'!U285</f>
        <v>0</v>
      </c>
    </row>
    <row r="286" spans="1:26">
      <c r="A286" s="13" t="s">
        <v>653</v>
      </c>
      <c r="B286" s="13"/>
      <c r="C286" s="13" t="s">
        <v>72</v>
      </c>
      <c r="D286" s="13"/>
      <c r="E286" s="32">
        <v>50690</v>
      </c>
      <c r="G286" s="8">
        <f>2010000+444995+526116+7045000+1185000+574990+223971+693106+15000+20602</f>
        <v>12738780</v>
      </c>
      <c r="I286" s="8">
        <v>0</v>
      </c>
      <c r="K286" s="8">
        <v>779741</v>
      </c>
      <c r="M286" s="8">
        <v>290538</v>
      </c>
      <c r="O286" s="8">
        <v>1064039</v>
      </c>
      <c r="Q286" s="8">
        <v>0</v>
      </c>
      <c r="S286" s="9">
        <f t="shared" si="15"/>
        <v>14873098</v>
      </c>
      <c r="U286" s="8">
        <v>929499</v>
      </c>
      <c r="X286" s="8">
        <f>+'St of Net Assets - GA'!O285-'LT _Lia - GA'!U286</f>
        <v>0</v>
      </c>
    </row>
    <row r="287" spans="1:26">
      <c r="A287" s="13" t="s">
        <v>684</v>
      </c>
      <c r="B287" s="13"/>
      <c r="C287" s="13" t="s">
        <v>64</v>
      </c>
      <c r="D287" s="13"/>
      <c r="E287" s="32">
        <v>50187</v>
      </c>
      <c r="G287" s="8">
        <v>3919217</v>
      </c>
      <c r="I287" s="8">
        <v>0</v>
      </c>
      <c r="K287" s="8">
        <v>117708</v>
      </c>
      <c r="M287" s="8">
        <v>688000</v>
      </c>
      <c r="O287" s="8">
        <v>1638696</v>
      </c>
      <c r="Q287" s="8">
        <v>0</v>
      </c>
      <c r="S287" s="9">
        <f t="shared" si="15"/>
        <v>6363621</v>
      </c>
      <c r="U287" s="8">
        <v>318552</v>
      </c>
      <c r="X287" s="8">
        <f>+'St of Net Assets - GA'!O286-'LT _Lia - GA'!U287</f>
        <v>0</v>
      </c>
    </row>
    <row r="288" spans="1:26">
      <c r="A288" s="13" t="s">
        <v>310</v>
      </c>
      <c r="B288" s="13"/>
      <c r="C288" s="13" t="s">
        <v>20</v>
      </c>
      <c r="D288" s="13"/>
      <c r="E288" s="32">
        <v>44198</v>
      </c>
      <c r="G288" s="8">
        <v>129595192</v>
      </c>
      <c r="I288" s="8">
        <v>0</v>
      </c>
      <c r="K288" s="8">
        <v>0</v>
      </c>
      <c r="M288" s="8">
        <v>484964</v>
      </c>
      <c r="O288" s="8">
        <f>5808792+110033+43365+4154631</f>
        <v>10116821</v>
      </c>
      <c r="Q288" s="8">
        <v>0</v>
      </c>
      <c r="S288" s="9">
        <f t="shared" si="15"/>
        <v>140196977</v>
      </c>
      <c r="U288" s="8">
        <f>9031+5049750</f>
        <v>5058781</v>
      </c>
      <c r="X288" s="8">
        <f>+'St of Net Assets - GA'!O290-'LT _Lia - GA'!U288</f>
        <v>0</v>
      </c>
    </row>
    <row r="289" spans="1:27">
      <c r="A289" s="13" t="s">
        <v>863</v>
      </c>
      <c r="B289" s="13"/>
      <c r="C289" s="13" t="s">
        <v>42</v>
      </c>
      <c r="D289" s="13"/>
      <c r="E289" s="32">
        <v>47993</v>
      </c>
      <c r="G289" s="8">
        <v>12290427</v>
      </c>
      <c r="I289" s="8">
        <v>0</v>
      </c>
      <c r="K289" s="8">
        <v>928414</v>
      </c>
      <c r="M289" s="8">
        <v>116600</v>
      </c>
      <c r="O289" s="8">
        <f>904400+15117</f>
        <v>919517</v>
      </c>
      <c r="Q289" s="8">
        <v>0</v>
      </c>
      <c r="S289" s="9">
        <f>SUM(G289:R289)</f>
        <v>14254958</v>
      </c>
      <c r="U289" s="8">
        <v>761240</v>
      </c>
      <c r="X289" s="8">
        <f>+'St of Net Assets - GA'!O291-'LT _Lia - GA'!U289</f>
        <v>0</v>
      </c>
    </row>
    <row r="290" spans="1:27">
      <c r="A290" s="13" t="s">
        <v>245</v>
      </c>
      <c r="B290" s="13"/>
      <c r="C290" s="13" t="s">
        <v>242</v>
      </c>
      <c r="D290" s="13"/>
      <c r="E290" s="32">
        <v>46110</v>
      </c>
      <c r="G290" s="8">
        <v>168876566</v>
      </c>
      <c r="I290" s="8">
        <v>0</v>
      </c>
      <c r="K290" s="8">
        <v>0</v>
      </c>
      <c r="M290" s="8">
        <v>0</v>
      </c>
      <c r="O290" s="8">
        <f>8442296+58793</f>
        <v>8501089</v>
      </c>
      <c r="Q290" s="8">
        <v>0</v>
      </c>
      <c r="S290" s="9">
        <f t="shared" si="15"/>
        <v>177377655</v>
      </c>
      <c r="U290" s="8">
        <f>6729820+14344</f>
        <v>6744164</v>
      </c>
      <c r="X290" s="8">
        <f>+'St of Net Assets - GA'!O292-'LT _Lia - GA'!U290</f>
        <v>0</v>
      </c>
    </row>
    <row r="291" spans="1:27">
      <c r="A291" s="13"/>
      <c r="B291" s="13"/>
      <c r="C291" s="13"/>
      <c r="D291" s="13"/>
      <c r="E291" s="32"/>
      <c r="S291" s="9"/>
    </row>
    <row r="292" spans="1:27">
      <c r="A292" s="13"/>
      <c r="B292" s="13"/>
      <c r="C292" s="13"/>
      <c r="D292" s="13"/>
      <c r="E292" s="32"/>
      <c r="S292" s="9"/>
      <c r="U292" s="8" t="s">
        <v>805</v>
      </c>
    </row>
    <row r="293" spans="1:27">
      <c r="A293" s="13"/>
      <c r="B293" s="13"/>
      <c r="C293" s="13"/>
      <c r="D293" s="13"/>
      <c r="E293" s="32"/>
      <c r="S293" s="9"/>
    </row>
    <row r="294" spans="1:27">
      <c r="A294" s="12" t="s">
        <v>245</v>
      </c>
      <c r="B294" s="13"/>
      <c r="C294" s="13" t="s">
        <v>79</v>
      </c>
      <c r="D294" s="13"/>
      <c r="E294" s="32">
        <v>49569</v>
      </c>
      <c r="G294" s="35">
        <v>19603898</v>
      </c>
      <c r="H294" s="35"/>
      <c r="I294" s="35">
        <v>0</v>
      </c>
      <c r="J294" s="35"/>
      <c r="K294" s="35">
        <v>0</v>
      </c>
      <c r="L294" s="35"/>
      <c r="M294" s="35">
        <v>0</v>
      </c>
      <c r="N294" s="35"/>
      <c r="O294" s="35">
        <v>589121</v>
      </c>
      <c r="P294" s="35"/>
      <c r="Q294" s="35">
        <v>0</v>
      </c>
      <c r="R294" s="35"/>
      <c r="S294" s="44">
        <f t="shared" si="15"/>
        <v>20193019</v>
      </c>
      <c r="T294" s="35"/>
      <c r="U294" s="35">
        <v>539472</v>
      </c>
      <c r="X294" s="8">
        <f>+'St of Net Assets - GA'!O293-'LT _Lia - GA'!U294</f>
        <v>0</v>
      </c>
      <c r="Z294" s="8" t="s">
        <v>956</v>
      </c>
    </row>
    <row r="295" spans="1:27">
      <c r="A295" s="13" t="s">
        <v>347</v>
      </c>
      <c r="B295" s="13"/>
      <c r="C295" s="13" t="s">
        <v>25</v>
      </c>
      <c r="D295" s="13"/>
      <c r="E295" s="32">
        <v>44206</v>
      </c>
      <c r="G295" s="8">
        <v>0</v>
      </c>
      <c r="I295" s="8">
        <v>10476</v>
      </c>
      <c r="K295" s="8">
        <v>0</v>
      </c>
      <c r="M295" s="8">
        <v>0</v>
      </c>
      <c r="O295" s="8">
        <v>3458845</v>
      </c>
      <c r="Q295" s="8">
        <v>0</v>
      </c>
      <c r="S295" s="9">
        <f t="shared" si="15"/>
        <v>3469321</v>
      </c>
      <c r="U295" s="8">
        <v>468186</v>
      </c>
      <c r="X295" s="8">
        <f>+'St of Net Assets - GA'!O294-'LT _Lia - GA'!U295</f>
        <v>0</v>
      </c>
    </row>
    <row r="296" spans="1:27" hidden="1">
      <c r="A296" s="12" t="s">
        <v>831</v>
      </c>
      <c r="B296" s="13"/>
      <c r="C296" s="13" t="s">
        <v>69</v>
      </c>
      <c r="D296" s="13"/>
      <c r="E296" s="32">
        <v>44214</v>
      </c>
      <c r="G296" s="8">
        <v>0</v>
      </c>
      <c r="I296" s="8">
        <v>0</v>
      </c>
      <c r="K296" s="8">
        <v>0</v>
      </c>
      <c r="M296" s="8">
        <v>0</v>
      </c>
      <c r="O296" s="8">
        <v>0</v>
      </c>
      <c r="Q296" s="8">
        <v>0</v>
      </c>
      <c r="S296" s="9">
        <f t="shared" si="15"/>
        <v>0</v>
      </c>
      <c r="U296" s="8">
        <v>0</v>
      </c>
      <c r="X296" s="8">
        <f>+'St of Net Assets - GA'!O295-'LT _Lia - GA'!U296</f>
        <v>0</v>
      </c>
    </row>
    <row r="297" spans="1:27">
      <c r="A297" s="13" t="s">
        <v>381</v>
      </c>
      <c r="B297" s="13"/>
      <c r="C297" s="13" t="s">
        <v>30</v>
      </c>
      <c r="D297" s="13"/>
      <c r="E297" s="32">
        <v>47209</v>
      </c>
      <c r="G297" s="8">
        <v>0</v>
      </c>
      <c r="I297" s="8">
        <v>0</v>
      </c>
      <c r="K297" s="8">
        <v>0</v>
      </c>
      <c r="M297" s="8">
        <v>0</v>
      </c>
      <c r="O297" s="8">
        <v>374237</v>
      </c>
      <c r="Q297" s="8">
        <v>0</v>
      </c>
      <c r="S297" s="9">
        <f t="shared" si="15"/>
        <v>374237</v>
      </c>
      <c r="U297" s="8">
        <v>27240</v>
      </c>
      <c r="X297" s="8">
        <f>+'St of Net Assets - GA'!O296-'LT _Lia - GA'!U297</f>
        <v>0</v>
      </c>
    </row>
    <row r="298" spans="1:27" hidden="1">
      <c r="A298" s="12" t="s">
        <v>987</v>
      </c>
      <c r="B298" s="13"/>
      <c r="C298" s="13" t="s">
        <v>603</v>
      </c>
      <c r="D298" s="13"/>
      <c r="E298" s="32">
        <v>49353</v>
      </c>
      <c r="G298" s="8">
        <v>0</v>
      </c>
      <c r="I298" s="8">
        <v>0</v>
      </c>
      <c r="K298" s="8">
        <v>0</v>
      </c>
      <c r="M298" s="8">
        <v>0</v>
      </c>
      <c r="O298" s="8">
        <v>0</v>
      </c>
      <c r="Q298" s="8">
        <v>0</v>
      </c>
      <c r="S298" s="9">
        <f>SUM(G298:R298)</f>
        <v>0</v>
      </c>
      <c r="U298" s="8">
        <v>0</v>
      </c>
      <c r="X298" s="8">
        <f>+'St of Net Assets - GA'!O297-'LT _Lia - GA'!U298</f>
        <v>0</v>
      </c>
    </row>
    <row r="299" spans="1:27">
      <c r="A299" s="13" t="s">
        <v>610</v>
      </c>
      <c r="B299" s="13"/>
      <c r="C299" s="13" t="s">
        <v>112</v>
      </c>
      <c r="D299" s="13"/>
      <c r="E299" s="32">
        <v>49437</v>
      </c>
      <c r="G299" s="8">
        <v>0</v>
      </c>
      <c r="I299" s="8">
        <v>0</v>
      </c>
      <c r="K299" s="8">
        <v>252976</v>
      </c>
      <c r="M299" s="8">
        <f>113019+98163</f>
        <v>211182</v>
      </c>
      <c r="O299" s="8">
        <v>1908208</v>
      </c>
      <c r="Q299" s="8">
        <v>0</v>
      </c>
      <c r="S299" s="9">
        <f>SUM(G299:R299)</f>
        <v>2372366</v>
      </c>
      <c r="U299" s="8">
        <v>444372</v>
      </c>
      <c r="X299" s="8">
        <f>+'St of Net Assets - GA'!O298-'LT _Lia - GA'!U299</f>
        <v>0</v>
      </c>
    </row>
    <row r="300" spans="1:27">
      <c r="A300" s="13" t="s">
        <v>431</v>
      </c>
      <c r="B300" s="13"/>
      <c r="C300" s="13" t="s">
        <v>34</v>
      </c>
      <c r="D300" s="13"/>
      <c r="E300" s="32">
        <v>47589</v>
      </c>
      <c r="G300" s="8">
        <v>2048603</v>
      </c>
      <c r="I300" s="8">
        <v>0</v>
      </c>
      <c r="K300" s="8">
        <v>0</v>
      </c>
      <c r="M300" s="8">
        <v>0</v>
      </c>
      <c r="O300" s="8">
        <v>592001</v>
      </c>
      <c r="Q300" s="8">
        <v>0</v>
      </c>
      <c r="S300" s="9">
        <f>SUM(G300:R300)</f>
        <v>2640604</v>
      </c>
      <c r="U300" s="8">
        <v>304585</v>
      </c>
      <c r="X300" s="8">
        <f>+'St of Net Assets - GA'!O299-'LT _Lia - GA'!U300</f>
        <v>0</v>
      </c>
      <c r="AA300" s="8" t="s">
        <v>134</v>
      </c>
    </row>
    <row r="301" spans="1:27">
      <c r="A301" s="12" t="s">
        <v>685</v>
      </c>
      <c r="B301" s="13"/>
      <c r="C301" s="13" t="s">
        <v>64</v>
      </c>
      <c r="D301" s="13"/>
      <c r="E301" s="32">
        <v>50195</v>
      </c>
      <c r="G301" s="8">
        <v>8353662</v>
      </c>
      <c r="I301" s="8">
        <v>0</v>
      </c>
      <c r="K301" s="8">
        <v>0</v>
      </c>
      <c r="M301" s="8">
        <v>0</v>
      </c>
      <c r="O301" s="8">
        <f>112500+1471614</f>
        <v>1584114</v>
      </c>
      <c r="Q301" s="8">
        <v>0</v>
      </c>
      <c r="S301" s="9">
        <f t="shared" ref="S301:S370" si="16">SUM(G301:R301)</f>
        <v>9937776</v>
      </c>
      <c r="U301" s="8">
        <v>966237</v>
      </c>
      <c r="X301" s="8">
        <f>+'St of Net Assets - GA'!O300-'LT _Lia - GA'!U301</f>
        <v>0</v>
      </c>
    </row>
    <row r="302" spans="1:27">
      <c r="A302" s="13" t="s">
        <v>869</v>
      </c>
      <c r="B302" s="13"/>
      <c r="C302" s="13" t="s">
        <v>25</v>
      </c>
      <c r="D302" s="13"/>
      <c r="E302" s="13">
        <v>46888</v>
      </c>
      <c r="G302" s="8">
        <v>12470987</v>
      </c>
      <c r="I302" s="8">
        <v>0</v>
      </c>
      <c r="K302" s="8">
        <v>0</v>
      </c>
      <c r="M302" s="8">
        <v>73034</v>
      </c>
      <c r="O302" s="8">
        <v>945552</v>
      </c>
      <c r="Q302" s="8">
        <v>187026</v>
      </c>
      <c r="S302" s="9">
        <f>SUM(G302:R302)</f>
        <v>13676599</v>
      </c>
      <c r="U302" s="8">
        <v>729599</v>
      </c>
      <c r="X302" s="8">
        <f>+'St of Net Assets - GA'!O301-'LT _Lia - GA'!U302</f>
        <v>0</v>
      </c>
    </row>
    <row r="303" spans="1:27">
      <c r="A303" s="13" t="s">
        <v>417</v>
      </c>
      <c r="B303" s="13"/>
      <c r="C303" s="13" t="s">
        <v>33</v>
      </c>
      <c r="D303" s="13"/>
      <c r="E303" s="32">
        <v>47449</v>
      </c>
      <c r="G303" s="8">
        <v>4182267</v>
      </c>
      <c r="I303" s="8">
        <v>0</v>
      </c>
      <c r="K303" s="8">
        <v>0</v>
      </c>
      <c r="M303" s="8">
        <v>0</v>
      </c>
      <c r="O303" s="8">
        <v>649905</v>
      </c>
      <c r="Q303" s="8">
        <v>0</v>
      </c>
      <c r="S303" s="9">
        <f t="shared" ref="S303:S321" si="17">SUM(G303:R303)</f>
        <v>4832172</v>
      </c>
      <c r="U303" s="8">
        <v>157089</v>
      </c>
      <c r="X303" s="8">
        <f>+'St of Net Assets - GA'!O302-'LT _Lia - GA'!U303</f>
        <v>0</v>
      </c>
    </row>
    <row r="304" spans="1:27">
      <c r="A304" s="13" t="s">
        <v>476</v>
      </c>
      <c r="B304" s="13"/>
      <c r="C304" s="13" t="s">
        <v>42</v>
      </c>
      <c r="D304" s="13"/>
      <c r="E304" s="32">
        <v>48009</v>
      </c>
      <c r="G304" s="8">
        <f>910000+930000+74032+531006+9110000+70000+425754+951965+6775000+3170000+527146+660000+12872+14615000+2110000+174994+141870+1358926-1193120+3680000+5350000+29993+47418+695948-556476+7590000+1685000+49998+24816+510173+321274</f>
        <v>60783589</v>
      </c>
      <c r="I304" s="8">
        <v>0</v>
      </c>
      <c r="K304" s="8">
        <v>0</v>
      </c>
      <c r="M304" s="8">
        <v>23775</v>
      </c>
      <c r="O304" s="8">
        <v>1044553</v>
      </c>
      <c r="Q304" s="8">
        <v>0</v>
      </c>
      <c r="S304" s="9">
        <f t="shared" si="17"/>
        <v>61851917</v>
      </c>
      <c r="U304" s="8">
        <v>2351504</v>
      </c>
      <c r="X304" s="8">
        <f>+'St of Net Assets - GA'!O303-'LT _Lia - GA'!U304</f>
        <v>0</v>
      </c>
    </row>
    <row r="305" spans="1:26">
      <c r="A305" s="13" t="s">
        <v>477</v>
      </c>
      <c r="B305" s="13"/>
      <c r="C305" s="13" t="s">
        <v>42</v>
      </c>
      <c r="D305" s="13"/>
      <c r="E305" s="32">
        <v>48017</v>
      </c>
      <c r="G305" s="8">
        <f>453859+723673+8615000+1915000+2995000</f>
        <v>14702532</v>
      </c>
      <c r="I305" s="8">
        <v>0</v>
      </c>
      <c r="K305" s="8">
        <v>6993</v>
      </c>
      <c r="M305" s="8">
        <v>198263</v>
      </c>
      <c r="O305" s="8">
        <v>938422</v>
      </c>
      <c r="Q305" s="8">
        <v>0</v>
      </c>
      <c r="S305" s="9">
        <f t="shared" si="17"/>
        <v>15846210</v>
      </c>
      <c r="U305" s="8">
        <v>895426</v>
      </c>
      <c r="X305" s="8">
        <f>+'St of Net Assets - GA'!O304-'LT _Lia - GA'!U305</f>
        <v>0</v>
      </c>
    </row>
    <row r="306" spans="1:26" hidden="1">
      <c r="A306" s="13" t="s">
        <v>989</v>
      </c>
      <c r="B306" s="13"/>
      <c r="C306" s="13" t="s">
        <v>10</v>
      </c>
      <c r="D306" s="13"/>
      <c r="E306" s="32"/>
      <c r="G306" s="8">
        <v>0</v>
      </c>
      <c r="I306" s="8">
        <v>0</v>
      </c>
      <c r="K306" s="8">
        <v>0</v>
      </c>
      <c r="M306" s="8">
        <v>0</v>
      </c>
      <c r="O306" s="8">
        <v>0</v>
      </c>
      <c r="Q306" s="8">
        <v>0</v>
      </c>
      <c r="S306" s="9">
        <f t="shared" si="17"/>
        <v>0</v>
      </c>
      <c r="U306" s="8">
        <v>0</v>
      </c>
      <c r="X306" s="8">
        <f>+'St of Net Assets - GA'!O305-'LT _Lia - GA'!U306</f>
        <v>0</v>
      </c>
    </row>
    <row r="307" spans="1:26">
      <c r="A307" s="13" t="s">
        <v>705</v>
      </c>
      <c r="B307" s="13"/>
      <c r="C307" s="13" t="s">
        <v>67</v>
      </c>
      <c r="D307" s="13"/>
      <c r="E307" s="32">
        <v>50369</v>
      </c>
      <c r="G307" s="8">
        <v>12215326</v>
      </c>
      <c r="I307" s="8">
        <v>0</v>
      </c>
      <c r="K307" s="8">
        <v>0</v>
      </c>
      <c r="M307" s="8">
        <v>0</v>
      </c>
      <c r="O307" s="8">
        <v>346958</v>
      </c>
      <c r="Q307" s="8">
        <v>0</v>
      </c>
      <c r="S307" s="9">
        <f t="shared" si="17"/>
        <v>12562284</v>
      </c>
      <c r="U307" s="8">
        <v>373273</v>
      </c>
      <c r="X307" s="8">
        <f>+'St of Net Assets - GA'!O306-'LT _Lia - GA'!U307</f>
        <v>0</v>
      </c>
    </row>
    <row r="308" spans="1:26">
      <c r="A308" s="13" t="s">
        <v>283</v>
      </c>
      <c r="B308" s="13"/>
      <c r="C308" s="13" t="s">
        <v>114</v>
      </c>
      <c r="D308" s="13"/>
      <c r="E308" s="32">
        <v>45450</v>
      </c>
      <c r="G308" s="8">
        <f>1535000+162196</f>
        <v>1697196</v>
      </c>
      <c r="I308" s="8">
        <v>0</v>
      </c>
      <c r="K308" s="8">
        <v>0</v>
      </c>
      <c r="M308" s="8">
        <v>3770999</v>
      </c>
      <c r="O308" s="8">
        <v>492946</v>
      </c>
      <c r="Q308" s="8">
        <v>0</v>
      </c>
      <c r="S308" s="9">
        <f t="shared" si="17"/>
        <v>5961141</v>
      </c>
      <c r="U308" s="8">
        <v>253269</v>
      </c>
      <c r="X308" s="8">
        <f>+'St of Net Assets - GA'!O307-'LT _Lia - GA'!U308</f>
        <v>0</v>
      </c>
    </row>
    <row r="309" spans="1:26">
      <c r="A309" s="13" t="s">
        <v>711</v>
      </c>
      <c r="B309" s="13"/>
      <c r="C309" s="13" t="s">
        <v>69</v>
      </c>
      <c r="D309" s="13"/>
      <c r="E309" s="32">
        <v>50443</v>
      </c>
      <c r="G309" s="8">
        <v>73597043</v>
      </c>
      <c r="I309" s="8">
        <v>0</v>
      </c>
      <c r="K309" s="8">
        <v>0</v>
      </c>
      <c r="M309" s="8">
        <f>585528+321431+767000+554000</f>
        <v>2227959</v>
      </c>
      <c r="O309" s="8">
        <v>1597822</v>
      </c>
      <c r="Q309" s="8">
        <v>0</v>
      </c>
      <c r="S309" s="9">
        <f t="shared" si="17"/>
        <v>77422824</v>
      </c>
      <c r="U309" s="8">
        <v>3280122</v>
      </c>
      <c r="X309" s="8">
        <f>+'St of Net Assets - GA'!O308-'LT _Lia - GA'!U309</f>
        <v>0</v>
      </c>
    </row>
    <row r="310" spans="1:26" hidden="1">
      <c r="A310" s="77" t="s">
        <v>995</v>
      </c>
      <c r="B310" s="13"/>
      <c r="C310" s="13" t="s">
        <v>32</v>
      </c>
      <c r="D310" s="13"/>
      <c r="E310" s="32">
        <v>44230</v>
      </c>
      <c r="G310" s="8">
        <v>0</v>
      </c>
      <c r="I310" s="8">
        <v>0</v>
      </c>
      <c r="K310" s="8">
        <v>0</v>
      </c>
      <c r="M310" s="8">
        <v>0</v>
      </c>
      <c r="O310" s="8">
        <v>0</v>
      </c>
      <c r="Q310" s="8">
        <v>0</v>
      </c>
      <c r="S310" s="9">
        <f t="shared" si="17"/>
        <v>0</v>
      </c>
      <c r="U310" s="8">
        <v>0</v>
      </c>
      <c r="X310" s="8">
        <f>+'St of Net Assets - GA'!O309-'LT _Lia - GA'!U310</f>
        <v>0</v>
      </c>
      <c r="Z310" s="15" t="s">
        <v>905</v>
      </c>
    </row>
    <row r="311" spans="1:26">
      <c r="A311" s="13" t="s">
        <v>582</v>
      </c>
      <c r="B311" s="13"/>
      <c r="C311" s="13" t="s">
        <v>54</v>
      </c>
      <c r="D311" s="13"/>
      <c r="E311" s="32">
        <v>49080</v>
      </c>
      <c r="G311" s="8">
        <v>0</v>
      </c>
      <c r="I311" s="8">
        <v>0</v>
      </c>
      <c r="K311" s="8">
        <v>0</v>
      </c>
      <c r="M311" s="8">
        <v>0</v>
      </c>
      <c r="O311" s="8">
        <v>1235191</v>
      </c>
      <c r="Q311" s="8">
        <v>0</v>
      </c>
      <c r="S311" s="9">
        <f t="shared" si="17"/>
        <v>1235191</v>
      </c>
      <c r="U311" s="8">
        <v>68640</v>
      </c>
      <c r="X311" s="8">
        <f>+'St of Net Assets - GA'!O310-'LT _Lia - GA'!U311</f>
        <v>0</v>
      </c>
    </row>
    <row r="312" spans="1:26">
      <c r="A312" s="13" t="s">
        <v>440</v>
      </c>
      <c r="B312" s="13"/>
      <c r="C312" s="13" t="s">
        <v>35</v>
      </c>
      <c r="D312" s="13"/>
      <c r="E312" s="32">
        <v>44248</v>
      </c>
      <c r="G312" s="8">
        <v>24270357</v>
      </c>
      <c r="I312" s="8">
        <v>0</v>
      </c>
      <c r="K312" s="8">
        <v>0</v>
      </c>
      <c r="M312" s="8">
        <v>3922198</v>
      </c>
      <c r="O312" s="8">
        <f>2005295+30940</f>
        <v>2036235</v>
      </c>
      <c r="Q312" s="8">
        <v>0</v>
      </c>
      <c r="S312" s="9">
        <f t="shared" si="17"/>
        <v>30228790</v>
      </c>
      <c r="U312" s="8">
        <v>2539020</v>
      </c>
      <c r="X312" s="8">
        <f>+'St of Net Assets - GA'!O311-'LT _Lia - GA'!U312</f>
        <v>0</v>
      </c>
    </row>
    <row r="313" spans="1:26">
      <c r="A313" s="13" t="s">
        <v>507</v>
      </c>
      <c r="B313" s="13"/>
      <c r="C313" s="13" t="s">
        <v>505</v>
      </c>
      <c r="D313" s="13"/>
      <c r="E313" s="32">
        <v>44255</v>
      </c>
      <c r="G313" s="8">
        <f>8800000+5635000+750000+909909+402081+582214-297592+5675000+1070000+999955+400987+619371-331877</f>
        <v>25215048</v>
      </c>
      <c r="I313" s="8">
        <v>0</v>
      </c>
      <c r="K313" s="8">
        <v>0</v>
      </c>
      <c r="M313" s="8">
        <v>405406</v>
      </c>
      <c r="O313" s="8">
        <v>942870</v>
      </c>
      <c r="Q313" s="8">
        <v>0</v>
      </c>
      <c r="S313" s="9">
        <f t="shared" si="17"/>
        <v>26563324</v>
      </c>
      <c r="U313" s="8">
        <v>1990203</v>
      </c>
      <c r="X313" s="8">
        <f>+'St of Net Assets - GA'!O312-'LT _Lia - GA'!U313</f>
        <v>0</v>
      </c>
    </row>
    <row r="314" spans="1:26">
      <c r="A314" s="13" t="s">
        <v>490</v>
      </c>
      <c r="B314" s="13"/>
      <c r="C314" s="13" t="s">
        <v>44</v>
      </c>
      <c r="D314" s="13"/>
      <c r="E314" s="32">
        <v>44263</v>
      </c>
      <c r="G314" s="8">
        <v>36055825</v>
      </c>
      <c r="I314" s="8">
        <v>0</v>
      </c>
      <c r="K314" s="8">
        <v>3240000</v>
      </c>
      <c r="M314" s="8">
        <v>0</v>
      </c>
      <c r="O314" s="8">
        <v>8924515</v>
      </c>
      <c r="Q314" s="8">
        <v>5400000</v>
      </c>
      <c r="S314" s="9">
        <f t="shared" si="17"/>
        <v>53620340</v>
      </c>
      <c r="U314" s="8">
        <v>4080252</v>
      </c>
      <c r="X314" s="8">
        <f>+'St of Net Assets - GA'!O313-'LT _Lia - GA'!U314</f>
        <v>0</v>
      </c>
    </row>
    <row r="315" spans="1:26">
      <c r="A315" s="13" t="s">
        <v>686</v>
      </c>
      <c r="B315" s="13"/>
      <c r="C315" s="13" t="s">
        <v>64</v>
      </c>
      <c r="D315" s="13"/>
      <c r="E315" s="32">
        <v>50203</v>
      </c>
      <c r="G315" s="8">
        <v>0</v>
      </c>
      <c r="I315" s="8">
        <v>0</v>
      </c>
      <c r="K315" s="8">
        <v>775767</v>
      </c>
      <c r="M315" s="8">
        <f>70000+1856592</f>
        <v>1926592</v>
      </c>
      <c r="O315" s="8">
        <v>455421</v>
      </c>
      <c r="Q315" s="8">
        <v>0</v>
      </c>
      <c r="S315" s="9">
        <f t="shared" si="17"/>
        <v>3157780</v>
      </c>
      <c r="U315" s="8">
        <v>543855</v>
      </c>
      <c r="X315" s="8">
        <f>+'St of Net Assets - GA'!O314-'LT _Lia - GA'!U315</f>
        <v>0</v>
      </c>
    </row>
    <row r="316" spans="1:26">
      <c r="A316" s="12" t="s">
        <v>991</v>
      </c>
      <c r="B316" s="13"/>
      <c r="C316" s="13" t="s">
        <v>11</v>
      </c>
      <c r="D316" s="13"/>
      <c r="E316" s="32">
        <v>45468</v>
      </c>
      <c r="G316" s="8">
        <v>0</v>
      </c>
      <c r="I316" s="8">
        <v>929346</v>
      </c>
      <c r="K316" s="8">
        <v>0</v>
      </c>
      <c r="M316" s="8">
        <v>15069</v>
      </c>
      <c r="O316" s="8">
        <v>1498460</v>
      </c>
      <c r="Q316" s="8">
        <v>0</v>
      </c>
      <c r="S316" s="9">
        <f t="shared" si="17"/>
        <v>2442875</v>
      </c>
      <c r="U316" s="8">
        <v>269528</v>
      </c>
      <c r="X316" s="8">
        <f>+'St of Net Assets - GA'!O315-'LT _Lia - GA'!U316</f>
        <v>0</v>
      </c>
      <c r="Z316" s="8" t="s">
        <v>956</v>
      </c>
    </row>
    <row r="317" spans="1:26">
      <c r="A317" s="13" t="s">
        <v>654</v>
      </c>
      <c r="B317" s="13"/>
      <c r="C317" s="13" t="s">
        <v>62</v>
      </c>
      <c r="D317" s="13"/>
      <c r="E317" s="32">
        <v>49874</v>
      </c>
      <c r="G317" s="8">
        <f>22905000+280000</f>
        <v>23185000</v>
      </c>
      <c r="I317" s="8">
        <v>0</v>
      </c>
      <c r="K317" s="8">
        <v>8500000</v>
      </c>
      <c r="M317" s="8">
        <v>241244</v>
      </c>
      <c r="O317" s="8">
        <f>1283682+51325</f>
        <v>1335007</v>
      </c>
      <c r="Q317" s="8">
        <v>0</v>
      </c>
      <c r="S317" s="9">
        <f t="shared" si="17"/>
        <v>33261251</v>
      </c>
      <c r="U317" s="8">
        <v>471804</v>
      </c>
      <c r="X317" s="8">
        <f>+'St of Net Assets - GA'!O316-'LT _Lia - GA'!U317</f>
        <v>0</v>
      </c>
    </row>
    <row r="318" spans="1:26">
      <c r="A318" s="13" t="s">
        <v>397</v>
      </c>
      <c r="B318" s="13"/>
      <c r="C318" s="13" t="s">
        <v>32</v>
      </c>
      <c r="D318" s="13"/>
      <c r="E318" s="32">
        <v>44271</v>
      </c>
      <c r="G318" s="8">
        <v>21044449</v>
      </c>
      <c r="I318" s="8">
        <v>0</v>
      </c>
      <c r="K318" s="8">
        <v>0</v>
      </c>
      <c r="M318" s="8">
        <v>0</v>
      </c>
      <c r="O318" s="8">
        <v>1938364</v>
      </c>
      <c r="Q318" s="8">
        <v>0</v>
      </c>
      <c r="S318" s="9">
        <f t="shared" si="17"/>
        <v>22982813</v>
      </c>
      <c r="U318" s="8">
        <v>1139834</v>
      </c>
      <c r="X318" s="8">
        <f>+'St of Net Assets - GA'!O317-'LT _Lia - GA'!U318</f>
        <v>0</v>
      </c>
    </row>
    <row r="319" spans="1:26">
      <c r="A319" s="13" t="s">
        <v>513</v>
      </c>
      <c r="B319" s="13"/>
      <c r="C319" s="13" t="s">
        <v>45</v>
      </c>
      <c r="D319" s="13"/>
      <c r="E319" s="32">
        <v>48330</v>
      </c>
      <c r="G319" s="8">
        <f>780000+955000</f>
        <v>1735000</v>
      </c>
      <c r="I319" s="8">
        <v>0</v>
      </c>
      <c r="K319" s="8">
        <v>0</v>
      </c>
      <c r="M319" s="8">
        <v>0</v>
      </c>
      <c r="O319" s="8">
        <f>291948+141400</f>
        <v>433348</v>
      </c>
      <c r="Q319" s="8">
        <v>0</v>
      </c>
      <c r="S319" s="9">
        <f t="shared" si="17"/>
        <v>2168348</v>
      </c>
      <c r="U319" s="8">
        <v>233010</v>
      </c>
      <c r="X319" s="8">
        <f>+'St of Net Assets - GA'!O318-'LT _Lia - GA'!U319</f>
        <v>0</v>
      </c>
    </row>
    <row r="320" spans="1:26">
      <c r="A320" s="13" t="s">
        <v>857</v>
      </c>
      <c r="B320" s="13"/>
      <c r="C320" s="13" t="s">
        <v>112</v>
      </c>
      <c r="D320" s="13"/>
      <c r="E320" s="32">
        <v>49445</v>
      </c>
      <c r="G320" s="8">
        <v>0</v>
      </c>
      <c r="I320" s="8">
        <v>0</v>
      </c>
      <c r="K320" s="8">
        <v>0</v>
      </c>
      <c r="M320" s="8">
        <v>0</v>
      </c>
      <c r="O320" s="8">
        <v>189525</v>
      </c>
      <c r="Q320" s="8">
        <v>0</v>
      </c>
      <c r="S320" s="9">
        <f t="shared" si="17"/>
        <v>189525</v>
      </c>
      <c r="U320" s="8">
        <v>24895</v>
      </c>
      <c r="X320" s="8">
        <f>+'St of Net Assets - GA'!O319-'LT _Lia - GA'!U320</f>
        <v>0</v>
      </c>
    </row>
    <row r="321" spans="1:26">
      <c r="A321" s="13" t="s">
        <v>439</v>
      </c>
      <c r="B321" s="13"/>
      <c r="C321" s="13" t="s">
        <v>435</v>
      </c>
      <c r="D321" s="13"/>
      <c r="E321" s="32">
        <v>47639</v>
      </c>
      <c r="G321" s="8">
        <f>555000+984999+27885-6320</f>
        <v>1561564</v>
      </c>
      <c r="I321" s="8">
        <v>0</v>
      </c>
      <c r="K321" s="8">
        <v>0</v>
      </c>
      <c r="M321" s="8">
        <v>0</v>
      </c>
      <c r="O321" s="8">
        <v>544426</v>
      </c>
      <c r="Q321" s="8">
        <v>0</v>
      </c>
      <c r="S321" s="9">
        <f t="shared" si="17"/>
        <v>2105990</v>
      </c>
      <c r="U321" s="8">
        <v>145108</v>
      </c>
      <c r="X321" s="8">
        <f>+'St of Net Assets - GA'!O320-'LT _Lia - GA'!U321</f>
        <v>0</v>
      </c>
    </row>
    <row r="322" spans="1:26">
      <c r="A322" s="13" t="s">
        <v>1055</v>
      </c>
      <c r="B322" s="13"/>
      <c r="C322" s="13" t="s">
        <v>50</v>
      </c>
      <c r="D322" s="13"/>
      <c r="E322" s="32">
        <v>48702</v>
      </c>
      <c r="G322" s="8">
        <v>14065394</v>
      </c>
      <c r="I322" s="8">
        <v>0</v>
      </c>
      <c r="K322" s="8">
        <v>0</v>
      </c>
      <c r="M322" s="8">
        <v>1725000</v>
      </c>
      <c r="O322" s="8">
        <v>1933791</v>
      </c>
      <c r="Q322" s="8">
        <v>0</v>
      </c>
      <c r="S322" s="9">
        <f t="shared" si="16"/>
        <v>17724185</v>
      </c>
      <c r="U322" s="8">
        <v>1347486</v>
      </c>
      <c r="X322" s="8">
        <f>+'St of Net Assets - GA'!O321-'LT _Lia - GA'!U322</f>
        <v>0</v>
      </c>
      <c r="Z322" s="15" t="s">
        <v>905</v>
      </c>
    </row>
    <row r="323" spans="1:26">
      <c r="A323" s="13" t="s">
        <v>398</v>
      </c>
      <c r="B323" s="13"/>
      <c r="C323" s="13" t="s">
        <v>32</v>
      </c>
      <c r="D323" s="13"/>
      <c r="E323" s="32">
        <v>44289</v>
      </c>
      <c r="G323" s="8">
        <v>30154700</v>
      </c>
      <c r="I323" s="8">
        <v>0</v>
      </c>
      <c r="K323" s="8">
        <v>0</v>
      </c>
      <c r="M323" s="8">
        <v>324315</v>
      </c>
      <c r="O323" s="8">
        <v>702048</v>
      </c>
      <c r="Q323" s="8">
        <v>0</v>
      </c>
      <c r="S323" s="9">
        <f t="shared" si="16"/>
        <v>31181063</v>
      </c>
      <c r="U323" s="8">
        <v>1434827</v>
      </c>
      <c r="X323" s="8">
        <f>+'St of Net Assets - GA'!O322-'LT _Lia - GA'!U323</f>
        <v>0</v>
      </c>
    </row>
    <row r="324" spans="1:26">
      <c r="A324" s="13" t="s">
        <v>246</v>
      </c>
      <c r="B324" s="13"/>
      <c r="C324" s="13" t="s">
        <v>242</v>
      </c>
      <c r="D324" s="13"/>
      <c r="E324" s="32">
        <v>46128</v>
      </c>
      <c r="G324" s="8">
        <v>11547723</v>
      </c>
      <c r="I324" s="8">
        <v>0</v>
      </c>
      <c r="K324" s="8">
        <v>0</v>
      </c>
      <c r="M324" s="8">
        <v>3296596</v>
      </c>
      <c r="O324" s="8">
        <v>161469</v>
      </c>
      <c r="Q324" s="8">
        <v>0</v>
      </c>
      <c r="S324" s="9">
        <f t="shared" si="16"/>
        <v>15005788</v>
      </c>
      <c r="U324" s="8">
        <v>629317</v>
      </c>
      <c r="X324" s="8">
        <f>+'St of Net Assets - GA'!O323-'LT _Lia - GA'!U324</f>
        <v>0</v>
      </c>
    </row>
    <row r="325" spans="1:26" hidden="1">
      <c r="A325" s="12" t="s">
        <v>993</v>
      </c>
      <c r="B325" s="12"/>
      <c r="C325" s="12" t="s">
        <v>41</v>
      </c>
      <c r="D325" s="13"/>
      <c r="E325" s="32"/>
      <c r="G325" s="8">
        <v>0</v>
      </c>
      <c r="I325" s="8">
        <v>0</v>
      </c>
      <c r="K325" s="8">
        <v>0</v>
      </c>
      <c r="M325" s="8">
        <v>0</v>
      </c>
      <c r="O325" s="8">
        <v>0</v>
      </c>
      <c r="Q325" s="8">
        <v>0</v>
      </c>
      <c r="S325" s="9">
        <f t="shared" si="16"/>
        <v>0</v>
      </c>
      <c r="U325" s="8">
        <v>0</v>
      </c>
      <c r="X325" s="8">
        <f>+'St of Net Assets - GA'!O324-'LT _Lia - GA'!U325</f>
        <v>0</v>
      </c>
    </row>
    <row r="326" spans="1:26">
      <c r="A326" s="13" t="s">
        <v>246</v>
      </c>
      <c r="B326" s="13"/>
      <c r="C326" s="13" t="s">
        <v>112</v>
      </c>
      <c r="D326" s="13"/>
      <c r="E326" s="32">
        <v>49452</v>
      </c>
      <c r="G326" s="8">
        <v>0</v>
      </c>
      <c r="I326" s="8">
        <v>0</v>
      </c>
      <c r="K326" s="8">
        <v>175000</v>
      </c>
      <c r="M326" s="8">
        <v>0</v>
      </c>
      <c r="O326" s="8">
        <f>1788982+10099</f>
        <v>1799081</v>
      </c>
      <c r="Q326" s="8">
        <v>0</v>
      </c>
      <c r="S326" s="9">
        <f t="shared" si="16"/>
        <v>1974081</v>
      </c>
      <c r="U326" s="8">
        <f>346028+5265</f>
        <v>351293</v>
      </c>
      <c r="X326" s="8">
        <f>+'St of Net Assets - GA'!O325-'LT _Lia - GA'!U326</f>
        <v>0</v>
      </c>
    </row>
    <row r="327" spans="1:26">
      <c r="A327" s="12" t="s">
        <v>1023</v>
      </c>
      <c r="B327" s="12"/>
      <c r="C327" s="12" t="s">
        <v>505</v>
      </c>
      <c r="D327" s="13"/>
      <c r="E327" s="32"/>
      <c r="G327" s="8">
        <v>215000</v>
      </c>
      <c r="I327" s="8">
        <v>0</v>
      </c>
      <c r="K327" s="8">
        <v>0</v>
      </c>
      <c r="M327" s="8">
        <v>0</v>
      </c>
      <c r="O327" s="8">
        <f>277792+14000</f>
        <v>291792</v>
      </c>
      <c r="Q327" s="8">
        <v>0</v>
      </c>
      <c r="S327" s="9">
        <f t="shared" si="16"/>
        <v>506792</v>
      </c>
      <c r="U327" s="8">
        <v>101271</v>
      </c>
      <c r="X327" s="8">
        <f>+'St of Net Assets - GA'!O326-'LT _Lia - GA'!U327</f>
        <v>0</v>
      </c>
    </row>
    <row r="328" spans="1:26">
      <c r="A328" s="13" t="s">
        <v>819</v>
      </c>
      <c r="B328" s="13"/>
      <c r="C328" s="13" t="s">
        <v>208</v>
      </c>
      <c r="D328" s="13"/>
      <c r="E328" s="32"/>
      <c r="G328" s="8">
        <f>14100240+165680</f>
        <v>14265920</v>
      </c>
      <c r="I328" s="8">
        <v>0</v>
      </c>
      <c r="K328" s="8">
        <v>0</v>
      </c>
      <c r="M328" s="8">
        <f>4532000+69727</f>
        <v>4601727</v>
      </c>
      <c r="O328" s="8">
        <v>663036</v>
      </c>
      <c r="Q328" s="8">
        <v>0</v>
      </c>
      <c r="S328" s="9">
        <f t="shared" si="16"/>
        <v>19530683</v>
      </c>
      <c r="U328" s="8">
        <v>2421884</v>
      </c>
      <c r="X328" s="8">
        <f>+'St of Net Assets - GA'!O327-'LT _Lia - GA'!U328</f>
        <v>0</v>
      </c>
    </row>
    <row r="329" spans="1:26">
      <c r="A329" s="13" t="s">
        <v>612</v>
      </c>
      <c r="B329" s="13"/>
      <c r="C329" s="13" t="s">
        <v>112</v>
      </c>
      <c r="D329" s="13"/>
      <c r="E329" s="32">
        <v>44297</v>
      </c>
      <c r="G329" s="8">
        <f>79802+1000000+13810875</f>
        <v>14890677</v>
      </c>
      <c r="I329" s="8">
        <v>0</v>
      </c>
      <c r="K329" s="8">
        <v>0</v>
      </c>
      <c r="M329" s="8">
        <v>0</v>
      </c>
      <c r="O329" s="8">
        <v>3241688</v>
      </c>
      <c r="Q329" s="8">
        <v>0</v>
      </c>
      <c r="S329" s="9">
        <f t="shared" si="16"/>
        <v>18132365</v>
      </c>
      <c r="U329" s="8">
        <v>1675360</v>
      </c>
      <c r="X329" s="8">
        <f>+'St of Net Assets - GA'!O328-'LT _Lia - GA'!U329</f>
        <v>0</v>
      </c>
    </row>
    <row r="330" spans="1:26">
      <c r="A330" s="12" t="s">
        <v>311</v>
      </c>
      <c r="B330" s="13"/>
      <c r="C330" s="13" t="s">
        <v>20</v>
      </c>
      <c r="D330" s="13"/>
      <c r="E330" s="32">
        <v>44305</v>
      </c>
      <c r="G330" s="8">
        <v>3392068</v>
      </c>
      <c r="I330" s="8">
        <v>0</v>
      </c>
      <c r="K330" s="8">
        <v>55850875</v>
      </c>
      <c r="M330" s="8">
        <v>54735</v>
      </c>
      <c r="O330" s="8">
        <v>1944881</v>
      </c>
      <c r="Q330" s="8">
        <v>0</v>
      </c>
      <c r="S330" s="9">
        <f t="shared" si="16"/>
        <v>61242559</v>
      </c>
      <c r="U330" s="8">
        <v>322895</v>
      </c>
      <c r="X330" s="8">
        <f>+'St of Net Assets - GA'!O329-'LT _Lia - GA'!U330</f>
        <v>0</v>
      </c>
      <c r="Z330" s="15" t="s">
        <v>905</v>
      </c>
    </row>
    <row r="331" spans="1:26">
      <c r="A331" s="13" t="s">
        <v>216</v>
      </c>
      <c r="B331" s="13"/>
      <c r="C331" s="13" t="s">
        <v>11</v>
      </c>
      <c r="D331" s="13"/>
      <c r="E331" s="32">
        <v>45831</v>
      </c>
      <c r="G331" s="8">
        <v>3175000</v>
      </c>
      <c r="I331" s="8">
        <v>0</v>
      </c>
      <c r="K331" s="8">
        <v>0</v>
      </c>
      <c r="M331" s="8">
        <v>21309</v>
      </c>
      <c r="O331" s="8">
        <v>364235</v>
      </c>
      <c r="Q331" s="8">
        <v>0</v>
      </c>
      <c r="S331" s="9">
        <f t="shared" si="16"/>
        <v>3560544</v>
      </c>
      <c r="U331" s="8">
        <v>240775</v>
      </c>
      <c r="X331" s="8">
        <f>+'St of Net Assets - GA'!O330-'LT _Lia - GA'!U331</f>
        <v>0</v>
      </c>
    </row>
    <row r="332" spans="1:26">
      <c r="A332" s="13" t="s">
        <v>687</v>
      </c>
      <c r="B332" s="13"/>
      <c r="C332" s="13" t="s">
        <v>64</v>
      </c>
      <c r="D332" s="13"/>
      <c r="E332" s="32">
        <v>50211</v>
      </c>
      <c r="G332" s="8">
        <v>2190855</v>
      </c>
      <c r="I332" s="8">
        <v>3985</v>
      </c>
      <c r="K332" s="8">
        <v>0</v>
      </c>
      <c r="M332" s="8">
        <v>0</v>
      </c>
      <c r="O332" s="8">
        <v>746040</v>
      </c>
      <c r="Q332" s="8">
        <v>0</v>
      </c>
      <c r="S332" s="9">
        <f t="shared" si="16"/>
        <v>2940880</v>
      </c>
      <c r="U332" s="8">
        <v>206188</v>
      </c>
      <c r="X332" s="8">
        <f>+'St of Net Assets - GA'!O331-'LT _Lia - GA'!U332</f>
        <v>0</v>
      </c>
    </row>
    <row r="333" spans="1:26">
      <c r="A333" s="13" t="s">
        <v>339</v>
      </c>
      <c r="B333" s="13"/>
      <c r="C333" s="13" t="s">
        <v>24</v>
      </c>
      <c r="D333" s="13"/>
      <c r="E333" s="32">
        <v>46805</v>
      </c>
      <c r="G333" s="8">
        <v>0</v>
      </c>
      <c r="I333" s="8">
        <v>0</v>
      </c>
      <c r="K333" s="8">
        <v>0</v>
      </c>
      <c r="M333" s="8">
        <v>2667000</v>
      </c>
      <c r="O333" s="8">
        <v>835918</v>
      </c>
      <c r="Q333" s="8">
        <v>0</v>
      </c>
      <c r="S333" s="9">
        <f t="shared" si="16"/>
        <v>3502918</v>
      </c>
      <c r="U333" s="8">
        <v>216150</v>
      </c>
      <c r="X333" s="8">
        <f>+'St of Net Assets - GA'!O332-'LT _Lia - GA'!U333</f>
        <v>0</v>
      </c>
    </row>
    <row r="334" spans="1:26">
      <c r="A334" s="13" t="s">
        <v>399</v>
      </c>
      <c r="B334" s="13"/>
      <c r="C334" s="13" t="s">
        <v>32</v>
      </c>
      <c r="D334" s="13"/>
      <c r="E334" s="32">
        <v>44313</v>
      </c>
      <c r="G334" s="8">
        <f>6323644-1117855+526644</f>
        <v>5732433</v>
      </c>
      <c r="I334" s="8">
        <v>0</v>
      </c>
      <c r="K334" s="8">
        <v>0</v>
      </c>
      <c r="M334" s="8">
        <v>2046325</v>
      </c>
      <c r="O334" s="8">
        <v>1394940</v>
      </c>
      <c r="Q334" s="8">
        <v>0</v>
      </c>
      <c r="S334" s="9">
        <f t="shared" si="16"/>
        <v>9173698</v>
      </c>
      <c r="U334" s="8">
        <v>656649</v>
      </c>
      <c r="X334" s="8">
        <f>+'St of Net Assets - GA'!O333-'LT _Lia - GA'!U334</f>
        <v>0</v>
      </c>
    </row>
    <row r="335" spans="1:26" hidden="1">
      <c r="A335" s="12" t="s">
        <v>832</v>
      </c>
      <c r="B335" s="13"/>
      <c r="C335" s="13" t="s">
        <v>70</v>
      </c>
      <c r="D335" s="13"/>
      <c r="E335" s="32">
        <v>44321</v>
      </c>
      <c r="G335" s="8">
        <v>0</v>
      </c>
      <c r="I335" s="8">
        <v>0</v>
      </c>
      <c r="K335" s="8">
        <v>0</v>
      </c>
      <c r="M335" s="8">
        <v>0</v>
      </c>
      <c r="O335" s="8">
        <v>0</v>
      </c>
      <c r="Q335" s="8">
        <v>0</v>
      </c>
      <c r="S335" s="9">
        <f t="shared" si="16"/>
        <v>0</v>
      </c>
      <c r="U335" s="8">
        <v>0</v>
      </c>
      <c r="X335" s="8">
        <f>+'St of Net Assets - GA'!O334-'LT _Lia - GA'!U335</f>
        <v>0</v>
      </c>
      <c r="Z335" s="8" t="s">
        <v>956</v>
      </c>
    </row>
    <row r="336" spans="1:26">
      <c r="A336" s="13" t="s">
        <v>521</v>
      </c>
      <c r="B336" s="13"/>
      <c r="C336" s="13" t="s">
        <v>46</v>
      </c>
      <c r="D336" s="13"/>
      <c r="E336" s="32">
        <v>44339</v>
      </c>
      <c r="G336" s="8">
        <v>12381913</v>
      </c>
      <c r="I336" s="8">
        <v>0</v>
      </c>
      <c r="K336" s="8">
        <v>0</v>
      </c>
      <c r="M336" s="8">
        <v>150723</v>
      </c>
      <c r="O336" s="8">
        <f>3308303+64875</f>
        <v>3373178</v>
      </c>
      <c r="Q336" s="8">
        <v>0</v>
      </c>
      <c r="S336" s="9">
        <f t="shared" si="16"/>
        <v>15905814</v>
      </c>
      <c r="U336" s="8">
        <f>868738+2818</f>
        <v>871556</v>
      </c>
      <c r="X336" s="8">
        <f>+'St of Net Assets - GA'!O335-'LT _Lia - GA'!U336</f>
        <v>0</v>
      </c>
    </row>
    <row r="337" spans="1:26" hidden="1">
      <c r="A337" s="12" t="s">
        <v>998</v>
      </c>
      <c r="B337" s="12"/>
      <c r="C337" s="12" t="s">
        <v>534</v>
      </c>
      <c r="D337" s="13"/>
      <c r="E337" s="32"/>
      <c r="G337" s="8">
        <v>0</v>
      </c>
      <c r="I337" s="8">
        <v>0</v>
      </c>
      <c r="K337" s="8">
        <v>0</v>
      </c>
      <c r="M337" s="8">
        <v>0</v>
      </c>
      <c r="O337" s="8">
        <v>0</v>
      </c>
      <c r="Q337" s="8">
        <v>0</v>
      </c>
      <c r="S337" s="9">
        <f t="shared" si="16"/>
        <v>0</v>
      </c>
      <c r="U337" s="8">
        <v>0</v>
      </c>
      <c r="X337" s="8">
        <f>+'St of Net Assets - GA'!O336-'LT _Lia - GA'!U337</f>
        <v>0</v>
      </c>
    </row>
    <row r="338" spans="1:26">
      <c r="A338" s="13" t="s">
        <v>655</v>
      </c>
      <c r="B338" s="13"/>
      <c r="C338" s="13" t="s">
        <v>62</v>
      </c>
      <c r="D338" s="13"/>
      <c r="E338" s="32">
        <v>49882</v>
      </c>
      <c r="G338" s="8">
        <v>0</v>
      </c>
      <c r="I338" s="8">
        <v>0</v>
      </c>
      <c r="K338" s="8">
        <v>0</v>
      </c>
      <c r="M338" s="8">
        <v>350461</v>
      </c>
      <c r="O338" s="8">
        <v>1603919</v>
      </c>
      <c r="Q338" s="8">
        <v>0</v>
      </c>
      <c r="S338" s="9">
        <f t="shared" si="16"/>
        <v>1954380</v>
      </c>
      <c r="U338" s="8">
        <v>560929</v>
      </c>
      <c r="X338" s="8">
        <f>+'St of Net Assets - GA'!O337-'LT _Lia - GA'!U338</f>
        <v>0</v>
      </c>
    </row>
    <row r="339" spans="1:26">
      <c r="A339" s="13" t="s">
        <v>233</v>
      </c>
      <c r="B339" s="13"/>
      <c r="C339" s="13" t="s">
        <v>15</v>
      </c>
      <c r="D339" s="13"/>
      <c r="E339" s="32">
        <v>44347</v>
      </c>
      <c r="G339" s="8">
        <v>10236349</v>
      </c>
      <c r="I339" s="8">
        <v>0</v>
      </c>
      <c r="K339" s="8">
        <v>0</v>
      </c>
      <c r="M339" s="8">
        <v>4110622</v>
      </c>
      <c r="O339" s="8">
        <v>960842</v>
      </c>
      <c r="Q339" s="8">
        <v>0</v>
      </c>
      <c r="S339" s="9">
        <f t="shared" si="16"/>
        <v>15307813</v>
      </c>
      <c r="U339" s="8">
        <v>368714</v>
      </c>
      <c r="X339" s="8">
        <f>+'St of Net Assets - GA'!O338-'LT _Lia - GA'!U339</f>
        <v>0</v>
      </c>
    </row>
    <row r="340" spans="1:26">
      <c r="A340" s="13" t="s">
        <v>703</v>
      </c>
      <c r="B340" s="13"/>
      <c r="C340" s="13" t="s">
        <v>66</v>
      </c>
      <c r="D340" s="13"/>
      <c r="E340" s="32">
        <v>45476</v>
      </c>
      <c r="G340" s="8">
        <v>102698813</v>
      </c>
      <c r="I340" s="8">
        <v>0</v>
      </c>
      <c r="K340" s="8">
        <v>550000</v>
      </c>
      <c r="M340" s="8">
        <v>1595000</v>
      </c>
      <c r="O340" s="8">
        <f>2795053+120000+45289</f>
        <v>2960342</v>
      </c>
      <c r="Q340" s="8">
        <v>0</v>
      </c>
      <c r="S340" s="9">
        <f t="shared" si="16"/>
        <v>107804155</v>
      </c>
      <c r="U340" s="8">
        <f>4600370</f>
        <v>4600370</v>
      </c>
      <c r="X340" s="8">
        <f>+'St of Net Assets - GA'!O339-'LT _Lia - GA'!U340</f>
        <v>0</v>
      </c>
    </row>
    <row r="341" spans="1:26">
      <c r="A341" s="13" t="s">
        <v>712</v>
      </c>
      <c r="B341" s="13"/>
      <c r="C341" s="13" t="s">
        <v>69</v>
      </c>
      <c r="D341" s="13"/>
      <c r="E341" s="32">
        <v>50450</v>
      </c>
      <c r="G341" s="8">
        <v>145623798</v>
      </c>
      <c r="I341" s="8">
        <v>0</v>
      </c>
      <c r="K341" s="8">
        <v>0</v>
      </c>
      <c r="M341" s="8">
        <v>5249000</v>
      </c>
      <c r="O341" s="8">
        <f>23190+3832562</f>
        <v>3855752</v>
      </c>
      <c r="Q341" s="8">
        <v>0</v>
      </c>
      <c r="S341" s="9">
        <f t="shared" si="16"/>
        <v>154728550</v>
      </c>
      <c r="U341" s="8">
        <v>7651602</v>
      </c>
      <c r="X341" s="8">
        <f>+'St of Net Assets - GA'!O340-'LT _Lia - GA'!U341</f>
        <v>0</v>
      </c>
    </row>
    <row r="342" spans="1:26">
      <c r="A342" s="13" t="s">
        <v>656</v>
      </c>
      <c r="B342" s="13"/>
      <c r="C342" s="13" t="s">
        <v>62</v>
      </c>
      <c r="D342" s="13"/>
      <c r="E342" s="32">
        <v>44354</v>
      </c>
      <c r="G342" s="8">
        <f>14503631+2000000</f>
        <v>16503631</v>
      </c>
      <c r="I342" s="8">
        <v>0</v>
      </c>
      <c r="K342" s="8">
        <v>0</v>
      </c>
      <c r="M342" s="8">
        <v>205445</v>
      </c>
      <c r="O342" s="8">
        <v>2848088</v>
      </c>
      <c r="Q342" s="8">
        <v>0</v>
      </c>
      <c r="S342" s="9">
        <f t="shared" si="16"/>
        <v>19557164</v>
      </c>
      <c r="U342" s="8">
        <v>4105205</v>
      </c>
      <c r="X342" s="8">
        <f>+'St of Net Assets - GA'!O341-'LT _Lia - GA'!U342</f>
        <v>0</v>
      </c>
    </row>
    <row r="343" spans="1:26">
      <c r="A343" s="13" t="s">
        <v>688</v>
      </c>
      <c r="B343" s="13"/>
      <c r="C343" s="13" t="s">
        <v>64</v>
      </c>
      <c r="D343" s="13"/>
      <c r="E343" s="32">
        <v>50153</v>
      </c>
      <c r="G343" s="8">
        <v>0</v>
      </c>
      <c r="I343" s="8">
        <v>39605</v>
      </c>
      <c r="K343" s="8">
        <v>0</v>
      </c>
      <c r="M343" s="8">
        <v>0</v>
      </c>
      <c r="O343" s="8">
        <v>1406310</v>
      </c>
      <c r="Q343" s="8">
        <v>0</v>
      </c>
      <c r="S343" s="9">
        <f t="shared" si="16"/>
        <v>1445915</v>
      </c>
      <c r="U343" s="8">
        <v>189693</v>
      </c>
      <c r="X343" s="8">
        <f>+'St of Net Assets - GA'!O342-'LT _Lia - GA'!U343</f>
        <v>0</v>
      </c>
    </row>
    <row r="344" spans="1:26">
      <c r="A344" s="13" t="s">
        <v>497</v>
      </c>
      <c r="B344" s="13"/>
      <c r="C344" s="13" t="s">
        <v>117</v>
      </c>
      <c r="D344" s="13"/>
      <c r="E344" s="32">
        <v>44362</v>
      </c>
      <c r="G344" s="8">
        <v>36005000</v>
      </c>
      <c r="I344" s="8">
        <v>0</v>
      </c>
      <c r="K344" s="8">
        <v>0</v>
      </c>
      <c r="M344" s="8">
        <v>0</v>
      </c>
      <c r="O344" s="8">
        <v>2767117</v>
      </c>
      <c r="Q344" s="8">
        <v>0</v>
      </c>
      <c r="S344" s="9">
        <f t="shared" si="16"/>
        <v>38772117</v>
      </c>
      <c r="U344" s="8">
        <v>1082094</v>
      </c>
      <c r="X344" s="8">
        <f>+'St of Net Assets - GA'!O343-'LT _Lia - GA'!U344</f>
        <v>0</v>
      </c>
    </row>
    <row r="345" spans="1:26">
      <c r="A345" s="12" t="s">
        <v>1056</v>
      </c>
      <c r="B345" s="13"/>
      <c r="C345" s="13" t="s">
        <v>20</v>
      </c>
      <c r="D345" s="13"/>
      <c r="E345" s="32">
        <v>44370</v>
      </c>
      <c r="G345" s="8">
        <f>14220547+4270000</f>
        <v>18490547</v>
      </c>
      <c r="I345" s="8">
        <v>833335</v>
      </c>
      <c r="K345" s="8">
        <v>0</v>
      </c>
      <c r="M345" s="8">
        <v>36819</v>
      </c>
      <c r="O345" s="8">
        <f>867662+3373268</f>
        <v>4240930</v>
      </c>
      <c r="Q345" s="8">
        <v>0</v>
      </c>
      <c r="S345" s="9">
        <f t="shared" si="16"/>
        <v>23601631</v>
      </c>
      <c r="U345" s="8">
        <v>1853710</v>
      </c>
      <c r="X345" s="8">
        <f>+'St of Net Assets - GA'!O344-'LT _Lia - GA'!U345</f>
        <v>0</v>
      </c>
      <c r="Z345" s="15" t="s">
        <v>905</v>
      </c>
    </row>
    <row r="346" spans="1:26">
      <c r="A346" s="13" t="s">
        <v>565</v>
      </c>
      <c r="B346" s="13"/>
      <c r="C346" s="13" t="s">
        <v>51</v>
      </c>
      <c r="D346" s="13"/>
      <c r="E346" s="32">
        <v>48850</v>
      </c>
      <c r="G346" s="8">
        <v>3330085</v>
      </c>
      <c r="I346" s="8">
        <v>0</v>
      </c>
      <c r="K346" s="8">
        <v>0</v>
      </c>
      <c r="M346" s="8">
        <v>1848182</v>
      </c>
      <c r="O346" s="8">
        <v>1138051</v>
      </c>
      <c r="Q346" s="8">
        <v>0</v>
      </c>
      <c r="S346" s="9">
        <f t="shared" si="16"/>
        <v>6316318</v>
      </c>
      <c r="U346" s="8">
        <v>512140</v>
      </c>
      <c r="X346" s="8">
        <f>+'St of Net Assets - GA'!O345-'LT _Lia - GA'!U346</f>
        <v>0</v>
      </c>
    </row>
    <row r="347" spans="1:26" hidden="1">
      <c r="A347" s="12" t="s">
        <v>885</v>
      </c>
      <c r="B347" s="13"/>
      <c r="C347" s="13" t="s">
        <v>33</v>
      </c>
      <c r="D347" s="13"/>
      <c r="E347" s="32">
        <v>47456</v>
      </c>
      <c r="G347" s="8">
        <v>0</v>
      </c>
      <c r="I347" s="8">
        <v>0</v>
      </c>
      <c r="K347" s="8">
        <v>0</v>
      </c>
      <c r="M347" s="8">
        <v>0</v>
      </c>
      <c r="O347" s="8">
        <v>0</v>
      </c>
      <c r="Q347" s="8">
        <v>0</v>
      </c>
      <c r="S347" s="9">
        <f t="shared" si="16"/>
        <v>0</v>
      </c>
      <c r="U347" s="8">
        <v>0</v>
      </c>
      <c r="X347" s="8">
        <f>+'St of Net Assets - GA'!O346-'LT _Lia - GA'!U347</f>
        <v>0</v>
      </c>
    </row>
    <row r="348" spans="1:26">
      <c r="A348" s="13" t="s">
        <v>882</v>
      </c>
      <c r="B348" s="13"/>
      <c r="C348" s="13" t="s">
        <v>64</v>
      </c>
      <c r="D348" s="13"/>
      <c r="E348" s="32">
        <v>50229</v>
      </c>
      <c r="G348" s="8">
        <v>1436446</v>
      </c>
      <c r="I348" s="8">
        <v>0</v>
      </c>
      <c r="K348" s="8">
        <v>0</v>
      </c>
      <c r="M348" s="8">
        <v>75291</v>
      </c>
      <c r="O348" s="8">
        <v>412065</v>
      </c>
      <c r="Q348" s="8">
        <v>0</v>
      </c>
      <c r="S348" s="9">
        <f t="shared" si="16"/>
        <v>1923802</v>
      </c>
      <c r="U348" s="8">
        <v>223849</v>
      </c>
      <c r="X348" s="8">
        <f>+'St of Net Assets - GA'!O347-'LT _Lia - GA'!U348</f>
        <v>0</v>
      </c>
    </row>
    <row r="349" spans="1:26" s="35" customFormat="1">
      <c r="A349" s="34" t="s">
        <v>256</v>
      </c>
      <c r="B349" s="34"/>
      <c r="C349" s="34" t="s">
        <v>255</v>
      </c>
      <c r="D349" s="34"/>
      <c r="E349" s="34">
        <v>45484</v>
      </c>
      <c r="G349" s="8">
        <f>130493+195265+6790000</f>
        <v>7115758</v>
      </c>
      <c r="H349" s="8"/>
      <c r="I349" s="8">
        <v>0</v>
      </c>
      <c r="J349" s="8"/>
      <c r="K349" s="8">
        <v>0</v>
      </c>
      <c r="L349" s="8"/>
      <c r="M349" s="8">
        <v>107464</v>
      </c>
      <c r="N349" s="8"/>
      <c r="O349" s="8">
        <v>468158</v>
      </c>
      <c r="P349" s="8"/>
      <c r="Q349" s="8">
        <v>0</v>
      </c>
      <c r="R349" s="8"/>
      <c r="S349" s="9">
        <f t="shared" si="16"/>
        <v>7691380</v>
      </c>
      <c r="T349" s="8"/>
      <c r="U349" s="8">
        <v>273704</v>
      </c>
      <c r="X349" s="35">
        <f>+'St of Net Assets - GA'!O348-'LT _Lia - GA'!U349</f>
        <v>0</v>
      </c>
    </row>
    <row r="350" spans="1:26">
      <c r="A350" s="13" t="s">
        <v>529</v>
      </c>
      <c r="B350" s="13"/>
      <c r="C350" s="13" t="s">
        <v>47</v>
      </c>
      <c r="D350" s="13"/>
      <c r="E350" s="32">
        <v>44388</v>
      </c>
      <c r="G350" s="8">
        <f>25365859+72070438</f>
        <v>97436297</v>
      </c>
      <c r="I350" s="8">
        <v>0</v>
      </c>
      <c r="K350" s="8">
        <v>3015000</v>
      </c>
      <c r="M350" s="8">
        <v>192920</v>
      </c>
      <c r="O350" s="8">
        <v>6773978</v>
      </c>
      <c r="Q350" s="8">
        <v>0</v>
      </c>
      <c r="S350" s="9">
        <f t="shared" si="16"/>
        <v>107418195</v>
      </c>
      <c r="U350" s="8">
        <v>5580703</v>
      </c>
      <c r="X350" s="8">
        <f>+'St of Net Assets - GA'!O349-'LT _Lia - GA'!U350</f>
        <v>0</v>
      </c>
    </row>
    <row r="351" spans="1:26">
      <c r="A351" s="13" t="s">
        <v>532</v>
      </c>
      <c r="B351" s="13"/>
      <c r="C351" s="13" t="s">
        <v>531</v>
      </c>
      <c r="D351" s="13"/>
      <c r="E351" s="32">
        <v>48520</v>
      </c>
      <c r="G351" s="8">
        <f>1420000+3295000+254996+123464+316144-248178</f>
        <v>5161426</v>
      </c>
      <c r="I351" s="8">
        <v>0</v>
      </c>
      <c r="K351" s="8">
        <f>177500+748090</f>
        <v>925590</v>
      </c>
      <c r="M351" s="8">
        <v>0</v>
      </c>
      <c r="O351" s="8">
        <v>831860</v>
      </c>
      <c r="Q351" s="8">
        <v>0</v>
      </c>
      <c r="S351" s="9">
        <f t="shared" si="16"/>
        <v>6918876</v>
      </c>
      <c r="U351" s="8">
        <v>427339</v>
      </c>
      <c r="X351" s="8">
        <f>+'St of Net Assets - GA'!O350-'LT _Lia - GA'!U351</f>
        <v>0</v>
      </c>
    </row>
    <row r="352" spans="1:26">
      <c r="A352" s="13" t="s">
        <v>460</v>
      </c>
      <c r="B352" s="13"/>
      <c r="C352" s="13" t="s">
        <v>41</v>
      </c>
      <c r="D352" s="13"/>
      <c r="E352" s="32">
        <v>45492</v>
      </c>
      <c r="G352" s="8">
        <v>6173941</v>
      </c>
      <c r="I352" s="8">
        <v>696000</v>
      </c>
      <c r="K352" s="8">
        <v>0</v>
      </c>
      <c r="M352" s="8">
        <v>56205</v>
      </c>
      <c r="O352" s="8">
        <f>592720+6138040+4162500</f>
        <v>10893260</v>
      </c>
      <c r="Q352" s="8">
        <v>0</v>
      </c>
      <c r="S352" s="9">
        <f t="shared" si="16"/>
        <v>17819406</v>
      </c>
      <c r="U352" s="8">
        <v>5345068</v>
      </c>
      <c r="X352" s="8">
        <f>+'St of Net Assets - GA'!O351-'LT _Lia - GA'!U352</f>
        <v>0</v>
      </c>
    </row>
    <row r="353" spans="1:26">
      <c r="A353" s="13" t="s">
        <v>537</v>
      </c>
      <c r="B353" s="13"/>
      <c r="C353" s="13" t="s">
        <v>48</v>
      </c>
      <c r="D353" s="13"/>
      <c r="E353" s="32">
        <v>48629</v>
      </c>
      <c r="G353" s="8">
        <v>17849500</v>
      </c>
      <c r="I353" s="8">
        <v>0</v>
      </c>
      <c r="K353" s="8">
        <v>0</v>
      </c>
      <c r="M353" s="8">
        <v>0</v>
      </c>
      <c r="O353" s="8">
        <v>1079969</v>
      </c>
      <c r="Q353" s="8">
        <v>0</v>
      </c>
      <c r="S353" s="9">
        <f t="shared" si="16"/>
        <v>18929469</v>
      </c>
      <c r="U353" s="8">
        <v>592016</v>
      </c>
      <c r="X353" s="8">
        <f>+'St of Net Assets - GA'!O352-'LT _Lia - GA'!U353</f>
        <v>0</v>
      </c>
    </row>
    <row r="354" spans="1:26">
      <c r="A354" s="13" t="s">
        <v>350</v>
      </c>
      <c r="B354" s="13"/>
      <c r="C354" s="13" t="s">
        <v>26</v>
      </c>
      <c r="D354" s="13"/>
      <c r="E354" s="32">
        <v>46920</v>
      </c>
      <c r="G354" s="8">
        <v>28487808</v>
      </c>
      <c r="I354" s="8">
        <v>0</v>
      </c>
      <c r="K354" s="8">
        <v>0</v>
      </c>
      <c r="M354" s="8">
        <v>0</v>
      </c>
      <c r="O354" s="8">
        <v>1079792</v>
      </c>
      <c r="Q354" s="8">
        <v>0</v>
      </c>
      <c r="S354" s="9">
        <f t="shared" si="16"/>
        <v>29567600</v>
      </c>
      <c r="U354" s="8">
        <v>735547</v>
      </c>
      <c r="X354" s="8">
        <f>+'St of Net Assets - GA'!O353-'LT _Lia - GA'!U354</f>
        <v>0</v>
      </c>
    </row>
    <row r="355" spans="1:26">
      <c r="A355" s="13" t="s">
        <v>551</v>
      </c>
      <c r="B355" s="13"/>
      <c r="C355" s="13" t="s">
        <v>50</v>
      </c>
      <c r="D355" s="13"/>
      <c r="E355" s="32">
        <v>44396</v>
      </c>
      <c r="G355" s="8">
        <f>1400000+5625000+39250000+39250000+22250000+2890307</f>
        <v>110665307</v>
      </c>
      <c r="I355" s="8">
        <v>0</v>
      </c>
      <c r="K355" s="8">
        <v>0</v>
      </c>
      <c r="M355" s="8">
        <v>0</v>
      </c>
      <c r="O355" s="8">
        <v>4366984</v>
      </c>
      <c r="Q355" s="8">
        <v>0</v>
      </c>
      <c r="S355" s="9">
        <f t="shared" si="16"/>
        <v>115032291</v>
      </c>
      <c r="U355" s="8">
        <v>41020659</v>
      </c>
      <c r="X355" s="8">
        <f>+'St of Net Assets - GA'!O354-'LT _Lia - GA'!U355</f>
        <v>0</v>
      </c>
    </row>
    <row r="356" spans="1:26">
      <c r="A356" s="13" t="s">
        <v>247</v>
      </c>
      <c r="B356" s="13"/>
      <c r="C356" s="13" t="s">
        <v>242</v>
      </c>
      <c r="D356" s="13"/>
      <c r="E356" s="32">
        <v>44404</v>
      </c>
      <c r="G356" s="8">
        <f>3910000+54740000+4640625-67357</f>
        <v>63223268</v>
      </c>
      <c r="I356" s="8">
        <v>0</v>
      </c>
      <c r="K356" s="8">
        <f>1135020+609896</f>
        <v>1744916</v>
      </c>
      <c r="M356" s="8">
        <v>1193052</v>
      </c>
      <c r="O356" s="8">
        <v>2414897</v>
      </c>
      <c r="Q356" s="8">
        <v>0</v>
      </c>
      <c r="S356" s="9">
        <f t="shared" si="16"/>
        <v>68576133</v>
      </c>
      <c r="U356" s="8">
        <v>2549481</v>
      </c>
      <c r="X356" s="8">
        <f>+'St of Net Assets - GA'!O358-'LT _Lia - GA'!U356</f>
        <v>0</v>
      </c>
    </row>
    <row r="357" spans="1:26">
      <c r="A357" s="13" t="s">
        <v>491</v>
      </c>
      <c r="B357" s="13"/>
      <c r="C357" s="13" t="s">
        <v>44</v>
      </c>
      <c r="D357" s="13"/>
      <c r="E357" s="13">
        <v>48173</v>
      </c>
      <c r="G357" s="8">
        <f>8430000+17790000+2315000+305000</f>
        <v>28840000</v>
      </c>
      <c r="I357" s="8">
        <v>0</v>
      </c>
      <c r="K357" s="8">
        <v>0</v>
      </c>
      <c r="M357" s="8">
        <v>194407</v>
      </c>
      <c r="O357" s="8">
        <f>1810766+30597</f>
        <v>1841363</v>
      </c>
      <c r="Q357" s="8">
        <v>0</v>
      </c>
      <c r="S357" s="9">
        <f t="shared" si="16"/>
        <v>30875770</v>
      </c>
      <c r="U357" s="8">
        <f>969270+2448</f>
        <v>971718</v>
      </c>
      <c r="X357" s="8">
        <f>+'St of Net Assets - GA'!O359-'LT _Lia - GA'!U357</f>
        <v>0</v>
      </c>
      <c r="Z357" s="8" t="s">
        <v>956</v>
      </c>
    </row>
    <row r="358" spans="1:26">
      <c r="A358" s="13" t="s">
        <v>270</v>
      </c>
      <c r="B358" s="13"/>
      <c r="C358" s="13" t="s">
        <v>115</v>
      </c>
      <c r="D358" s="13"/>
      <c r="E358" s="32">
        <v>45500</v>
      </c>
      <c r="G358" s="8">
        <f>4025000+6840000+410000+368845+22515000+31090000+285000+39645+4145309</f>
        <v>69718799</v>
      </c>
      <c r="I358" s="8">
        <f>698003+2010000</f>
        <v>2708003</v>
      </c>
      <c r="K358" s="8">
        <v>0</v>
      </c>
      <c r="M358" s="8">
        <v>30710</v>
      </c>
      <c r="O358" s="8">
        <v>1969140</v>
      </c>
      <c r="Q358" s="8">
        <v>0</v>
      </c>
      <c r="S358" s="9">
        <f t="shared" si="16"/>
        <v>74426652</v>
      </c>
      <c r="U358" s="8">
        <v>1011889</v>
      </c>
      <c r="X358" s="8">
        <f>+'St of Net Assets - GA'!O360-'LT _Lia - GA'!U358</f>
        <v>0</v>
      </c>
    </row>
    <row r="359" spans="1:26" hidden="1">
      <c r="A359" s="12" t="s">
        <v>833</v>
      </c>
      <c r="B359" s="13"/>
      <c r="C359" s="13" t="s">
        <v>727</v>
      </c>
      <c r="D359" s="13"/>
      <c r="E359" s="32">
        <v>50633</v>
      </c>
      <c r="G359" s="8">
        <v>0</v>
      </c>
      <c r="I359" s="8">
        <v>0</v>
      </c>
      <c r="K359" s="8">
        <v>0</v>
      </c>
      <c r="M359" s="8">
        <v>0</v>
      </c>
      <c r="O359" s="8">
        <v>0</v>
      </c>
      <c r="Q359" s="8">
        <v>0</v>
      </c>
      <c r="S359" s="9">
        <f t="shared" si="16"/>
        <v>0</v>
      </c>
      <c r="U359" s="8">
        <v>0</v>
      </c>
      <c r="X359" s="8">
        <f>+'St of Net Assets - GA'!O361-'LT _Lia - GA'!U359</f>
        <v>0</v>
      </c>
    </row>
    <row r="360" spans="1:26" hidden="1">
      <c r="A360" s="88" t="s">
        <v>1001</v>
      </c>
      <c r="B360" s="13"/>
      <c r="C360" s="13" t="s">
        <v>603</v>
      </c>
      <c r="D360" s="13"/>
      <c r="E360" s="32">
        <v>49361</v>
      </c>
      <c r="Q360" s="8">
        <v>0</v>
      </c>
      <c r="S360" s="9">
        <f t="shared" si="16"/>
        <v>0</v>
      </c>
      <c r="X360" s="8">
        <f>+'St of Net Assets - GA'!O362-'LT _Lia - GA'!U360</f>
        <v>0</v>
      </c>
      <c r="Z360" s="8" t="s">
        <v>967</v>
      </c>
    </row>
    <row r="361" spans="1:26">
      <c r="A361" s="13" t="s">
        <v>538</v>
      </c>
      <c r="B361" s="13"/>
      <c r="C361" s="13" t="s">
        <v>48</v>
      </c>
      <c r="D361" s="13"/>
      <c r="E361" s="32">
        <v>45518</v>
      </c>
      <c r="G361" s="8">
        <v>15070039</v>
      </c>
      <c r="I361" s="8">
        <v>0</v>
      </c>
      <c r="K361" s="8">
        <v>0</v>
      </c>
      <c r="M361" s="8">
        <v>95794</v>
      </c>
      <c r="O361" s="8">
        <v>1071703</v>
      </c>
      <c r="Q361" s="8">
        <v>0</v>
      </c>
      <c r="S361" s="9">
        <f t="shared" si="16"/>
        <v>16237536</v>
      </c>
      <c r="U361" s="8">
        <v>80356</v>
      </c>
      <c r="X361" s="8">
        <f>+'St of Net Assets - GA'!O363-'LT _Lia - GA'!U361</f>
        <v>0</v>
      </c>
    </row>
    <row r="362" spans="1:26">
      <c r="A362" s="13"/>
      <c r="B362" s="13"/>
      <c r="C362" s="13"/>
      <c r="D362" s="13"/>
      <c r="E362" s="32"/>
      <c r="S362" s="9"/>
    </row>
    <row r="363" spans="1:26">
      <c r="A363" s="13"/>
      <c r="B363" s="13"/>
      <c r="C363" s="13"/>
      <c r="D363" s="13"/>
      <c r="E363" s="32"/>
      <c r="S363" s="9"/>
      <c r="U363" s="8" t="s">
        <v>805</v>
      </c>
    </row>
    <row r="364" spans="1:26">
      <c r="A364" s="13"/>
      <c r="B364" s="13"/>
      <c r="C364" s="13"/>
      <c r="D364" s="13"/>
      <c r="E364" s="32"/>
      <c r="S364" s="9"/>
    </row>
    <row r="365" spans="1:26">
      <c r="A365" s="13" t="s">
        <v>657</v>
      </c>
      <c r="B365" s="13"/>
      <c r="C365" s="13" t="s">
        <v>62</v>
      </c>
      <c r="D365" s="13"/>
      <c r="E365" s="32">
        <v>49890</v>
      </c>
      <c r="G365" s="35">
        <v>12860775</v>
      </c>
      <c r="H365" s="35"/>
      <c r="I365" s="35">
        <v>0</v>
      </c>
      <c r="J365" s="35"/>
      <c r="K365" s="35">
        <v>0</v>
      </c>
      <c r="L365" s="35"/>
      <c r="M365" s="35">
        <v>0</v>
      </c>
      <c r="N365" s="35"/>
      <c r="O365" s="35">
        <v>1288751</v>
      </c>
      <c r="P365" s="35"/>
      <c r="Q365" s="35">
        <v>0</v>
      </c>
      <c r="R365" s="35"/>
      <c r="S365" s="44">
        <f t="shared" si="16"/>
        <v>14149526</v>
      </c>
      <c r="T365" s="35"/>
      <c r="U365" s="35">
        <v>555134</v>
      </c>
      <c r="X365" s="8">
        <f>+'St of Net Assets - GA'!O364-'LT _Lia - GA'!U365</f>
        <v>0</v>
      </c>
    </row>
    <row r="366" spans="1:26">
      <c r="A366" s="13" t="s">
        <v>629</v>
      </c>
      <c r="B366" s="13"/>
      <c r="C366" s="13" t="s">
        <v>59</v>
      </c>
      <c r="D366" s="13"/>
      <c r="E366" s="32">
        <v>49627</v>
      </c>
      <c r="G366" s="8">
        <v>1455000</v>
      </c>
      <c r="I366" s="8">
        <v>0</v>
      </c>
      <c r="K366" s="8">
        <v>0</v>
      </c>
      <c r="M366" s="8">
        <v>1621205</v>
      </c>
      <c r="O366" s="8">
        <v>1005649</v>
      </c>
      <c r="Q366" s="8">
        <v>0</v>
      </c>
      <c r="S366" s="9">
        <f t="shared" si="16"/>
        <v>4081854</v>
      </c>
      <c r="U366" s="8">
        <v>393183</v>
      </c>
      <c r="X366" s="8">
        <f>+'St of Net Assets - GA'!O365-'LT _Lia - GA'!U366</f>
        <v>0</v>
      </c>
    </row>
    <row r="367" spans="1:26">
      <c r="A367" s="13" t="s">
        <v>226</v>
      </c>
      <c r="B367" s="13"/>
      <c r="C367" s="13" t="s">
        <v>14</v>
      </c>
      <c r="D367" s="13"/>
      <c r="E367" s="32">
        <v>45948</v>
      </c>
      <c r="G367" s="8">
        <v>11732700</v>
      </c>
      <c r="I367" s="8">
        <v>0</v>
      </c>
      <c r="K367" s="8">
        <v>0</v>
      </c>
      <c r="M367" s="8">
        <v>0</v>
      </c>
      <c r="O367" s="8">
        <v>553069</v>
      </c>
      <c r="Q367" s="8">
        <v>0</v>
      </c>
      <c r="S367" s="9">
        <f t="shared" si="16"/>
        <v>12285769</v>
      </c>
      <c r="U367" s="8">
        <v>643959</v>
      </c>
      <c r="X367" s="8">
        <f>+'St of Net Assets - GA'!O366-'LT _Lia - GA'!U367</f>
        <v>0</v>
      </c>
    </row>
    <row r="368" spans="1:26" hidden="1">
      <c r="A368" s="12" t="s">
        <v>884</v>
      </c>
      <c r="B368" s="13"/>
      <c r="C368" s="13" t="s">
        <v>21</v>
      </c>
      <c r="D368" s="13"/>
      <c r="E368" s="32">
        <v>46672</v>
      </c>
      <c r="G368" s="8">
        <v>0</v>
      </c>
      <c r="I368" s="8">
        <v>0</v>
      </c>
      <c r="K368" s="8">
        <v>0</v>
      </c>
      <c r="M368" s="8">
        <v>0</v>
      </c>
      <c r="O368" s="8">
        <v>0</v>
      </c>
      <c r="Q368" s="8">
        <v>0</v>
      </c>
      <c r="S368" s="9">
        <f t="shared" si="16"/>
        <v>0</v>
      </c>
      <c r="U368" s="8">
        <v>0</v>
      </c>
      <c r="X368" s="8">
        <f>+'St of Net Assets - GA'!O367-'LT _Lia - GA'!U368</f>
        <v>0</v>
      </c>
    </row>
    <row r="369" spans="1:26">
      <c r="A369" s="13" t="s">
        <v>667</v>
      </c>
      <c r="B369" s="13"/>
      <c r="C369" s="13" t="s">
        <v>63</v>
      </c>
      <c r="D369" s="13"/>
      <c r="E369" s="32">
        <v>50039</v>
      </c>
      <c r="G369" s="8">
        <f>9310000+334628</f>
        <v>9644628</v>
      </c>
      <c r="I369" s="8">
        <v>0</v>
      </c>
      <c r="K369" s="8">
        <v>0</v>
      </c>
      <c r="M369" s="8">
        <v>2007799</v>
      </c>
      <c r="O369" s="8">
        <v>557516</v>
      </c>
      <c r="Q369" s="8">
        <v>0</v>
      </c>
      <c r="S369" s="9">
        <f t="shared" si="16"/>
        <v>12209943</v>
      </c>
      <c r="U369" s="8">
        <v>447677</v>
      </c>
      <c r="X369" s="8">
        <f>+'St of Net Assets - GA'!O368-'LT _Lia - GA'!U369</f>
        <v>0</v>
      </c>
    </row>
    <row r="370" spans="1:26" hidden="1">
      <c r="A370" s="12" t="s">
        <v>842</v>
      </c>
      <c r="B370" s="13"/>
      <c r="C370" s="13" t="s">
        <v>740</v>
      </c>
      <c r="D370" s="13"/>
      <c r="E370" s="32">
        <v>50740</v>
      </c>
      <c r="G370" s="8">
        <v>0</v>
      </c>
      <c r="I370" s="8">
        <v>0</v>
      </c>
      <c r="K370" s="8">
        <v>0</v>
      </c>
      <c r="M370" s="8">
        <v>0</v>
      </c>
      <c r="O370" s="8">
        <v>0</v>
      </c>
      <c r="Q370" s="8">
        <v>0</v>
      </c>
      <c r="S370" s="9">
        <f t="shared" si="16"/>
        <v>0</v>
      </c>
      <c r="U370" s="8">
        <v>0</v>
      </c>
      <c r="X370" s="8">
        <f>+'St of Net Assets - GA'!O369-'LT _Lia - GA'!U370</f>
        <v>0</v>
      </c>
    </row>
    <row r="371" spans="1:26">
      <c r="A371" s="13" t="s">
        <v>248</v>
      </c>
      <c r="B371" s="13"/>
      <c r="C371" s="13" t="s">
        <v>242</v>
      </c>
      <c r="D371" s="13"/>
      <c r="E371" s="32">
        <v>139303</v>
      </c>
      <c r="G371" s="8">
        <f>6090229+449783+19325000+1342155</f>
        <v>27207167</v>
      </c>
      <c r="I371" s="8">
        <v>0</v>
      </c>
      <c r="K371" s="8">
        <f>4243000-49270</f>
        <v>4193730</v>
      </c>
      <c r="M371" s="8">
        <v>309438</v>
      </c>
      <c r="O371" s="8">
        <v>690152</v>
      </c>
      <c r="Q371" s="8">
        <v>0</v>
      </c>
      <c r="S371" s="9">
        <f t="shared" ref="S371:S376" si="18">SUM(G371:R371)</f>
        <v>32400487</v>
      </c>
      <c r="U371" s="8">
        <v>1141377</v>
      </c>
      <c r="X371" s="8">
        <f>+'St of Net Assets - GA'!O370-'LT _Lia - GA'!U371</f>
        <v>0</v>
      </c>
    </row>
    <row r="372" spans="1:26">
      <c r="A372" s="13" t="s">
        <v>444</v>
      </c>
      <c r="B372" s="13"/>
      <c r="C372" s="13" t="s">
        <v>37</v>
      </c>
      <c r="D372" s="13"/>
      <c r="E372" s="32">
        <v>47712</v>
      </c>
      <c r="G372" s="8">
        <v>0</v>
      </c>
      <c r="I372" s="8">
        <v>0</v>
      </c>
      <c r="K372" s="8">
        <v>20813</v>
      </c>
      <c r="M372" s="8">
        <v>179767</v>
      </c>
      <c r="O372" s="8">
        <v>294842</v>
      </c>
      <c r="Q372" s="8">
        <v>0</v>
      </c>
      <c r="S372" s="9">
        <f t="shared" si="18"/>
        <v>495422</v>
      </c>
      <c r="U372" s="8">
        <v>110853</v>
      </c>
      <c r="X372" s="8">
        <f>+'St of Net Assets - GA'!O371-'LT _Lia - GA'!U372</f>
        <v>0</v>
      </c>
    </row>
    <row r="373" spans="1:26">
      <c r="A373" s="13" t="s">
        <v>731</v>
      </c>
      <c r="B373" s="13"/>
      <c r="C373" s="13" t="s">
        <v>727</v>
      </c>
      <c r="D373" s="13"/>
      <c r="E373" s="32">
        <v>45526</v>
      </c>
      <c r="G373" s="8">
        <f>4215000+362268</f>
        <v>4577268</v>
      </c>
      <c r="I373" s="8">
        <v>0</v>
      </c>
      <c r="K373" s="8">
        <v>0</v>
      </c>
      <c r="M373" s="8">
        <v>0</v>
      </c>
      <c r="O373" s="8">
        <v>805938</v>
      </c>
      <c r="Q373" s="8">
        <v>0</v>
      </c>
      <c r="S373" s="9">
        <f t="shared" si="18"/>
        <v>5383206</v>
      </c>
      <c r="U373" s="8">
        <v>404793</v>
      </c>
      <c r="X373" s="8">
        <f>+'St of Net Assets - GA'!O372-'LT _Lia - GA'!U373</f>
        <v>0</v>
      </c>
    </row>
    <row r="374" spans="1:26">
      <c r="A374" s="13" t="s">
        <v>558</v>
      </c>
      <c r="B374" s="13"/>
      <c r="C374" s="13" t="s">
        <v>559</v>
      </c>
      <c r="D374" s="13"/>
      <c r="E374" s="32">
        <v>48777</v>
      </c>
      <c r="G374" s="8">
        <f>515000+2087891+4048145+3608688</f>
        <v>10259724</v>
      </c>
      <c r="I374" s="8">
        <v>134949</v>
      </c>
      <c r="K374" s="8">
        <v>403387</v>
      </c>
      <c r="M374" s="8">
        <v>79766</v>
      </c>
      <c r="O374" s="8">
        <f>779984+1013648</f>
        <v>1793632</v>
      </c>
      <c r="Q374" s="8">
        <v>0</v>
      </c>
      <c r="S374" s="9">
        <f t="shared" si="18"/>
        <v>12671458</v>
      </c>
      <c r="U374" s="8">
        <v>963729</v>
      </c>
      <c r="X374" s="8">
        <f>+'St of Net Assets - GA'!O373-'LT _Lia - GA'!U374</f>
        <v>0</v>
      </c>
    </row>
    <row r="375" spans="1:26">
      <c r="A375" s="13" t="s">
        <v>858</v>
      </c>
      <c r="B375" s="13"/>
      <c r="C375" s="13" t="s">
        <v>78</v>
      </c>
      <c r="D375" s="13"/>
      <c r="E375" s="32">
        <v>45534</v>
      </c>
      <c r="G375" s="8">
        <v>8621482</v>
      </c>
      <c r="I375" s="8">
        <v>0</v>
      </c>
      <c r="K375" s="8">
        <v>0</v>
      </c>
      <c r="M375" s="8">
        <f>1245000+6816</f>
        <v>1251816</v>
      </c>
      <c r="O375" s="8">
        <v>661368</v>
      </c>
      <c r="Q375" s="8">
        <v>0</v>
      </c>
      <c r="S375" s="9">
        <f t="shared" si="18"/>
        <v>10534666</v>
      </c>
      <c r="U375" s="8">
        <v>504748</v>
      </c>
      <c r="X375" s="8">
        <f>+'St of Net Assets - GA'!O374-'LT _Lia - GA'!U375</f>
        <v>0</v>
      </c>
    </row>
    <row r="376" spans="1:26">
      <c r="A376" s="13" t="s">
        <v>457</v>
      </c>
      <c r="B376" s="13"/>
      <c r="C376" s="13" t="s">
        <v>40</v>
      </c>
      <c r="D376" s="13"/>
      <c r="E376" s="32">
        <v>44420</v>
      </c>
      <c r="G376" s="8">
        <f>6425000+255000+129074</f>
        <v>6809074</v>
      </c>
      <c r="I376" s="8">
        <f>83276+695305</f>
        <v>778581</v>
      </c>
      <c r="K376" s="8">
        <v>0</v>
      </c>
      <c r="M376" s="8">
        <v>95010</v>
      </c>
      <c r="O376" s="8">
        <v>1601160</v>
      </c>
      <c r="Q376" s="8">
        <v>0</v>
      </c>
      <c r="S376" s="9">
        <f t="shared" si="18"/>
        <v>9283825</v>
      </c>
      <c r="U376" s="8">
        <v>859569</v>
      </c>
      <c r="X376" s="8">
        <f>+'St of Net Assets - GA'!O375-'LT _Lia - GA'!U376</f>
        <v>0</v>
      </c>
    </row>
    <row r="377" spans="1:26">
      <c r="A377" s="13" t="s">
        <v>1057</v>
      </c>
      <c r="B377" s="13"/>
      <c r="C377" s="13" t="s">
        <v>32</v>
      </c>
      <c r="D377" s="13"/>
      <c r="E377" s="13">
        <v>44412</v>
      </c>
      <c r="G377" s="8">
        <f>32350000+1951744</f>
        <v>34301744</v>
      </c>
      <c r="I377" s="8">
        <v>171352</v>
      </c>
      <c r="K377" s="8">
        <v>0</v>
      </c>
      <c r="M377" s="8">
        <f>98527+50157+14147+15400+377738</f>
        <v>555969</v>
      </c>
      <c r="O377" s="8">
        <v>1910977</v>
      </c>
      <c r="Q377" s="8">
        <v>0</v>
      </c>
      <c r="S377" s="9">
        <f>SUM(G377:R377)</f>
        <v>36940042</v>
      </c>
      <c r="U377" s="8">
        <v>1188968</v>
      </c>
      <c r="X377" s="8">
        <f>+'St of Net Assets - GA'!O376-'LT _Lia - GA'!U377</f>
        <v>0</v>
      </c>
      <c r="Z377" s="15" t="s">
        <v>905</v>
      </c>
    </row>
    <row r="378" spans="1:26">
      <c r="A378" s="13" t="s">
        <v>432</v>
      </c>
      <c r="B378" s="13"/>
      <c r="C378" s="13" t="s">
        <v>34</v>
      </c>
      <c r="D378" s="13"/>
      <c r="E378" s="32">
        <v>44438</v>
      </c>
      <c r="G378" s="8">
        <f>838173+2405000</f>
        <v>3243173</v>
      </c>
      <c r="I378" s="8">
        <f>1753952+1203545+22916+461444</f>
        <v>3441857</v>
      </c>
      <c r="K378" s="8">
        <v>395365</v>
      </c>
      <c r="M378" s="8">
        <v>488694</v>
      </c>
      <c r="O378" s="8">
        <v>1309576</v>
      </c>
      <c r="Q378" s="8">
        <v>160024</v>
      </c>
      <c r="S378" s="9">
        <f t="shared" ref="S378:S404" si="19">SUM(G378:R378)</f>
        <v>9038689</v>
      </c>
      <c r="U378" s="8">
        <v>964131</v>
      </c>
      <c r="X378" s="8">
        <f>+'St of Net Assets - GA'!O377-'LT _Lia - GA'!U378</f>
        <v>0</v>
      </c>
    </row>
    <row r="379" spans="1:26">
      <c r="A379" s="13" t="s">
        <v>224</v>
      </c>
      <c r="B379" s="13"/>
      <c r="C379" s="13" t="s">
        <v>13</v>
      </c>
      <c r="D379" s="13"/>
      <c r="E379" s="32">
        <v>44446</v>
      </c>
      <c r="G379" s="8">
        <v>6424333</v>
      </c>
      <c r="I379" s="8">
        <v>0</v>
      </c>
      <c r="K379" s="8">
        <v>0</v>
      </c>
      <c r="M379" s="8">
        <v>1029000</v>
      </c>
      <c r="O379" s="8">
        <v>636616</v>
      </c>
      <c r="Q379" s="8">
        <v>0</v>
      </c>
      <c r="S379" s="9">
        <f t="shared" si="19"/>
        <v>8089949</v>
      </c>
      <c r="U379" s="8">
        <v>518552</v>
      </c>
      <c r="X379" s="8">
        <f>+'St of Net Assets - GA'!O378-'LT _Lia - GA'!U379</f>
        <v>0</v>
      </c>
    </row>
    <row r="380" spans="1:26">
      <c r="A380" s="13" t="s">
        <v>826</v>
      </c>
      <c r="B380" s="13"/>
      <c r="C380" s="13" t="s">
        <v>27</v>
      </c>
      <c r="D380" s="13"/>
      <c r="E380" s="32">
        <v>44461</v>
      </c>
      <c r="G380" s="8">
        <f>77303782+684043-1231085</f>
        <v>76756740</v>
      </c>
      <c r="I380" s="8">
        <v>0</v>
      </c>
      <c r="K380" s="8">
        <v>2080000</v>
      </c>
      <c r="M380" s="8">
        <v>93730</v>
      </c>
      <c r="O380" s="8">
        <v>1929108</v>
      </c>
      <c r="Q380" s="8">
        <f>4507649+1464001</f>
        <v>5971650</v>
      </c>
      <c r="S380" s="9">
        <f t="shared" si="19"/>
        <v>86831228</v>
      </c>
      <c r="U380" s="8">
        <v>2864595</v>
      </c>
      <c r="X380" s="8">
        <f>+'St of Net Assets - GA'!O379-'LT _Lia - GA'!U380</f>
        <v>0</v>
      </c>
    </row>
    <row r="381" spans="1:26">
      <c r="A381" s="13" t="s">
        <v>630</v>
      </c>
      <c r="B381" s="13"/>
      <c r="C381" s="13" t="s">
        <v>59</v>
      </c>
      <c r="D381" s="13"/>
      <c r="E381" s="32">
        <v>44461</v>
      </c>
      <c r="G381" s="8">
        <v>0</v>
      </c>
      <c r="I381" s="8">
        <v>0</v>
      </c>
      <c r="K381" s="8">
        <v>3463000</v>
      </c>
      <c r="M381" s="8">
        <v>0</v>
      </c>
      <c r="O381" s="8">
        <v>165048</v>
      </c>
      <c r="Q381" s="8">
        <v>14307</v>
      </c>
      <c r="S381" s="9">
        <f t="shared" si="19"/>
        <v>3642355</v>
      </c>
      <c r="U381" s="8">
        <v>40261</v>
      </c>
      <c r="X381" s="8">
        <f>+'St of Net Assets - GA'!O380-'LT _Lia - GA'!U381</f>
        <v>0</v>
      </c>
    </row>
    <row r="382" spans="1:26">
      <c r="A382" s="13" t="s">
        <v>227</v>
      </c>
      <c r="B382" s="13"/>
      <c r="C382" s="13" t="s">
        <v>14</v>
      </c>
      <c r="D382" s="13"/>
      <c r="E382" s="32">
        <v>45955</v>
      </c>
      <c r="G382" s="8">
        <v>5655747</v>
      </c>
      <c r="I382" s="8">
        <v>0</v>
      </c>
      <c r="K382" s="8">
        <v>0</v>
      </c>
      <c r="M382" s="8">
        <v>0</v>
      </c>
      <c r="O382" s="8">
        <v>632922</v>
      </c>
      <c r="Q382" s="8">
        <v>0</v>
      </c>
      <c r="S382" s="9">
        <f t="shared" si="19"/>
        <v>6288669</v>
      </c>
      <c r="U382" s="8">
        <v>652693</v>
      </c>
      <c r="X382" s="8">
        <f>+'St of Net Assets - GA'!O381-'LT _Lia - GA'!U382</f>
        <v>0</v>
      </c>
    </row>
    <row r="383" spans="1:26" s="115" customFormat="1" hidden="1">
      <c r="A383" s="112" t="s">
        <v>1041</v>
      </c>
      <c r="B383" s="113"/>
      <c r="C383" s="113" t="s">
        <v>14</v>
      </c>
      <c r="D383" s="113"/>
      <c r="E383" s="114">
        <v>45963</v>
      </c>
      <c r="G383" s="115">
        <v>0</v>
      </c>
      <c r="I383" s="115">
        <v>0</v>
      </c>
      <c r="K383" s="115">
        <v>0</v>
      </c>
      <c r="M383" s="115">
        <v>0</v>
      </c>
      <c r="O383" s="115">
        <v>0</v>
      </c>
      <c r="Q383" s="115">
        <v>0</v>
      </c>
      <c r="S383" s="116">
        <f t="shared" si="19"/>
        <v>0</v>
      </c>
      <c r="U383" s="115">
        <v>0</v>
      </c>
      <c r="X383" s="115">
        <f>+'St of Net Assets - GA'!O382-'LT _Lia - GA'!U383</f>
        <v>0</v>
      </c>
    </row>
    <row r="384" spans="1:26">
      <c r="A384" s="13" t="s">
        <v>552</v>
      </c>
      <c r="B384" s="13"/>
      <c r="C384" s="13" t="s">
        <v>50</v>
      </c>
      <c r="D384" s="13"/>
      <c r="E384" s="32">
        <v>48710</v>
      </c>
      <c r="G384" s="8">
        <f>3460000+90000</f>
        <v>3550000</v>
      </c>
      <c r="I384" s="8">
        <v>0</v>
      </c>
      <c r="K384" s="8">
        <v>0</v>
      </c>
      <c r="M384" s="8">
        <v>258421</v>
      </c>
      <c r="O384" s="8">
        <v>455528</v>
      </c>
      <c r="Q384" s="8">
        <v>0</v>
      </c>
      <c r="S384" s="9">
        <f t="shared" si="19"/>
        <v>4263949</v>
      </c>
      <c r="U384" s="8">
        <v>350139</v>
      </c>
      <c r="X384" s="8">
        <f>+'St of Net Assets - GA'!O383-'LT _Lia - GA'!U384</f>
        <v>0</v>
      </c>
    </row>
    <row r="385" spans="1:24" s="110" customFormat="1" hidden="1">
      <c r="A385" s="108" t="s">
        <v>1051</v>
      </c>
      <c r="B385" s="108"/>
      <c r="C385" s="108" t="s">
        <v>579</v>
      </c>
      <c r="D385" s="108"/>
      <c r="E385" s="109">
        <v>44479</v>
      </c>
      <c r="S385" s="111">
        <f t="shared" si="19"/>
        <v>0</v>
      </c>
      <c r="X385" s="110">
        <f>+'St of Net Assets - GA'!O384-'LT _Lia - GA'!U385</f>
        <v>0</v>
      </c>
    </row>
    <row r="386" spans="1:24">
      <c r="A386" s="13" t="s">
        <v>445</v>
      </c>
      <c r="B386" s="13"/>
      <c r="C386" s="13" t="s">
        <v>37</v>
      </c>
      <c r="D386" s="13"/>
      <c r="E386" s="32">
        <v>47720</v>
      </c>
      <c r="G386" s="8">
        <f>2507750+130442-51379</f>
        <v>2586813</v>
      </c>
      <c r="I386" s="8">
        <v>0</v>
      </c>
      <c r="K386" s="8">
        <v>0</v>
      </c>
      <c r="M386" s="8">
        <v>645015</v>
      </c>
      <c r="O386" s="8">
        <v>108509</v>
      </c>
      <c r="Q386" s="8">
        <v>0</v>
      </c>
      <c r="S386" s="9">
        <f t="shared" si="19"/>
        <v>3340337</v>
      </c>
      <c r="U386" s="8">
        <v>299296</v>
      </c>
      <c r="X386" s="8">
        <f>+'St of Net Assets - GA'!O385-'LT _Lia - GA'!U386</f>
        <v>0</v>
      </c>
    </row>
    <row r="387" spans="1:24">
      <c r="A387" s="13" t="s">
        <v>249</v>
      </c>
      <c r="B387" s="13"/>
      <c r="C387" s="13" t="s">
        <v>242</v>
      </c>
      <c r="D387" s="13"/>
      <c r="E387" s="32">
        <v>46136</v>
      </c>
      <c r="G387" s="8">
        <v>1593000</v>
      </c>
      <c r="I387" s="8">
        <v>0</v>
      </c>
      <c r="K387" s="8">
        <v>0</v>
      </c>
      <c r="M387" s="8">
        <v>226000</v>
      </c>
      <c r="O387" s="8">
        <v>254841</v>
      </c>
      <c r="Q387" s="8">
        <v>0</v>
      </c>
      <c r="S387" s="9">
        <f t="shared" si="19"/>
        <v>2073841</v>
      </c>
      <c r="U387" s="8">
        <v>197705</v>
      </c>
      <c r="X387" s="8">
        <f>+'St of Net Assets - GA'!O386-'LT _Lia - GA'!U387</f>
        <v>0</v>
      </c>
    </row>
    <row r="388" spans="1:24">
      <c r="A388" s="13" t="s">
        <v>698</v>
      </c>
      <c r="B388" s="13"/>
      <c r="C388" s="13" t="s">
        <v>65</v>
      </c>
      <c r="D388" s="13"/>
      <c r="E388" s="32">
        <v>44487</v>
      </c>
      <c r="G388" s="8">
        <v>3800000</v>
      </c>
      <c r="I388" s="8">
        <v>0</v>
      </c>
      <c r="K388" s="8">
        <v>0</v>
      </c>
      <c r="M388" s="8">
        <v>1204204</v>
      </c>
      <c r="O388" s="8">
        <v>1532390</v>
      </c>
      <c r="Q388" s="8">
        <f>538888+281072</f>
        <v>819960</v>
      </c>
      <c r="S388" s="9">
        <f t="shared" si="19"/>
        <v>7356554</v>
      </c>
      <c r="U388" s="8">
        <v>875074</v>
      </c>
      <c r="X388" s="8">
        <f>+'St of Net Assets - GA'!O387-'LT _Lia - GA'!U388</f>
        <v>0</v>
      </c>
    </row>
    <row r="389" spans="1:24">
      <c r="A389" s="13" t="s">
        <v>271</v>
      </c>
      <c r="B389" s="13"/>
      <c r="C389" s="13" t="s">
        <v>115</v>
      </c>
      <c r="D389" s="13"/>
      <c r="E389" s="32">
        <v>45559</v>
      </c>
      <c r="G389" s="8">
        <v>230000</v>
      </c>
      <c r="I389" s="8">
        <v>0</v>
      </c>
      <c r="K389" s="8">
        <v>0</v>
      </c>
      <c r="M389" s="8">
        <v>0</v>
      </c>
      <c r="O389" s="8">
        <v>3083317</v>
      </c>
      <c r="Q389" s="8">
        <v>0</v>
      </c>
      <c r="S389" s="9">
        <f t="shared" si="19"/>
        <v>3313317</v>
      </c>
      <c r="U389" s="8">
        <v>309485</v>
      </c>
      <c r="X389" s="8">
        <f>+'St of Net Assets - GA'!O388-'LT _Lia - GA'!U389</f>
        <v>0</v>
      </c>
    </row>
    <row r="390" spans="1:24" s="110" customFormat="1" hidden="1">
      <c r="A390" s="108" t="s">
        <v>1050</v>
      </c>
      <c r="B390" s="108"/>
      <c r="C390" s="108" t="s">
        <v>60</v>
      </c>
      <c r="D390" s="108"/>
      <c r="E390" s="109">
        <v>49718</v>
      </c>
      <c r="G390" s="110">
        <v>0</v>
      </c>
      <c r="I390" s="110">
        <v>0</v>
      </c>
      <c r="K390" s="110">
        <v>0</v>
      </c>
      <c r="M390" s="110">
        <v>0</v>
      </c>
      <c r="O390" s="110">
        <v>0</v>
      </c>
      <c r="S390" s="111">
        <f t="shared" si="19"/>
        <v>0</v>
      </c>
      <c r="U390" s="110">
        <v>0</v>
      </c>
      <c r="X390" s="110">
        <f>+'St of Net Assets - GA'!O389-'LT _Lia - GA'!U390</f>
        <v>0</v>
      </c>
    </row>
    <row r="391" spans="1:24">
      <c r="A391" s="13" t="s">
        <v>478</v>
      </c>
      <c r="B391" s="13"/>
      <c r="C391" s="13" t="s">
        <v>42</v>
      </c>
      <c r="D391" s="13"/>
      <c r="E391" s="32">
        <v>44453</v>
      </c>
      <c r="G391" s="8">
        <v>70573787</v>
      </c>
      <c r="I391" s="8">
        <v>0</v>
      </c>
      <c r="K391" s="8">
        <v>0</v>
      </c>
      <c r="M391" s="8">
        <v>0</v>
      </c>
      <c r="O391" s="8">
        <v>2814563</v>
      </c>
      <c r="Q391" s="8">
        <v>0</v>
      </c>
      <c r="S391" s="9">
        <f t="shared" si="19"/>
        <v>73388350</v>
      </c>
      <c r="U391" s="8">
        <v>2342199</v>
      </c>
      <c r="X391" s="8">
        <f>+'St of Net Assets - GA'!O390-'LT _Lia - GA'!U391</f>
        <v>0</v>
      </c>
    </row>
    <row r="392" spans="1:24">
      <c r="A392" s="13" t="s">
        <v>382</v>
      </c>
      <c r="B392" s="13"/>
      <c r="C392" s="13" t="s">
        <v>30</v>
      </c>
      <c r="D392" s="13"/>
      <c r="E392" s="32">
        <v>47217</v>
      </c>
      <c r="G392" s="8">
        <v>0</v>
      </c>
      <c r="I392" s="8">
        <v>0</v>
      </c>
      <c r="K392" s="8">
        <v>0</v>
      </c>
      <c r="M392" s="8">
        <v>0</v>
      </c>
      <c r="O392" s="8">
        <v>465882</v>
      </c>
      <c r="Q392" s="8">
        <v>0</v>
      </c>
      <c r="S392" s="9">
        <f t="shared" si="19"/>
        <v>465882</v>
      </c>
      <c r="U392" s="8">
        <v>56854</v>
      </c>
      <c r="X392" s="8">
        <f>+'St of Net Assets - GA'!O391-'LT _Lia - GA'!U392</f>
        <v>0</v>
      </c>
    </row>
    <row r="393" spans="1:24">
      <c r="A393" s="13" t="s">
        <v>699</v>
      </c>
      <c r="B393" s="13"/>
      <c r="C393" s="13" t="s">
        <v>65</v>
      </c>
      <c r="D393" s="13"/>
      <c r="E393" s="32">
        <v>45542</v>
      </c>
      <c r="G393" s="8">
        <v>2425000</v>
      </c>
      <c r="I393" s="8">
        <v>0</v>
      </c>
      <c r="K393" s="8">
        <v>0</v>
      </c>
      <c r="M393" s="8">
        <v>532874</v>
      </c>
      <c r="O393" s="8">
        <v>515822</v>
      </c>
      <c r="Q393" s="8">
        <v>0</v>
      </c>
      <c r="S393" s="9">
        <f t="shared" si="19"/>
        <v>3473696</v>
      </c>
      <c r="U393" s="8">
        <v>264479</v>
      </c>
      <c r="X393" s="8">
        <f>+'St of Net Assets - GA'!O392-'LT _Lia - GA'!U393</f>
        <v>0</v>
      </c>
    </row>
    <row r="394" spans="1:24">
      <c r="A394" s="13" t="s">
        <v>690</v>
      </c>
      <c r="B394" s="13"/>
      <c r="C394" s="13" t="s">
        <v>64</v>
      </c>
      <c r="D394" s="13"/>
      <c r="E394" s="32">
        <v>45567</v>
      </c>
      <c r="G394" s="8">
        <v>4270000</v>
      </c>
      <c r="I394" s="8">
        <v>0</v>
      </c>
      <c r="K394" s="8">
        <v>0</v>
      </c>
      <c r="M394" s="8">
        <v>0</v>
      </c>
      <c r="O394" s="8">
        <v>579542</v>
      </c>
      <c r="Q394" s="8">
        <v>0</v>
      </c>
      <c r="S394" s="9">
        <f t="shared" si="19"/>
        <v>4849542</v>
      </c>
      <c r="U394" s="8">
        <v>661054</v>
      </c>
      <c r="X394" s="8">
        <f>+'St of Net Assets - GA'!O393-'LT _Lia - GA'!U394</f>
        <v>0</v>
      </c>
    </row>
    <row r="395" spans="1:24">
      <c r="A395" s="13" t="s">
        <v>539</v>
      </c>
      <c r="B395" s="13"/>
      <c r="C395" s="13" t="s">
        <v>48</v>
      </c>
      <c r="D395" s="13"/>
      <c r="E395" s="32">
        <v>48637</v>
      </c>
      <c r="G395" s="8">
        <f>7670704+221981-38397</f>
        <v>7854288</v>
      </c>
      <c r="I395" s="8">
        <v>0</v>
      </c>
      <c r="K395" s="8">
        <v>363827</v>
      </c>
      <c r="M395" s="8">
        <v>0</v>
      </c>
      <c r="O395" s="8">
        <v>453112</v>
      </c>
      <c r="Q395" s="8">
        <v>0</v>
      </c>
      <c r="S395" s="9">
        <f t="shared" si="19"/>
        <v>8671227</v>
      </c>
      <c r="U395" s="8">
        <v>389281</v>
      </c>
      <c r="X395" s="8">
        <f>+'St of Net Assets - GA'!O394-'LT _Lia - GA'!U395</f>
        <v>0</v>
      </c>
    </row>
    <row r="396" spans="1:24">
      <c r="A396" s="13" t="s">
        <v>820</v>
      </c>
      <c r="B396" s="13"/>
      <c r="C396" s="13" t="s">
        <v>64</v>
      </c>
      <c r="D396" s="13"/>
      <c r="E396" s="32"/>
      <c r="G396" s="8">
        <f>22971723+159348</f>
        <v>23131071</v>
      </c>
      <c r="I396" s="8">
        <v>0</v>
      </c>
      <c r="K396" s="8">
        <v>1451900</v>
      </c>
      <c r="M396" s="8">
        <v>0</v>
      </c>
      <c r="O396" s="8">
        <v>1036363</v>
      </c>
      <c r="Q396" s="8">
        <v>594000</v>
      </c>
      <c r="S396" s="9">
        <f t="shared" si="19"/>
        <v>26213334</v>
      </c>
      <c r="U396" s="8">
        <v>1683817</v>
      </c>
      <c r="X396" s="8">
        <f>+'St of Net Assets - GA'!O395-'LT _Lia - GA'!U396</f>
        <v>0</v>
      </c>
    </row>
    <row r="397" spans="1:24">
      <c r="A397" s="13" t="s">
        <v>570</v>
      </c>
      <c r="B397" s="13"/>
      <c r="C397" s="13" t="s">
        <v>52</v>
      </c>
      <c r="D397" s="13"/>
      <c r="E397" s="32">
        <v>48900</v>
      </c>
      <c r="G397" s="8">
        <v>0</v>
      </c>
      <c r="I397" s="8">
        <v>0</v>
      </c>
      <c r="K397" s="8">
        <v>0</v>
      </c>
      <c r="M397" s="8">
        <v>235157</v>
      </c>
      <c r="O397" s="8">
        <v>348716</v>
      </c>
      <c r="Q397" s="8">
        <v>0</v>
      </c>
      <c r="S397" s="9">
        <f t="shared" si="19"/>
        <v>583873</v>
      </c>
      <c r="U397" s="8">
        <v>233044</v>
      </c>
      <c r="X397" s="8">
        <f>+'St of Net Assets - GA'!O396-'LT _Lia - GA'!U397</f>
        <v>0</v>
      </c>
    </row>
    <row r="398" spans="1:24">
      <c r="A398" s="13" t="s">
        <v>668</v>
      </c>
      <c r="B398" s="13"/>
      <c r="C398" s="13" t="s">
        <v>63</v>
      </c>
      <c r="D398" s="13"/>
      <c r="E398" s="32">
        <v>50047</v>
      </c>
      <c r="G398" s="8">
        <f>8281649+25141614+6209345</f>
        <v>39632608</v>
      </c>
      <c r="I398" s="8">
        <v>0</v>
      </c>
      <c r="K398" s="8">
        <v>0</v>
      </c>
      <c r="M398" s="8">
        <v>0</v>
      </c>
      <c r="O398" s="8">
        <v>2272151</v>
      </c>
      <c r="Q398" s="8">
        <f>1096750+130491</f>
        <v>1227241</v>
      </c>
      <c r="S398" s="9">
        <f t="shared" si="19"/>
        <v>43132000</v>
      </c>
      <c r="U398" s="8">
        <v>2584721</v>
      </c>
      <c r="X398" s="8">
        <f>+'St of Net Assets - GA'!O397-'LT _Lia - GA'!U398</f>
        <v>0</v>
      </c>
    </row>
    <row r="399" spans="1:24">
      <c r="A399" s="13" t="s">
        <v>735</v>
      </c>
      <c r="B399" s="13"/>
      <c r="C399" s="13" t="s">
        <v>72</v>
      </c>
      <c r="D399" s="13"/>
      <c r="E399" s="32">
        <v>50708</v>
      </c>
      <c r="G399" s="8">
        <v>0</v>
      </c>
      <c r="I399" s="8">
        <v>0</v>
      </c>
      <c r="K399" s="8">
        <v>0</v>
      </c>
      <c r="M399" s="8">
        <v>0</v>
      </c>
      <c r="O399" s="8">
        <v>564394</v>
      </c>
      <c r="Q399" s="8">
        <v>0</v>
      </c>
      <c r="S399" s="9">
        <f t="shared" si="19"/>
        <v>564394</v>
      </c>
      <c r="U399" s="8">
        <v>47263</v>
      </c>
      <c r="X399" s="8">
        <f>+'St of Net Assets - GA'!O398-'LT _Lia - GA'!U399</f>
        <v>0</v>
      </c>
    </row>
    <row r="400" spans="1:24" s="110" customFormat="1" hidden="1">
      <c r="A400" s="108" t="s">
        <v>1049</v>
      </c>
      <c r="B400" s="108"/>
      <c r="C400" s="108" t="s">
        <v>53</v>
      </c>
      <c r="D400" s="108"/>
      <c r="E400" s="109">
        <v>48967</v>
      </c>
      <c r="S400" s="111">
        <f t="shared" si="19"/>
        <v>0</v>
      </c>
      <c r="X400" s="110">
        <f>+'St of Net Assets - GA'!O399-'LT _Lia - GA'!U400</f>
        <v>0</v>
      </c>
    </row>
    <row r="401" spans="1:24">
      <c r="A401" s="13" t="s">
        <v>658</v>
      </c>
      <c r="B401" s="13"/>
      <c r="C401" s="13" t="s">
        <v>62</v>
      </c>
      <c r="D401" s="13"/>
      <c r="E401" s="32">
        <v>44503</v>
      </c>
      <c r="G401" s="8">
        <v>15480930</v>
      </c>
      <c r="I401" s="8">
        <v>1495000</v>
      </c>
      <c r="K401" s="8">
        <v>0</v>
      </c>
      <c r="M401" s="8">
        <v>605727</v>
      </c>
      <c r="O401" s="8">
        <v>2824966</v>
      </c>
      <c r="Q401" s="8">
        <v>200000</v>
      </c>
      <c r="S401" s="9">
        <f t="shared" si="19"/>
        <v>20606623</v>
      </c>
      <c r="U401" s="8">
        <v>1952944</v>
      </c>
      <c r="X401" s="8">
        <f>+'St of Net Assets - GA'!O400-'LT _Lia - GA'!U401</f>
        <v>0</v>
      </c>
    </row>
    <row r="402" spans="1:24" s="110" customFormat="1" hidden="1">
      <c r="A402" s="108" t="s">
        <v>1048</v>
      </c>
      <c r="B402" s="108"/>
      <c r="C402" s="108" t="s">
        <v>727</v>
      </c>
      <c r="D402" s="108"/>
      <c r="E402" s="109">
        <v>50641</v>
      </c>
      <c r="S402" s="111">
        <f t="shared" si="19"/>
        <v>0</v>
      </c>
      <c r="X402" s="110">
        <f>+'St of Net Assets - GA'!O401-'LT _Lia - GA'!U402</f>
        <v>0</v>
      </c>
    </row>
    <row r="403" spans="1:24">
      <c r="A403" s="13" t="s">
        <v>401</v>
      </c>
      <c r="B403" s="13"/>
      <c r="C403" s="13" t="s">
        <v>32</v>
      </c>
      <c r="D403" s="13"/>
      <c r="E403" s="32">
        <v>44511</v>
      </c>
      <c r="G403" s="8">
        <v>9315000</v>
      </c>
      <c r="I403" s="8">
        <v>3876000</v>
      </c>
      <c r="K403" s="8">
        <v>0</v>
      </c>
      <c r="M403" s="8">
        <v>0</v>
      </c>
      <c r="O403" s="8">
        <v>1455088</v>
      </c>
      <c r="Q403" s="8">
        <v>0</v>
      </c>
      <c r="S403" s="9">
        <f t="shared" si="19"/>
        <v>14646088</v>
      </c>
      <c r="U403" s="8">
        <v>339246</v>
      </c>
      <c r="X403" s="8">
        <f>+'St of Net Assets - GA'!O402-'LT _Lia - GA'!U403</f>
        <v>0</v>
      </c>
    </row>
    <row r="404" spans="1:24">
      <c r="A404" s="13" t="s">
        <v>479</v>
      </c>
      <c r="B404" s="13"/>
      <c r="C404" s="13" t="s">
        <v>42</v>
      </c>
      <c r="D404" s="13"/>
      <c r="E404" s="32">
        <v>48025</v>
      </c>
      <c r="G404" s="8">
        <f>9163555+610398-470130</f>
        <v>9303823</v>
      </c>
      <c r="I404" s="8">
        <v>0</v>
      </c>
      <c r="K404" s="8">
        <v>0</v>
      </c>
      <c r="M404" s="8">
        <v>0</v>
      </c>
      <c r="O404" s="8">
        <v>1190578</v>
      </c>
      <c r="Q404" s="8">
        <v>0</v>
      </c>
      <c r="S404" s="9">
        <f t="shared" si="19"/>
        <v>10494401</v>
      </c>
      <c r="U404" s="8">
        <v>585757</v>
      </c>
      <c r="X404" s="8">
        <f>+'St of Net Assets - GA'!O403-'LT _Lia - GA'!U404</f>
        <v>0</v>
      </c>
    </row>
    <row r="405" spans="1:24">
      <c r="A405" s="13" t="s">
        <v>313</v>
      </c>
      <c r="B405" s="13"/>
      <c r="C405" s="13" t="s">
        <v>20</v>
      </c>
      <c r="D405" s="13"/>
      <c r="E405" s="32">
        <v>44529</v>
      </c>
      <c r="G405" s="8">
        <v>510000</v>
      </c>
      <c r="I405" s="8">
        <v>0</v>
      </c>
      <c r="K405" s="8">
        <v>0</v>
      </c>
      <c r="M405" s="8">
        <v>0</v>
      </c>
      <c r="O405" s="8">
        <v>3805825</v>
      </c>
      <c r="Q405" s="8">
        <v>0</v>
      </c>
      <c r="S405" s="9">
        <f t="shared" ref="S405:S444" si="20">SUM(G405:R405)</f>
        <v>4315825</v>
      </c>
      <c r="U405" s="8">
        <v>1226607</v>
      </c>
      <c r="X405" s="8">
        <f>+'St of Net Assets - GA'!O404-'LT _Lia - GA'!U405</f>
        <v>0</v>
      </c>
    </row>
    <row r="406" spans="1:24">
      <c r="A406" s="13" t="s">
        <v>492</v>
      </c>
      <c r="B406" s="13"/>
      <c r="C406" s="13" t="s">
        <v>44</v>
      </c>
      <c r="D406" s="13"/>
      <c r="E406" s="32">
        <v>44537</v>
      </c>
      <c r="G406" s="8">
        <f>1910000+176157+23919</f>
        <v>2110076</v>
      </c>
      <c r="I406" s="8">
        <v>0</v>
      </c>
      <c r="K406" s="8">
        <v>0</v>
      </c>
      <c r="M406" s="8">
        <v>0</v>
      </c>
      <c r="O406" s="8">
        <v>2279292</v>
      </c>
      <c r="Q406" s="8">
        <v>0</v>
      </c>
      <c r="S406" s="9">
        <f t="shared" si="20"/>
        <v>4389368</v>
      </c>
      <c r="U406" s="8">
        <v>408786</v>
      </c>
      <c r="X406" s="8">
        <f>+'St of Net Assets - GA'!O405-'LT _Lia - GA'!U406</f>
        <v>0</v>
      </c>
    </row>
    <row r="407" spans="1:24">
      <c r="A407" s="13" t="s">
        <v>314</v>
      </c>
      <c r="B407" s="13"/>
      <c r="C407" s="13" t="s">
        <v>20</v>
      </c>
      <c r="D407" s="13"/>
      <c r="E407" s="32">
        <v>44545</v>
      </c>
      <c r="G407" s="8">
        <f>981411+14480859</f>
        <v>15462270</v>
      </c>
      <c r="I407" s="8">
        <v>0</v>
      </c>
      <c r="K407" s="8">
        <v>0</v>
      </c>
      <c r="M407" s="8">
        <v>0</v>
      </c>
      <c r="O407" s="8">
        <v>3313422</v>
      </c>
      <c r="Q407" s="8">
        <v>0</v>
      </c>
      <c r="S407" s="9">
        <f t="shared" si="20"/>
        <v>18775692</v>
      </c>
      <c r="U407" s="8">
        <v>1382613</v>
      </c>
      <c r="X407" s="8">
        <f>+'St of Net Assets - GA'!O406-'LT _Lia - GA'!U407</f>
        <v>0</v>
      </c>
    </row>
    <row r="408" spans="1:24">
      <c r="A408" s="13" t="s">
        <v>704</v>
      </c>
      <c r="B408" s="13"/>
      <c r="C408" s="13" t="s">
        <v>66</v>
      </c>
      <c r="D408" s="13"/>
      <c r="E408" s="32">
        <v>50336</v>
      </c>
      <c r="G408" s="8">
        <v>11695000</v>
      </c>
      <c r="I408" s="8">
        <v>0</v>
      </c>
      <c r="K408" s="8">
        <v>0</v>
      </c>
      <c r="M408" s="8">
        <v>0</v>
      </c>
      <c r="O408" s="8">
        <v>586713</v>
      </c>
      <c r="Q408" s="8">
        <v>0</v>
      </c>
      <c r="S408" s="9">
        <f t="shared" si="20"/>
        <v>12281713</v>
      </c>
      <c r="U408" s="8">
        <v>495834</v>
      </c>
      <c r="X408" s="8">
        <f>+'St of Net Assets - GA'!O407-'LT _Lia - GA'!U408</f>
        <v>0</v>
      </c>
    </row>
    <row r="409" spans="1:24">
      <c r="A409" s="13" t="s">
        <v>262</v>
      </c>
      <c r="B409" s="13"/>
      <c r="C409" s="13" t="s">
        <v>17</v>
      </c>
      <c r="D409" s="13"/>
      <c r="E409" s="32">
        <v>46250</v>
      </c>
      <c r="G409" s="8">
        <v>4622725</v>
      </c>
      <c r="I409" s="8">
        <v>0</v>
      </c>
      <c r="K409" s="8">
        <v>0</v>
      </c>
      <c r="M409" s="8">
        <v>133804</v>
      </c>
      <c r="O409" s="8">
        <v>1498165</v>
      </c>
      <c r="Q409" s="8">
        <v>0</v>
      </c>
      <c r="S409" s="9">
        <f t="shared" si="20"/>
        <v>6254694</v>
      </c>
      <c r="U409" s="8">
        <v>847636</v>
      </c>
      <c r="X409" s="8">
        <f>+'St of Net Assets - GA'!O408-'LT _Lia - GA'!U409</f>
        <v>0</v>
      </c>
    </row>
    <row r="410" spans="1:24" s="110" customFormat="1" hidden="1">
      <c r="A410" s="108" t="s">
        <v>1044</v>
      </c>
      <c r="B410" s="108"/>
      <c r="C410" s="108" t="s">
        <v>22</v>
      </c>
      <c r="D410" s="108"/>
      <c r="E410" s="109">
        <v>46722</v>
      </c>
      <c r="S410" s="111">
        <f t="shared" si="20"/>
        <v>0</v>
      </c>
      <c r="X410" s="110">
        <f>+'St of Net Assets - GA'!O409-'LT _Lia - GA'!U410</f>
        <v>0</v>
      </c>
    </row>
    <row r="411" spans="1:24">
      <c r="A411" s="13" t="s">
        <v>553</v>
      </c>
      <c r="B411" s="13"/>
      <c r="C411" s="13" t="s">
        <v>50</v>
      </c>
      <c r="D411" s="13"/>
      <c r="E411" s="32">
        <v>48728</v>
      </c>
      <c r="G411" s="8">
        <v>0</v>
      </c>
      <c r="I411" s="8">
        <v>0</v>
      </c>
      <c r="K411" s="8">
        <v>0</v>
      </c>
      <c r="M411" s="8">
        <v>677860</v>
      </c>
      <c r="O411" s="8">
        <v>2223061</v>
      </c>
      <c r="Q411" s="8">
        <v>0</v>
      </c>
      <c r="S411" s="9">
        <f t="shared" si="20"/>
        <v>2900921</v>
      </c>
      <c r="U411" s="8">
        <v>789876</v>
      </c>
      <c r="X411" s="8">
        <f>+'St of Net Assets - GA'!O410-'LT _Lia - GA'!U411</f>
        <v>0</v>
      </c>
    </row>
    <row r="412" spans="1:24">
      <c r="A412" s="13" t="s">
        <v>562</v>
      </c>
      <c r="B412" s="13"/>
      <c r="C412" s="13" t="s">
        <v>78</v>
      </c>
      <c r="D412" s="13"/>
      <c r="E412" s="32">
        <v>48819</v>
      </c>
      <c r="G412" s="8">
        <v>14531019</v>
      </c>
      <c r="I412" s="8">
        <v>0</v>
      </c>
      <c r="K412" s="8">
        <v>0</v>
      </c>
      <c r="M412" s="8">
        <v>0</v>
      </c>
      <c r="O412" s="8">
        <v>910113</v>
      </c>
      <c r="Q412" s="8">
        <v>0</v>
      </c>
      <c r="S412" s="9">
        <f t="shared" si="20"/>
        <v>15441132</v>
      </c>
      <c r="U412" s="8">
        <v>184643</v>
      </c>
      <c r="X412" s="8">
        <f>+'St of Net Assets - GA'!O411-'LT _Lia - GA'!U412</f>
        <v>0</v>
      </c>
    </row>
    <row r="413" spans="1:24">
      <c r="A413" s="13" t="s">
        <v>480</v>
      </c>
      <c r="B413" s="13"/>
      <c r="C413" s="12" t="s">
        <v>50</v>
      </c>
      <c r="D413" s="13"/>
      <c r="E413" s="32">
        <v>48033</v>
      </c>
      <c r="G413" s="8">
        <v>6807186</v>
      </c>
      <c r="I413" s="8">
        <v>0</v>
      </c>
      <c r="K413" s="8">
        <v>0</v>
      </c>
      <c r="M413" s="8">
        <v>4500000</v>
      </c>
      <c r="O413" s="8">
        <v>1130470</v>
      </c>
      <c r="Q413" s="8">
        <v>0</v>
      </c>
      <c r="S413" s="9">
        <f t="shared" si="20"/>
        <v>12437656</v>
      </c>
      <c r="U413" s="8">
        <v>532397</v>
      </c>
      <c r="X413" s="8">
        <f>+'St of Net Assets - GA'!O412-'LT _Lia - GA'!U413</f>
        <v>0</v>
      </c>
    </row>
    <row r="414" spans="1:24">
      <c r="A414" s="13" t="s">
        <v>480</v>
      </c>
      <c r="B414" s="13"/>
      <c r="C414" s="13" t="s">
        <v>42</v>
      </c>
      <c r="D414" s="13"/>
      <c r="E414" s="32">
        <v>48736</v>
      </c>
      <c r="G414" s="8">
        <v>6439531</v>
      </c>
      <c r="I414" s="8">
        <v>0</v>
      </c>
      <c r="K414" s="8">
        <v>0</v>
      </c>
      <c r="M414" s="8">
        <v>115694</v>
      </c>
      <c r="O414" s="8">
        <v>783178</v>
      </c>
      <c r="Q414" s="8">
        <v>240399</v>
      </c>
      <c r="S414" s="9">
        <f t="shared" si="20"/>
        <v>7578802</v>
      </c>
      <c r="U414" s="8">
        <v>691990</v>
      </c>
      <c r="X414" s="8">
        <f>+'St of Net Assets - GA'!O413-'LT _Lia - GA'!U414</f>
        <v>0</v>
      </c>
    </row>
    <row r="415" spans="1:24">
      <c r="A415" s="13" t="s">
        <v>402</v>
      </c>
      <c r="B415" s="13"/>
      <c r="C415" s="13" t="s">
        <v>32</v>
      </c>
      <c r="D415" s="13"/>
      <c r="E415" s="32">
        <v>47365</v>
      </c>
      <c r="G415" s="8">
        <f>20479564-431679</f>
        <v>20047885</v>
      </c>
      <c r="I415" s="8">
        <v>0</v>
      </c>
      <c r="K415" s="8">
        <v>0</v>
      </c>
      <c r="M415" s="8">
        <v>431679</v>
      </c>
      <c r="O415" s="8">
        <v>4375920</v>
      </c>
      <c r="Q415" s="8">
        <v>0</v>
      </c>
      <c r="S415" s="9">
        <f t="shared" si="20"/>
        <v>24855484</v>
      </c>
      <c r="U415" s="8">
        <v>2219799</v>
      </c>
      <c r="X415" s="8">
        <f>+'St of Net Assets - GA'!O414-'LT _Lia - GA'!U415</f>
        <v>0</v>
      </c>
    </row>
    <row r="416" spans="1:24">
      <c r="A416" s="13" t="s">
        <v>402</v>
      </c>
      <c r="B416" s="13"/>
      <c r="C416" s="13" t="s">
        <v>59</v>
      </c>
      <c r="D416" s="13"/>
      <c r="E416" s="32">
        <v>49635</v>
      </c>
      <c r="G416" s="8">
        <f>529992+737038</f>
        <v>1267030</v>
      </c>
      <c r="I416" s="8">
        <v>0</v>
      </c>
      <c r="K416" s="8">
        <v>0</v>
      </c>
      <c r="M416" s="8">
        <v>2210000</v>
      </c>
      <c r="O416" s="8">
        <v>1348162</v>
      </c>
      <c r="Q416" s="8">
        <v>0</v>
      </c>
      <c r="S416" s="9">
        <f t="shared" si="20"/>
        <v>4825192</v>
      </c>
      <c r="U416" s="8">
        <v>638965</v>
      </c>
      <c r="X416" s="8">
        <f>+'St of Net Assets - GA'!O415-'LT _Lia - GA'!U416</f>
        <v>0</v>
      </c>
    </row>
    <row r="417" spans="1:24">
      <c r="A417" s="13" t="s">
        <v>402</v>
      </c>
      <c r="B417" s="13"/>
      <c r="C417" s="13" t="s">
        <v>62</v>
      </c>
      <c r="D417" s="13"/>
      <c r="E417" s="32">
        <v>49908</v>
      </c>
      <c r="G417" s="8">
        <v>20300000</v>
      </c>
      <c r="I417" s="8">
        <v>0</v>
      </c>
      <c r="K417" s="8">
        <v>0</v>
      </c>
      <c r="M417" s="8">
        <v>1279000</v>
      </c>
      <c r="O417" s="8">
        <v>1533992</v>
      </c>
      <c r="Q417" s="8">
        <v>395094</v>
      </c>
      <c r="S417" s="9">
        <f t="shared" si="20"/>
        <v>23508086</v>
      </c>
      <c r="U417" s="8">
        <v>739601</v>
      </c>
      <c r="X417" s="8">
        <f>+'St of Net Assets - GA'!O416-'LT _Lia - GA'!U417</f>
        <v>0</v>
      </c>
    </row>
    <row r="418" spans="1:24">
      <c r="A418" s="13" t="s">
        <v>263</v>
      </c>
      <c r="B418" s="13"/>
      <c r="C418" s="13" t="s">
        <v>17</v>
      </c>
      <c r="D418" s="13"/>
      <c r="E418" s="32">
        <v>46268</v>
      </c>
      <c r="G418" s="8">
        <v>0</v>
      </c>
      <c r="I418" s="8">
        <v>0</v>
      </c>
      <c r="K418" s="8">
        <v>0</v>
      </c>
      <c r="M418" s="8">
        <v>610000</v>
      </c>
      <c r="O418" s="8">
        <v>765410</v>
      </c>
      <c r="Q418" s="8">
        <v>0</v>
      </c>
      <c r="S418" s="9">
        <f t="shared" si="20"/>
        <v>1375410</v>
      </c>
      <c r="U418" s="8">
        <v>296004</v>
      </c>
      <c r="X418" s="8">
        <f>+'St of Net Assets - GA'!O417-'LT _Lia - GA'!U418</f>
        <v>0</v>
      </c>
    </row>
    <row r="419" spans="1:24">
      <c r="A419" s="13" t="s">
        <v>736</v>
      </c>
      <c r="B419" s="13"/>
      <c r="C419" s="13" t="s">
        <v>72</v>
      </c>
      <c r="D419" s="13"/>
      <c r="E419" s="32">
        <v>50716</v>
      </c>
      <c r="G419" s="8">
        <v>1203108</v>
      </c>
      <c r="I419" s="8">
        <v>0</v>
      </c>
      <c r="K419" s="8">
        <v>0</v>
      </c>
      <c r="M419" s="8">
        <v>0</v>
      </c>
      <c r="O419" s="8">
        <v>586582</v>
      </c>
      <c r="Q419" s="8">
        <v>0</v>
      </c>
      <c r="S419" s="9">
        <f t="shared" si="20"/>
        <v>1789690</v>
      </c>
      <c r="U419" s="8">
        <v>362325</v>
      </c>
      <c r="X419" s="8">
        <f>+'St of Net Assets - GA'!O418-'LT _Lia - GA'!U419</f>
        <v>0</v>
      </c>
    </row>
    <row r="420" spans="1:24">
      <c r="A420" s="13" t="s">
        <v>669</v>
      </c>
      <c r="B420" s="13"/>
      <c r="C420" s="13" t="s">
        <v>63</v>
      </c>
      <c r="D420" s="13"/>
      <c r="E420" s="32">
        <v>44552</v>
      </c>
      <c r="G420" s="8">
        <v>0</v>
      </c>
      <c r="I420" s="8">
        <v>0</v>
      </c>
      <c r="K420" s="8">
        <v>0</v>
      </c>
      <c r="M420" s="8">
        <v>129969</v>
      </c>
      <c r="O420" s="8">
        <v>827236</v>
      </c>
      <c r="Q420" s="8">
        <v>0</v>
      </c>
      <c r="S420" s="9">
        <f t="shared" si="20"/>
        <v>957205</v>
      </c>
      <c r="U420" s="8">
        <v>137397</v>
      </c>
      <c r="X420" s="8">
        <f>+'St of Net Assets - GA'!O419-'LT _Lia - GA'!U420</f>
        <v>0</v>
      </c>
    </row>
    <row r="421" spans="1:24">
      <c r="A421" s="13" t="s">
        <v>446</v>
      </c>
      <c r="B421" s="13"/>
      <c r="C421" s="13" t="s">
        <v>37</v>
      </c>
      <c r="D421" s="13"/>
      <c r="E421" s="32">
        <v>44560</v>
      </c>
      <c r="G421" s="8">
        <v>12870008</v>
      </c>
      <c r="I421" s="8">
        <v>0</v>
      </c>
      <c r="K421" s="8">
        <v>0</v>
      </c>
      <c r="M421" s="8">
        <v>0</v>
      </c>
      <c r="O421" s="8">
        <v>1442314</v>
      </c>
      <c r="Q421" s="8">
        <v>0</v>
      </c>
      <c r="S421" s="9">
        <f t="shared" si="20"/>
        <v>14312322</v>
      </c>
      <c r="U421" s="8">
        <v>839112</v>
      </c>
      <c r="X421" s="8">
        <f>+'St of Net Assets - GA'!O420-'LT _Lia - GA'!U421</f>
        <v>0</v>
      </c>
    </row>
    <row r="422" spans="1:24">
      <c r="A422" s="13" t="s">
        <v>865</v>
      </c>
      <c r="B422" s="13"/>
      <c r="C422" s="13" t="s">
        <v>32</v>
      </c>
      <c r="D422" s="13"/>
      <c r="E422" s="32">
        <v>44578</v>
      </c>
      <c r="G422" s="8">
        <v>0</v>
      </c>
      <c r="I422" s="8">
        <v>0</v>
      </c>
      <c r="K422" s="8">
        <v>0</v>
      </c>
      <c r="M422" s="8">
        <v>4719000</v>
      </c>
      <c r="O422" s="8">
        <v>1019840</v>
      </c>
      <c r="Q422" s="8">
        <v>0</v>
      </c>
      <c r="S422" s="9">
        <f t="shared" si="20"/>
        <v>5738840</v>
      </c>
      <c r="U422" s="8">
        <v>216790</v>
      </c>
      <c r="X422" s="8">
        <f>+'St of Net Assets - GA'!O421-'LT _Lia - GA'!U422</f>
        <v>0</v>
      </c>
    </row>
    <row r="423" spans="1:24">
      <c r="A423" s="13" t="s">
        <v>404</v>
      </c>
      <c r="B423" s="13"/>
      <c r="C423" s="13" t="s">
        <v>32</v>
      </c>
      <c r="D423" s="13"/>
      <c r="E423" s="32">
        <v>47373</v>
      </c>
      <c r="G423" s="8">
        <v>42533409</v>
      </c>
      <c r="I423" s="8">
        <v>1055000</v>
      </c>
      <c r="K423" s="8">
        <v>0</v>
      </c>
      <c r="M423" s="8">
        <v>0</v>
      </c>
      <c r="O423" s="8">
        <v>4358055</v>
      </c>
      <c r="Q423" s="8">
        <v>0</v>
      </c>
      <c r="S423" s="9">
        <f t="shared" si="20"/>
        <v>47946464</v>
      </c>
      <c r="U423" s="8">
        <v>1990578</v>
      </c>
      <c r="X423" s="8">
        <f>+'St of Net Assets - GA'!O422-'LT _Lia - GA'!U423</f>
        <v>0</v>
      </c>
    </row>
    <row r="424" spans="1:24">
      <c r="A424" s="13" t="s">
        <v>554</v>
      </c>
      <c r="B424" s="13"/>
      <c r="C424" s="13" t="s">
        <v>50</v>
      </c>
      <c r="D424" s="13"/>
      <c r="E424" s="32">
        <v>44586</v>
      </c>
      <c r="G424" s="8">
        <f>9055000+8525000+666693-521819</f>
        <v>17724874</v>
      </c>
      <c r="I424" s="8">
        <v>0</v>
      </c>
      <c r="K424" s="8">
        <v>0</v>
      </c>
      <c r="M424" s="8">
        <v>0</v>
      </c>
      <c r="O424" s="8">
        <v>1149992</v>
      </c>
      <c r="Q424" s="8">
        <v>0</v>
      </c>
      <c r="S424" s="9">
        <f t="shared" si="20"/>
        <v>18874866</v>
      </c>
      <c r="U424" s="8">
        <v>612821</v>
      </c>
      <c r="X424" s="8">
        <f>+'St of Net Assets - GA'!O423-'LT _Lia - GA'!U424</f>
        <v>0</v>
      </c>
    </row>
    <row r="425" spans="1:24" s="35" customFormat="1">
      <c r="A425" s="34" t="s">
        <v>493</v>
      </c>
      <c r="B425" s="34"/>
      <c r="C425" s="34" t="s">
        <v>44</v>
      </c>
      <c r="D425" s="34"/>
      <c r="E425" s="34">
        <v>44594</v>
      </c>
      <c r="G425" s="8">
        <v>0</v>
      </c>
      <c r="H425" s="8"/>
      <c r="I425" s="8">
        <v>0</v>
      </c>
      <c r="J425" s="8"/>
      <c r="K425" s="8">
        <v>0</v>
      </c>
      <c r="L425" s="8"/>
      <c r="M425" s="8">
        <v>437018</v>
      </c>
      <c r="N425" s="8"/>
      <c r="O425" s="8">
        <v>1654153</v>
      </c>
      <c r="P425" s="8"/>
      <c r="Q425" s="8">
        <v>0</v>
      </c>
      <c r="R425" s="8"/>
      <c r="S425" s="9">
        <f t="shared" si="20"/>
        <v>2091171</v>
      </c>
      <c r="T425" s="8"/>
      <c r="U425" s="8">
        <v>464069</v>
      </c>
      <c r="X425" s="35">
        <f>+'St of Net Assets - GA'!O424-'LT _Lia - GA'!U425</f>
        <v>0</v>
      </c>
    </row>
    <row r="426" spans="1:24" hidden="1">
      <c r="A426" s="13" t="s">
        <v>834</v>
      </c>
      <c r="B426" s="13"/>
      <c r="C426" s="13" t="s">
        <v>60</v>
      </c>
      <c r="D426" s="13"/>
      <c r="E426" s="32">
        <v>49726</v>
      </c>
      <c r="S426" s="9">
        <f t="shared" si="20"/>
        <v>0</v>
      </c>
      <c r="X426" s="8">
        <f>+'St of Net Assets - GA'!O425-'LT _Lia - GA'!U426</f>
        <v>0</v>
      </c>
    </row>
    <row r="427" spans="1:24">
      <c r="A427" s="13" t="s">
        <v>335</v>
      </c>
      <c r="B427" s="13"/>
      <c r="C427" s="13" t="s">
        <v>23</v>
      </c>
      <c r="D427" s="13"/>
      <c r="E427" s="32">
        <v>46763</v>
      </c>
      <c r="G427" s="8">
        <v>346781558</v>
      </c>
      <c r="I427" s="8">
        <v>0</v>
      </c>
      <c r="K427" s="8">
        <v>11900000</v>
      </c>
      <c r="M427" s="8">
        <v>228632</v>
      </c>
      <c r="O427" s="8">
        <v>5748491</v>
      </c>
      <c r="Q427" s="8">
        <v>0</v>
      </c>
      <c r="S427" s="9">
        <f t="shared" si="20"/>
        <v>364658681</v>
      </c>
      <c r="U427" s="8">
        <v>10834658</v>
      </c>
      <c r="X427" s="8">
        <f>+'St of Net Assets - GA'!O429-'LT _Lia - GA'!U427</f>
        <v>0</v>
      </c>
    </row>
    <row r="428" spans="1:24">
      <c r="A428" s="13" t="s">
        <v>315</v>
      </c>
      <c r="B428" s="13"/>
      <c r="C428" s="13" t="s">
        <v>20</v>
      </c>
      <c r="D428" s="13"/>
      <c r="E428" s="32">
        <v>46573</v>
      </c>
      <c r="G428" s="8">
        <v>23726199</v>
      </c>
      <c r="I428" s="8">
        <v>0</v>
      </c>
      <c r="K428" s="8">
        <v>2908000</v>
      </c>
      <c r="M428" s="8">
        <v>130558</v>
      </c>
      <c r="O428" s="8">
        <v>3223632</v>
      </c>
      <c r="Q428" s="8">
        <v>125297</v>
      </c>
      <c r="S428" s="9">
        <f t="shared" si="20"/>
        <v>30113686</v>
      </c>
      <c r="U428" s="8">
        <v>1381296</v>
      </c>
      <c r="X428" s="8">
        <f>+'St of Net Assets - GA'!O430-'LT _Lia - GA'!U428</f>
        <v>0</v>
      </c>
    </row>
    <row r="429" spans="1:24">
      <c r="A429" s="13" t="s">
        <v>613</v>
      </c>
      <c r="B429" s="13"/>
      <c r="C429" s="13" t="s">
        <v>112</v>
      </c>
      <c r="D429" s="13"/>
      <c r="E429" s="32">
        <v>49478</v>
      </c>
      <c r="G429" s="8">
        <f>2205000+9610000+74996+115742+3390000+504997+152097-524286+662737</f>
        <v>16191283</v>
      </c>
      <c r="I429" s="8">
        <v>0</v>
      </c>
      <c r="K429" s="8">
        <v>390000</v>
      </c>
      <c r="M429" s="8">
        <v>0</v>
      </c>
      <c r="O429" s="8">
        <v>1323241</v>
      </c>
      <c r="Q429" s="8">
        <v>0</v>
      </c>
      <c r="S429" s="9">
        <f t="shared" si="20"/>
        <v>17904524</v>
      </c>
      <c r="U429" s="8">
        <v>1157606</v>
      </c>
      <c r="X429" s="8">
        <f>+'St of Net Assets - GA'!O431-'LT _Lia - GA'!U429</f>
        <v>0</v>
      </c>
    </row>
    <row r="430" spans="1:24">
      <c r="A430" s="13" t="s">
        <v>316</v>
      </c>
      <c r="B430" s="13"/>
      <c r="C430" s="13" t="s">
        <v>20</v>
      </c>
      <c r="D430" s="13"/>
      <c r="E430" s="32">
        <v>46581</v>
      </c>
      <c r="G430" s="8">
        <f>25700933+873646-564806</f>
        <v>26009773</v>
      </c>
      <c r="I430" s="8">
        <v>0</v>
      </c>
      <c r="K430" s="8">
        <v>0</v>
      </c>
      <c r="M430" s="8">
        <v>220464</v>
      </c>
      <c r="O430" s="8">
        <v>4495636</v>
      </c>
      <c r="Q430" s="8">
        <v>0</v>
      </c>
      <c r="S430" s="9">
        <f t="shared" si="20"/>
        <v>30725873</v>
      </c>
      <c r="U430" s="8">
        <v>1649867</v>
      </c>
      <c r="X430" s="8">
        <f>+'St of Net Assets - GA'!O432-'LT _Lia - GA'!U430</f>
        <v>0</v>
      </c>
    </row>
    <row r="431" spans="1:24">
      <c r="A431" s="13" t="s">
        <v>498</v>
      </c>
      <c r="B431" s="13"/>
      <c r="C431" s="13" t="s">
        <v>117</v>
      </c>
      <c r="D431" s="13"/>
      <c r="E431" s="32">
        <v>44602</v>
      </c>
      <c r="G431" s="8">
        <f>40706598+424758</f>
        <v>41131356</v>
      </c>
      <c r="I431" s="8">
        <v>0</v>
      </c>
      <c r="K431" s="8">
        <v>0</v>
      </c>
      <c r="M431" s="8">
        <v>0</v>
      </c>
      <c r="O431" s="8">
        <v>6256904</v>
      </c>
      <c r="Q431" s="8">
        <f>3057988+1039968</f>
        <v>4097956</v>
      </c>
      <c r="S431" s="9">
        <f t="shared" si="20"/>
        <v>51486216</v>
      </c>
      <c r="U431" s="8">
        <v>2342317</v>
      </c>
      <c r="X431" s="8">
        <f>+'St of Net Assets - GA'!O433-'LT _Lia - GA'!U431</f>
        <v>0</v>
      </c>
    </row>
    <row r="432" spans="1:24">
      <c r="A432" s="13"/>
      <c r="B432" s="13"/>
      <c r="C432" s="13"/>
      <c r="D432" s="13"/>
      <c r="E432" s="32"/>
      <c r="S432" s="9"/>
    </row>
    <row r="433" spans="1:26">
      <c r="A433" s="13"/>
      <c r="B433" s="13"/>
      <c r="C433" s="13"/>
      <c r="D433" s="13"/>
      <c r="E433" s="32"/>
      <c r="S433" s="9"/>
      <c r="U433" s="8" t="s">
        <v>805</v>
      </c>
    </row>
    <row r="434" spans="1:26">
      <c r="A434" s="13"/>
      <c r="B434" s="13"/>
      <c r="C434" s="13"/>
      <c r="D434" s="13"/>
      <c r="E434" s="32"/>
      <c r="S434" s="9"/>
    </row>
    <row r="435" spans="1:26">
      <c r="A435" s="13" t="s">
        <v>723</v>
      </c>
      <c r="B435" s="13"/>
      <c r="C435" s="13" t="s">
        <v>71</v>
      </c>
      <c r="D435" s="13"/>
      <c r="E435" s="32">
        <v>44610</v>
      </c>
      <c r="G435" s="35">
        <f>974000+17075000+160000+38937+712882</f>
        <v>18960819</v>
      </c>
      <c r="H435" s="35"/>
      <c r="I435" s="35">
        <v>0</v>
      </c>
      <c r="J435" s="35"/>
      <c r="K435" s="35">
        <v>0</v>
      </c>
      <c r="L435" s="35"/>
      <c r="M435" s="35">
        <v>13032614</v>
      </c>
      <c r="N435" s="35"/>
      <c r="O435" s="35">
        <v>1705915</v>
      </c>
      <c r="P435" s="35"/>
      <c r="Q435" s="35">
        <v>0</v>
      </c>
      <c r="R435" s="35"/>
      <c r="S435" s="44">
        <f t="shared" si="20"/>
        <v>33699348</v>
      </c>
      <c r="T435" s="35"/>
      <c r="U435" s="35">
        <v>421345</v>
      </c>
      <c r="X435" s="8">
        <f>+'St of Net Assets - GA'!O434-'LT _Lia - GA'!U435</f>
        <v>0</v>
      </c>
    </row>
    <row r="436" spans="1:26">
      <c r="A436" s="13" t="s">
        <v>659</v>
      </c>
      <c r="B436" s="13"/>
      <c r="C436" s="13" t="s">
        <v>62</v>
      </c>
      <c r="D436" s="13"/>
      <c r="E436" s="32">
        <v>49916</v>
      </c>
      <c r="G436" s="8">
        <v>8758307</v>
      </c>
      <c r="I436" s="8">
        <v>0</v>
      </c>
      <c r="K436" s="8">
        <v>0</v>
      </c>
      <c r="M436" s="8">
        <v>0</v>
      </c>
      <c r="O436" s="8">
        <v>473096</v>
      </c>
      <c r="Q436" s="8">
        <v>0</v>
      </c>
      <c r="S436" s="9">
        <f t="shared" si="20"/>
        <v>9231403</v>
      </c>
      <c r="U436" s="8">
        <v>337938</v>
      </c>
      <c r="X436" s="8">
        <f>+'St of Net Assets - GA'!O435-'LT _Lia - GA'!U436</f>
        <v>0</v>
      </c>
    </row>
    <row r="437" spans="1:26">
      <c r="A437" s="13" t="s">
        <v>737</v>
      </c>
      <c r="B437" s="13"/>
      <c r="C437" s="13" t="s">
        <v>72</v>
      </c>
      <c r="D437" s="13"/>
      <c r="E437" s="32">
        <v>50724</v>
      </c>
      <c r="G437" s="8">
        <v>18167768</v>
      </c>
      <c r="I437" s="8">
        <v>0</v>
      </c>
      <c r="K437" s="8">
        <v>0</v>
      </c>
      <c r="M437" s="8">
        <v>0</v>
      </c>
      <c r="O437" s="8">
        <v>848166</v>
      </c>
      <c r="Q437" s="8">
        <v>0</v>
      </c>
      <c r="S437" s="9">
        <f t="shared" si="20"/>
        <v>19015934</v>
      </c>
      <c r="U437" s="8">
        <v>606945</v>
      </c>
      <c r="X437" s="8">
        <f>+'St of Net Assets - GA'!O436-'LT _Lia - GA'!U437</f>
        <v>0</v>
      </c>
    </row>
    <row r="438" spans="1:26">
      <c r="A438" s="13" t="s">
        <v>499</v>
      </c>
      <c r="B438" s="13"/>
      <c r="C438" s="13" t="s">
        <v>117</v>
      </c>
      <c r="D438" s="13"/>
      <c r="E438" s="32">
        <v>48215</v>
      </c>
      <c r="G438" s="8">
        <v>3580000</v>
      </c>
      <c r="I438" s="8">
        <v>0</v>
      </c>
      <c r="K438" s="8">
        <v>0</v>
      </c>
      <c r="M438" s="8">
        <v>0</v>
      </c>
      <c r="O438" s="8">
        <v>1640429</v>
      </c>
      <c r="Q438" s="8">
        <v>0</v>
      </c>
      <c r="S438" s="9">
        <f t="shared" si="20"/>
        <v>5220429</v>
      </c>
      <c r="U438" s="8">
        <v>400287</v>
      </c>
      <c r="X438" s="8">
        <f>+'St of Net Assets - GA'!O437-'LT _Lia - GA'!U438</f>
        <v>0</v>
      </c>
    </row>
    <row r="439" spans="1:26" hidden="1">
      <c r="A439" s="13" t="s">
        <v>1047</v>
      </c>
      <c r="B439" s="13"/>
      <c r="C439" s="13" t="s">
        <v>603</v>
      </c>
      <c r="D439" s="13"/>
      <c r="E439" s="32">
        <v>49379</v>
      </c>
      <c r="S439" s="9">
        <f t="shared" si="20"/>
        <v>0</v>
      </c>
      <c r="X439" s="8">
        <f>+'St of Net Assets - GA'!O438-'LT _Lia - GA'!U439</f>
        <v>0</v>
      </c>
    </row>
    <row r="440" spans="1:26" hidden="1">
      <c r="A440" s="13" t="s">
        <v>1046</v>
      </c>
      <c r="B440" s="13"/>
      <c r="C440" s="13" t="s">
        <v>603</v>
      </c>
      <c r="D440" s="13"/>
      <c r="E440" s="32">
        <v>49387</v>
      </c>
      <c r="S440" s="9">
        <f t="shared" si="20"/>
        <v>0</v>
      </c>
      <c r="X440" s="8">
        <f>+'St of Net Assets - GA'!O439-'LT _Lia - GA'!U440</f>
        <v>0</v>
      </c>
    </row>
    <row r="441" spans="1:26">
      <c r="A441" s="13" t="s">
        <v>461</v>
      </c>
      <c r="B441" s="13"/>
      <c r="C441" s="13" t="s">
        <v>41</v>
      </c>
      <c r="D441" s="13"/>
      <c r="E441" s="32">
        <v>44628</v>
      </c>
      <c r="G441" s="8">
        <f>18355000+375000+10480007+473921+454993+200596</f>
        <v>30339517</v>
      </c>
      <c r="I441" s="8">
        <v>0</v>
      </c>
      <c r="K441" s="8">
        <v>187814</v>
      </c>
      <c r="M441" s="8">
        <v>0</v>
      </c>
      <c r="O441" s="8">
        <v>1614026</v>
      </c>
      <c r="Q441" s="8">
        <v>0</v>
      </c>
      <c r="S441" s="9">
        <f t="shared" si="20"/>
        <v>32141357</v>
      </c>
      <c r="U441" s="8">
        <v>965644</v>
      </c>
      <c r="X441" s="8">
        <f>+'St of Net Assets - GA'!O440-'LT _Lia - GA'!U441</f>
        <v>0</v>
      </c>
    </row>
    <row r="442" spans="1:26" hidden="1">
      <c r="A442" s="12" t="s">
        <v>1003</v>
      </c>
      <c r="B442" s="13"/>
      <c r="C442" s="13" t="s">
        <v>41</v>
      </c>
      <c r="D442" s="13"/>
      <c r="E442" s="32">
        <v>47894</v>
      </c>
      <c r="S442" s="9">
        <f t="shared" si="20"/>
        <v>0</v>
      </c>
      <c r="X442" s="8">
        <f>+'St of Net Assets - GA'!O441-'LT _Lia - GA'!U442</f>
        <v>0</v>
      </c>
      <c r="Z442" s="8" t="s">
        <v>1029</v>
      </c>
    </row>
    <row r="443" spans="1:26">
      <c r="A443" s="13" t="s">
        <v>619</v>
      </c>
      <c r="B443" s="13"/>
      <c r="C443" s="13" t="s">
        <v>58</v>
      </c>
      <c r="D443" s="13"/>
      <c r="E443" s="32">
        <v>49510</v>
      </c>
      <c r="G443" s="8">
        <v>1290000</v>
      </c>
      <c r="I443" s="8">
        <v>0</v>
      </c>
      <c r="K443" s="8">
        <v>0</v>
      </c>
      <c r="M443" s="8">
        <v>54849</v>
      </c>
      <c r="O443" s="8">
        <v>396988</v>
      </c>
      <c r="Q443" s="8">
        <v>0</v>
      </c>
      <c r="S443" s="9">
        <f t="shared" si="20"/>
        <v>1741837</v>
      </c>
      <c r="U443" s="8">
        <v>144492</v>
      </c>
      <c r="X443" s="8">
        <f>+'St of Net Assets - GA'!O442-'LT _Lia - GA'!U443</f>
        <v>0</v>
      </c>
      <c r="Z443" s="8" t="s">
        <v>956</v>
      </c>
    </row>
    <row r="444" spans="1:26" hidden="1">
      <c r="A444" s="91" t="s">
        <v>1004</v>
      </c>
      <c r="B444" s="13"/>
      <c r="C444" s="13" t="s">
        <v>603</v>
      </c>
      <c r="D444" s="13"/>
      <c r="E444" s="32">
        <v>49395</v>
      </c>
      <c r="G444" s="8">
        <v>0</v>
      </c>
      <c r="I444" s="8">
        <v>0</v>
      </c>
      <c r="K444" s="8">
        <v>0</v>
      </c>
      <c r="M444" s="8">
        <v>0</v>
      </c>
      <c r="O444" s="8">
        <v>0</v>
      </c>
      <c r="Q444" s="8">
        <v>0</v>
      </c>
      <c r="S444" s="9">
        <f t="shared" si="20"/>
        <v>0</v>
      </c>
      <c r="U444" s="8">
        <v>0</v>
      </c>
      <c r="X444" s="8">
        <f>+'St of Net Assets - GA'!O443-'LT _Lia - GA'!U444</f>
        <v>0</v>
      </c>
    </row>
    <row r="445" spans="1:26" hidden="1">
      <c r="A445" s="12" t="s">
        <v>1005</v>
      </c>
      <c r="B445" s="13"/>
      <c r="C445" s="13" t="s">
        <v>534</v>
      </c>
      <c r="D445" s="13"/>
      <c r="E445" s="32">
        <v>48579</v>
      </c>
      <c r="G445" s="8">
        <v>0</v>
      </c>
      <c r="I445" s="8">
        <v>0</v>
      </c>
      <c r="K445" s="8">
        <v>0</v>
      </c>
      <c r="M445" s="8">
        <v>0</v>
      </c>
      <c r="O445" s="8">
        <v>0</v>
      </c>
      <c r="Q445" s="8">
        <v>0</v>
      </c>
      <c r="S445" s="9">
        <f t="shared" ref="S445:S453" si="21">SUM(G445:R445)</f>
        <v>0</v>
      </c>
      <c r="U445" s="8">
        <v>0</v>
      </c>
      <c r="X445" s="8">
        <f>+'St of Net Assets - GA'!O444-'LT _Lia - GA'!U445</f>
        <v>0</v>
      </c>
    </row>
    <row r="446" spans="1:26">
      <c r="A446" s="13" t="s">
        <v>317</v>
      </c>
      <c r="B446" s="13"/>
      <c r="C446" s="13" t="s">
        <v>20</v>
      </c>
      <c r="D446" s="13"/>
      <c r="E446" s="13">
        <v>44636</v>
      </c>
      <c r="G446" s="8">
        <f>12235000-75613</f>
        <v>12159387</v>
      </c>
      <c r="I446" s="8">
        <f>112226+1443000+4306000+4030918+1986644+2933064+2326052</f>
        <v>17137904</v>
      </c>
      <c r="K446" s="8">
        <f>8900000+8175000+112226</f>
        <v>17187226</v>
      </c>
      <c r="M446" s="8">
        <v>2193746</v>
      </c>
      <c r="O446" s="8">
        <f>9426289+99438</f>
        <v>9525727</v>
      </c>
      <c r="Q446" s="8">
        <v>0</v>
      </c>
      <c r="S446" s="9">
        <f t="shared" si="21"/>
        <v>58203990</v>
      </c>
      <c r="U446" s="8">
        <f>6050973+12431</f>
        <v>6063404</v>
      </c>
      <c r="X446" s="8">
        <f>+'St of Net Assets - GA'!O445-'LT _Lia - GA'!U446</f>
        <v>0</v>
      </c>
    </row>
    <row r="447" spans="1:26">
      <c r="A447" s="13" t="s">
        <v>433</v>
      </c>
      <c r="B447" s="13"/>
      <c r="C447" s="13" t="s">
        <v>34</v>
      </c>
      <c r="D447" s="13"/>
      <c r="E447" s="32">
        <v>47597</v>
      </c>
      <c r="G447" s="8">
        <f>217000+1095000+3075000+425407</f>
        <v>4812407</v>
      </c>
      <c r="I447" s="8">
        <v>589334</v>
      </c>
      <c r="K447" s="8">
        <v>0</v>
      </c>
      <c r="M447" s="8">
        <v>167256</v>
      </c>
      <c r="O447" s="8">
        <v>728917</v>
      </c>
      <c r="Q447" s="8">
        <v>0</v>
      </c>
      <c r="S447" s="9">
        <f t="shared" si="21"/>
        <v>6297914</v>
      </c>
      <c r="U447" s="8">
        <v>318150</v>
      </c>
      <c r="X447" s="8">
        <f>+'St of Net Assets - GA'!O446-'LT _Lia - GA'!U447</f>
        <v>0</v>
      </c>
    </row>
    <row r="448" spans="1:26" hidden="1">
      <c r="A448" s="12" t="s">
        <v>1007</v>
      </c>
      <c r="B448" s="13"/>
      <c r="C448" s="13" t="s">
        <v>576</v>
      </c>
      <c r="D448" s="13"/>
      <c r="E448" s="32">
        <v>45575</v>
      </c>
      <c r="G448" s="8">
        <v>0</v>
      </c>
      <c r="I448" s="8">
        <v>0</v>
      </c>
      <c r="K448" s="8">
        <v>0</v>
      </c>
      <c r="M448" s="8">
        <v>0</v>
      </c>
      <c r="O448" s="8">
        <v>0</v>
      </c>
      <c r="Q448" s="8">
        <v>0</v>
      </c>
      <c r="S448" s="9">
        <f t="shared" si="21"/>
        <v>0</v>
      </c>
      <c r="U448" s="8">
        <v>0</v>
      </c>
      <c r="X448" s="8">
        <f>+'St of Net Assets - GA'!O447-'LT _Lia - GA'!U448</f>
        <v>0</v>
      </c>
    </row>
    <row r="449" spans="1:26">
      <c r="A449" s="13" t="s">
        <v>340</v>
      </c>
      <c r="B449" s="13"/>
      <c r="C449" s="13" t="s">
        <v>24</v>
      </c>
      <c r="D449" s="13"/>
      <c r="E449" s="32">
        <v>46813</v>
      </c>
      <c r="G449" s="8">
        <v>1732575</v>
      </c>
      <c r="I449" s="8">
        <v>0</v>
      </c>
      <c r="K449" s="8">
        <v>60000</v>
      </c>
      <c r="M449" s="8">
        <v>1773333</v>
      </c>
      <c r="O449" s="8">
        <v>1087629</v>
      </c>
      <c r="Q449" s="8">
        <v>0</v>
      </c>
      <c r="S449" s="9">
        <f t="shared" si="21"/>
        <v>4653537</v>
      </c>
      <c r="U449" s="8">
        <v>940261</v>
      </c>
      <c r="X449" s="8">
        <f>+'St of Net Assets - GA'!O448-'LT _Lia - GA'!U449</f>
        <v>0</v>
      </c>
    </row>
    <row r="450" spans="1:26" hidden="1">
      <c r="A450" s="12" t="s">
        <v>1008</v>
      </c>
      <c r="B450" s="12"/>
      <c r="C450" s="12" t="s">
        <v>10</v>
      </c>
      <c r="D450" s="13"/>
      <c r="E450" s="32"/>
      <c r="G450" s="8">
        <v>0</v>
      </c>
      <c r="I450" s="8">
        <v>0</v>
      </c>
      <c r="K450" s="8">
        <v>0</v>
      </c>
      <c r="M450" s="8">
        <v>0</v>
      </c>
      <c r="O450" s="8">
        <v>0</v>
      </c>
      <c r="Q450" s="8">
        <v>0</v>
      </c>
      <c r="S450" s="9">
        <f t="shared" si="21"/>
        <v>0</v>
      </c>
      <c r="U450" s="8">
        <v>0</v>
      </c>
      <c r="X450" s="8">
        <f>+'St of Net Assets - GA'!O449-'LT _Lia - GA'!U450</f>
        <v>0</v>
      </c>
    </row>
    <row r="451" spans="1:26">
      <c r="A451" s="13" t="s">
        <v>211</v>
      </c>
      <c r="B451" s="13"/>
      <c r="C451" s="13" t="s">
        <v>41</v>
      </c>
      <c r="D451" s="13"/>
      <c r="E451" s="32">
        <v>47902</v>
      </c>
      <c r="G451" s="8">
        <v>0</v>
      </c>
      <c r="I451" s="8">
        <v>0</v>
      </c>
      <c r="K451" s="8">
        <v>1594354</v>
      </c>
      <c r="M451" s="8">
        <v>127949</v>
      </c>
      <c r="O451" s="8">
        <f>681148+2669100</f>
        <v>3350248</v>
      </c>
      <c r="Q451" s="8">
        <v>0</v>
      </c>
      <c r="S451" s="9">
        <f t="shared" si="21"/>
        <v>5072551</v>
      </c>
      <c r="U451" s="8">
        <v>957499</v>
      </c>
      <c r="X451" s="8">
        <f>+'St of Net Assets - GA'!O450-'LT _Lia - GA'!U451</f>
        <v>0</v>
      </c>
    </row>
    <row r="452" spans="1:26" s="103" customFormat="1">
      <c r="A452" s="102" t="s">
        <v>211</v>
      </c>
      <c r="B452" s="102"/>
      <c r="C452" s="102" t="s">
        <v>62</v>
      </c>
      <c r="D452" s="102"/>
      <c r="E452" s="102">
        <v>49924</v>
      </c>
      <c r="G452" s="8">
        <v>0</v>
      </c>
      <c r="H452" s="8"/>
      <c r="I452" s="8">
        <v>0</v>
      </c>
      <c r="J452" s="8"/>
      <c r="K452" s="8">
        <v>0</v>
      </c>
      <c r="L452" s="8"/>
      <c r="M452" s="8">
        <v>200000</v>
      </c>
      <c r="N452" s="8"/>
      <c r="O452" s="8">
        <v>4353557</v>
      </c>
      <c r="P452" s="8"/>
      <c r="Q452" s="8">
        <v>0</v>
      </c>
      <c r="R452" s="8"/>
      <c r="S452" s="9">
        <f t="shared" si="21"/>
        <v>4553557</v>
      </c>
      <c r="T452" s="8"/>
      <c r="U452" s="8">
        <v>337118</v>
      </c>
      <c r="X452" s="8">
        <f>+'St of Net Assets - GA'!O451-'LT _Lia - GA'!U452</f>
        <v>0</v>
      </c>
    </row>
    <row r="453" spans="1:26">
      <c r="A453" s="13" t="s">
        <v>738</v>
      </c>
      <c r="B453" s="13"/>
      <c r="C453" s="13" t="s">
        <v>72</v>
      </c>
      <c r="D453" s="13"/>
      <c r="E453" s="32">
        <v>45583</v>
      </c>
      <c r="G453" s="8">
        <v>32700194</v>
      </c>
      <c r="I453" s="8">
        <v>0</v>
      </c>
      <c r="K453" s="8">
        <v>0</v>
      </c>
      <c r="M453" s="8">
        <v>110115</v>
      </c>
      <c r="O453" s="8">
        <f>587232+3917539</f>
        <v>4504771</v>
      </c>
      <c r="Q453" s="8">
        <v>0</v>
      </c>
      <c r="S453" s="9">
        <f t="shared" si="21"/>
        <v>37315080</v>
      </c>
      <c r="U453" s="8">
        <v>2355004</v>
      </c>
      <c r="X453" s="8">
        <f>+'St of Net Assets - GA'!O452-'LT _Lia - GA'!U453</f>
        <v>0</v>
      </c>
    </row>
    <row r="454" spans="1:26">
      <c r="A454" s="13" t="s">
        <v>371</v>
      </c>
      <c r="B454" s="13"/>
      <c r="C454" s="13" t="s">
        <v>28</v>
      </c>
      <c r="D454" s="13"/>
      <c r="E454" s="32">
        <v>47076</v>
      </c>
      <c r="G454" s="8">
        <v>4830000</v>
      </c>
      <c r="I454" s="8">
        <v>0</v>
      </c>
      <c r="K454" s="8">
        <v>0</v>
      </c>
      <c r="M454" s="8">
        <v>0</v>
      </c>
      <c r="O454" s="8">
        <v>406680</v>
      </c>
      <c r="Q454" s="8">
        <v>6041</v>
      </c>
      <c r="S454" s="9">
        <f t="shared" ref="S454:S489" si="22">SUM(G454:R454)</f>
        <v>5242721</v>
      </c>
      <c r="U454" s="8">
        <v>21342</v>
      </c>
      <c r="X454" s="8">
        <f>+'St of Net Assets - GA'!O453-'LT _Lia - GA'!U454</f>
        <v>0</v>
      </c>
      <c r="Z454" s="8" t="s">
        <v>956</v>
      </c>
    </row>
    <row r="455" spans="1:26">
      <c r="A455" s="13" t="s">
        <v>349</v>
      </c>
      <c r="B455" s="13"/>
      <c r="C455" s="13" t="s">
        <v>25</v>
      </c>
      <c r="D455" s="13"/>
      <c r="E455" s="32">
        <v>46896</v>
      </c>
      <c r="G455" s="8">
        <v>167360747</v>
      </c>
      <c r="I455" s="8">
        <v>0</v>
      </c>
      <c r="K455" s="8">
        <v>0</v>
      </c>
      <c r="M455" s="8">
        <v>1309602</v>
      </c>
      <c r="O455" s="8">
        <v>4354251</v>
      </c>
      <c r="Q455" s="8">
        <v>0</v>
      </c>
      <c r="S455" s="9">
        <f t="shared" si="22"/>
        <v>173024600</v>
      </c>
      <c r="U455" s="8">
        <v>8911086</v>
      </c>
      <c r="X455" s="8">
        <f>+'St of Net Assets - GA'!O454-'LT _Lia - GA'!U455</f>
        <v>0</v>
      </c>
    </row>
    <row r="456" spans="1:26">
      <c r="A456" s="13" t="s">
        <v>372</v>
      </c>
      <c r="B456" s="13"/>
      <c r="C456" s="13" t="s">
        <v>28</v>
      </c>
      <c r="D456" s="13"/>
      <c r="E456" s="32">
        <v>47084</v>
      </c>
      <c r="G456" s="8">
        <v>17440465</v>
      </c>
      <c r="I456" s="8">
        <v>0</v>
      </c>
      <c r="K456" s="8">
        <v>0</v>
      </c>
      <c r="M456" s="8">
        <v>0</v>
      </c>
      <c r="O456" s="8">
        <v>1015085</v>
      </c>
      <c r="Q456" s="8">
        <v>0</v>
      </c>
      <c r="S456" s="9">
        <f t="shared" si="22"/>
        <v>18455550</v>
      </c>
      <c r="U456" s="8">
        <v>778064</v>
      </c>
      <c r="X456" s="8">
        <f>+'St of Net Assets - GA'!O455-'LT _Lia - GA'!U456</f>
        <v>0</v>
      </c>
    </row>
    <row r="457" spans="1:26">
      <c r="A457" s="13" t="s">
        <v>540</v>
      </c>
      <c r="B457" s="13"/>
      <c r="C457" s="13" t="s">
        <v>48</v>
      </c>
      <c r="D457" s="13"/>
      <c r="E457" s="32">
        <v>44644</v>
      </c>
      <c r="G457" s="8">
        <v>8805425</v>
      </c>
      <c r="I457" s="8">
        <v>0</v>
      </c>
      <c r="K457" s="8">
        <v>0</v>
      </c>
      <c r="M457" s="8">
        <v>38801</v>
      </c>
      <c r="O457" s="8">
        <f>2414919+75234</f>
        <v>2490153</v>
      </c>
      <c r="Q457" s="8">
        <v>0</v>
      </c>
      <c r="S457" s="9">
        <f t="shared" si="22"/>
        <v>11334379</v>
      </c>
      <c r="U457" s="8">
        <v>807494</v>
      </c>
      <c r="X457" s="8">
        <f>+'St of Net Assets - GA'!O456-'LT _Lia - GA'!U457</f>
        <v>0</v>
      </c>
    </row>
    <row r="458" spans="1:26" hidden="1">
      <c r="A458" s="77" t="s">
        <v>1010</v>
      </c>
      <c r="B458" s="13"/>
      <c r="C458" s="13" t="s">
        <v>27</v>
      </c>
      <c r="D458" s="13"/>
      <c r="E458" s="32">
        <v>46995</v>
      </c>
      <c r="Q458" s="8">
        <v>0</v>
      </c>
      <c r="S458" s="9">
        <f t="shared" si="22"/>
        <v>0</v>
      </c>
      <c r="X458" s="8">
        <f>+'St of Net Assets - GA'!O457-'LT _Lia - GA'!U458</f>
        <v>0</v>
      </c>
      <c r="Z458" s="8" t="s">
        <v>1011</v>
      </c>
    </row>
    <row r="459" spans="1:26">
      <c r="A459" s="13" t="s">
        <v>361</v>
      </c>
      <c r="B459" s="13"/>
      <c r="C459" s="13" t="s">
        <v>62</v>
      </c>
      <c r="D459" s="13"/>
      <c r="E459" s="32">
        <v>49932</v>
      </c>
      <c r="G459" s="8">
        <v>56013173</v>
      </c>
      <c r="I459" s="8">
        <v>0</v>
      </c>
      <c r="K459" s="8">
        <v>0</v>
      </c>
      <c r="M459" s="8">
        <v>0</v>
      </c>
      <c r="O459" s="8">
        <f>120000+3604944</f>
        <v>3724944</v>
      </c>
      <c r="Q459" s="8">
        <v>0</v>
      </c>
      <c r="S459" s="9">
        <f t="shared" si="22"/>
        <v>59738117</v>
      </c>
      <c r="U459" s="8">
        <v>2258251</v>
      </c>
      <c r="X459" s="8">
        <f>+'St of Net Assets - GA'!O458-'LT _Lia - GA'!U459</f>
        <v>0</v>
      </c>
    </row>
    <row r="460" spans="1:26">
      <c r="A460" s="13" t="s">
        <v>522</v>
      </c>
      <c r="B460" s="13"/>
      <c r="C460" s="13" t="s">
        <v>46</v>
      </c>
      <c r="D460" s="13"/>
      <c r="E460" s="32">
        <v>48421</v>
      </c>
      <c r="G460" s="8">
        <v>2349941</v>
      </c>
      <c r="I460" s="8">
        <v>0</v>
      </c>
      <c r="K460" s="8">
        <v>0</v>
      </c>
      <c r="M460" s="8">
        <v>27776</v>
      </c>
      <c r="O460" s="8">
        <v>698762</v>
      </c>
      <c r="Q460" s="8">
        <v>0</v>
      </c>
      <c r="S460" s="9">
        <f t="shared" si="22"/>
        <v>3076479</v>
      </c>
      <c r="U460" s="8">
        <v>333020</v>
      </c>
      <c r="X460" s="8">
        <f>+'St of Net Assets - GA'!O459-'LT _Lia - GA'!U460</f>
        <v>0</v>
      </c>
    </row>
    <row r="461" spans="1:26">
      <c r="A461" s="13" t="s">
        <v>614</v>
      </c>
      <c r="B461" s="13"/>
      <c r="C461" s="13" t="s">
        <v>112</v>
      </c>
      <c r="D461" s="13"/>
      <c r="E461" s="32">
        <v>49460</v>
      </c>
      <c r="G461" s="8">
        <f>470000+862729</f>
        <v>1332729</v>
      </c>
      <c r="I461" s="8">
        <v>0</v>
      </c>
      <c r="K461" s="8">
        <v>0</v>
      </c>
      <c r="M461" s="8">
        <v>741000</v>
      </c>
      <c r="O461" s="8">
        <v>473283</v>
      </c>
      <c r="Q461" s="8">
        <v>0</v>
      </c>
      <c r="S461" s="9">
        <f t="shared" si="22"/>
        <v>2547012</v>
      </c>
      <c r="U461" s="8">
        <v>179079</v>
      </c>
      <c r="X461" s="8">
        <f>+'St of Net Assets - GA'!O460-'LT _Lia - GA'!U461</f>
        <v>0</v>
      </c>
    </row>
    <row r="462" spans="1:26">
      <c r="A462" s="12" t="s">
        <v>514</v>
      </c>
      <c r="B462" s="13"/>
      <c r="C462" s="13" t="s">
        <v>45</v>
      </c>
      <c r="D462" s="13"/>
      <c r="E462" s="32">
        <v>48348</v>
      </c>
      <c r="G462" s="8">
        <v>3902316</v>
      </c>
      <c r="I462" s="8">
        <v>0</v>
      </c>
      <c r="K462" s="8">
        <v>0</v>
      </c>
      <c r="M462" s="8">
        <v>7737687</v>
      </c>
      <c r="O462" s="8">
        <v>1681135</v>
      </c>
      <c r="Q462" s="8">
        <v>0</v>
      </c>
      <c r="S462" s="9">
        <f t="shared" si="22"/>
        <v>13321138</v>
      </c>
      <c r="U462" s="8">
        <v>885017</v>
      </c>
      <c r="X462" s="8">
        <f>+'St of Net Assets - GA'!O461-'LT _Lia - GA'!U462</f>
        <v>0</v>
      </c>
      <c r="Z462" s="15" t="s">
        <v>1012</v>
      </c>
    </row>
    <row r="463" spans="1:26">
      <c r="A463" s="13" t="s">
        <v>575</v>
      </c>
      <c r="B463" s="13"/>
      <c r="C463" s="13" t="s">
        <v>53</v>
      </c>
      <c r="D463" s="13"/>
      <c r="E463" s="32">
        <v>44651</v>
      </c>
      <c r="G463" s="8">
        <v>1345000</v>
      </c>
      <c r="I463" s="8">
        <v>0</v>
      </c>
      <c r="K463" s="8">
        <v>765400</v>
      </c>
      <c r="M463" s="8">
        <v>0</v>
      </c>
      <c r="O463" s="8">
        <v>1478194</v>
      </c>
      <c r="Q463" s="8">
        <v>0</v>
      </c>
      <c r="S463" s="9">
        <f t="shared" si="22"/>
        <v>3588594</v>
      </c>
      <c r="U463" s="8">
        <v>845477</v>
      </c>
      <c r="X463" s="8">
        <f>+'St of Net Assets - GA'!O462-'LT _Lia - GA'!U463</f>
        <v>0</v>
      </c>
    </row>
    <row r="464" spans="1:26">
      <c r="A464" s="13" t="s">
        <v>631</v>
      </c>
      <c r="B464" s="13"/>
      <c r="C464" s="13" t="s">
        <v>59</v>
      </c>
      <c r="D464" s="13"/>
      <c r="E464" s="32">
        <v>44669</v>
      </c>
      <c r="G464" s="8">
        <f>4990000+57118+9325000+325000+75000+66979+531889-398752</f>
        <v>14972234</v>
      </c>
      <c r="I464" s="8">
        <v>0</v>
      </c>
      <c r="K464" s="8">
        <v>0</v>
      </c>
      <c r="M464" s="8">
        <v>214963</v>
      </c>
      <c r="O464" s="8">
        <v>1497431</v>
      </c>
      <c r="Q464" s="8">
        <v>0</v>
      </c>
      <c r="S464" s="9">
        <f t="shared" si="22"/>
        <v>16684628</v>
      </c>
      <c r="U464" s="8">
        <v>806940</v>
      </c>
      <c r="X464" s="8">
        <f>+'St of Net Assets - GA'!O463-'LT _Lia - GA'!U464</f>
        <v>0</v>
      </c>
    </row>
    <row r="465" spans="1:26" hidden="1">
      <c r="A465" s="12" t="s">
        <v>1013</v>
      </c>
      <c r="B465" s="13"/>
      <c r="C465" s="13" t="s">
        <v>57</v>
      </c>
      <c r="D465" s="13"/>
      <c r="E465" s="32">
        <v>49288</v>
      </c>
      <c r="Q465" s="8">
        <v>0</v>
      </c>
      <c r="S465" s="9">
        <f t="shared" si="22"/>
        <v>0</v>
      </c>
      <c r="X465" s="8">
        <f>+'St of Net Assets - GA'!O464-'LT _Lia - GA'!U465</f>
        <v>135000</v>
      </c>
      <c r="Z465" s="104"/>
    </row>
    <row r="466" spans="1:26">
      <c r="A466" s="13" t="s">
        <v>405</v>
      </c>
      <c r="B466" s="13"/>
      <c r="C466" s="13" t="s">
        <v>32</v>
      </c>
      <c r="D466" s="13"/>
      <c r="E466" s="32">
        <v>44677</v>
      </c>
      <c r="G466" s="8">
        <f>6955000+152169+70420000+4843554-2494855</f>
        <v>79875868</v>
      </c>
      <c r="I466" s="8">
        <v>0</v>
      </c>
      <c r="K466" s="8">
        <v>0</v>
      </c>
      <c r="M466" s="8">
        <v>0</v>
      </c>
      <c r="O466" s="8">
        <v>2657632</v>
      </c>
      <c r="Q466" s="8">
        <v>0</v>
      </c>
      <c r="S466" s="9">
        <f t="shared" si="22"/>
        <v>82533500</v>
      </c>
      <c r="U466" s="8">
        <v>2259977</v>
      </c>
      <c r="X466" s="8">
        <f>+'St of Net Assets - GA'!O465-'LT _Lia - GA'!U466</f>
        <v>0</v>
      </c>
    </row>
    <row r="467" spans="1:26">
      <c r="A467" s="13" t="s">
        <v>222</v>
      </c>
      <c r="B467" s="13"/>
      <c r="C467" s="13" t="s">
        <v>12</v>
      </c>
      <c r="D467" s="13"/>
      <c r="E467" s="32">
        <v>45880</v>
      </c>
      <c r="G467" s="8">
        <v>6284064</v>
      </c>
      <c r="I467" s="8">
        <v>0</v>
      </c>
      <c r="K467" s="8">
        <v>72687</v>
      </c>
      <c r="M467" s="8">
        <v>0</v>
      </c>
      <c r="O467" s="8">
        <f>126000+795240</f>
        <v>921240</v>
      </c>
      <c r="Q467" s="8">
        <v>0</v>
      </c>
      <c r="S467" s="9">
        <f t="shared" si="22"/>
        <v>7277991</v>
      </c>
      <c r="U467" s="8">
        <v>515211</v>
      </c>
      <c r="X467" s="8">
        <f>+'St of Net Assets - GA'!O466-'LT _Lia - GA'!U467</f>
        <v>0</v>
      </c>
    </row>
    <row r="468" spans="1:26">
      <c r="A468" s="12" t="s">
        <v>866</v>
      </c>
      <c r="B468" s="12"/>
      <c r="C468" s="12" t="s">
        <v>56</v>
      </c>
      <c r="D468" s="12"/>
      <c r="E468" s="32"/>
      <c r="G468" s="8">
        <v>16746726</v>
      </c>
      <c r="I468" s="8">
        <v>0</v>
      </c>
      <c r="K468" s="8">
        <v>0</v>
      </c>
      <c r="M468" s="8">
        <v>3255185</v>
      </c>
      <c r="O468" s="8">
        <v>2453345</v>
      </c>
      <c r="Q468" s="8">
        <v>0</v>
      </c>
      <c r="S468" s="9">
        <f t="shared" si="22"/>
        <v>22455256</v>
      </c>
      <c r="U468" s="8">
        <v>720667</v>
      </c>
      <c r="X468" s="8">
        <f>+'St of Net Assets - GA'!O467-'LT _Lia - GA'!U468</f>
        <v>0</v>
      </c>
    </row>
    <row r="469" spans="1:26">
      <c r="A469" s="13" t="s">
        <v>406</v>
      </c>
      <c r="B469" s="13"/>
      <c r="C469" s="13" t="s">
        <v>32</v>
      </c>
      <c r="D469" s="13"/>
      <c r="E469" s="32">
        <v>44693</v>
      </c>
      <c r="G469" s="8">
        <v>70000</v>
      </c>
      <c r="I469" s="8">
        <v>0</v>
      </c>
      <c r="K469" s="8">
        <v>0</v>
      </c>
      <c r="M469" s="8">
        <v>345364</v>
      </c>
      <c r="O469" s="8">
        <v>1054240</v>
      </c>
      <c r="Q469" s="8">
        <v>0</v>
      </c>
      <c r="S469" s="9">
        <f t="shared" si="22"/>
        <v>1469604</v>
      </c>
      <c r="U469" s="8">
        <v>81695</v>
      </c>
      <c r="X469" s="8">
        <f>+'St of Net Assets - GA'!O468-'LT _Lia - GA'!U469</f>
        <v>0</v>
      </c>
    </row>
    <row r="470" spans="1:26">
      <c r="A470" s="13" t="s">
        <v>670</v>
      </c>
      <c r="B470" s="13"/>
      <c r="C470" s="13" t="s">
        <v>63</v>
      </c>
      <c r="D470" s="13"/>
      <c r="E470" s="32">
        <v>50054</v>
      </c>
      <c r="G470" s="8">
        <v>9601797</v>
      </c>
      <c r="I470" s="8">
        <v>0</v>
      </c>
      <c r="K470" s="8">
        <v>0</v>
      </c>
      <c r="M470" s="8">
        <v>0</v>
      </c>
      <c r="O470" s="8">
        <v>2200289</v>
      </c>
      <c r="Q470" s="8">
        <v>0</v>
      </c>
      <c r="S470" s="9">
        <f t="shared" si="22"/>
        <v>11802086</v>
      </c>
      <c r="U470" s="8">
        <v>1156858</v>
      </c>
      <c r="X470" s="8">
        <f>+'St of Net Assets - GA'!O469-'LT _Lia - GA'!U470</f>
        <v>0</v>
      </c>
    </row>
    <row r="471" spans="1:26">
      <c r="A471" s="13" t="s">
        <v>362</v>
      </c>
      <c r="B471" s="13"/>
      <c r="C471" s="13" t="s">
        <v>27</v>
      </c>
      <c r="D471" s="13"/>
      <c r="E471" s="32">
        <v>47001</v>
      </c>
      <c r="G471" s="8">
        <f>108150996</f>
        <v>108150996</v>
      </c>
      <c r="I471" s="8">
        <f>650000+8150000</f>
        <v>8800000</v>
      </c>
      <c r="K471" s="8">
        <v>275000</v>
      </c>
      <c r="M471" s="8">
        <f>82868+158506</f>
        <v>241374</v>
      </c>
      <c r="O471" s="8">
        <v>3751676</v>
      </c>
      <c r="Q471" s="8">
        <v>0</v>
      </c>
      <c r="S471" s="9">
        <f t="shared" si="22"/>
        <v>121219046</v>
      </c>
      <c r="U471" s="8">
        <v>4058666</v>
      </c>
      <c r="X471" s="8">
        <f>+'St of Net Assets - GA'!O470-'LT _Lia - GA'!U471</f>
        <v>0</v>
      </c>
    </row>
    <row r="472" spans="1:26">
      <c r="A472" s="13" t="s">
        <v>318</v>
      </c>
      <c r="B472" s="13"/>
      <c r="C472" s="13" t="s">
        <v>20</v>
      </c>
      <c r="D472" s="13"/>
      <c r="E472" s="32">
        <v>46599</v>
      </c>
      <c r="G472" s="8">
        <v>0</v>
      </c>
      <c r="I472" s="8">
        <v>0</v>
      </c>
      <c r="K472" s="8">
        <v>1028650</v>
      </c>
      <c r="M472" s="8">
        <v>120715</v>
      </c>
      <c r="O472" s="8">
        <f>574368+5991</f>
        <v>580359</v>
      </c>
      <c r="Q472" s="8">
        <v>0</v>
      </c>
      <c r="S472" s="9">
        <f t="shared" si="22"/>
        <v>1729724</v>
      </c>
      <c r="U472" s="8">
        <v>124480</v>
      </c>
      <c r="X472" s="8">
        <f>+'St of Net Assets - GA'!O471-'LT _Lia - GA'!U472</f>
        <v>0</v>
      </c>
    </row>
    <row r="473" spans="1:26">
      <c r="A473" s="13" t="s">
        <v>523</v>
      </c>
      <c r="B473" s="13"/>
      <c r="C473" s="13" t="s">
        <v>46</v>
      </c>
      <c r="D473" s="13"/>
      <c r="E473" s="32">
        <v>48439</v>
      </c>
      <c r="G473" s="8">
        <v>0</v>
      </c>
      <c r="I473" s="8">
        <v>0</v>
      </c>
      <c r="K473" s="8">
        <v>0</v>
      </c>
      <c r="M473" s="8">
        <v>170564</v>
      </c>
      <c r="O473" s="8">
        <v>339576</v>
      </c>
      <c r="Q473" s="8">
        <v>0</v>
      </c>
      <c r="S473" s="9">
        <f t="shared" si="22"/>
        <v>510140</v>
      </c>
      <c r="U473" s="8">
        <v>121383</v>
      </c>
      <c r="X473" s="8">
        <f>+'St of Net Assets - GA'!O472-'LT _Lia - GA'!U473</f>
        <v>0</v>
      </c>
    </row>
    <row r="474" spans="1:26">
      <c r="A474" s="13" t="s">
        <v>1058</v>
      </c>
      <c r="B474" s="13"/>
      <c r="C474" s="13" t="s">
        <v>421</v>
      </c>
      <c r="D474" s="13"/>
      <c r="E474" s="32">
        <v>47506</v>
      </c>
      <c r="G474" s="8">
        <f>364874+517628</f>
        <v>882502</v>
      </c>
      <c r="I474" s="8">
        <v>0</v>
      </c>
      <c r="K474" s="8">
        <v>0</v>
      </c>
      <c r="M474" s="8">
        <v>0</v>
      </c>
      <c r="O474" s="8">
        <f>3600+197032</f>
        <v>200632</v>
      </c>
      <c r="Q474" s="8">
        <v>0</v>
      </c>
      <c r="S474" s="9">
        <f t="shared" si="22"/>
        <v>1083134</v>
      </c>
      <c r="U474" s="8">
        <f>218628+8</f>
        <v>218636</v>
      </c>
      <c r="X474" s="8">
        <f>+'St of Net Assets - GA'!O473-'LT _Lia - GA'!U474</f>
        <v>0</v>
      </c>
      <c r="Z474" s="15" t="s">
        <v>905</v>
      </c>
    </row>
    <row r="475" spans="1:26">
      <c r="A475" s="13" t="s">
        <v>288</v>
      </c>
      <c r="B475" s="13"/>
      <c r="C475" s="13" t="s">
        <v>19</v>
      </c>
      <c r="D475" s="13"/>
      <c r="E475" s="32">
        <v>46474</v>
      </c>
      <c r="G475" s="8">
        <v>3058002</v>
      </c>
      <c r="I475" s="8">
        <v>0</v>
      </c>
      <c r="K475" s="8">
        <v>0</v>
      </c>
      <c r="M475" s="8">
        <v>255444</v>
      </c>
      <c r="O475" s="8">
        <v>1007985</v>
      </c>
      <c r="Q475" s="8">
        <v>0</v>
      </c>
      <c r="S475" s="9">
        <f t="shared" si="22"/>
        <v>4321431</v>
      </c>
      <c r="U475" s="8">
        <v>244692</v>
      </c>
      <c r="X475" s="8">
        <f>+'St of Net Assets - GA'!O474-'LT _Lia - GA'!U475</f>
        <v>0</v>
      </c>
      <c r="Z475" s="8" t="s">
        <v>1014</v>
      </c>
    </row>
    <row r="476" spans="1:26">
      <c r="A476" s="13" t="s">
        <v>867</v>
      </c>
      <c r="B476" s="13"/>
      <c r="C476" s="13" t="s">
        <v>77</v>
      </c>
      <c r="D476" s="13"/>
      <c r="E476" s="32">
        <v>46078</v>
      </c>
      <c r="G476" s="8">
        <v>2439092</v>
      </c>
      <c r="I476" s="8">
        <v>0</v>
      </c>
      <c r="K476" s="8">
        <v>0</v>
      </c>
      <c r="M476" s="8">
        <v>502000</v>
      </c>
      <c r="O476" s="8">
        <v>570028</v>
      </c>
      <c r="Q476" s="8">
        <v>0</v>
      </c>
      <c r="S476" s="9">
        <f t="shared" si="22"/>
        <v>3511120</v>
      </c>
      <c r="U476" s="8">
        <v>344178</v>
      </c>
      <c r="X476" s="8">
        <f>+'St of Net Assets - GA'!O475-'LT _Lia - GA'!U476</f>
        <v>0</v>
      </c>
    </row>
    <row r="477" spans="1:26">
      <c r="A477" s="13" t="s">
        <v>724</v>
      </c>
      <c r="B477" s="13"/>
      <c r="C477" s="13" t="s">
        <v>71</v>
      </c>
      <c r="D477" s="13"/>
      <c r="E477" s="32">
        <v>45591</v>
      </c>
      <c r="G477" s="8">
        <f>405000+266606+7725000+204993+124318+465989-327315</f>
        <v>8864591</v>
      </c>
      <c r="I477" s="8">
        <v>0</v>
      </c>
      <c r="K477" s="8">
        <v>0</v>
      </c>
      <c r="M477" s="8">
        <v>10416</v>
      </c>
      <c r="O477" s="8">
        <v>636041</v>
      </c>
      <c r="Q477" s="8">
        <v>0</v>
      </c>
      <c r="S477" s="9">
        <f t="shared" si="22"/>
        <v>9511048</v>
      </c>
      <c r="U477" s="8">
        <v>309637</v>
      </c>
      <c r="X477" s="8">
        <f>+'St of Net Assets - GA'!O476-'LT _Lia - GA'!U477</f>
        <v>0</v>
      </c>
    </row>
    <row r="478" spans="1:26">
      <c r="A478" s="13" t="s">
        <v>524</v>
      </c>
      <c r="B478" s="13"/>
      <c r="C478" s="13" t="s">
        <v>46</v>
      </c>
      <c r="D478" s="13"/>
      <c r="E478" s="32">
        <v>48447</v>
      </c>
      <c r="G478" s="8">
        <v>15554989</v>
      </c>
      <c r="I478" s="8">
        <v>0</v>
      </c>
      <c r="K478" s="8">
        <v>0</v>
      </c>
      <c r="M478" s="8">
        <v>4880</v>
      </c>
      <c r="O478" s="8">
        <v>941907</v>
      </c>
      <c r="Q478" s="8">
        <v>0</v>
      </c>
      <c r="S478" s="9">
        <f t="shared" si="22"/>
        <v>16501776</v>
      </c>
      <c r="U478" s="8">
        <v>792952</v>
      </c>
      <c r="X478" s="8">
        <f>+'St of Net Assets - GA'!O477-'LT _Lia - GA'!U478</f>
        <v>0</v>
      </c>
    </row>
    <row r="479" spans="1:26">
      <c r="A479" s="13" t="s">
        <v>289</v>
      </c>
      <c r="B479" s="13"/>
      <c r="C479" s="13" t="s">
        <v>19</v>
      </c>
      <c r="D479" s="13"/>
      <c r="E479" s="32">
        <v>46482</v>
      </c>
      <c r="G479" s="8">
        <v>1513563</v>
      </c>
      <c r="I479" s="8">
        <v>0</v>
      </c>
      <c r="K479" s="8">
        <v>0</v>
      </c>
      <c r="M479" s="8">
        <v>13841</v>
      </c>
      <c r="O479" s="8">
        <v>920140</v>
      </c>
      <c r="Q479" s="8">
        <v>0</v>
      </c>
      <c r="S479" s="9">
        <f t="shared" si="22"/>
        <v>2447544</v>
      </c>
      <c r="U479" s="8">
        <v>151437</v>
      </c>
      <c r="X479" s="8">
        <f>+'St of Net Assets - GA'!O478-'LT _Lia - GA'!U479</f>
        <v>0</v>
      </c>
    </row>
    <row r="480" spans="1:26">
      <c r="A480" s="13" t="s">
        <v>425</v>
      </c>
      <c r="B480" s="13"/>
      <c r="C480" s="13" t="s">
        <v>421</v>
      </c>
      <c r="D480" s="13"/>
      <c r="E480" s="32">
        <v>47514</v>
      </c>
      <c r="G480" s="8">
        <v>4392998</v>
      </c>
      <c r="I480" s="8">
        <v>0</v>
      </c>
      <c r="K480" s="8">
        <v>0</v>
      </c>
      <c r="M480" s="8">
        <v>0</v>
      </c>
      <c r="O480" s="8">
        <v>676588</v>
      </c>
      <c r="Q480" s="8">
        <v>0</v>
      </c>
      <c r="S480" s="9">
        <f t="shared" si="22"/>
        <v>5069586</v>
      </c>
      <c r="U480" s="8">
        <v>250000</v>
      </c>
      <c r="X480" s="8">
        <f>+'St of Net Assets - GA'!O479-'LT _Lia - GA'!U480</f>
        <v>0</v>
      </c>
    </row>
    <row r="481" spans="1:26">
      <c r="A481" s="13" t="s">
        <v>482</v>
      </c>
      <c r="B481" s="13"/>
      <c r="C481" s="13" t="s">
        <v>41</v>
      </c>
      <c r="D481" s="13"/>
      <c r="E481" s="32"/>
      <c r="G481" s="8">
        <f>396575+3475000+1545000+70880+37164</f>
        <v>5524619</v>
      </c>
      <c r="I481" s="8">
        <v>0</v>
      </c>
      <c r="K481" s="8">
        <v>0</v>
      </c>
      <c r="M481" s="8">
        <v>125860</v>
      </c>
      <c r="O481" s="8">
        <f>1162041+28267</f>
        <v>1190308</v>
      </c>
      <c r="Q481" s="8">
        <v>0</v>
      </c>
      <c r="S481" s="9">
        <f t="shared" si="22"/>
        <v>6840787</v>
      </c>
      <c r="U481" s="8">
        <f>1246352+2150</f>
        <v>1248502</v>
      </c>
      <c r="X481" s="8">
        <f>+'St of Net Assets - GA'!O480-'LT _Lia - GA'!U481</f>
        <v>0</v>
      </c>
    </row>
    <row r="482" spans="1:26">
      <c r="A482" s="13" t="s">
        <v>482</v>
      </c>
      <c r="B482" s="13"/>
      <c r="C482" s="13" t="s">
        <v>43</v>
      </c>
      <c r="D482" s="13"/>
      <c r="E482" s="32">
        <v>48090</v>
      </c>
      <c r="G482" s="8">
        <f>471743+1601146</f>
        <v>2072889</v>
      </c>
      <c r="I482" s="8">
        <v>0</v>
      </c>
      <c r="K482" s="8">
        <v>0</v>
      </c>
      <c r="M482" s="8">
        <v>0</v>
      </c>
      <c r="O482" s="8">
        <v>558260</v>
      </c>
      <c r="Q482" s="8">
        <v>0</v>
      </c>
      <c r="S482" s="9">
        <f t="shared" si="22"/>
        <v>2631149</v>
      </c>
      <c r="U482" s="8">
        <f>220384</f>
        <v>220384</v>
      </c>
      <c r="X482" s="8">
        <f>+'St of Net Assets - GA'!O481-'LT _Lia - GA'!U482</f>
        <v>0</v>
      </c>
    </row>
    <row r="483" spans="1:26">
      <c r="A483" s="13" t="s">
        <v>470</v>
      </c>
      <c r="B483" s="13"/>
      <c r="C483" s="13" t="s">
        <v>466</v>
      </c>
      <c r="D483" s="13"/>
      <c r="E483" s="32">
        <v>47944</v>
      </c>
      <c r="G483" s="8">
        <v>0</v>
      </c>
      <c r="I483" s="8">
        <v>0</v>
      </c>
      <c r="K483" s="8">
        <v>0</v>
      </c>
      <c r="M483" s="8">
        <v>0</v>
      </c>
      <c r="O483" s="8">
        <v>1092468</v>
      </c>
      <c r="Q483" s="8">
        <v>0</v>
      </c>
      <c r="S483" s="9">
        <f t="shared" si="22"/>
        <v>1092468</v>
      </c>
      <c r="U483" s="8">
        <v>27547</v>
      </c>
      <c r="X483" s="8">
        <f>+'St of Net Assets - GA'!O482-'LT _Lia - GA'!U483</f>
        <v>0</v>
      </c>
      <c r="Z483" s="8" t="s">
        <v>956</v>
      </c>
    </row>
    <row r="484" spans="1:26">
      <c r="A484" s="13" t="s">
        <v>1059</v>
      </c>
      <c r="B484" s="13"/>
      <c r="C484" s="13" t="s">
        <v>20</v>
      </c>
      <c r="D484" s="13"/>
      <c r="E484" s="32">
        <v>44701</v>
      </c>
      <c r="G484" s="8">
        <v>16470932</v>
      </c>
      <c r="I484" s="8">
        <v>0</v>
      </c>
      <c r="K484" s="8">
        <v>0</v>
      </c>
      <c r="M484" s="8">
        <v>296767</v>
      </c>
      <c r="O484" s="8">
        <v>4065086</v>
      </c>
      <c r="Q484" s="8">
        <v>0</v>
      </c>
      <c r="S484" s="9">
        <f t="shared" si="22"/>
        <v>20832785</v>
      </c>
      <c r="U484" s="8">
        <v>3144351</v>
      </c>
      <c r="X484" s="8">
        <f>+'St of Net Assets - GA'!O483-'LT _Lia - GA'!U484</f>
        <v>0</v>
      </c>
      <c r="Z484" s="15" t="s">
        <v>905</v>
      </c>
    </row>
    <row r="485" spans="1:26">
      <c r="A485" s="13" t="s">
        <v>391</v>
      </c>
      <c r="B485" s="13"/>
      <c r="C485" s="13" t="s">
        <v>31</v>
      </c>
      <c r="D485" s="13"/>
      <c r="E485" s="32">
        <v>47308</v>
      </c>
      <c r="G485" s="8">
        <v>0</v>
      </c>
      <c r="I485" s="8">
        <v>0</v>
      </c>
      <c r="K485" s="8">
        <v>0</v>
      </c>
      <c r="M485" s="8">
        <v>0</v>
      </c>
      <c r="O485" s="8">
        <f>536000+990850</f>
        <v>1526850</v>
      </c>
      <c r="Q485" s="8">
        <v>0</v>
      </c>
      <c r="S485" s="9">
        <f t="shared" si="22"/>
        <v>1526850</v>
      </c>
      <c r="U485" s="8">
        <v>382752</v>
      </c>
      <c r="X485" s="8">
        <f>+'St of Net Assets - GA'!O484-'LT _Lia - GA'!U485</f>
        <v>0</v>
      </c>
    </row>
    <row r="486" spans="1:26">
      <c r="A486" s="13" t="s">
        <v>593</v>
      </c>
      <c r="B486" s="13"/>
      <c r="C486" s="13" t="s">
        <v>56</v>
      </c>
      <c r="D486" s="13"/>
      <c r="E486" s="32">
        <v>49213</v>
      </c>
      <c r="G486" s="8">
        <v>0</v>
      </c>
      <c r="I486" s="8">
        <v>0</v>
      </c>
      <c r="K486" s="8">
        <v>0</v>
      </c>
      <c r="M486" s="8">
        <v>0</v>
      </c>
      <c r="O486" s="8">
        <v>816709</v>
      </c>
      <c r="Q486" s="8">
        <v>0</v>
      </c>
      <c r="S486" s="9">
        <f t="shared" si="22"/>
        <v>816709</v>
      </c>
      <c r="U486" s="8">
        <v>102600</v>
      </c>
      <c r="X486" s="8">
        <f>+'St of Net Assets - GA'!O485-'LT _Lia - GA'!U486</f>
        <v>0</v>
      </c>
    </row>
    <row r="487" spans="1:26">
      <c r="A487" s="12" t="s">
        <v>1060</v>
      </c>
      <c r="B487" s="13"/>
      <c r="C487" s="13" t="s">
        <v>242</v>
      </c>
      <c r="D487" s="13"/>
      <c r="E487" s="32">
        <v>46144</v>
      </c>
      <c r="G487" s="8">
        <f>11245000-72739+7520000+186554+130000+1590000+513648-485523</f>
        <v>20626940</v>
      </c>
      <c r="I487" s="8">
        <v>0</v>
      </c>
      <c r="K487" s="8">
        <v>0</v>
      </c>
      <c r="M487" s="8">
        <v>1188971</v>
      </c>
      <c r="O487" s="8">
        <f>67659+1181023</f>
        <v>1248682</v>
      </c>
      <c r="Q487" s="8">
        <v>0</v>
      </c>
      <c r="S487" s="9">
        <f t="shared" si="22"/>
        <v>23064593</v>
      </c>
      <c r="U487" s="8">
        <v>1378847</v>
      </c>
      <c r="X487" s="8">
        <f>+'St of Net Assets - GA'!O486-'LT _Lia - GA'!U487</f>
        <v>0</v>
      </c>
      <c r="Z487" s="15" t="s">
        <v>905</v>
      </c>
    </row>
    <row r="488" spans="1:26">
      <c r="A488" s="13" t="s">
        <v>739</v>
      </c>
      <c r="B488" s="13"/>
      <c r="C488" s="13" t="s">
        <v>72</v>
      </c>
      <c r="D488" s="13"/>
      <c r="E488" s="32">
        <v>45609</v>
      </c>
      <c r="G488" s="8">
        <v>0</v>
      </c>
      <c r="I488" s="8">
        <v>0</v>
      </c>
      <c r="K488" s="8">
        <v>0</v>
      </c>
      <c r="M488" s="8">
        <v>0</v>
      </c>
      <c r="O488" s="8">
        <v>1680038</v>
      </c>
      <c r="Q488" s="8">
        <v>0</v>
      </c>
      <c r="S488" s="9">
        <f t="shared" si="22"/>
        <v>1680038</v>
      </c>
      <c r="U488" s="8">
        <v>280767</v>
      </c>
      <c r="X488" s="8">
        <f>+'St of Net Assets - GA'!O487-'LT _Lia - GA'!U488</f>
        <v>0</v>
      </c>
    </row>
    <row r="489" spans="1:26">
      <c r="A489" s="13" t="s">
        <v>646</v>
      </c>
      <c r="B489" s="13"/>
      <c r="C489" s="13" t="s">
        <v>61</v>
      </c>
      <c r="D489" s="13"/>
      <c r="E489" s="32">
        <v>49817</v>
      </c>
      <c r="G489" s="8">
        <v>3851156</v>
      </c>
      <c r="I489" s="8">
        <v>0</v>
      </c>
      <c r="K489" s="8">
        <v>0</v>
      </c>
      <c r="M489" s="8">
        <v>0</v>
      </c>
      <c r="O489" s="8">
        <v>226430</v>
      </c>
      <c r="Q489" s="8">
        <v>0</v>
      </c>
      <c r="S489" s="9">
        <f t="shared" si="22"/>
        <v>4077586</v>
      </c>
      <c r="U489" s="8">
        <v>140000</v>
      </c>
      <c r="X489" s="8">
        <f>+'St of Net Assets - GA'!O488-'LT _Lia - GA'!U489</f>
        <v>0</v>
      </c>
    </row>
    <row r="490" spans="1:26">
      <c r="A490" s="12" t="s">
        <v>822</v>
      </c>
      <c r="B490" s="12"/>
      <c r="C490" s="12" t="s">
        <v>114</v>
      </c>
      <c r="D490" s="12"/>
      <c r="E490" s="32"/>
      <c r="G490" s="8">
        <v>0</v>
      </c>
      <c r="I490" s="8">
        <v>0</v>
      </c>
      <c r="K490" s="8">
        <v>0</v>
      </c>
      <c r="M490" s="8">
        <v>0</v>
      </c>
      <c r="O490" s="8">
        <v>1881702</v>
      </c>
      <c r="Q490" s="8">
        <v>0</v>
      </c>
      <c r="S490" s="9">
        <f t="shared" ref="S490:S528" si="23">SUM(G490:R490)</f>
        <v>1881702</v>
      </c>
      <c r="U490" s="8">
        <v>247919</v>
      </c>
      <c r="X490" s="8">
        <f>+'St of Net Assets - GA'!O489-'LT _Lia - GA'!U490</f>
        <v>0</v>
      </c>
    </row>
    <row r="491" spans="1:26">
      <c r="A491" s="13" t="s">
        <v>341</v>
      </c>
      <c r="B491" s="13"/>
      <c r="C491" s="13" t="s">
        <v>24</v>
      </c>
      <c r="D491" s="13"/>
      <c r="E491" s="32">
        <v>44743</v>
      </c>
      <c r="G491" s="8">
        <v>0</v>
      </c>
      <c r="I491" s="8">
        <v>0</v>
      </c>
      <c r="K491" s="8">
        <v>0</v>
      </c>
      <c r="M491" s="8">
        <v>330441</v>
      </c>
      <c r="O491" s="8">
        <f>4338399+358916</f>
        <v>4697315</v>
      </c>
      <c r="Q491" s="8">
        <v>0</v>
      </c>
      <c r="S491" s="9">
        <f t="shared" si="23"/>
        <v>5027756</v>
      </c>
      <c r="U491" s="8">
        <v>814748</v>
      </c>
      <c r="X491" s="8">
        <f>+'St of Net Assets - GA'!O490-'LT _Lia - GA'!U491</f>
        <v>0</v>
      </c>
    </row>
    <row r="492" spans="1:26">
      <c r="A492" s="13" t="s">
        <v>660</v>
      </c>
      <c r="B492" s="13"/>
      <c r="C492" s="13" t="s">
        <v>62</v>
      </c>
      <c r="D492" s="13"/>
      <c r="E492" s="32">
        <v>49940</v>
      </c>
      <c r="G492" s="8">
        <v>11902165</v>
      </c>
      <c r="I492" s="8">
        <v>0</v>
      </c>
      <c r="K492" s="8">
        <v>0</v>
      </c>
      <c r="M492" s="8">
        <v>128648</v>
      </c>
      <c r="O492" s="8">
        <v>720678</v>
      </c>
      <c r="Q492" s="8">
        <v>0</v>
      </c>
      <c r="S492" s="9">
        <f t="shared" si="23"/>
        <v>12751491</v>
      </c>
      <c r="U492" s="8">
        <v>477085</v>
      </c>
      <c r="X492" s="8">
        <f>+'St of Net Assets - GA'!O491-'LT _Lia - GA'!U492</f>
        <v>0</v>
      </c>
    </row>
    <row r="493" spans="1:26">
      <c r="A493" s="13" t="s">
        <v>585</v>
      </c>
      <c r="B493" s="13"/>
      <c r="C493" s="13" t="s">
        <v>55</v>
      </c>
      <c r="D493" s="13"/>
      <c r="E493" s="32">
        <v>49130</v>
      </c>
      <c r="G493" s="8">
        <v>805000</v>
      </c>
      <c r="I493" s="8">
        <v>0</v>
      </c>
      <c r="K493" s="8">
        <v>0</v>
      </c>
      <c r="M493" s="8">
        <v>0</v>
      </c>
      <c r="O493" s="8">
        <v>566307</v>
      </c>
      <c r="Q493" s="8">
        <v>0</v>
      </c>
      <c r="S493" s="9">
        <f t="shared" si="23"/>
        <v>1371307</v>
      </c>
      <c r="U493" s="8">
        <v>104992</v>
      </c>
      <c r="X493" s="8">
        <f>+'St of Net Assets - GA'!O492-'LT _Lia - GA'!U493</f>
        <v>0</v>
      </c>
    </row>
    <row r="494" spans="1:26">
      <c r="A494" s="13" t="s">
        <v>515</v>
      </c>
      <c r="B494" s="13"/>
      <c r="C494" s="13" t="s">
        <v>45</v>
      </c>
      <c r="D494" s="13"/>
      <c r="E494" s="32">
        <v>48355</v>
      </c>
      <c r="G494" s="8">
        <v>1290000</v>
      </c>
      <c r="I494" s="8">
        <v>0</v>
      </c>
      <c r="K494" s="8">
        <v>0</v>
      </c>
      <c r="M494" s="8">
        <v>0</v>
      </c>
      <c r="O494" s="8">
        <v>427904</v>
      </c>
      <c r="Q494" s="8">
        <v>0</v>
      </c>
      <c r="S494" s="9">
        <f t="shared" si="23"/>
        <v>1717904</v>
      </c>
      <c r="U494" s="8">
        <v>87043</v>
      </c>
      <c r="X494" s="8">
        <f>+'St of Net Assets - GA'!O493-'LT _Lia - GA'!U494</f>
        <v>0</v>
      </c>
    </row>
    <row r="495" spans="1:26">
      <c r="A495" s="13" t="s">
        <v>639</v>
      </c>
      <c r="B495" s="13"/>
      <c r="C495" s="13" t="s">
        <v>60</v>
      </c>
      <c r="D495" s="13"/>
      <c r="E495" s="32">
        <v>49684</v>
      </c>
      <c r="G495" s="8">
        <v>11140459</v>
      </c>
      <c r="I495" s="8">
        <v>0</v>
      </c>
      <c r="K495" s="8">
        <v>0</v>
      </c>
      <c r="M495" s="8">
        <v>12762</v>
      </c>
      <c r="O495" s="8">
        <v>658249</v>
      </c>
      <c r="Q495" s="8">
        <v>0</v>
      </c>
      <c r="S495" s="9">
        <f t="shared" si="23"/>
        <v>11811470</v>
      </c>
      <c r="U495" s="8">
        <v>340292</v>
      </c>
      <c r="X495" s="8">
        <f>+'St of Net Assets - GA'!O494-'LT _Lia - GA'!U495</f>
        <v>0</v>
      </c>
    </row>
    <row r="496" spans="1:26">
      <c r="A496" s="13" t="s">
        <v>234</v>
      </c>
      <c r="B496" s="13"/>
      <c r="C496" s="13" t="s">
        <v>15</v>
      </c>
      <c r="D496" s="13"/>
      <c r="E496" s="32">
        <v>46003</v>
      </c>
      <c r="G496" s="8">
        <v>0</v>
      </c>
      <c r="I496" s="8">
        <v>0</v>
      </c>
      <c r="K496" s="8">
        <v>57007</v>
      </c>
      <c r="M496" s="8">
        <v>0</v>
      </c>
      <c r="O496" s="8">
        <v>543238</v>
      </c>
      <c r="Q496" s="8">
        <v>0</v>
      </c>
      <c r="S496" s="9">
        <f t="shared" si="23"/>
        <v>600245</v>
      </c>
      <c r="U496" s="8">
        <v>37657</v>
      </c>
      <c r="X496" s="8">
        <f>+'St of Net Assets - GA'!O498-'LT _Lia - GA'!U496</f>
        <v>0</v>
      </c>
    </row>
    <row r="497" spans="1:26">
      <c r="A497" s="12" t="s">
        <v>1061</v>
      </c>
      <c r="B497" s="13"/>
      <c r="C497" s="13" t="s">
        <v>20</v>
      </c>
      <c r="D497" s="13"/>
      <c r="E497" s="32">
        <v>44750</v>
      </c>
      <c r="G497" s="8">
        <v>26212723</v>
      </c>
      <c r="I497" s="8">
        <v>600000</v>
      </c>
      <c r="K497" s="8">
        <v>0</v>
      </c>
      <c r="M497" s="8">
        <v>0</v>
      </c>
      <c r="O497" s="8">
        <v>6689773</v>
      </c>
      <c r="Q497" s="8">
        <v>1839100</v>
      </c>
      <c r="S497" s="9">
        <f t="shared" si="23"/>
        <v>35341596</v>
      </c>
      <c r="U497" s="8">
        <v>4661691</v>
      </c>
      <c r="X497" s="8">
        <f>+'St of Net Assets - GA'!O499-'LT _Lia - GA'!U497</f>
        <v>0</v>
      </c>
      <c r="Z497" s="15" t="s">
        <v>905</v>
      </c>
    </row>
    <row r="498" spans="1:26" hidden="1">
      <c r="A498" s="12" t="s">
        <v>1034</v>
      </c>
      <c r="B498" s="12"/>
      <c r="C498" s="12" t="s">
        <v>10</v>
      </c>
      <c r="D498" s="13"/>
      <c r="E498" s="32"/>
      <c r="G498" s="8">
        <v>0</v>
      </c>
      <c r="I498" s="8">
        <v>0</v>
      </c>
      <c r="K498" s="8">
        <v>0</v>
      </c>
      <c r="M498" s="8">
        <v>0</v>
      </c>
      <c r="O498" s="8">
        <v>0</v>
      </c>
      <c r="Q498" s="8">
        <v>0</v>
      </c>
      <c r="S498" s="9">
        <f t="shared" si="23"/>
        <v>0</v>
      </c>
      <c r="U498" s="8">
        <v>0</v>
      </c>
      <c r="X498" s="8">
        <f>+'St of Net Assets - GA'!O500-'LT _Lia - GA'!U498</f>
        <v>0</v>
      </c>
      <c r="Z498" s="15"/>
    </row>
    <row r="499" spans="1:26">
      <c r="A499" s="13" t="s">
        <v>494</v>
      </c>
      <c r="B499" s="13"/>
      <c r="C499" s="13" t="s">
        <v>44</v>
      </c>
      <c r="D499" s="13"/>
      <c r="E499" s="32">
        <v>44768</v>
      </c>
      <c r="G499" s="8">
        <v>0</v>
      </c>
      <c r="I499" s="8">
        <v>0</v>
      </c>
      <c r="K499" s="8">
        <v>0</v>
      </c>
      <c r="M499" s="8">
        <v>0</v>
      </c>
      <c r="O499" s="8">
        <v>1126299</v>
      </c>
      <c r="Q499" s="8">
        <v>0</v>
      </c>
      <c r="S499" s="9">
        <f t="shared" si="23"/>
        <v>1126299</v>
      </c>
      <c r="U499" s="8">
        <v>50573</v>
      </c>
      <c r="X499" s="8">
        <f>+'St of Net Assets - GA'!O501-'LT _Lia - GA'!U499</f>
        <v>0</v>
      </c>
    </row>
    <row r="500" spans="1:26">
      <c r="A500" s="13" t="s">
        <v>615</v>
      </c>
      <c r="B500" s="13"/>
      <c r="C500" s="13" t="s">
        <v>112</v>
      </c>
      <c r="D500" s="13"/>
      <c r="E500" s="32">
        <v>44776</v>
      </c>
      <c r="G500" s="8">
        <v>0</v>
      </c>
      <c r="I500" s="8">
        <v>420000</v>
      </c>
      <c r="K500" s="8">
        <v>0</v>
      </c>
      <c r="M500" s="8">
        <v>194140</v>
      </c>
      <c r="O500" s="8">
        <f>11999+1449757</f>
        <v>1461756</v>
      </c>
      <c r="Q500" s="8">
        <v>0</v>
      </c>
      <c r="S500" s="9">
        <f t="shared" si="23"/>
        <v>2075896</v>
      </c>
      <c r="U500" s="8">
        <v>389971</v>
      </c>
      <c r="X500" s="8">
        <f>+'St of Net Assets - GA'!O502-'LT _Lia - GA'!U500</f>
        <v>0</v>
      </c>
    </row>
    <row r="501" spans="1:26">
      <c r="A501" s="12" t="s">
        <v>647</v>
      </c>
      <c r="B501" s="13"/>
      <c r="C501" s="13" t="s">
        <v>61</v>
      </c>
      <c r="D501" s="13"/>
      <c r="E501" s="32">
        <v>44784</v>
      </c>
      <c r="G501" s="8">
        <v>20738342</v>
      </c>
      <c r="I501" s="8">
        <v>113075</v>
      </c>
      <c r="K501" s="8">
        <v>2183000</v>
      </c>
      <c r="M501" s="8">
        <v>269799</v>
      </c>
      <c r="O501" s="8">
        <v>1679599</v>
      </c>
      <c r="Q501" s="8">
        <v>0</v>
      </c>
      <c r="S501" s="9">
        <f>SUM(G501:R501)</f>
        <v>24983815</v>
      </c>
      <c r="U501" s="8">
        <v>2915902</v>
      </c>
      <c r="X501" s="8">
        <f>+'St of Net Assets - GA'!O503-'LT _Lia - GA'!U501</f>
        <v>0</v>
      </c>
    </row>
    <row r="502" spans="1:26">
      <c r="A502" s="13" t="s">
        <v>321</v>
      </c>
      <c r="B502" s="13"/>
      <c r="C502" s="13" t="s">
        <v>20</v>
      </c>
      <c r="D502" s="13"/>
      <c r="E502" s="32">
        <v>46607</v>
      </c>
      <c r="G502" s="8">
        <v>22345000</v>
      </c>
      <c r="I502" s="8">
        <v>0</v>
      </c>
      <c r="K502" s="8">
        <v>0</v>
      </c>
      <c r="M502" s="8">
        <v>0</v>
      </c>
      <c r="O502" s="8">
        <f>9233363+101433</f>
        <v>9334796</v>
      </c>
      <c r="Q502" s="8">
        <v>0</v>
      </c>
      <c r="S502" s="9">
        <f t="shared" si="23"/>
        <v>31679796</v>
      </c>
      <c r="U502" s="8">
        <v>3449948</v>
      </c>
      <c r="X502" s="8">
        <f>+'St of Net Assets - GA'!O504-'LT _Lia - GA'!U502</f>
        <v>0</v>
      </c>
    </row>
    <row r="503" spans="1:26">
      <c r="A503" s="13"/>
      <c r="B503" s="13"/>
      <c r="C503" s="13"/>
      <c r="D503" s="13"/>
      <c r="E503" s="32"/>
      <c r="S503" s="9"/>
    </row>
    <row r="504" spans="1:26">
      <c r="A504" s="13"/>
      <c r="B504" s="13"/>
      <c r="C504" s="13"/>
      <c r="D504" s="13"/>
      <c r="E504" s="32"/>
      <c r="S504" s="9"/>
      <c r="U504" s="8" t="s">
        <v>805</v>
      </c>
    </row>
    <row r="505" spans="1:26">
      <c r="A505" s="13"/>
      <c r="B505" s="13"/>
      <c r="C505" s="13"/>
      <c r="D505" s="13"/>
      <c r="E505" s="32"/>
      <c r="S505" s="9"/>
    </row>
    <row r="506" spans="1:26">
      <c r="A506" s="13" t="s">
        <v>868</v>
      </c>
      <c r="B506" s="13"/>
      <c r="C506" s="13" t="s">
        <v>37</v>
      </c>
      <c r="D506" s="13"/>
      <c r="E506" s="32"/>
      <c r="G506" s="35">
        <f>211614+1004296</f>
        <v>1215910</v>
      </c>
      <c r="H506" s="35"/>
      <c r="I506" s="35">
        <v>0</v>
      </c>
      <c r="J506" s="35"/>
      <c r="K506" s="35">
        <v>0</v>
      </c>
      <c r="L506" s="35"/>
      <c r="M506" s="35">
        <v>25199</v>
      </c>
      <c r="N506" s="35"/>
      <c r="O506" s="35">
        <v>517884</v>
      </c>
      <c r="P506" s="35"/>
      <c r="Q506" s="35">
        <v>0</v>
      </c>
      <c r="R506" s="35"/>
      <c r="S506" s="44">
        <f t="shared" si="23"/>
        <v>1758993</v>
      </c>
      <c r="T506" s="35"/>
      <c r="U506" s="35">
        <v>226452</v>
      </c>
      <c r="X506" s="8">
        <f>+'St of Net Assets - GA'!O505-'LT _Lia - GA'!U506</f>
        <v>0</v>
      </c>
    </row>
    <row r="507" spans="1:26">
      <c r="A507" s="13" t="s">
        <v>322</v>
      </c>
      <c r="B507" s="13"/>
      <c r="C507" s="13" t="s">
        <v>20</v>
      </c>
      <c r="D507" s="13"/>
      <c r="E507" s="32">
        <v>44792</v>
      </c>
      <c r="G507" s="8">
        <v>7988407</v>
      </c>
      <c r="I507" s="8">
        <v>0</v>
      </c>
      <c r="K507" s="8">
        <v>500000</v>
      </c>
      <c r="M507" s="8">
        <v>0</v>
      </c>
      <c r="O507" s="8">
        <v>3230916</v>
      </c>
      <c r="Q507" s="8">
        <v>0</v>
      </c>
      <c r="S507" s="9">
        <f t="shared" si="23"/>
        <v>11719323</v>
      </c>
      <c r="U507" s="8">
        <v>1693092</v>
      </c>
      <c r="X507" s="8">
        <f>+'St of Net Assets - GA'!O506-'LT _Lia - GA'!U507</f>
        <v>0</v>
      </c>
    </row>
    <row r="508" spans="1:26">
      <c r="A508" s="13" t="s">
        <v>471</v>
      </c>
      <c r="B508" s="13"/>
      <c r="C508" s="13" t="s">
        <v>466</v>
      </c>
      <c r="D508" s="13"/>
      <c r="E508" s="32">
        <v>47951</v>
      </c>
      <c r="G508" s="8">
        <f>1125000+7785000+556336+219083+307622</f>
        <v>9993041</v>
      </c>
      <c r="I508" s="8">
        <v>0</v>
      </c>
      <c r="K508" s="8">
        <v>0</v>
      </c>
      <c r="M508" s="8">
        <v>1677200</v>
      </c>
      <c r="O508" s="8">
        <v>1705229</v>
      </c>
      <c r="Q508" s="8">
        <v>0</v>
      </c>
      <c r="S508" s="9">
        <f t="shared" si="23"/>
        <v>13375470</v>
      </c>
      <c r="U508" s="8">
        <v>561959</v>
      </c>
      <c r="X508" s="8">
        <f>+'St of Net Assets - GA'!O507-'LT _Lia - GA'!U508</f>
        <v>0</v>
      </c>
    </row>
    <row r="509" spans="1:26">
      <c r="A509" s="13" t="s">
        <v>516</v>
      </c>
      <c r="B509" s="13"/>
      <c r="C509" s="13" t="s">
        <v>45</v>
      </c>
      <c r="D509" s="13"/>
      <c r="E509" s="32">
        <v>48363</v>
      </c>
      <c r="G509" s="8">
        <f>14623797+5574681</f>
        <v>20198478</v>
      </c>
      <c r="I509" s="8">
        <v>0</v>
      </c>
      <c r="K509" s="8">
        <v>0</v>
      </c>
      <c r="M509" s="8">
        <v>0</v>
      </c>
      <c r="O509" s="8">
        <v>604525</v>
      </c>
      <c r="Q509" s="8">
        <v>0</v>
      </c>
      <c r="S509" s="9">
        <f t="shared" si="23"/>
        <v>20803003</v>
      </c>
      <c r="U509" s="8">
        <v>585701</v>
      </c>
      <c r="X509" s="8">
        <f>+'St of Net Assets - GA'!O508-'LT _Lia - GA'!U509</f>
        <v>0</v>
      </c>
    </row>
    <row r="510" spans="1:26">
      <c r="A510" s="13" t="s">
        <v>594</v>
      </c>
      <c r="B510" s="13"/>
      <c r="C510" s="13" t="s">
        <v>56</v>
      </c>
      <c r="D510" s="13"/>
      <c r="E510" s="32">
        <v>49221</v>
      </c>
      <c r="G510" s="8">
        <v>5645430</v>
      </c>
      <c r="I510" s="8">
        <v>0</v>
      </c>
      <c r="K510" s="8">
        <v>0</v>
      </c>
      <c r="M510" s="8">
        <v>47827</v>
      </c>
      <c r="O510" s="8">
        <v>1573779</v>
      </c>
      <c r="Q510" s="8">
        <v>0</v>
      </c>
      <c r="S510" s="9">
        <f t="shared" si="23"/>
        <v>7267036</v>
      </c>
      <c r="U510" s="8">
        <v>387221</v>
      </c>
      <c r="X510" s="8">
        <f>+'St of Net Assets - GA'!O509-'LT _Lia - GA'!U510</f>
        <v>0</v>
      </c>
    </row>
    <row r="511" spans="1:26">
      <c r="A511" s="13" t="s">
        <v>594</v>
      </c>
      <c r="B511" s="13"/>
      <c r="C511" s="13" t="s">
        <v>71</v>
      </c>
      <c r="D511" s="13"/>
      <c r="E511" s="32">
        <v>50583</v>
      </c>
      <c r="G511" s="8">
        <v>0</v>
      </c>
      <c r="I511" s="8">
        <v>0</v>
      </c>
      <c r="K511" s="8">
        <v>208029</v>
      </c>
      <c r="M511" s="8">
        <v>0</v>
      </c>
      <c r="O511" s="8">
        <v>718719</v>
      </c>
      <c r="Q511" s="8">
        <v>0</v>
      </c>
      <c r="S511" s="9">
        <f t="shared" si="23"/>
        <v>926748</v>
      </c>
      <c r="U511" s="8">
        <v>226816</v>
      </c>
      <c r="X511" s="8">
        <f>+'St of Net Assets - GA'!O510-'LT _Lia - GA'!U511</f>
        <v>0</v>
      </c>
    </row>
    <row r="512" spans="1:26">
      <c r="A512" s="13" t="s">
        <v>264</v>
      </c>
      <c r="B512" s="13"/>
      <c r="C512" s="13" t="s">
        <v>17</v>
      </c>
      <c r="D512" s="13"/>
      <c r="E512" s="32">
        <v>46276</v>
      </c>
      <c r="G512" s="8">
        <v>0</v>
      </c>
      <c r="I512" s="8">
        <v>0</v>
      </c>
      <c r="K512" s="8">
        <v>365604</v>
      </c>
      <c r="M512" s="8">
        <v>119035</v>
      </c>
      <c r="O512" s="8">
        <v>431796</v>
      </c>
      <c r="Q512" s="8">
        <v>0</v>
      </c>
      <c r="S512" s="9">
        <f t="shared" si="23"/>
        <v>916435</v>
      </c>
      <c r="U512" s="8">
        <v>46829</v>
      </c>
      <c r="X512" s="8">
        <f>+'St of Net Assets - GA'!O511-'LT _Lia - GA'!U512</f>
        <v>0</v>
      </c>
    </row>
    <row r="513" spans="1:26">
      <c r="A513" s="13" t="s">
        <v>264</v>
      </c>
      <c r="B513" s="13"/>
      <c r="C513" s="13" t="s">
        <v>58</v>
      </c>
      <c r="D513" s="13"/>
      <c r="E513" s="32">
        <v>49528</v>
      </c>
      <c r="G513" s="8">
        <v>3335452</v>
      </c>
      <c r="I513" s="8">
        <v>0</v>
      </c>
      <c r="K513" s="8">
        <v>1383000</v>
      </c>
      <c r="M513" s="8">
        <v>0</v>
      </c>
      <c r="O513" s="8">
        <v>474116</v>
      </c>
      <c r="Q513" s="8">
        <v>0</v>
      </c>
      <c r="S513" s="9">
        <f t="shared" si="23"/>
        <v>5192568</v>
      </c>
      <c r="U513" s="8">
        <v>266626</v>
      </c>
      <c r="X513" s="8">
        <f>+'St of Net Assets - GA'!O512-'LT _Lia - GA'!U513</f>
        <v>0</v>
      </c>
    </row>
    <row r="514" spans="1:26">
      <c r="A514" s="13" t="s">
        <v>284</v>
      </c>
      <c r="B514" s="13"/>
      <c r="C514" s="13" t="s">
        <v>114</v>
      </c>
      <c r="D514" s="13"/>
      <c r="E514" s="32">
        <v>46441</v>
      </c>
      <c r="G514" s="8">
        <v>2622266</v>
      </c>
      <c r="I514" s="8">
        <v>0</v>
      </c>
      <c r="K514" s="8">
        <v>0</v>
      </c>
      <c r="M514" s="8">
        <f>3510+186395</f>
        <v>189905</v>
      </c>
      <c r="O514" s="8">
        <v>419593</v>
      </c>
      <c r="Q514" s="8">
        <v>0</v>
      </c>
      <c r="S514" s="9">
        <f>SUM(G514:R514)</f>
        <v>3231764</v>
      </c>
      <c r="U514" s="8">
        <v>185546</v>
      </c>
      <c r="X514" s="8">
        <f>+'St of Net Assets - GA'!O513-'LT _Lia - GA'!U514</f>
        <v>0</v>
      </c>
    </row>
    <row r="515" spans="1:26">
      <c r="A515" s="13" t="s">
        <v>284</v>
      </c>
      <c r="B515" s="13"/>
      <c r="C515" s="13" t="s">
        <v>531</v>
      </c>
      <c r="D515" s="13"/>
      <c r="E515" s="32">
        <v>46441</v>
      </c>
      <c r="G515" s="8">
        <v>2835000</v>
      </c>
      <c r="I515" s="8">
        <v>41343</v>
      </c>
      <c r="K515" s="8">
        <v>0</v>
      </c>
      <c r="M515" s="8">
        <v>21474</v>
      </c>
      <c r="O515" s="8">
        <v>297722</v>
      </c>
      <c r="Q515" s="8">
        <v>0</v>
      </c>
      <c r="S515" s="9">
        <f t="shared" si="23"/>
        <v>3195539</v>
      </c>
      <c r="U515" s="8">
        <v>187577</v>
      </c>
      <c r="X515" s="8">
        <f>+'St of Net Assets - GA'!O514-'LT _Lia - GA'!U515</f>
        <v>0</v>
      </c>
    </row>
    <row r="516" spans="1:26" hidden="1">
      <c r="A516" s="13" t="s">
        <v>1035</v>
      </c>
      <c r="B516" s="13"/>
      <c r="C516" s="13" t="s">
        <v>579</v>
      </c>
      <c r="D516" s="13"/>
      <c r="E516" s="32"/>
      <c r="G516" s="8">
        <v>0</v>
      </c>
      <c r="I516" s="8">
        <v>0</v>
      </c>
      <c r="K516" s="8">
        <v>0</v>
      </c>
      <c r="M516" s="8">
        <v>0</v>
      </c>
      <c r="O516" s="8">
        <v>0</v>
      </c>
      <c r="Q516" s="8">
        <v>0</v>
      </c>
      <c r="S516" s="9">
        <f t="shared" si="23"/>
        <v>0</v>
      </c>
      <c r="U516" s="8">
        <v>0</v>
      </c>
      <c r="X516" s="8">
        <f>+'St of Net Assets - GA'!O515-'LT _Lia - GA'!U516</f>
        <v>0</v>
      </c>
    </row>
    <row r="517" spans="1:26" s="35" customFormat="1">
      <c r="A517" s="34" t="s">
        <v>691</v>
      </c>
      <c r="B517" s="34"/>
      <c r="C517" s="34" t="s">
        <v>64</v>
      </c>
      <c r="D517" s="34"/>
      <c r="E517" s="34">
        <v>50237</v>
      </c>
      <c r="G517" s="8">
        <v>8090546</v>
      </c>
      <c r="H517" s="8"/>
      <c r="I517" s="8">
        <v>0</v>
      </c>
      <c r="J517" s="8"/>
      <c r="K517" s="8">
        <v>0</v>
      </c>
      <c r="L517" s="8"/>
      <c r="M517" s="8">
        <v>0</v>
      </c>
      <c r="N517" s="8"/>
      <c r="O517" s="8">
        <v>395714</v>
      </c>
      <c r="P517" s="8"/>
      <c r="Q517" s="8">
        <v>0</v>
      </c>
      <c r="R517" s="8"/>
      <c r="S517" s="9">
        <f t="shared" si="23"/>
        <v>8486260</v>
      </c>
      <c r="T517" s="8"/>
      <c r="U517" s="8">
        <v>138801</v>
      </c>
      <c r="X517" s="35">
        <f>+'St of Net Assets - GA'!O516-'LT _Lia - GA'!U517</f>
        <v>0</v>
      </c>
    </row>
    <row r="518" spans="1:26">
      <c r="A518" s="13" t="s">
        <v>481</v>
      </c>
      <c r="B518" s="13"/>
      <c r="C518" s="13" t="s">
        <v>42</v>
      </c>
      <c r="D518" s="13"/>
      <c r="E518" s="32">
        <v>48041</v>
      </c>
      <c r="G518" s="8">
        <f>3355000+3840000+1029743+6610000+2922258+6578+318537-348930+286380+286552-563565</f>
        <v>17742553</v>
      </c>
      <c r="I518" s="8">
        <v>0</v>
      </c>
      <c r="K518" s="8">
        <f>1100000+102352+200000+996</f>
        <v>1403348</v>
      </c>
      <c r="M518" s="8">
        <v>91376</v>
      </c>
      <c r="O518" s="8">
        <f>10000+2428049</f>
        <v>2438049</v>
      </c>
      <c r="Q518" s="8">
        <v>0</v>
      </c>
      <c r="S518" s="9">
        <f t="shared" si="23"/>
        <v>21675326</v>
      </c>
      <c r="U518" s="8">
        <v>1803703</v>
      </c>
      <c r="X518" s="8">
        <f>+'St of Net Assets - GA'!O517-'LT _Lia - GA'!U518</f>
        <v>0</v>
      </c>
    </row>
    <row r="519" spans="1:26">
      <c r="A519" s="13" t="s">
        <v>407</v>
      </c>
      <c r="B519" s="13"/>
      <c r="C519" s="13" t="s">
        <v>32</v>
      </c>
      <c r="D519" s="13"/>
      <c r="E519" s="32">
        <v>47381</v>
      </c>
      <c r="G519" s="8">
        <f>3260000+3250000+1130000+4465000+55000+144653+4590000+50000+143341+437521-276378</f>
        <v>17249137</v>
      </c>
      <c r="I519" s="8">
        <v>0</v>
      </c>
      <c r="K519" s="8">
        <v>800000</v>
      </c>
      <c r="M519" s="8">
        <v>0</v>
      </c>
      <c r="O519" s="8">
        <v>4704682</v>
      </c>
      <c r="Q519" s="8">
        <v>0</v>
      </c>
      <c r="S519" s="9">
        <f t="shared" si="23"/>
        <v>22753819</v>
      </c>
      <c r="U519" s="8">
        <v>2335667</v>
      </c>
      <c r="X519" s="8">
        <f>+'St of Net Assets - GA'!O518-'LT _Lia - GA'!U519</f>
        <v>0</v>
      </c>
    </row>
    <row r="520" spans="1:26">
      <c r="A520" s="13" t="s">
        <v>363</v>
      </c>
      <c r="B520" s="13"/>
      <c r="C520" s="13" t="s">
        <v>27</v>
      </c>
      <c r="D520" s="13"/>
      <c r="E520" s="32">
        <v>44800</v>
      </c>
      <c r="G520" s="8">
        <f>99051609+2550000</f>
        <v>101601609</v>
      </c>
      <c r="I520" s="8">
        <v>0</v>
      </c>
      <c r="K520" s="8">
        <v>533332</v>
      </c>
      <c r="M520" s="8">
        <v>0</v>
      </c>
      <c r="O520" s="8">
        <v>14037740</v>
      </c>
      <c r="Q520" s="8">
        <v>0</v>
      </c>
      <c r="S520" s="9">
        <f t="shared" si="23"/>
        <v>116172681</v>
      </c>
      <c r="U520" s="8">
        <v>12872337</v>
      </c>
      <c r="X520" s="8">
        <f>+'St of Net Assets - GA'!O519-'LT _Lia - GA'!U520</f>
        <v>0</v>
      </c>
    </row>
    <row r="521" spans="1:26" hidden="1">
      <c r="A521" s="12" t="s">
        <v>1037</v>
      </c>
      <c r="B521" s="13"/>
      <c r="C521" s="13" t="s">
        <v>10</v>
      </c>
      <c r="D521" s="13"/>
      <c r="E521" s="32">
        <v>45807</v>
      </c>
      <c r="F521" s="11"/>
      <c r="G521" s="8">
        <v>0</v>
      </c>
      <c r="I521" s="8">
        <v>0</v>
      </c>
      <c r="K521" s="8">
        <v>0</v>
      </c>
      <c r="M521" s="8">
        <v>0</v>
      </c>
      <c r="O521" s="8">
        <v>0</v>
      </c>
      <c r="Q521" s="8">
        <v>0</v>
      </c>
      <c r="S521" s="9">
        <f t="shared" si="23"/>
        <v>0</v>
      </c>
      <c r="U521" s="8">
        <v>0</v>
      </c>
      <c r="X521" s="8">
        <f>+'St of Net Assets - GA'!O520-'LT _Lia - GA'!U521</f>
        <v>0</v>
      </c>
    </row>
    <row r="522" spans="1:26" hidden="1">
      <c r="A522" s="12" t="s">
        <v>1036</v>
      </c>
      <c r="B522" s="13"/>
      <c r="C522" s="13" t="s">
        <v>69</v>
      </c>
      <c r="D522" s="13"/>
      <c r="E522" s="32">
        <v>50427</v>
      </c>
      <c r="G522" s="8">
        <v>0</v>
      </c>
      <c r="I522" s="8">
        <v>0</v>
      </c>
      <c r="K522" s="8">
        <v>0</v>
      </c>
      <c r="M522" s="8">
        <v>0</v>
      </c>
      <c r="O522" s="8">
        <v>0</v>
      </c>
      <c r="Q522" s="8">
        <v>0</v>
      </c>
      <c r="S522" s="9">
        <f t="shared" si="23"/>
        <v>0</v>
      </c>
      <c r="U522" s="8">
        <v>0</v>
      </c>
      <c r="X522" s="8">
        <f>+'St of Net Assets - GA'!O521-'LT _Lia - GA'!U522</f>
        <v>0</v>
      </c>
    </row>
    <row r="523" spans="1:26">
      <c r="A523" s="12" t="s">
        <v>862</v>
      </c>
      <c r="B523" s="12"/>
      <c r="C523" s="12" t="s">
        <v>17</v>
      </c>
      <c r="D523" s="12"/>
      <c r="E523" s="32"/>
      <c r="G523" s="8">
        <f>67790+64920+144000+2920000+1472371-1107149+327722+2014095+17460000+100033+1210894+937996+6440000+4025722+1648669</f>
        <v>37727063</v>
      </c>
      <c r="I523" s="8">
        <v>0</v>
      </c>
      <c r="K523" s="8">
        <v>0</v>
      </c>
      <c r="M523" s="8">
        <v>227296</v>
      </c>
      <c r="O523" s="8">
        <v>3571029</v>
      </c>
      <c r="Q523" s="8">
        <v>0</v>
      </c>
      <c r="S523" s="9">
        <f t="shared" si="23"/>
        <v>41525388</v>
      </c>
      <c r="U523" s="8">
        <v>4693040</v>
      </c>
      <c r="X523" s="8">
        <f>+'St of Net Assets - GA'!O522-'LT _Lia - GA'!U523</f>
        <v>0</v>
      </c>
    </row>
    <row r="524" spans="1:26">
      <c r="A524" s="12" t="s">
        <v>1062</v>
      </c>
      <c r="B524" s="13"/>
      <c r="C524" s="13" t="s">
        <v>117</v>
      </c>
      <c r="D524" s="13"/>
      <c r="E524" s="32">
        <v>48223</v>
      </c>
      <c r="G524" s="8">
        <f>4005000+4255000+860000+5250000+2250000</f>
        <v>16620000</v>
      </c>
      <c r="I524" s="8">
        <v>0</v>
      </c>
      <c r="K524" s="8">
        <v>0</v>
      </c>
      <c r="M524" s="8">
        <v>0</v>
      </c>
      <c r="O524" s="8">
        <v>2159831</v>
      </c>
      <c r="Q524" s="8">
        <v>0</v>
      </c>
      <c r="S524" s="9">
        <f t="shared" si="23"/>
        <v>18779831</v>
      </c>
      <c r="U524" s="8">
        <v>1940983</v>
      </c>
      <c r="X524" s="8">
        <f>+'St of Net Assets - GA'!O523-'LT _Lia - GA'!U524</f>
        <v>0</v>
      </c>
      <c r="Z524" s="15" t="s">
        <v>905</v>
      </c>
    </row>
    <row r="525" spans="1:26">
      <c r="A525" s="13" t="s">
        <v>500</v>
      </c>
      <c r="B525" s="13"/>
      <c r="C525" s="13" t="s">
        <v>45</v>
      </c>
      <c r="D525" s="13"/>
      <c r="E525" s="32">
        <v>48371</v>
      </c>
      <c r="G525" s="8">
        <v>909996</v>
      </c>
      <c r="I525" s="8">
        <v>0</v>
      </c>
      <c r="K525" s="8">
        <v>0</v>
      </c>
      <c r="M525" s="8">
        <f>753982+7324</f>
        <v>761306</v>
      </c>
      <c r="O525" s="8">
        <v>898625</v>
      </c>
      <c r="Q525" s="8">
        <v>0</v>
      </c>
      <c r="S525" s="9">
        <f t="shared" si="23"/>
        <v>2569927</v>
      </c>
      <c r="U525" s="8">
        <v>505446</v>
      </c>
      <c r="X525" s="8">
        <f>+'St of Net Assets - GA'!O524-'LT _Lia - GA'!U525</f>
        <v>0</v>
      </c>
    </row>
    <row r="526" spans="1:26">
      <c r="A526" s="13" t="s">
        <v>500</v>
      </c>
      <c r="B526" s="13"/>
      <c r="C526" s="13" t="s">
        <v>63</v>
      </c>
      <c r="D526" s="13"/>
      <c r="E526" s="32">
        <v>50062</v>
      </c>
      <c r="G526" s="8">
        <v>0</v>
      </c>
      <c r="I526" s="8">
        <v>0</v>
      </c>
      <c r="K526" s="8">
        <v>491597</v>
      </c>
      <c r="M526" s="8">
        <v>0</v>
      </c>
      <c r="O526" s="8">
        <v>1032842</v>
      </c>
      <c r="Q526" s="8">
        <v>0</v>
      </c>
      <c r="S526" s="9">
        <f t="shared" si="23"/>
        <v>1524439</v>
      </c>
      <c r="U526" s="8">
        <v>177846</v>
      </c>
      <c r="X526" s="8">
        <f>+'St of Net Assets - GA'!O525-'LT _Lia - GA'!U526</f>
        <v>0</v>
      </c>
    </row>
    <row r="527" spans="1:26">
      <c r="A527" s="13" t="s">
        <v>871</v>
      </c>
      <c r="B527" s="13"/>
      <c r="C527" s="13" t="s">
        <v>32</v>
      </c>
      <c r="D527" s="13"/>
      <c r="E527" s="32">
        <v>44719</v>
      </c>
      <c r="G527" s="8">
        <v>0</v>
      </c>
      <c r="I527" s="8">
        <v>0</v>
      </c>
      <c r="K527" s="8">
        <v>0</v>
      </c>
      <c r="M527" s="8">
        <v>1334000</v>
      </c>
      <c r="O527" s="8">
        <v>1218468</v>
      </c>
      <c r="Q527" s="8">
        <v>0</v>
      </c>
      <c r="S527" s="9">
        <f t="shared" si="23"/>
        <v>2552468</v>
      </c>
      <c r="U527" s="8">
        <v>343328</v>
      </c>
      <c r="X527" s="8">
        <f>+'St of Net Assets - GA'!O526-'LT _Lia - GA'!U527</f>
        <v>0</v>
      </c>
    </row>
    <row r="528" spans="1:26">
      <c r="A528" s="13" t="s">
        <v>870</v>
      </c>
      <c r="B528" s="13"/>
      <c r="C528" s="13" t="s">
        <v>15</v>
      </c>
      <c r="D528" s="13"/>
      <c r="E528" s="32">
        <v>45997</v>
      </c>
      <c r="G528" s="8">
        <v>4094188</v>
      </c>
      <c r="I528" s="8">
        <v>231371</v>
      </c>
      <c r="K528" s="8">
        <v>0</v>
      </c>
      <c r="M528" s="8">
        <v>0</v>
      </c>
      <c r="O528" s="8">
        <v>665761</v>
      </c>
      <c r="Q528" s="8">
        <v>0</v>
      </c>
      <c r="S528" s="9">
        <f t="shared" si="23"/>
        <v>4991320</v>
      </c>
      <c r="U528" s="8">
        <v>876240</v>
      </c>
      <c r="X528" s="8">
        <f>+'St of Net Assets - GA'!O527-'LT _Lia - GA'!U528</f>
        <v>0</v>
      </c>
    </row>
    <row r="529" spans="1:26" ht="12" hidden="1" customHeight="1">
      <c r="A529" s="12" t="s">
        <v>1038</v>
      </c>
      <c r="B529" s="13"/>
      <c r="C529" s="13" t="s">
        <v>534</v>
      </c>
      <c r="D529" s="13"/>
      <c r="E529" s="32">
        <v>48587</v>
      </c>
      <c r="G529" s="8">
        <v>0</v>
      </c>
      <c r="I529" s="8">
        <v>0</v>
      </c>
      <c r="K529" s="8">
        <v>0</v>
      </c>
      <c r="M529" s="8">
        <v>0</v>
      </c>
      <c r="O529" s="8">
        <v>0</v>
      </c>
      <c r="Q529" s="8">
        <v>0</v>
      </c>
      <c r="S529" s="9">
        <f>SUM(G529:R529)</f>
        <v>0</v>
      </c>
      <c r="U529" s="8">
        <v>0</v>
      </c>
      <c r="X529" s="8">
        <f>+'St of Net Assets - GA'!O528-'LT _Lia - GA'!U529</f>
        <v>0</v>
      </c>
    </row>
    <row r="530" spans="1:26" hidden="1">
      <c r="A530" s="12" t="s">
        <v>1039</v>
      </c>
      <c r="B530" s="13"/>
      <c r="C530" s="13" t="s">
        <v>14</v>
      </c>
      <c r="D530" s="13"/>
      <c r="E530" s="32">
        <v>44727</v>
      </c>
      <c r="G530" s="8">
        <v>0</v>
      </c>
      <c r="I530" s="8">
        <v>0</v>
      </c>
      <c r="K530" s="8">
        <v>0</v>
      </c>
      <c r="M530" s="8">
        <v>0</v>
      </c>
      <c r="O530" s="8">
        <v>0</v>
      </c>
      <c r="Q530" s="8">
        <v>0</v>
      </c>
      <c r="S530" s="9">
        <f>SUM(G530:R530)</f>
        <v>0</v>
      </c>
      <c r="U530" s="8">
        <v>0</v>
      </c>
      <c r="X530" s="8">
        <f>+'St of Net Assets - GA'!O529-'LT _Lia - GA'!U530</f>
        <v>0</v>
      </c>
    </row>
    <row r="531" spans="1:26">
      <c r="A531" s="13" t="s">
        <v>452</v>
      </c>
      <c r="B531" s="13"/>
      <c r="C531" s="13" t="s">
        <v>39</v>
      </c>
      <c r="D531" s="13"/>
      <c r="E531" s="13">
        <v>44826</v>
      </c>
      <c r="G531" s="8">
        <v>12370587</v>
      </c>
      <c r="I531" s="8">
        <v>0</v>
      </c>
      <c r="K531" s="8">
        <v>0</v>
      </c>
      <c r="M531" s="8">
        <v>0</v>
      </c>
      <c r="O531" s="8">
        <v>1090237</v>
      </c>
      <c r="Q531" s="8">
        <v>0</v>
      </c>
      <c r="S531" s="9">
        <f>SUM(G531:R531)</f>
        <v>13460824</v>
      </c>
      <c r="U531" s="8">
        <v>871227</v>
      </c>
      <c r="X531" s="8">
        <f>+'St of Net Assets - GA'!O530-'LT _Lia - GA'!U531</f>
        <v>0</v>
      </c>
    </row>
    <row r="532" spans="1:26">
      <c r="A532" s="13" t="s">
        <v>671</v>
      </c>
      <c r="B532" s="13"/>
      <c r="C532" s="13" t="s">
        <v>63</v>
      </c>
      <c r="D532" s="13"/>
      <c r="E532" s="32">
        <v>44834</v>
      </c>
      <c r="G532" s="8">
        <v>3355000</v>
      </c>
      <c r="I532" s="8">
        <v>0</v>
      </c>
      <c r="K532" s="8">
        <v>0</v>
      </c>
      <c r="M532" s="8">
        <v>0</v>
      </c>
      <c r="O532" s="8">
        <v>4202778</v>
      </c>
      <c r="Q532" s="8">
        <v>0</v>
      </c>
      <c r="S532" s="9">
        <f t="shared" ref="S532:S543" si="24">SUM(G532:R532)</f>
        <v>7557778</v>
      </c>
      <c r="U532" s="8">
        <v>672478</v>
      </c>
      <c r="X532" s="8">
        <f>+'St of Net Assets - GA'!O531-'LT _Lia - GA'!U532</f>
        <v>0</v>
      </c>
    </row>
    <row r="533" spans="1:26" ht="12" hidden="1" customHeight="1">
      <c r="A533" s="13" t="s">
        <v>1040</v>
      </c>
      <c r="B533" s="13"/>
      <c r="C533" s="13" t="s">
        <v>65</v>
      </c>
      <c r="D533" s="13"/>
      <c r="E533" s="32">
        <v>50294</v>
      </c>
      <c r="Q533" s="8">
        <v>0</v>
      </c>
      <c r="S533" s="9">
        <f t="shared" si="24"/>
        <v>0</v>
      </c>
      <c r="X533" s="8">
        <f>+'St of Net Assets - GA'!O532-'LT _Lia - GA'!U533</f>
        <v>0</v>
      </c>
      <c r="Z533" s="8" t="s">
        <v>967</v>
      </c>
    </row>
    <row r="534" spans="1:26">
      <c r="A534" s="13" t="s">
        <v>595</v>
      </c>
      <c r="B534" s="13"/>
      <c r="C534" s="13" t="s">
        <v>56</v>
      </c>
      <c r="D534" s="13"/>
      <c r="E534" s="32">
        <v>49239</v>
      </c>
      <c r="G534" s="8">
        <f>12914920+210000+850000</f>
        <v>13974920</v>
      </c>
      <c r="I534" s="8">
        <f>430000+11037</f>
        <v>441037</v>
      </c>
      <c r="K534" s="8">
        <v>0</v>
      </c>
      <c r="M534" s="8">
        <v>0</v>
      </c>
      <c r="O534" s="8">
        <f>1192595+201276</f>
        <v>1393871</v>
      </c>
      <c r="Q534" s="8">
        <v>0</v>
      </c>
      <c r="S534" s="9">
        <f t="shared" si="24"/>
        <v>15809828</v>
      </c>
      <c r="U534" s="8">
        <v>1179507</v>
      </c>
      <c r="X534" s="8">
        <f>+'St of Net Assets - GA'!O533-'LT _Lia - GA'!U534</f>
        <v>0</v>
      </c>
    </row>
    <row r="535" spans="1:26">
      <c r="A535" s="13" t="s">
        <v>323</v>
      </c>
      <c r="B535" s="13"/>
      <c r="C535" s="13" t="s">
        <v>20</v>
      </c>
      <c r="D535" s="13"/>
      <c r="E535" s="13">
        <v>44842</v>
      </c>
      <c r="G535" s="8">
        <f>17622725+5391667</f>
        <v>23014392</v>
      </c>
      <c r="I535" s="8">
        <v>0</v>
      </c>
      <c r="K535" s="8">
        <v>0</v>
      </c>
      <c r="M535" s="8">
        <v>455808</v>
      </c>
      <c r="O535" s="8">
        <v>7362671</v>
      </c>
      <c r="Q535" s="8">
        <v>0</v>
      </c>
      <c r="S535" s="9">
        <f t="shared" si="24"/>
        <v>30832871</v>
      </c>
      <c r="U535" s="8">
        <v>4286631</v>
      </c>
      <c r="X535" s="8">
        <f>+'St of Net Assets - GA'!O534-'LT _Lia - GA'!U535</f>
        <v>0</v>
      </c>
    </row>
    <row r="536" spans="1:26">
      <c r="A536" s="13" t="s">
        <v>517</v>
      </c>
      <c r="B536" s="13"/>
      <c r="C536" s="13" t="s">
        <v>45</v>
      </c>
      <c r="D536" s="13"/>
      <c r="E536" s="32">
        <v>44859</v>
      </c>
      <c r="G536" s="8">
        <v>4559492</v>
      </c>
      <c r="I536" s="8">
        <v>0</v>
      </c>
      <c r="K536" s="8">
        <v>160600</v>
      </c>
      <c r="M536" s="8">
        <v>0</v>
      </c>
      <c r="O536" s="8">
        <f>1370167+6000</f>
        <v>1376167</v>
      </c>
      <c r="Q536" s="8">
        <v>0</v>
      </c>
      <c r="S536" s="9">
        <f t="shared" si="24"/>
        <v>6096259</v>
      </c>
      <c r="U536" s="8">
        <v>596206</v>
      </c>
      <c r="X536" s="8">
        <f>+'St of Net Assets - GA'!O535-'LT _Lia - GA'!U536</f>
        <v>0</v>
      </c>
    </row>
    <row r="537" spans="1:26">
      <c r="A537" s="13" t="s">
        <v>732</v>
      </c>
      <c r="B537" s="13"/>
      <c r="C537" s="13" t="s">
        <v>727</v>
      </c>
      <c r="D537" s="13"/>
      <c r="E537" s="32">
        <v>50658</v>
      </c>
      <c r="G537" s="8">
        <f>26960+65000+1215000+260000+39751+145000+3695000+345000</f>
        <v>5791711</v>
      </c>
      <c r="I537" s="8">
        <v>0</v>
      </c>
      <c r="K537" s="8">
        <v>77505</v>
      </c>
      <c r="M537" s="8">
        <v>52505</v>
      </c>
      <c r="O537" s="8">
        <v>342656</v>
      </c>
      <c r="Q537" s="8">
        <v>0</v>
      </c>
      <c r="S537" s="9">
        <f t="shared" si="24"/>
        <v>6264377</v>
      </c>
      <c r="U537" s="8">
        <v>207861</v>
      </c>
      <c r="X537" s="8">
        <f>+'St of Net Assets - GA'!O536-'LT _Lia - GA'!U537</f>
        <v>0</v>
      </c>
    </row>
    <row r="538" spans="1:26">
      <c r="A538" s="13" t="s">
        <v>387</v>
      </c>
      <c r="B538" s="13"/>
      <c r="C538" s="13" t="s">
        <v>116</v>
      </c>
      <c r="D538" s="13"/>
      <c r="E538" s="32">
        <v>47274</v>
      </c>
      <c r="G538" s="8">
        <v>45018340</v>
      </c>
      <c r="I538" s="8">
        <v>0</v>
      </c>
      <c r="K538" s="8">
        <v>0</v>
      </c>
      <c r="M538" s="8">
        <v>5146754</v>
      </c>
      <c r="O538" s="8">
        <v>1377595</v>
      </c>
      <c r="Q538" s="8">
        <v>0</v>
      </c>
      <c r="S538" s="9">
        <f t="shared" si="24"/>
        <v>51542689</v>
      </c>
      <c r="U538" s="8">
        <v>2613644</v>
      </c>
      <c r="X538" s="8">
        <f>+'St of Net Assets - GA'!O537-'LT _Lia - GA'!U538</f>
        <v>0</v>
      </c>
    </row>
    <row r="539" spans="1:26">
      <c r="A539" s="13" t="s">
        <v>373</v>
      </c>
      <c r="B539" s="13"/>
      <c r="C539" s="13" t="s">
        <v>28</v>
      </c>
      <c r="D539" s="13"/>
      <c r="E539" s="32">
        <v>47092</v>
      </c>
      <c r="G539" s="8">
        <v>13187112</v>
      </c>
      <c r="I539" s="8">
        <v>0</v>
      </c>
      <c r="K539" s="8">
        <v>0</v>
      </c>
      <c r="M539" s="8">
        <v>0</v>
      </c>
      <c r="O539" s="8">
        <v>611355</v>
      </c>
      <c r="Q539" s="8">
        <v>0</v>
      </c>
      <c r="S539" s="9">
        <f t="shared" si="24"/>
        <v>13798467</v>
      </c>
      <c r="U539" s="8">
        <v>985155</v>
      </c>
      <c r="X539" s="8">
        <f>+'St of Net Assets - GA'!O538-'LT _Lia - GA'!U539</f>
        <v>0</v>
      </c>
    </row>
    <row r="540" spans="1:26">
      <c r="A540" s="13" t="s">
        <v>861</v>
      </c>
      <c r="B540" s="13"/>
      <c r="C540" s="13" t="s">
        <v>49</v>
      </c>
      <c r="D540" s="13"/>
      <c r="E540" s="32">
        <v>48652</v>
      </c>
      <c r="G540" s="8">
        <v>0</v>
      </c>
      <c r="I540" s="8">
        <v>0</v>
      </c>
      <c r="K540" s="8">
        <v>25000000</v>
      </c>
      <c r="M540" s="8">
        <v>0</v>
      </c>
      <c r="O540" s="8">
        <v>1857765</v>
      </c>
      <c r="Q540" s="8">
        <v>0</v>
      </c>
      <c r="S540" s="9">
        <f t="shared" si="24"/>
        <v>26857765</v>
      </c>
      <c r="U540" s="8">
        <v>25095056</v>
      </c>
      <c r="X540" s="8">
        <f>+'St of Net Assets - GA'!O539-'LT _Lia - GA'!U540</f>
        <v>0</v>
      </c>
    </row>
    <row r="541" spans="1:26">
      <c r="A541" s="13" t="s">
        <v>409</v>
      </c>
      <c r="B541" s="13"/>
      <c r="C541" s="13" t="s">
        <v>32</v>
      </c>
      <c r="D541" s="13"/>
      <c r="E541" s="32">
        <v>44867</v>
      </c>
      <c r="G541" s="8">
        <v>33591776</v>
      </c>
      <c r="I541" s="8">
        <v>0</v>
      </c>
      <c r="K541" s="8">
        <v>0</v>
      </c>
      <c r="M541" s="8">
        <v>10150000</v>
      </c>
      <c r="O541" s="8">
        <v>8992760</v>
      </c>
      <c r="Q541" s="8">
        <v>0</v>
      </c>
      <c r="S541" s="9">
        <f t="shared" si="24"/>
        <v>52734536</v>
      </c>
      <c r="U541" s="8">
        <v>3422337</v>
      </c>
      <c r="X541" s="8">
        <f>+'St of Net Assets - GA'!O540-'LT _Lia - GA'!U541</f>
        <v>0</v>
      </c>
    </row>
    <row r="542" spans="1:26">
      <c r="A542" s="13" t="s">
        <v>501</v>
      </c>
      <c r="B542" s="13"/>
      <c r="C542" s="13" t="s">
        <v>117</v>
      </c>
      <c r="D542" s="13"/>
      <c r="E542" s="32">
        <v>44875</v>
      </c>
      <c r="G542" s="8">
        <v>105641781</v>
      </c>
      <c r="I542" s="8">
        <v>0</v>
      </c>
      <c r="K542" s="8">
        <v>15500000</v>
      </c>
      <c r="M542" s="8">
        <v>454219</v>
      </c>
      <c r="O542" s="8">
        <v>9945324</v>
      </c>
      <c r="Q542" s="8">
        <v>0</v>
      </c>
      <c r="S542" s="9">
        <f t="shared" si="24"/>
        <v>131541324</v>
      </c>
      <c r="U542" s="8">
        <v>21041992</v>
      </c>
      <c r="X542" s="8">
        <f>+'St of Net Assets - GA'!O541-'LT _Lia - GA'!U542</f>
        <v>0</v>
      </c>
    </row>
    <row r="543" spans="1:26">
      <c r="A543" s="13" t="s">
        <v>472</v>
      </c>
      <c r="B543" s="13"/>
      <c r="C543" s="13" t="s">
        <v>466</v>
      </c>
      <c r="D543" s="13"/>
      <c r="E543" s="32">
        <v>47969</v>
      </c>
      <c r="G543" s="8">
        <v>686596</v>
      </c>
      <c r="I543" s="8">
        <v>0</v>
      </c>
      <c r="K543" s="8">
        <v>0</v>
      </c>
      <c r="M543" s="8">
        <v>0</v>
      </c>
      <c r="O543" s="8">
        <f>162480+655839</f>
        <v>818319</v>
      </c>
      <c r="Q543" s="8">
        <v>0</v>
      </c>
      <c r="S543" s="9">
        <f t="shared" si="24"/>
        <v>1504915</v>
      </c>
      <c r="U543" s="8">
        <v>268788</v>
      </c>
      <c r="X543" s="8">
        <f>+'St of Net Assets - GA'!O542-'LT _Lia - GA'!U543</f>
        <v>0</v>
      </c>
      <c r="Z543" s="8" t="s">
        <v>956</v>
      </c>
    </row>
    <row r="544" spans="1:26">
      <c r="A544" s="12" t="s">
        <v>1063</v>
      </c>
      <c r="B544" s="13"/>
      <c r="C544" s="13" t="s">
        <v>242</v>
      </c>
      <c r="D544" s="13"/>
      <c r="E544" s="32">
        <v>46151</v>
      </c>
      <c r="G544" s="8">
        <f>8065000+55000+198703+25168</f>
        <v>8343871</v>
      </c>
      <c r="I544" s="8">
        <v>0</v>
      </c>
      <c r="K544" s="8">
        <v>0</v>
      </c>
      <c r="M544" s="8">
        <v>2705000</v>
      </c>
      <c r="O544" s="8">
        <v>2158299</v>
      </c>
      <c r="Q544" s="8">
        <v>0</v>
      </c>
      <c r="S544" s="9">
        <f t="shared" ref="S544:S584" si="25">SUM(G544:R544)</f>
        <v>13207170</v>
      </c>
      <c r="U544" s="8">
        <v>724650</v>
      </c>
      <c r="X544" s="8">
        <f>+'St of Net Assets - GA'!O543-'LT _Lia - GA'!U544</f>
        <v>0</v>
      </c>
      <c r="Z544" s="15" t="s">
        <v>905</v>
      </c>
    </row>
    <row r="545" spans="1:26">
      <c r="A545" s="13" t="s">
        <v>672</v>
      </c>
      <c r="B545" s="13"/>
      <c r="C545" s="13" t="s">
        <v>63</v>
      </c>
      <c r="D545" s="13"/>
      <c r="E545" s="32">
        <v>44883</v>
      </c>
      <c r="G545" s="8">
        <v>28313627</v>
      </c>
      <c r="I545" s="8">
        <v>0</v>
      </c>
      <c r="K545" s="8">
        <v>0</v>
      </c>
      <c r="M545" s="8">
        <v>0</v>
      </c>
      <c r="O545" s="8">
        <v>2282434</v>
      </c>
      <c r="Q545" s="8">
        <v>0</v>
      </c>
      <c r="S545" s="9">
        <f t="shared" si="25"/>
        <v>30596061</v>
      </c>
      <c r="U545" s="8">
        <v>1068633</v>
      </c>
      <c r="X545" s="8">
        <f>+'St of Net Assets - GA'!O544-'LT _Lia - GA'!U545</f>
        <v>0</v>
      </c>
    </row>
    <row r="546" spans="1:26">
      <c r="A546" s="13" t="s">
        <v>583</v>
      </c>
      <c r="B546" s="13"/>
      <c r="C546" s="13" t="s">
        <v>54</v>
      </c>
      <c r="D546" s="13"/>
      <c r="E546" s="32">
        <v>49098</v>
      </c>
      <c r="G546" s="8">
        <v>39125188</v>
      </c>
      <c r="I546" s="8">
        <v>0</v>
      </c>
      <c r="K546" s="8">
        <v>0</v>
      </c>
      <c r="M546" s="8">
        <v>188157</v>
      </c>
      <c r="O546" s="8">
        <v>2581493</v>
      </c>
      <c r="Q546" s="8">
        <v>0</v>
      </c>
      <c r="S546" s="9">
        <f t="shared" si="25"/>
        <v>41894838</v>
      </c>
      <c r="U546" s="8">
        <v>1401098</v>
      </c>
      <c r="X546" s="8">
        <f>+'St of Net Assets - GA'!O545-'LT _Lia - GA'!U546</f>
        <v>0</v>
      </c>
    </row>
    <row r="547" spans="1:26">
      <c r="A547" s="13" t="s">
        <v>265</v>
      </c>
      <c r="B547" s="13"/>
      <c r="C547" s="13" t="s">
        <v>17</v>
      </c>
      <c r="D547" s="13"/>
      <c r="E547" s="32">
        <v>46243</v>
      </c>
      <c r="G547" s="8">
        <v>18874562</v>
      </c>
      <c r="I547" s="8">
        <v>0</v>
      </c>
      <c r="K547" s="8">
        <v>0</v>
      </c>
      <c r="M547" s="8">
        <v>0</v>
      </c>
      <c r="O547" s="8">
        <v>2170577</v>
      </c>
      <c r="Q547" s="8">
        <v>0</v>
      </c>
      <c r="S547" s="9">
        <f t="shared" si="25"/>
        <v>21045139</v>
      </c>
      <c r="U547" s="8">
        <v>489336</v>
      </c>
      <c r="X547" s="8">
        <f>+'St of Net Assets - GA'!O546-'LT _Lia - GA'!U547</f>
        <v>0</v>
      </c>
    </row>
    <row r="548" spans="1:26">
      <c r="A548" s="13" t="s">
        <v>1064</v>
      </c>
      <c r="B548" s="13"/>
      <c r="C548" s="13" t="s">
        <v>32</v>
      </c>
      <c r="D548" s="13"/>
      <c r="E548" s="32">
        <v>47399</v>
      </c>
      <c r="G548" s="8">
        <v>0</v>
      </c>
      <c r="I548" s="8">
        <v>0</v>
      </c>
      <c r="K548" s="8">
        <v>0</v>
      </c>
      <c r="M548" s="8">
        <v>0</v>
      </c>
      <c r="O548" s="8">
        <v>2396294</v>
      </c>
      <c r="Q548" s="8">
        <v>0</v>
      </c>
      <c r="S548" s="9">
        <f t="shared" si="25"/>
        <v>2396294</v>
      </c>
      <c r="U548" s="8">
        <v>392875</v>
      </c>
      <c r="X548" s="8">
        <f>+'St of Net Assets - GA'!O547-'LT _Lia - GA'!U548</f>
        <v>0</v>
      </c>
      <c r="Z548" s="15" t="s">
        <v>905</v>
      </c>
    </row>
    <row r="549" spans="1:26">
      <c r="A549" s="13" t="s">
        <v>640</v>
      </c>
      <c r="B549" s="13"/>
      <c r="C549" s="13" t="s">
        <v>60</v>
      </c>
      <c r="D549" s="13"/>
      <c r="E549" s="32">
        <v>44891</v>
      </c>
      <c r="G549" s="8">
        <f>551956+2090000+6024016</f>
        <v>8665972</v>
      </c>
      <c r="I549" s="8">
        <v>0</v>
      </c>
      <c r="K549" s="8">
        <v>0</v>
      </c>
      <c r="M549" s="8">
        <v>517614</v>
      </c>
      <c r="O549" s="8">
        <v>1761963</v>
      </c>
      <c r="Q549" s="8">
        <v>0</v>
      </c>
      <c r="S549" s="9">
        <f t="shared" si="25"/>
        <v>10945549</v>
      </c>
      <c r="U549" s="8">
        <v>872229</v>
      </c>
      <c r="X549" s="8">
        <f>+'St of Net Assets - GA'!O548-'LT _Lia - GA'!U549</f>
        <v>0</v>
      </c>
    </row>
    <row r="550" spans="1:26">
      <c r="A550" s="13" t="s">
        <v>541</v>
      </c>
      <c r="B550" s="13"/>
      <c r="C550" s="13" t="s">
        <v>48</v>
      </c>
      <c r="D550" s="13"/>
      <c r="E550" s="32">
        <v>45617</v>
      </c>
      <c r="G550" s="8">
        <v>18926022</v>
      </c>
      <c r="I550" s="8">
        <v>0</v>
      </c>
      <c r="K550" s="8">
        <v>0</v>
      </c>
      <c r="M550" s="8">
        <v>489073</v>
      </c>
      <c r="O550" s="8">
        <v>2252919</v>
      </c>
      <c r="Q550" s="8">
        <v>0</v>
      </c>
      <c r="S550" s="9">
        <f t="shared" si="25"/>
        <v>21668014</v>
      </c>
      <c r="U550" s="8">
        <v>1120752</v>
      </c>
      <c r="X550" s="8">
        <f>+'St of Net Assets - GA'!O549-'LT _Lia - GA'!U550</f>
        <v>0</v>
      </c>
    </row>
    <row r="551" spans="1:26">
      <c r="A551" s="13" t="s">
        <v>502</v>
      </c>
      <c r="B551" s="13"/>
      <c r="C551" s="13" t="s">
        <v>117</v>
      </c>
      <c r="D551" s="13"/>
      <c r="E551" s="32">
        <v>44909</v>
      </c>
      <c r="G551" s="8">
        <v>181939114</v>
      </c>
      <c r="I551" s="8">
        <v>0</v>
      </c>
      <c r="K551" s="8">
        <v>0</v>
      </c>
      <c r="M551" s="8">
        <v>0</v>
      </c>
      <c r="O551" s="8">
        <v>43843300</v>
      </c>
      <c r="Q551" s="8">
        <v>0</v>
      </c>
      <c r="S551" s="9">
        <f t="shared" si="25"/>
        <v>225782414</v>
      </c>
      <c r="U551" s="8">
        <v>8142650</v>
      </c>
      <c r="X551" s="8">
        <f>+'St of Net Assets - GA'!O550-'LT _Lia - GA'!U551</f>
        <v>0</v>
      </c>
    </row>
    <row r="552" spans="1:26">
      <c r="A552" s="13" t="s">
        <v>1024</v>
      </c>
      <c r="B552" s="13"/>
      <c r="C552" s="13" t="s">
        <v>117</v>
      </c>
      <c r="D552" s="13"/>
      <c r="E552" s="32"/>
      <c r="G552" s="8">
        <v>3645000</v>
      </c>
      <c r="I552" s="8">
        <f>350117+117000</f>
        <v>467117</v>
      </c>
      <c r="K552" s="8">
        <v>0</v>
      </c>
      <c r="M552" s="8">
        <v>0</v>
      </c>
      <c r="O552" s="8">
        <v>0</v>
      </c>
      <c r="Q552" s="8">
        <v>0</v>
      </c>
      <c r="S552" s="9">
        <f t="shared" si="25"/>
        <v>4112117</v>
      </c>
      <c r="U552" s="8">
        <v>168343</v>
      </c>
      <c r="X552" s="8">
        <f>+'St of Net Assets - GA'!O551-'LT _Lia - GA'!U552</f>
        <v>0</v>
      </c>
    </row>
    <row r="553" spans="1:26">
      <c r="A553" s="13" t="s">
        <v>1065</v>
      </c>
      <c r="B553" s="13"/>
      <c r="C553" s="13" t="s">
        <v>39</v>
      </c>
      <c r="D553" s="13"/>
      <c r="E553" s="32">
        <v>44917</v>
      </c>
      <c r="G553" s="8">
        <v>0</v>
      </c>
      <c r="I553" s="8">
        <v>0</v>
      </c>
      <c r="K553" s="8">
        <v>0</v>
      </c>
      <c r="M553" s="8">
        <v>49825</v>
      </c>
      <c r="O553" s="8">
        <v>399779</v>
      </c>
      <c r="Q553" s="8">
        <v>0</v>
      </c>
      <c r="S553" s="9">
        <f t="shared" si="25"/>
        <v>449604</v>
      </c>
      <c r="U553" s="8">
        <v>41635</v>
      </c>
      <c r="X553" s="8">
        <f>+'St of Net Assets - GA'!O552-'LT _Lia - GA'!U553</f>
        <v>0</v>
      </c>
      <c r="Z553" s="15" t="s">
        <v>905</v>
      </c>
    </row>
    <row r="554" spans="1:26">
      <c r="A554" s="13" t="s">
        <v>257</v>
      </c>
      <c r="B554" s="13"/>
      <c r="C554" s="13" t="s">
        <v>255</v>
      </c>
      <c r="D554" s="13"/>
      <c r="E554" s="32">
        <v>46201</v>
      </c>
      <c r="G554" s="8">
        <f>125000+2035000+184994+144092</f>
        <v>2489086</v>
      </c>
      <c r="I554" s="8">
        <v>0</v>
      </c>
      <c r="K554" s="8">
        <v>0</v>
      </c>
      <c r="M554" s="8">
        <v>2083000</v>
      </c>
      <c r="O554" s="8">
        <v>357282</v>
      </c>
      <c r="Q554" s="8">
        <v>0</v>
      </c>
      <c r="S554" s="9">
        <f t="shared" si="25"/>
        <v>4929368</v>
      </c>
      <c r="U554" s="8">
        <v>229970</v>
      </c>
      <c r="X554" s="8">
        <f>+'St of Net Assets - GA'!O553-'LT _Lia - GA'!U554</f>
        <v>0</v>
      </c>
    </row>
    <row r="555" spans="1:26">
      <c r="A555" s="13" t="s">
        <v>600</v>
      </c>
      <c r="B555" s="13"/>
      <c r="C555" s="13" t="s">
        <v>57</v>
      </c>
      <c r="D555" s="13"/>
      <c r="E555" s="32">
        <v>91397</v>
      </c>
      <c r="G555" s="8">
        <v>120000</v>
      </c>
      <c r="I555" s="8">
        <v>0</v>
      </c>
      <c r="K555" s="8">
        <v>200000</v>
      </c>
      <c r="M555" s="8">
        <v>0</v>
      </c>
      <c r="O555" s="8">
        <v>483498</v>
      </c>
      <c r="Q555" s="8">
        <v>0</v>
      </c>
      <c r="S555" s="9">
        <f t="shared" si="25"/>
        <v>803498</v>
      </c>
      <c r="U555" s="8">
        <v>322617</v>
      </c>
      <c r="X555" s="8">
        <f>+'St of Net Assets - GA'!O554-'LT _Lia - GA'!U555</f>
        <v>0</v>
      </c>
    </row>
    <row r="556" spans="1:26">
      <c r="A556" s="13" t="s">
        <v>225</v>
      </c>
      <c r="B556" s="13"/>
      <c r="C556" s="13" t="s">
        <v>13</v>
      </c>
      <c r="D556" s="13"/>
      <c r="E556" s="32">
        <v>45922</v>
      </c>
      <c r="G556" s="8">
        <v>740000</v>
      </c>
      <c r="I556" s="8">
        <v>0</v>
      </c>
      <c r="K556" s="8">
        <v>0</v>
      </c>
      <c r="M556" s="8">
        <v>60055</v>
      </c>
      <c r="O556" s="8">
        <v>680624</v>
      </c>
      <c r="Q556" s="8">
        <v>0</v>
      </c>
      <c r="S556" s="9">
        <f t="shared" si="25"/>
        <v>1480679</v>
      </c>
      <c r="U556" s="8">
        <v>125406</v>
      </c>
      <c r="X556" s="8">
        <f>+'St of Net Assets - GA'!O555-'LT _Lia - GA'!U556</f>
        <v>0</v>
      </c>
    </row>
    <row r="557" spans="1:26">
      <c r="A557" s="13" t="s">
        <v>566</v>
      </c>
      <c r="B557" s="13"/>
      <c r="C557" s="13" t="s">
        <v>51</v>
      </c>
      <c r="D557" s="13"/>
      <c r="E557" s="32">
        <v>48876</v>
      </c>
      <c r="G557" s="8">
        <v>16634821</v>
      </c>
      <c r="I557" s="8">
        <v>0</v>
      </c>
      <c r="K557" s="8">
        <v>0</v>
      </c>
      <c r="M557" s="8">
        <v>46910</v>
      </c>
      <c r="O557" s="8">
        <v>1255038</v>
      </c>
      <c r="Q557" s="8">
        <v>0</v>
      </c>
      <c r="S557" s="9">
        <f t="shared" si="25"/>
        <v>17936769</v>
      </c>
      <c r="U557" s="8">
        <v>603743</v>
      </c>
      <c r="X557" s="8">
        <f>+'St of Net Assets - GA'!O556-'LT _Lia - GA'!U557</f>
        <v>0</v>
      </c>
    </row>
    <row r="558" spans="1:26" hidden="1">
      <c r="A558" s="12" t="s">
        <v>1018</v>
      </c>
      <c r="B558" s="13"/>
      <c r="C558" s="13" t="s">
        <v>21</v>
      </c>
      <c r="D558" s="13"/>
      <c r="E558" s="32">
        <v>46680</v>
      </c>
      <c r="G558" s="8">
        <v>0</v>
      </c>
      <c r="I558" s="8">
        <v>0</v>
      </c>
      <c r="K558" s="8">
        <v>0</v>
      </c>
      <c r="M558" s="8">
        <v>0</v>
      </c>
      <c r="O558" s="8">
        <v>0</v>
      </c>
      <c r="Q558" s="8">
        <v>0</v>
      </c>
      <c r="S558" s="9">
        <f t="shared" si="25"/>
        <v>0</v>
      </c>
      <c r="U558" s="8">
        <v>0</v>
      </c>
      <c r="X558" s="8">
        <f>+'St of Net Assets - GA'!O557-'LT _Lia - GA'!U558</f>
        <v>0</v>
      </c>
    </row>
    <row r="559" spans="1:26">
      <c r="A559" s="13" t="s">
        <v>725</v>
      </c>
      <c r="B559" s="13"/>
      <c r="C559" s="13" t="s">
        <v>71</v>
      </c>
      <c r="D559" s="13"/>
      <c r="E559" s="32">
        <v>50591</v>
      </c>
      <c r="G559" s="8">
        <v>0</v>
      </c>
      <c r="I559" s="8">
        <v>0</v>
      </c>
      <c r="K559" s="8">
        <f>601520+208711</f>
        <v>810231</v>
      </c>
      <c r="M559" s="8">
        <v>0</v>
      </c>
      <c r="O559" s="8">
        <v>1322168</v>
      </c>
      <c r="Q559" s="8">
        <v>0</v>
      </c>
      <c r="S559" s="9">
        <f t="shared" si="25"/>
        <v>2132399</v>
      </c>
      <c r="U559" s="8">
        <v>436441</v>
      </c>
      <c r="X559" s="8">
        <f>+'St of Net Assets - GA'!O558-'LT _Lia - GA'!U559</f>
        <v>0</v>
      </c>
    </row>
    <row r="560" spans="1:26">
      <c r="A560" s="13" t="s">
        <v>555</v>
      </c>
      <c r="B560" s="13"/>
      <c r="C560" s="13" t="s">
        <v>50</v>
      </c>
      <c r="D560" s="13"/>
      <c r="E560" s="32">
        <v>48694</v>
      </c>
      <c r="G560" s="8">
        <v>33539143</v>
      </c>
      <c r="I560" s="8">
        <v>0</v>
      </c>
      <c r="K560" s="8">
        <v>0</v>
      </c>
      <c r="M560" s="8">
        <f>9635000+85972</f>
        <v>9720972</v>
      </c>
      <c r="O560" s="8">
        <v>1272626</v>
      </c>
      <c r="Q560" s="8">
        <v>0</v>
      </c>
      <c r="S560" s="9">
        <f t="shared" si="25"/>
        <v>44532741</v>
      </c>
      <c r="U560" s="8">
        <v>921416</v>
      </c>
      <c r="X560" s="8">
        <f>+'St of Net Assets - GA'!O559-'LT _Lia - GA'!U560</f>
        <v>0</v>
      </c>
    </row>
    <row r="561" spans="1:24">
      <c r="A561" s="13" t="s">
        <v>542</v>
      </c>
      <c r="B561" s="13"/>
      <c r="C561" s="13" t="s">
        <v>48</v>
      </c>
      <c r="D561" s="13"/>
      <c r="E561" s="32">
        <v>44925</v>
      </c>
      <c r="G561" s="8">
        <f>9330000+9980000+495337</f>
        <v>19805337</v>
      </c>
      <c r="I561" s="8">
        <v>0</v>
      </c>
      <c r="K561" s="8">
        <v>0</v>
      </c>
      <c r="M561" s="8">
        <v>169798</v>
      </c>
      <c r="O561" s="8">
        <v>3438470</v>
      </c>
      <c r="Q561" s="8">
        <v>0</v>
      </c>
      <c r="S561" s="9">
        <f t="shared" si="25"/>
        <v>23413605</v>
      </c>
      <c r="U561" s="8">
        <v>946867</v>
      </c>
      <c r="X561" s="8">
        <f>+'St of Net Assets - GA'!O560-'LT _Lia - GA'!U561</f>
        <v>0</v>
      </c>
    </row>
    <row r="562" spans="1:24">
      <c r="A562" s="13" t="s">
        <v>701</v>
      </c>
      <c r="B562" s="13"/>
      <c r="C562" s="13" t="s">
        <v>65</v>
      </c>
      <c r="D562" s="13"/>
      <c r="E562" s="32">
        <v>50302</v>
      </c>
      <c r="G562" s="8">
        <v>4861053</v>
      </c>
      <c r="I562" s="8">
        <v>40000</v>
      </c>
      <c r="K562" s="8">
        <v>0</v>
      </c>
      <c r="M562" s="8">
        <v>50459</v>
      </c>
      <c r="O562" s="8">
        <f>838795+52084</f>
        <v>890879</v>
      </c>
      <c r="Q562" s="8">
        <v>0</v>
      </c>
      <c r="S562" s="9">
        <f t="shared" si="25"/>
        <v>5842391</v>
      </c>
      <c r="U562" s="8">
        <v>629896</v>
      </c>
      <c r="X562" s="8">
        <f>+'St of Net Assets - GA'!O561-'LT _Lia - GA'!U562</f>
        <v>0</v>
      </c>
    </row>
    <row r="563" spans="1:24">
      <c r="A563" s="13" t="s">
        <v>661</v>
      </c>
      <c r="B563" s="13"/>
      <c r="C563" s="13" t="s">
        <v>62</v>
      </c>
      <c r="D563" s="13"/>
      <c r="E563" s="32">
        <v>49957</v>
      </c>
      <c r="G563" s="8">
        <v>13133936</v>
      </c>
      <c r="I563" s="8">
        <v>0</v>
      </c>
      <c r="K563" s="8">
        <v>0</v>
      </c>
      <c r="M563" s="8">
        <v>32091</v>
      </c>
      <c r="O563" s="8">
        <v>677446</v>
      </c>
      <c r="Q563" s="8">
        <v>0</v>
      </c>
      <c r="S563" s="9">
        <f t="shared" si="25"/>
        <v>13843473</v>
      </c>
      <c r="U563" s="8">
        <v>529188</v>
      </c>
      <c r="X563" s="8">
        <f>+'St of Net Assets - GA'!O562-'LT _Lia - GA'!U563</f>
        <v>0</v>
      </c>
    </row>
    <row r="564" spans="1:24" hidden="1">
      <c r="A564" s="12" t="s">
        <v>1025</v>
      </c>
      <c r="B564" s="13"/>
      <c r="C564" s="13" t="s">
        <v>57</v>
      </c>
      <c r="D564" s="13"/>
      <c r="E564" s="32">
        <v>49296</v>
      </c>
      <c r="G564" s="8">
        <v>0</v>
      </c>
      <c r="Q564" s="8">
        <v>0</v>
      </c>
      <c r="S564" s="9">
        <f t="shared" si="25"/>
        <v>0</v>
      </c>
      <c r="U564" s="8">
        <v>0</v>
      </c>
      <c r="X564" s="8">
        <f>+'St of Net Assets - GA'!O563-'LT _Lia - GA'!U564</f>
        <v>240000</v>
      </c>
    </row>
    <row r="565" spans="1:24">
      <c r="A565" s="13" t="s">
        <v>673</v>
      </c>
      <c r="B565" s="13"/>
      <c r="C565" s="13" t="s">
        <v>63</v>
      </c>
      <c r="D565" s="13"/>
      <c r="E565" s="32">
        <v>50070</v>
      </c>
      <c r="G565" s="8">
        <v>27833985</v>
      </c>
      <c r="I565" s="8">
        <v>841000</v>
      </c>
      <c r="K565" s="8">
        <v>0</v>
      </c>
      <c r="M565" s="8">
        <v>476349</v>
      </c>
      <c r="O565" s="8">
        <v>2250100</v>
      </c>
      <c r="Q565" s="8">
        <v>0</v>
      </c>
      <c r="S565" s="9">
        <f t="shared" si="25"/>
        <v>31401434</v>
      </c>
      <c r="U565" s="8">
        <v>2731234</v>
      </c>
      <c r="X565" s="8">
        <f>+'St of Net Assets - GA'!O567-'LT _Lia - GA'!U565</f>
        <v>0</v>
      </c>
    </row>
    <row r="566" spans="1:24">
      <c r="A566" s="13" t="s">
        <v>236</v>
      </c>
      <c r="B566" s="13"/>
      <c r="C566" s="13" t="s">
        <v>15</v>
      </c>
      <c r="D566" s="13"/>
      <c r="E566" s="32">
        <v>46011</v>
      </c>
      <c r="G566" s="8">
        <f>730000+1280000+264995+52645+125295-73750</f>
        <v>2379185</v>
      </c>
      <c r="I566" s="8">
        <v>0</v>
      </c>
      <c r="K566" s="8">
        <v>0</v>
      </c>
      <c r="M566" s="8">
        <v>890767</v>
      </c>
      <c r="O566" s="8">
        <v>1193432</v>
      </c>
      <c r="Q566" s="8">
        <v>0</v>
      </c>
      <c r="S566" s="9">
        <f t="shared" si="25"/>
        <v>4463384</v>
      </c>
      <c r="U566" s="8">
        <v>285344</v>
      </c>
      <c r="X566" s="8">
        <f>+'St of Net Assets - GA'!O568-'LT _Lia - GA'!U566</f>
        <v>0</v>
      </c>
    </row>
    <row r="567" spans="1:24">
      <c r="A567" s="13" t="s">
        <v>620</v>
      </c>
      <c r="B567" s="13"/>
      <c r="C567" s="13" t="s">
        <v>58</v>
      </c>
      <c r="D567" s="13"/>
      <c r="E567" s="32">
        <v>49536</v>
      </c>
      <c r="G567" s="8">
        <f>375000+80928+166354+2525000+14999+23814+184639-132531</f>
        <v>3238203</v>
      </c>
      <c r="I567" s="8">
        <v>0</v>
      </c>
      <c r="K567" s="8">
        <v>0</v>
      </c>
      <c r="M567" s="8">
        <v>908347</v>
      </c>
      <c r="O567" s="8">
        <v>2156851</v>
      </c>
      <c r="Q567" s="8">
        <v>0</v>
      </c>
      <c r="S567" s="9">
        <f t="shared" si="25"/>
        <v>6303401</v>
      </c>
      <c r="U567" s="8">
        <v>516742</v>
      </c>
      <c r="X567" s="8">
        <f>+'St of Net Assets - GA'!O569-'LT _Lia - GA'!U567</f>
        <v>0</v>
      </c>
    </row>
    <row r="568" spans="1:24">
      <c r="A568" s="13" t="s">
        <v>285</v>
      </c>
      <c r="B568" s="13"/>
      <c r="C568" s="13" t="s">
        <v>114</v>
      </c>
      <c r="D568" s="13"/>
      <c r="E568" s="32">
        <v>46458</v>
      </c>
      <c r="G568" s="8">
        <v>0</v>
      </c>
      <c r="I568" s="8">
        <v>0</v>
      </c>
      <c r="K568" s="8">
        <v>0</v>
      </c>
      <c r="M568" s="8">
        <v>60763</v>
      </c>
      <c r="O568" s="8">
        <v>1223437</v>
      </c>
      <c r="Q568" s="8">
        <v>0</v>
      </c>
      <c r="S568" s="9">
        <f t="shared" si="25"/>
        <v>1284200</v>
      </c>
      <c r="U568" s="8">
        <v>170654</v>
      </c>
      <c r="X568" s="8">
        <f>+'St of Net Assets - GA'!O570-'LT _Lia - GA'!U568</f>
        <v>0</v>
      </c>
    </row>
    <row r="569" spans="1:24">
      <c r="A569" s="13" t="s">
        <v>364</v>
      </c>
      <c r="B569" s="13"/>
      <c r="C569" s="13" t="s">
        <v>27</v>
      </c>
      <c r="D569" s="13"/>
      <c r="E569" s="32">
        <v>44933</v>
      </c>
      <c r="G569" s="8">
        <f>3163445+28961300</f>
        <v>32124745</v>
      </c>
      <c r="I569" s="8">
        <v>0</v>
      </c>
      <c r="K569" s="8">
        <v>0</v>
      </c>
      <c r="M569" s="8">
        <v>0</v>
      </c>
      <c r="O569" s="8">
        <v>6080946</v>
      </c>
      <c r="Q569" s="8">
        <v>0</v>
      </c>
      <c r="S569" s="9">
        <f t="shared" si="25"/>
        <v>38205691</v>
      </c>
      <c r="U569" s="8">
        <v>2309647</v>
      </c>
      <c r="X569" s="8">
        <f>+'St of Net Assets - GA'!O571-'LT _Lia - GA'!U569</f>
        <v>0</v>
      </c>
    </row>
    <row r="570" spans="1:24" hidden="1">
      <c r="A570" s="12" t="s">
        <v>1026</v>
      </c>
      <c r="B570" s="13"/>
      <c r="C570" s="13" t="s">
        <v>740</v>
      </c>
      <c r="D570" s="13"/>
      <c r="E570" s="32">
        <v>45625</v>
      </c>
      <c r="G570" s="8">
        <v>0</v>
      </c>
      <c r="I570" s="8">
        <v>0</v>
      </c>
      <c r="K570" s="8">
        <v>0</v>
      </c>
      <c r="M570" s="8">
        <v>0</v>
      </c>
      <c r="O570" s="8">
        <v>0</v>
      </c>
      <c r="Q570" s="8">
        <v>0</v>
      </c>
      <c r="S570" s="9">
        <f t="shared" si="25"/>
        <v>0</v>
      </c>
      <c r="U570" s="8">
        <v>0</v>
      </c>
      <c r="X570" s="8">
        <f>+'St of Net Assets - GA'!O572-'LT _Lia - GA'!U570</f>
        <v>0</v>
      </c>
    </row>
    <row r="571" spans="1:24" hidden="1">
      <c r="A571" s="12" t="s">
        <v>1027</v>
      </c>
      <c r="B571" s="13"/>
      <c r="C571" s="13" t="s">
        <v>421</v>
      </c>
      <c r="D571" s="13"/>
      <c r="E571" s="32">
        <v>47522</v>
      </c>
      <c r="G571" s="8">
        <v>0</v>
      </c>
      <c r="K571" s="8">
        <v>0</v>
      </c>
      <c r="M571" s="8">
        <v>0</v>
      </c>
      <c r="Q571" s="8">
        <v>0</v>
      </c>
      <c r="S571" s="9">
        <f t="shared" si="25"/>
        <v>0</v>
      </c>
      <c r="U571" s="8">
        <v>0</v>
      </c>
      <c r="X571" s="8">
        <f>+'St of Net Assets - GA'!O573-'LT _Lia - GA'!U571</f>
        <v>0</v>
      </c>
    </row>
    <row r="572" spans="1:24">
      <c r="A572" s="13" t="s">
        <v>258</v>
      </c>
      <c r="B572" s="13"/>
      <c r="C572" s="13" t="s">
        <v>255</v>
      </c>
      <c r="D572" s="13"/>
      <c r="E572" s="32">
        <v>44941</v>
      </c>
      <c r="G572" s="8">
        <v>0</v>
      </c>
      <c r="I572" s="8">
        <v>0</v>
      </c>
      <c r="K572" s="8">
        <f>135000+1300000</f>
        <v>1435000</v>
      </c>
      <c r="M572" s="8">
        <v>166834</v>
      </c>
      <c r="O572" s="8">
        <v>1926338</v>
      </c>
      <c r="Q572" s="8">
        <v>0</v>
      </c>
      <c r="S572" s="9">
        <f t="shared" si="25"/>
        <v>3528172</v>
      </c>
      <c r="U572" s="8">
        <v>696174</v>
      </c>
      <c r="X572" s="8">
        <f>+'St of Net Assets - GA'!O574-'LT _Lia - GA'!U572</f>
        <v>0</v>
      </c>
    </row>
    <row r="573" spans="1:24" hidden="1">
      <c r="A573" s="12" t="s">
        <v>1028</v>
      </c>
      <c r="B573" s="13"/>
      <c r="C573" s="13" t="s">
        <v>59</v>
      </c>
      <c r="D573" s="13"/>
      <c r="E573" s="32">
        <v>49643</v>
      </c>
      <c r="G573" s="8">
        <v>0</v>
      </c>
      <c r="I573" s="8">
        <v>0</v>
      </c>
      <c r="K573" s="8">
        <v>0</v>
      </c>
      <c r="M573" s="8">
        <v>0</v>
      </c>
      <c r="O573" s="8">
        <v>0</v>
      </c>
      <c r="Q573" s="8">
        <v>0</v>
      </c>
      <c r="S573" s="9">
        <f t="shared" si="25"/>
        <v>0</v>
      </c>
      <c r="U573" s="8">
        <v>0</v>
      </c>
      <c r="X573" s="8">
        <f>+'St of Net Assets - GA'!O575-'LT _Lia - GA'!U573</f>
        <v>0</v>
      </c>
    </row>
    <row r="574" spans="1:24">
      <c r="A574" s="13" t="s">
        <v>556</v>
      </c>
      <c r="B574" s="13"/>
      <c r="C574" s="13" t="s">
        <v>50</v>
      </c>
      <c r="D574" s="13"/>
      <c r="E574" s="32">
        <v>48744</v>
      </c>
      <c r="G574" s="8">
        <v>84066</v>
      </c>
      <c r="I574" s="8">
        <v>0</v>
      </c>
      <c r="K574" s="8">
        <v>0</v>
      </c>
      <c r="M574" s="8">
        <v>679892</v>
      </c>
      <c r="O574" s="8">
        <v>986457</v>
      </c>
      <c r="Q574" s="8">
        <v>0</v>
      </c>
      <c r="S574" s="9">
        <f t="shared" si="25"/>
        <v>1750415</v>
      </c>
      <c r="U574" s="8">
        <v>179241</v>
      </c>
      <c r="X574" s="8">
        <f>+'St of Net Assets - GA'!O576-'LT _Lia - GA'!U574</f>
        <v>0</v>
      </c>
    </row>
    <row r="575" spans="1:24">
      <c r="A575" s="13"/>
      <c r="B575" s="13"/>
      <c r="C575" s="13"/>
      <c r="D575" s="13"/>
      <c r="E575" s="32"/>
      <c r="S575" s="9"/>
    </row>
    <row r="576" spans="1:24">
      <c r="A576" s="13"/>
      <c r="B576" s="13"/>
      <c r="C576" s="13"/>
      <c r="D576" s="13"/>
      <c r="E576" s="32"/>
      <c r="S576" s="9"/>
      <c r="U576" s="8" t="s">
        <v>805</v>
      </c>
    </row>
    <row r="577" spans="1:26">
      <c r="A577" s="13"/>
      <c r="B577" s="13"/>
      <c r="C577" s="13"/>
      <c r="D577" s="13"/>
      <c r="E577" s="32"/>
      <c r="S577" s="9"/>
    </row>
    <row r="578" spans="1:26">
      <c r="A578" s="13" t="s">
        <v>419</v>
      </c>
      <c r="B578" s="13"/>
      <c r="C578" s="13" t="s">
        <v>33</v>
      </c>
      <c r="D578" s="13"/>
      <c r="E578" s="32">
        <v>47464</v>
      </c>
      <c r="G578" s="35">
        <v>8569524</v>
      </c>
      <c r="H578" s="35"/>
      <c r="I578" s="35">
        <v>0</v>
      </c>
      <c r="J578" s="35"/>
      <c r="K578" s="35">
        <v>0</v>
      </c>
      <c r="L578" s="35"/>
      <c r="M578" s="35">
        <v>0</v>
      </c>
      <c r="N578" s="35"/>
      <c r="O578" s="35">
        <v>476492</v>
      </c>
      <c r="P578" s="35"/>
      <c r="Q578" s="35">
        <v>0</v>
      </c>
      <c r="R578" s="35"/>
      <c r="S578" s="44">
        <f t="shared" si="25"/>
        <v>9046016</v>
      </c>
      <c r="T578" s="35"/>
      <c r="U578" s="35">
        <v>415334</v>
      </c>
      <c r="X578" s="8">
        <f>+'St of Net Assets - GA'!O577-'LT _Lia - GA'!U578</f>
        <v>0</v>
      </c>
    </row>
    <row r="579" spans="1:26">
      <c r="A579" s="13" t="s">
        <v>706</v>
      </c>
      <c r="B579" s="13"/>
      <c r="C579" s="13" t="s">
        <v>67</v>
      </c>
      <c r="D579" s="13"/>
      <c r="E579" s="32">
        <v>44966</v>
      </c>
      <c r="G579" s="8">
        <v>23927397</v>
      </c>
      <c r="I579" s="8">
        <v>1872000</v>
      </c>
      <c r="K579" s="8">
        <v>0</v>
      </c>
      <c r="M579" s="8">
        <v>0</v>
      </c>
      <c r="O579" s="8">
        <v>2023100</v>
      </c>
      <c r="Q579" s="8">
        <v>0</v>
      </c>
      <c r="S579" s="9">
        <f t="shared" si="25"/>
        <v>27822497</v>
      </c>
      <c r="U579" s="8">
        <v>472026</v>
      </c>
      <c r="X579" s="8">
        <f>+'St of Net Assets - GA'!O578-'LT _Lia - GA'!U579</f>
        <v>0</v>
      </c>
    </row>
    <row r="580" spans="1:26">
      <c r="A580" s="13" t="s">
        <v>557</v>
      </c>
      <c r="B580" s="13"/>
      <c r="C580" s="13" t="s">
        <v>50</v>
      </c>
      <c r="D580" s="13"/>
      <c r="E580" s="32">
        <v>44958</v>
      </c>
      <c r="G580" s="8">
        <f>25760000+755926+189991+199531</f>
        <v>26905448</v>
      </c>
      <c r="I580" s="8">
        <v>0</v>
      </c>
      <c r="K580" s="8">
        <v>0</v>
      </c>
      <c r="M580" s="8">
        <v>244412</v>
      </c>
      <c r="O580" s="8">
        <v>2380237</v>
      </c>
      <c r="Q580" s="8">
        <v>0</v>
      </c>
      <c r="S580" s="9">
        <f t="shared" si="25"/>
        <v>29530097</v>
      </c>
      <c r="U580" s="8">
        <v>281347</v>
      </c>
      <c r="X580" s="8">
        <f>+'St of Net Assets - GA'!O579-'LT _Lia - GA'!U580</f>
        <v>0</v>
      </c>
    </row>
    <row r="581" spans="1:26" hidden="1">
      <c r="A581" s="12" t="s">
        <v>1031</v>
      </c>
      <c r="B581" s="13"/>
      <c r="C581" s="13" t="s">
        <v>33</v>
      </c>
      <c r="D581" s="13"/>
      <c r="E581" s="32">
        <v>47472</v>
      </c>
      <c r="G581" s="8">
        <v>0</v>
      </c>
      <c r="I581" s="8">
        <v>0</v>
      </c>
      <c r="K581" s="8">
        <v>0</v>
      </c>
      <c r="M581" s="8">
        <v>0</v>
      </c>
      <c r="O581" s="8">
        <v>0</v>
      </c>
      <c r="Q581" s="8">
        <v>0</v>
      </c>
      <c r="S581" s="9">
        <f t="shared" si="25"/>
        <v>0</v>
      </c>
      <c r="U581" s="8">
        <v>0</v>
      </c>
      <c r="X581" s="8">
        <f>+'St of Net Assets - GA'!O580-'LT _Lia - GA'!U581</f>
        <v>0</v>
      </c>
    </row>
    <row r="582" spans="1:26">
      <c r="A582" s="13" t="s">
        <v>342</v>
      </c>
      <c r="B582" s="13"/>
      <c r="C582" s="13" t="s">
        <v>24</v>
      </c>
      <c r="D582" s="13"/>
      <c r="E582" s="32">
        <v>46821</v>
      </c>
      <c r="G582" s="8">
        <f>425000+610000+1963636+3435000+64999+8594</f>
        <v>6507229</v>
      </c>
      <c r="I582" s="8">
        <v>0</v>
      </c>
      <c r="K582" s="8">
        <v>0</v>
      </c>
      <c r="M582" s="8">
        <v>79065</v>
      </c>
      <c r="O582" s="8">
        <f>784234+1652018</f>
        <v>2436252</v>
      </c>
      <c r="Q582" s="8">
        <v>0</v>
      </c>
      <c r="S582" s="9">
        <f t="shared" si="25"/>
        <v>9022546</v>
      </c>
      <c r="U582" s="8">
        <v>776835</v>
      </c>
      <c r="X582" s="8">
        <f>+'St of Net Assets - GA'!O581-'LT _Lia - GA'!U582</f>
        <v>0</v>
      </c>
    </row>
    <row r="583" spans="1:26" hidden="1">
      <c r="A583" s="91" t="s">
        <v>1032</v>
      </c>
      <c r="B583" s="12"/>
      <c r="C583" s="12" t="s">
        <v>21</v>
      </c>
      <c r="D583" s="13"/>
      <c r="E583" s="32"/>
      <c r="Q583" s="8">
        <v>0</v>
      </c>
      <c r="S583" s="9">
        <f t="shared" si="25"/>
        <v>0</v>
      </c>
      <c r="X583" s="8">
        <f>+'St of Net Assets - GA'!O582-'LT _Lia - GA'!U583</f>
        <v>0</v>
      </c>
      <c r="Z583" s="8" t="s">
        <v>967</v>
      </c>
    </row>
    <row r="584" spans="1:26">
      <c r="A584" s="13" t="s">
        <v>707</v>
      </c>
      <c r="B584" s="13"/>
      <c r="C584" s="13" t="s">
        <v>68</v>
      </c>
      <c r="D584" s="13"/>
      <c r="E584" s="32">
        <v>50393</v>
      </c>
      <c r="G584" s="8">
        <f>1125000+3330000+1085000+1030000+292378</f>
        <v>6862378</v>
      </c>
      <c r="I584" s="8">
        <v>0</v>
      </c>
      <c r="K584" s="8">
        <v>0</v>
      </c>
      <c r="M584" s="8">
        <v>399934</v>
      </c>
      <c r="O584" s="8">
        <v>645671</v>
      </c>
      <c r="Q584" s="8">
        <v>0</v>
      </c>
      <c r="S584" s="9">
        <f t="shared" si="25"/>
        <v>7907983</v>
      </c>
      <c r="U584" s="8">
        <v>477989</v>
      </c>
      <c r="X584" s="8">
        <f>+'St of Net Assets - GA'!O583-'LT _Lia - GA'!U584</f>
        <v>0</v>
      </c>
    </row>
    <row r="585" spans="1:26">
      <c r="A585" s="13" t="s">
        <v>530</v>
      </c>
      <c r="B585" s="13"/>
      <c r="C585" s="13" t="s">
        <v>47</v>
      </c>
      <c r="D585" s="13"/>
      <c r="E585" s="32">
        <v>44974</v>
      </c>
      <c r="G585" s="8">
        <v>38074600</v>
      </c>
      <c r="I585" s="8">
        <v>0</v>
      </c>
      <c r="K585" s="8">
        <v>0</v>
      </c>
      <c r="M585" s="8">
        <v>0</v>
      </c>
      <c r="O585" s="8">
        <v>4818925</v>
      </c>
      <c r="Q585" s="8">
        <v>0</v>
      </c>
      <c r="S585" s="9">
        <f t="shared" ref="S585:S606" si="26">SUM(G585:R585)</f>
        <v>42893525</v>
      </c>
      <c r="U585" s="8">
        <v>1813311</v>
      </c>
      <c r="X585" s="8">
        <f>+'St of Net Assets - GA'!O584-'LT _Lia - GA'!U585</f>
        <v>0</v>
      </c>
    </row>
    <row r="586" spans="1:26">
      <c r="A586" s="13" t="s">
        <v>692</v>
      </c>
      <c r="B586" s="13"/>
      <c r="C586" s="13" t="s">
        <v>64</v>
      </c>
      <c r="D586" s="13"/>
      <c r="E586" s="32">
        <v>44990</v>
      </c>
      <c r="G586" s="8">
        <v>35210000</v>
      </c>
      <c r="I586" s="8">
        <v>0</v>
      </c>
      <c r="K586" s="8">
        <v>0</v>
      </c>
      <c r="M586" s="8">
        <v>0</v>
      </c>
      <c r="O586" s="8">
        <v>3715808</v>
      </c>
      <c r="Q586" s="8">
        <v>0</v>
      </c>
      <c r="S586" s="9">
        <f t="shared" si="26"/>
        <v>38925808</v>
      </c>
      <c r="U586" s="8">
        <v>1313981</v>
      </c>
      <c r="X586" s="8">
        <f>+'St of Net Assets - GA'!O585-'LT _Lia - GA'!U586</f>
        <v>0</v>
      </c>
    </row>
    <row r="587" spans="1:26">
      <c r="A587" s="13" t="s">
        <v>719</v>
      </c>
      <c r="B587" s="13"/>
      <c r="C587" s="13" t="s">
        <v>70</v>
      </c>
      <c r="D587" s="13"/>
      <c r="E587" s="32">
        <v>50500</v>
      </c>
      <c r="G587" s="8">
        <v>0</v>
      </c>
      <c r="I587" s="8">
        <v>0</v>
      </c>
      <c r="K587" s="8">
        <v>0</v>
      </c>
      <c r="M587" s="8">
        <v>0</v>
      </c>
      <c r="O587" s="8">
        <f>2503543+32939</f>
        <v>2536482</v>
      </c>
      <c r="Q587" s="8">
        <v>0</v>
      </c>
      <c r="S587" s="9">
        <f t="shared" si="26"/>
        <v>2536482</v>
      </c>
      <c r="U587" s="8">
        <v>55723</v>
      </c>
      <c r="X587" s="8">
        <f>+'St of Net Assets - GA'!O586-'LT _Lia - GA'!U587</f>
        <v>0</v>
      </c>
    </row>
    <row r="588" spans="1:26">
      <c r="A588" s="13" t="s">
        <v>324</v>
      </c>
      <c r="B588" s="13"/>
      <c r="C588" s="13" t="s">
        <v>20</v>
      </c>
      <c r="D588" s="13"/>
      <c r="E588" s="32">
        <v>45005</v>
      </c>
      <c r="G588" s="8">
        <v>21746898</v>
      </c>
      <c r="I588" s="8">
        <v>0</v>
      </c>
      <c r="K588" s="8">
        <v>0</v>
      </c>
      <c r="M588" s="8">
        <v>9049</v>
      </c>
      <c r="O588" s="8">
        <f>620906+2339343</f>
        <v>2960249</v>
      </c>
      <c r="Q588" s="8">
        <v>0</v>
      </c>
      <c r="S588" s="9">
        <f t="shared" si="26"/>
        <v>24716196</v>
      </c>
      <c r="U588" s="8">
        <v>1945542</v>
      </c>
      <c r="X588" s="8">
        <f>+'St of Net Assets - GA'!O587-'LT _Lia - GA'!U588</f>
        <v>0</v>
      </c>
    </row>
    <row r="589" spans="1:26">
      <c r="A589" s="13" t="s">
        <v>351</v>
      </c>
      <c r="B589" s="13"/>
      <c r="C589" s="13" t="s">
        <v>26</v>
      </c>
      <c r="D589" s="13"/>
      <c r="E589" s="32">
        <v>45013</v>
      </c>
      <c r="G589" s="8">
        <f>249655+431986+1020000+3305000+15755000+40000</f>
        <v>20801641</v>
      </c>
      <c r="I589" s="8">
        <v>0</v>
      </c>
      <c r="K589" s="8">
        <v>0</v>
      </c>
      <c r="M589" s="8">
        <v>253467</v>
      </c>
      <c r="O589" s="8">
        <v>1263435</v>
      </c>
      <c r="Q589" s="8">
        <v>0</v>
      </c>
      <c r="S589" s="9">
        <f t="shared" si="26"/>
        <v>22318543</v>
      </c>
      <c r="U589" s="8">
        <v>565873</v>
      </c>
      <c r="X589" s="8">
        <f>+'St of Net Assets - GA'!O588-'LT _Lia - GA'!U589</f>
        <v>0</v>
      </c>
    </row>
    <row r="590" spans="1:26">
      <c r="A590" s="13" t="s">
        <v>503</v>
      </c>
      <c r="B590" s="13"/>
      <c r="C590" s="13" t="s">
        <v>117</v>
      </c>
      <c r="D590" s="13"/>
      <c r="E590" s="32">
        <v>48231</v>
      </c>
      <c r="G590" s="8">
        <v>0</v>
      </c>
      <c r="I590" s="8">
        <v>0</v>
      </c>
      <c r="K590" s="8">
        <v>2286000</v>
      </c>
      <c r="M590" s="8">
        <v>0</v>
      </c>
      <c r="O590" s="8">
        <v>4164724</v>
      </c>
      <c r="Q590" s="8">
        <v>0</v>
      </c>
      <c r="S590" s="9">
        <f t="shared" si="26"/>
        <v>6450724</v>
      </c>
      <c r="U590" s="8">
        <v>1083141</v>
      </c>
      <c r="X590" s="8">
        <f>+'St of Net Assets - GA'!O589-'LT _Lia - GA'!U590</f>
        <v>0</v>
      </c>
    </row>
    <row r="591" spans="1:26">
      <c r="A591" s="13" t="s">
        <v>633</v>
      </c>
      <c r="B591" s="13"/>
      <c r="C591" s="13" t="s">
        <v>59</v>
      </c>
      <c r="D591" s="13"/>
      <c r="E591" s="32">
        <v>49650</v>
      </c>
      <c r="G591" s="8">
        <f>640000+109942+202335+28737-111-34365</f>
        <v>946538</v>
      </c>
      <c r="I591" s="8">
        <v>0</v>
      </c>
      <c r="K591" s="8">
        <v>7971</v>
      </c>
      <c r="M591" s="8">
        <v>346498</v>
      </c>
      <c r="O591" s="8">
        <v>393509</v>
      </c>
      <c r="Q591" s="8">
        <v>0</v>
      </c>
      <c r="S591" s="9">
        <f t="shared" si="26"/>
        <v>1694516</v>
      </c>
      <c r="U591" s="8">
        <v>421111</v>
      </c>
      <c r="X591" s="8">
        <f>+'St of Net Assets - GA'!O590-'LT _Lia - GA'!U591</f>
        <v>0</v>
      </c>
    </row>
    <row r="592" spans="1:26">
      <c r="A592" s="13" t="s">
        <v>596</v>
      </c>
      <c r="B592" s="13"/>
      <c r="C592" s="13" t="s">
        <v>56</v>
      </c>
      <c r="D592" s="13"/>
      <c r="E592" s="32">
        <v>49247</v>
      </c>
      <c r="G592" s="8">
        <f>1115000+7135000+164999+245115</f>
        <v>8660114</v>
      </c>
      <c r="I592" s="8">
        <v>0</v>
      </c>
      <c r="K592" s="8">
        <v>0</v>
      </c>
      <c r="M592" s="8">
        <v>15043</v>
      </c>
      <c r="O592" s="8">
        <v>669306</v>
      </c>
      <c r="Q592" s="8">
        <v>0</v>
      </c>
      <c r="S592" s="9">
        <f t="shared" si="26"/>
        <v>9344463</v>
      </c>
      <c r="U592" s="8">
        <v>548802</v>
      </c>
      <c r="X592" s="8">
        <f>+'St of Net Assets - GA'!O591-'LT _Lia - GA'!U592</f>
        <v>0</v>
      </c>
    </row>
    <row r="593" spans="1:24">
      <c r="A593" s="13" t="s">
        <v>374</v>
      </c>
      <c r="B593" s="13"/>
      <c r="C593" s="13" t="s">
        <v>28</v>
      </c>
      <c r="D593" s="13"/>
      <c r="E593" s="32">
        <v>45641</v>
      </c>
      <c r="G593" s="8">
        <v>26924267</v>
      </c>
      <c r="I593" s="8">
        <v>0</v>
      </c>
      <c r="K593" s="8">
        <v>0</v>
      </c>
      <c r="M593" s="8">
        <v>0</v>
      </c>
      <c r="O593" s="8">
        <v>1530597</v>
      </c>
      <c r="Q593" s="8">
        <v>0</v>
      </c>
      <c r="S593" s="9">
        <f t="shared" si="26"/>
        <v>28454864</v>
      </c>
      <c r="U593" s="8">
        <v>1189996</v>
      </c>
      <c r="X593" s="8">
        <f>+'St of Net Assets - GA'!O592-'LT _Lia - GA'!U593</f>
        <v>0</v>
      </c>
    </row>
    <row r="594" spans="1:24">
      <c r="A594" s="13" t="s">
        <v>586</v>
      </c>
      <c r="B594" s="13"/>
      <c r="C594" s="13" t="s">
        <v>55</v>
      </c>
      <c r="D594" s="13"/>
      <c r="E594" s="32">
        <v>49148</v>
      </c>
      <c r="G594" s="8">
        <f>975000+16710+5270000+359992+124598+337162-245398</f>
        <v>6838064</v>
      </c>
      <c r="I594" s="8">
        <v>89073</v>
      </c>
      <c r="K594" s="8">
        <v>0</v>
      </c>
      <c r="M594" s="8">
        <v>1530719</v>
      </c>
      <c r="O594" s="8">
        <v>1290112</v>
      </c>
      <c r="Q594" s="8">
        <v>0</v>
      </c>
      <c r="S594" s="9">
        <f t="shared" si="26"/>
        <v>9747968</v>
      </c>
      <c r="U594" s="8">
        <v>612016</v>
      </c>
      <c r="X594" s="8">
        <f>+'St of Net Assets - GA'!O593-'LT _Lia - GA'!U594</f>
        <v>0</v>
      </c>
    </row>
    <row r="595" spans="1:24" hidden="1">
      <c r="A595" s="12" t="s">
        <v>1043</v>
      </c>
      <c r="B595" s="13"/>
      <c r="C595" s="13" t="s">
        <v>69</v>
      </c>
      <c r="D595" s="13"/>
      <c r="E595" s="32">
        <v>50468</v>
      </c>
      <c r="Q595" s="8">
        <v>0</v>
      </c>
      <c r="S595" s="9">
        <f t="shared" si="26"/>
        <v>0</v>
      </c>
      <c r="X595" s="8">
        <f>+'St of Net Assets - GA'!O594-'LT _Lia - GA'!U595</f>
        <v>0</v>
      </c>
    </row>
    <row r="596" spans="1:24" hidden="1">
      <c r="A596" s="12" t="s">
        <v>846</v>
      </c>
      <c r="B596" s="13"/>
      <c r="C596" s="13" t="s">
        <v>576</v>
      </c>
      <c r="D596" s="13"/>
      <c r="E596" s="32">
        <v>49031</v>
      </c>
      <c r="Q596" s="8">
        <v>0</v>
      </c>
      <c r="S596" s="9">
        <f t="shared" si="26"/>
        <v>0</v>
      </c>
      <c r="X596" s="8">
        <f>+'St of Net Assets - GA'!O595-'LT _Lia - GA'!U596</f>
        <v>0</v>
      </c>
    </row>
    <row r="597" spans="1:24" hidden="1">
      <c r="A597" s="12" t="s">
        <v>891</v>
      </c>
      <c r="B597" s="13"/>
      <c r="C597" s="13" t="s">
        <v>14</v>
      </c>
      <c r="D597" s="13"/>
      <c r="E597" s="32">
        <v>45971</v>
      </c>
      <c r="Q597" s="8">
        <v>0</v>
      </c>
      <c r="S597" s="9">
        <f t="shared" si="26"/>
        <v>0</v>
      </c>
      <c r="X597" s="8">
        <f>+'St of Net Assets - GA'!O596-'LT _Lia - GA'!U597</f>
        <v>0</v>
      </c>
    </row>
    <row r="598" spans="1:24">
      <c r="A598" s="13" t="s">
        <v>693</v>
      </c>
      <c r="B598" s="13"/>
      <c r="C598" s="13" t="s">
        <v>64</v>
      </c>
      <c r="D598" s="13"/>
      <c r="E598" s="32">
        <v>50252</v>
      </c>
      <c r="G598" s="8">
        <v>1365000</v>
      </c>
      <c r="I598" s="8">
        <v>0</v>
      </c>
      <c r="K598" s="8">
        <v>0</v>
      </c>
      <c r="M598" s="8">
        <v>1179776</v>
      </c>
      <c r="O598" s="8">
        <f>601217+60000</f>
        <v>661217</v>
      </c>
      <c r="Q598" s="8">
        <v>0</v>
      </c>
      <c r="S598" s="9">
        <f t="shared" si="26"/>
        <v>3205993</v>
      </c>
      <c r="U598" s="8">
        <v>410165</v>
      </c>
      <c r="X598" s="8">
        <f>+'St of Net Assets - GA'!O597-'LT _Lia - GA'!U598</f>
        <v>0</v>
      </c>
    </row>
    <row r="599" spans="1:24">
      <c r="A599" s="13" t="s">
        <v>495</v>
      </c>
      <c r="B599" s="13"/>
      <c r="C599" s="13" t="s">
        <v>44</v>
      </c>
      <c r="D599" s="13"/>
      <c r="E599" s="32">
        <v>45658</v>
      </c>
      <c r="G599" s="8">
        <v>0</v>
      </c>
      <c r="I599" s="8">
        <v>0</v>
      </c>
      <c r="K599" s="8">
        <v>0</v>
      </c>
      <c r="M599" s="8">
        <v>0</v>
      </c>
      <c r="O599" s="8">
        <v>1059703</v>
      </c>
      <c r="Q599" s="8">
        <v>0</v>
      </c>
      <c r="S599" s="9">
        <f t="shared" si="26"/>
        <v>1059703</v>
      </c>
      <c r="U599" s="8">
        <v>42755</v>
      </c>
      <c r="X599" s="8">
        <f>+'St of Net Assets - GA'!O598-'LT _Lia - GA'!U599</f>
        <v>0</v>
      </c>
    </row>
    <row r="600" spans="1:24">
      <c r="A600" s="13" t="s">
        <v>449</v>
      </c>
      <c r="B600" s="13"/>
      <c r="C600" s="13" t="s">
        <v>38</v>
      </c>
      <c r="D600" s="13"/>
      <c r="E600" s="32">
        <v>45021</v>
      </c>
      <c r="G600" s="8">
        <v>2635000</v>
      </c>
      <c r="I600" s="8">
        <v>0</v>
      </c>
      <c r="K600" s="8">
        <v>0</v>
      </c>
      <c r="M600" s="8">
        <v>0</v>
      </c>
      <c r="O600" s="8">
        <v>740441</v>
      </c>
      <c r="Q600" s="8">
        <v>0</v>
      </c>
      <c r="S600" s="9">
        <f t="shared" si="26"/>
        <v>3375441</v>
      </c>
      <c r="U600" s="8">
        <v>250891</v>
      </c>
      <c r="X600" s="8">
        <f>+'St of Net Assets - GA'!O599-'LT _Lia - GA'!U600</f>
        <v>0</v>
      </c>
    </row>
    <row r="601" spans="1:24">
      <c r="A601" s="13" t="s">
        <v>286</v>
      </c>
      <c r="B601" s="13"/>
      <c r="C601" s="13" t="s">
        <v>114</v>
      </c>
      <c r="D601" s="13"/>
      <c r="E601" s="32">
        <v>45039</v>
      </c>
      <c r="G601" s="8">
        <f>999292+145000</f>
        <v>1144292</v>
      </c>
      <c r="I601" s="8">
        <v>240000</v>
      </c>
      <c r="K601" s="8">
        <v>0</v>
      </c>
      <c r="M601" s="8">
        <v>19827</v>
      </c>
      <c r="O601" s="8">
        <v>577390</v>
      </c>
      <c r="Q601" s="8">
        <v>0</v>
      </c>
      <c r="S601" s="9">
        <f t="shared" si="26"/>
        <v>1981509</v>
      </c>
      <c r="U601" s="8">
        <v>281605</v>
      </c>
      <c r="X601" s="8">
        <f>+'St of Net Assets - GA'!O600-'LT _Lia - GA'!U601</f>
        <v>0</v>
      </c>
    </row>
    <row r="602" spans="1:24">
      <c r="A602" s="13" t="s">
        <v>518</v>
      </c>
      <c r="B602" s="13"/>
      <c r="C602" s="13" t="s">
        <v>45</v>
      </c>
      <c r="D602" s="13"/>
      <c r="E602" s="32">
        <v>48389</v>
      </c>
      <c r="G602" s="8">
        <v>6926312</v>
      </c>
      <c r="I602" s="8">
        <v>0</v>
      </c>
      <c r="K602" s="8">
        <v>0</v>
      </c>
      <c r="M602" s="8">
        <v>0</v>
      </c>
      <c r="O602" s="8">
        <v>1050471</v>
      </c>
      <c r="Q602" s="8">
        <v>0</v>
      </c>
      <c r="S602" s="9">
        <f t="shared" si="26"/>
        <v>7976783</v>
      </c>
      <c r="U602" s="8">
        <v>537230</v>
      </c>
      <c r="X602" s="8">
        <f>+'St of Net Assets - GA'!O601-'LT _Lia - GA'!U602</f>
        <v>0</v>
      </c>
    </row>
    <row r="603" spans="1:24">
      <c r="A603" s="12" t="s">
        <v>1042</v>
      </c>
      <c r="B603" s="12"/>
      <c r="C603" s="12" t="s">
        <v>50</v>
      </c>
      <c r="D603" s="13"/>
      <c r="E603" s="32"/>
      <c r="G603" s="8">
        <v>100000</v>
      </c>
      <c r="I603" s="8">
        <v>0</v>
      </c>
      <c r="K603" s="8">
        <v>0</v>
      </c>
      <c r="M603" s="8">
        <v>2311310</v>
      </c>
      <c r="O603" s="8">
        <v>1434223</v>
      </c>
      <c r="Q603" s="8">
        <v>0</v>
      </c>
      <c r="S603" s="9">
        <f t="shared" si="26"/>
        <v>3845533</v>
      </c>
      <c r="U603" s="8">
        <v>624562</v>
      </c>
      <c r="X603" s="8">
        <f>+'St of Net Assets - GA'!O602-'LT _Lia - GA'!U603</f>
        <v>0</v>
      </c>
    </row>
    <row r="604" spans="1:24">
      <c r="A604" s="13" t="s">
        <v>272</v>
      </c>
      <c r="B604" s="13"/>
      <c r="C604" s="13" t="s">
        <v>115</v>
      </c>
      <c r="D604" s="13"/>
      <c r="E604" s="32">
        <v>46359</v>
      </c>
      <c r="G604" s="8">
        <v>38067570</v>
      </c>
      <c r="I604" s="8">
        <v>0</v>
      </c>
      <c r="K604" s="8">
        <v>0</v>
      </c>
      <c r="M604" s="8">
        <v>5771029</v>
      </c>
      <c r="O604" s="8">
        <v>3156883</v>
      </c>
      <c r="Q604" s="8">
        <v>0</v>
      </c>
      <c r="S604" s="9">
        <f>SUM(G604:R604)</f>
        <v>46995482</v>
      </c>
      <c r="U604" s="8">
        <v>4151513</v>
      </c>
      <c r="X604" s="8">
        <f>+'St of Net Assets - GA'!O603-'LT _Lia - GA'!U604</f>
        <v>0</v>
      </c>
    </row>
    <row r="605" spans="1:24" s="35" customFormat="1">
      <c r="A605" s="34" t="s">
        <v>383</v>
      </c>
      <c r="B605" s="34"/>
      <c r="C605" s="34" t="s">
        <v>30</v>
      </c>
      <c r="D605" s="34"/>
      <c r="E605" s="34">
        <v>47225</v>
      </c>
      <c r="G605" s="8">
        <v>8700000</v>
      </c>
      <c r="H605" s="8"/>
      <c r="I605" s="8">
        <v>0</v>
      </c>
      <c r="J605" s="8"/>
      <c r="K605" s="8">
        <v>587500</v>
      </c>
      <c r="L605" s="8"/>
      <c r="M605" s="8">
        <f>268918+571452</f>
        <v>840370</v>
      </c>
      <c r="N605" s="8"/>
      <c r="O605" s="8">
        <f>1585916+12500+26562</f>
        <v>1624978</v>
      </c>
      <c r="P605" s="8"/>
      <c r="Q605" s="8">
        <v>0</v>
      </c>
      <c r="R605" s="8"/>
      <c r="S605" s="9">
        <f t="shared" si="26"/>
        <v>11752848</v>
      </c>
      <c r="T605" s="8"/>
      <c r="U605" s="8">
        <f>2879580+5729</f>
        <v>2885309</v>
      </c>
      <c r="X605" s="35">
        <f>+'St of Net Assets - GA'!O604-'LT _Lia - GA'!U605</f>
        <v>0</v>
      </c>
    </row>
    <row r="606" spans="1:24">
      <c r="A606" s="13" t="s">
        <v>442</v>
      </c>
      <c r="B606" s="13"/>
      <c r="C606" s="13" t="s">
        <v>36</v>
      </c>
      <c r="D606" s="13"/>
      <c r="E606" s="32">
        <v>47696</v>
      </c>
      <c r="G606" s="8">
        <f>11945000+25826+286003+787547-626929</f>
        <v>12417447</v>
      </c>
      <c r="I606" s="8">
        <v>0</v>
      </c>
      <c r="K606" s="8">
        <v>0</v>
      </c>
      <c r="M606" s="8">
        <v>53718</v>
      </c>
      <c r="O606" s="8">
        <v>2116466</v>
      </c>
      <c r="Q606" s="8">
        <v>0</v>
      </c>
      <c r="S606" s="9">
        <f t="shared" si="26"/>
        <v>14587631</v>
      </c>
      <c r="U606" s="8">
        <v>718718</v>
      </c>
      <c r="X606" s="8">
        <f>+'St of Net Assets - GA'!O605-'LT _Lia - GA'!U606</f>
        <v>0</v>
      </c>
    </row>
    <row r="607" spans="1:24">
      <c r="A607" s="13" t="s">
        <v>259</v>
      </c>
      <c r="B607" s="13"/>
      <c r="C607" s="13" t="s">
        <v>255</v>
      </c>
      <c r="D607" s="13"/>
      <c r="E607" s="13">
        <v>46219</v>
      </c>
      <c r="G607" s="8">
        <v>140000</v>
      </c>
      <c r="I607" s="8">
        <v>0</v>
      </c>
      <c r="K607" s="8">
        <v>0</v>
      </c>
      <c r="M607" s="8">
        <v>163275</v>
      </c>
      <c r="O607" s="8">
        <v>791163</v>
      </c>
      <c r="Q607" s="8">
        <v>0</v>
      </c>
      <c r="S607" s="9">
        <f>SUM(G607:R607)</f>
        <v>1094438</v>
      </c>
      <c r="U607" s="8">
        <v>398641</v>
      </c>
      <c r="X607" s="8">
        <f>+'St of Net Assets - GA'!O606-'LT _Lia - GA'!U607</f>
        <v>0</v>
      </c>
    </row>
    <row r="608" spans="1:24">
      <c r="A608" s="13" t="s">
        <v>567</v>
      </c>
      <c r="B608" s="13"/>
      <c r="C608" s="13" t="s">
        <v>51</v>
      </c>
      <c r="D608" s="13"/>
      <c r="E608" s="32">
        <v>48884</v>
      </c>
      <c r="G608" s="8">
        <v>21514057</v>
      </c>
      <c r="I608" s="8">
        <v>0</v>
      </c>
      <c r="K608" s="8">
        <v>0</v>
      </c>
      <c r="M608" s="8">
        <v>1760841</v>
      </c>
      <c r="O608" s="8">
        <v>772058</v>
      </c>
      <c r="Q608" s="8">
        <v>0</v>
      </c>
      <c r="S608" s="9">
        <f t="shared" ref="S608:S635" si="27">SUM(G608:R608)</f>
        <v>24046956</v>
      </c>
      <c r="U608" s="8">
        <v>512723</v>
      </c>
      <c r="X608" s="8">
        <f>+'St of Net Assets - GA'!O607-'LT _Lia - GA'!U608</f>
        <v>0</v>
      </c>
    </row>
    <row r="609" spans="1:27">
      <c r="A609" s="13" t="s">
        <v>240</v>
      </c>
      <c r="B609" s="13"/>
      <c r="C609" s="13" t="s">
        <v>77</v>
      </c>
      <c r="D609" s="13"/>
      <c r="E609" s="32">
        <v>46060</v>
      </c>
      <c r="G609" s="8">
        <v>5065000</v>
      </c>
      <c r="I609" s="8">
        <v>0</v>
      </c>
      <c r="K609" s="8">
        <v>0</v>
      </c>
      <c r="M609" s="8">
        <v>415000</v>
      </c>
      <c r="O609" s="8">
        <f>1631117+8000+23864</f>
        <v>1662981</v>
      </c>
      <c r="Q609" s="8">
        <v>0</v>
      </c>
      <c r="S609" s="9">
        <f t="shared" si="27"/>
        <v>7142981</v>
      </c>
      <c r="U609" s="8">
        <v>506806</v>
      </c>
      <c r="X609" s="8">
        <f>+'St of Net Assets - GA'!O608-'LT _Lia - GA'!U609</f>
        <v>0</v>
      </c>
    </row>
    <row r="610" spans="1:27">
      <c r="A610" s="13" t="s">
        <v>587</v>
      </c>
      <c r="B610" s="13"/>
      <c r="C610" s="13" t="s">
        <v>55</v>
      </c>
      <c r="D610" s="13"/>
      <c r="E610" s="32">
        <v>49155</v>
      </c>
      <c r="G610" s="8">
        <v>620000</v>
      </c>
      <c r="I610" s="8">
        <v>0</v>
      </c>
      <c r="K610" s="8">
        <v>0</v>
      </c>
      <c r="M610" s="8">
        <v>0</v>
      </c>
      <c r="O610" s="8">
        <v>253644</v>
      </c>
      <c r="Q610" s="8">
        <v>0</v>
      </c>
      <c r="S610" s="9">
        <f t="shared" si="27"/>
        <v>873644</v>
      </c>
      <c r="U610" s="8">
        <v>97592</v>
      </c>
      <c r="X610" s="8">
        <f>+'St of Net Assets - GA'!O609-'LT _Lia - GA'!U610</f>
        <v>0</v>
      </c>
    </row>
    <row r="611" spans="1:27" ht="12" customHeight="1">
      <c r="A611" s="13" t="s">
        <v>447</v>
      </c>
      <c r="B611" s="13"/>
      <c r="C611" s="13" t="s">
        <v>37</v>
      </c>
      <c r="D611" s="13"/>
      <c r="E611" s="32">
        <v>47746</v>
      </c>
      <c r="G611" s="8">
        <v>2828680</v>
      </c>
      <c r="I611" s="8">
        <v>0</v>
      </c>
      <c r="K611" s="8">
        <v>0</v>
      </c>
      <c r="M611" s="8">
        <v>66879</v>
      </c>
      <c r="O611" s="8">
        <v>612513</v>
      </c>
      <c r="Q611" s="8">
        <v>0</v>
      </c>
      <c r="S611" s="9">
        <f t="shared" si="27"/>
        <v>3508072</v>
      </c>
      <c r="U611" s="8">
        <v>201046</v>
      </c>
      <c r="X611" s="8">
        <f>+'St of Net Assets - GA'!O610-'LT _Lia - GA'!U611</f>
        <v>0</v>
      </c>
    </row>
    <row r="612" spans="1:27" ht="12" customHeight="1">
      <c r="A612" s="13" t="s">
        <v>447</v>
      </c>
      <c r="B612" s="13"/>
      <c r="C612" s="13" t="s">
        <v>45</v>
      </c>
      <c r="D612" s="13"/>
      <c r="E612" s="32">
        <v>48397</v>
      </c>
      <c r="G612" s="8">
        <v>11249637</v>
      </c>
      <c r="I612" s="8">
        <v>0</v>
      </c>
      <c r="K612" s="8">
        <v>0</v>
      </c>
      <c r="M612" s="8">
        <v>0</v>
      </c>
      <c r="O612" s="8">
        <f>605266+25114</f>
        <v>630380</v>
      </c>
      <c r="Q612" s="8">
        <v>0</v>
      </c>
      <c r="S612" s="9">
        <f t="shared" si="27"/>
        <v>11880017</v>
      </c>
      <c r="U612" s="8">
        <v>11285352</v>
      </c>
      <c r="X612" s="8">
        <f>+'St of Net Assets - GA'!O611-'LT _Lia - GA'!U612</f>
        <v>0</v>
      </c>
    </row>
    <row r="613" spans="1:27" ht="12" customHeight="1">
      <c r="A613" s="13" t="s">
        <v>365</v>
      </c>
      <c r="B613" s="13"/>
      <c r="C613" s="13" t="s">
        <v>27</v>
      </c>
      <c r="D613" s="13"/>
      <c r="E613" s="32">
        <v>45047</v>
      </c>
      <c r="G613" s="8">
        <v>104945688</v>
      </c>
      <c r="I613" s="8">
        <v>0</v>
      </c>
      <c r="K613" s="8">
        <v>0</v>
      </c>
      <c r="M613" s="8">
        <v>0</v>
      </c>
      <c r="O613" s="8">
        <f>11121133+175308</f>
        <v>11296441</v>
      </c>
      <c r="Q613" s="8">
        <v>0</v>
      </c>
      <c r="S613" s="9">
        <f t="shared" si="27"/>
        <v>116242129</v>
      </c>
      <c r="U613" s="8">
        <f>7528593+15884</f>
        <v>7544477</v>
      </c>
      <c r="X613" s="8">
        <f>+'St of Net Assets - GA'!O612-'LT _Lia - GA'!U613</f>
        <v>0</v>
      </c>
      <c r="Z613" s="107"/>
    </row>
    <row r="614" spans="1:27" ht="12" customHeight="1">
      <c r="A614" s="13" t="s">
        <v>584</v>
      </c>
      <c r="B614" s="13"/>
      <c r="C614" s="13" t="s">
        <v>54</v>
      </c>
      <c r="D614" s="13"/>
      <c r="E614" s="32">
        <v>49106</v>
      </c>
      <c r="G614" s="8">
        <f>5125898+513206</f>
        <v>5639104</v>
      </c>
      <c r="I614" s="8">
        <v>0</v>
      </c>
      <c r="K614" s="8">
        <v>0</v>
      </c>
      <c r="M614" s="8">
        <v>474785</v>
      </c>
      <c r="O614" s="8">
        <v>892452</v>
      </c>
      <c r="Q614" s="8">
        <v>0</v>
      </c>
      <c r="S614" s="9">
        <f t="shared" si="27"/>
        <v>7006341</v>
      </c>
      <c r="U614" s="8">
        <v>472687</v>
      </c>
      <c r="X614" s="8">
        <f>+'St of Net Assets - GA'!O613-'LT _Lia - GA'!U614</f>
        <v>0</v>
      </c>
    </row>
    <row r="615" spans="1:27" ht="12" customHeight="1">
      <c r="A615" s="13" t="s">
        <v>325</v>
      </c>
      <c r="B615" s="13"/>
      <c r="C615" s="13" t="s">
        <v>20</v>
      </c>
      <c r="D615" s="13"/>
      <c r="E615" s="32">
        <v>45062</v>
      </c>
      <c r="G615" s="8">
        <v>23094011</v>
      </c>
      <c r="I615" s="8">
        <v>0</v>
      </c>
      <c r="K615" s="8">
        <v>0</v>
      </c>
      <c r="M615" s="8">
        <v>348014</v>
      </c>
      <c r="O615" s="8">
        <f>1037500+4086140</f>
        <v>5123640</v>
      </c>
      <c r="Q615" s="8">
        <v>0</v>
      </c>
      <c r="S615" s="9">
        <f t="shared" si="27"/>
        <v>28565665</v>
      </c>
      <c r="U615" s="8">
        <v>2664955</v>
      </c>
      <c r="X615" s="8">
        <f>+'St of Net Assets - GA'!O614-'LT _Lia - GA'!U615</f>
        <v>0</v>
      </c>
    </row>
    <row r="616" spans="1:27" ht="12" customHeight="1">
      <c r="A616" s="13" t="s">
        <v>634</v>
      </c>
      <c r="B616" s="13"/>
      <c r="C616" s="13" t="s">
        <v>59</v>
      </c>
      <c r="D616" s="13"/>
      <c r="E616" s="32">
        <v>49668</v>
      </c>
      <c r="G616" s="8">
        <f>2805000+6325000+257828</f>
        <v>9387828</v>
      </c>
      <c r="I616" s="8">
        <v>0</v>
      </c>
      <c r="K616" s="8">
        <v>0</v>
      </c>
      <c r="M616" s="8">
        <v>535000</v>
      </c>
      <c r="O616" s="8">
        <v>702939</v>
      </c>
      <c r="Q616" s="8">
        <v>0</v>
      </c>
      <c r="S616" s="9">
        <f t="shared" si="27"/>
        <v>10625767</v>
      </c>
      <c r="U616" s="8">
        <v>341129</v>
      </c>
      <c r="X616" s="8">
        <f>+'St of Net Assets - GA'!O615-'LT _Lia - GA'!U616</f>
        <v>0</v>
      </c>
    </row>
    <row r="617" spans="1:27">
      <c r="A617" s="13" t="s">
        <v>366</v>
      </c>
      <c r="B617" s="13"/>
      <c r="C617" s="13" t="s">
        <v>27</v>
      </c>
      <c r="D617" s="13"/>
      <c r="E617" s="32">
        <v>45070</v>
      </c>
      <c r="G617" s="8">
        <v>32050102</v>
      </c>
      <c r="I617" s="8">
        <v>0</v>
      </c>
      <c r="K617" s="8">
        <v>0</v>
      </c>
      <c r="M617" s="8">
        <v>32135</v>
      </c>
      <c r="O617" s="8">
        <f>1202791+49692</f>
        <v>1252483</v>
      </c>
      <c r="Q617" s="8">
        <v>0</v>
      </c>
      <c r="S617" s="9">
        <f t="shared" si="27"/>
        <v>33334720</v>
      </c>
      <c r="U617" s="8">
        <f>2311548+13500</f>
        <v>2325048</v>
      </c>
      <c r="X617" s="8">
        <f>+'St of Net Assets - GA'!O616-'LT _Lia - GA'!U617</f>
        <v>0</v>
      </c>
      <c r="AA617" s="8" t="s">
        <v>134</v>
      </c>
    </row>
    <row r="618" spans="1:27" hidden="1">
      <c r="A618" s="12" t="s">
        <v>844</v>
      </c>
      <c r="B618" s="13"/>
      <c r="C618" s="13" t="s">
        <v>41</v>
      </c>
      <c r="D618" s="13"/>
      <c r="E618" s="32">
        <v>45088</v>
      </c>
      <c r="Q618" s="8">
        <v>0</v>
      </c>
      <c r="S618" s="9">
        <f t="shared" si="27"/>
        <v>0</v>
      </c>
      <c r="X618" s="8">
        <f>+'St of Net Assets - GA'!O617-'LT _Lia - GA'!U618</f>
        <v>0</v>
      </c>
    </row>
    <row r="619" spans="1:27">
      <c r="A619" s="13" t="s">
        <v>448</v>
      </c>
      <c r="B619" s="13"/>
      <c r="C619" s="13" t="s">
        <v>37</v>
      </c>
      <c r="D619" s="13"/>
      <c r="E619" s="32">
        <v>45096</v>
      </c>
      <c r="G619" s="8">
        <v>2300000</v>
      </c>
      <c r="I619" s="8">
        <v>307150</v>
      </c>
      <c r="K619" s="8">
        <v>0</v>
      </c>
      <c r="M619" s="8">
        <v>183938</v>
      </c>
      <c r="O619" s="8">
        <v>1171259</v>
      </c>
      <c r="Q619" s="8">
        <v>0</v>
      </c>
      <c r="S619" s="9">
        <f t="shared" si="27"/>
        <v>3962347</v>
      </c>
      <c r="U619" s="8">
        <v>314753</v>
      </c>
      <c r="X619" s="8">
        <f>+'St of Net Assets - GA'!O618-'LT _Lia - GA'!U619</f>
        <v>0</v>
      </c>
    </row>
    <row r="620" spans="1:27">
      <c r="A620" s="12" t="s">
        <v>273</v>
      </c>
      <c r="B620" s="13"/>
      <c r="C620" s="13" t="s">
        <v>115</v>
      </c>
      <c r="D620" s="13"/>
      <c r="E620" s="13">
        <v>46367</v>
      </c>
      <c r="G620" s="8">
        <v>2979500</v>
      </c>
      <c r="I620" s="8">
        <v>0</v>
      </c>
      <c r="K620" s="8">
        <v>0</v>
      </c>
      <c r="M620" s="8">
        <v>0</v>
      </c>
      <c r="O620" s="8">
        <f>698713+40913</f>
        <v>739626</v>
      </c>
      <c r="Q620" s="8">
        <v>0</v>
      </c>
      <c r="S620" s="9">
        <f t="shared" si="27"/>
        <v>3719126</v>
      </c>
      <c r="U620" s="8">
        <v>310888</v>
      </c>
      <c r="X620" s="8">
        <f>+'St of Net Assets - GA'!O619-'LT _Lia - GA'!U620</f>
        <v>0</v>
      </c>
    </row>
    <row r="621" spans="1:27">
      <c r="A621" s="13" t="s">
        <v>464</v>
      </c>
      <c r="B621" s="13"/>
      <c r="C621" s="13" t="s">
        <v>41</v>
      </c>
      <c r="D621" s="13"/>
      <c r="E621" s="32">
        <v>45104</v>
      </c>
      <c r="G621" s="8">
        <f>915000+29705-16907</f>
        <v>927798</v>
      </c>
      <c r="I621" s="8">
        <v>0</v>
      </c>
      <c r="K621" s="8">
        <v>0</v>
      </c>
      <c r="M621" s="8">
        <v>0</v>
      </c>
      <c r="O621" s="8">
        <f>3390876+6618264</f>
        <v>10009140</v>
      </c>
      <c r="Q621" s="8">
        <v>0</v>
      </c>
      <c r="S621" s="9">
        <f t="shared" si="27"/>
        <v>10936938</v>
      </c>
      <c r="U621" s="8">
        <v>2559074</v>
      </c>
      <c r="X621" s="8">
        <f>+'St of Net Assets - GA'!O620-'LT _Lia - GA'!U621</f>
        <v>0</v>
      </c>
    </row>
    <row r="622" spans="1:27">
      <c r="A622" s="13" t="s">
        <v>277</v>
      </c>
      <c r="B622" s="13"/>
      <c r="C622" s="13" t="s">
        <v>18</v>
      </c>
      <c r="D622" s="13"/>
      <c r="E622" s="32">
        <v>45112</v>
      </c>
      <c r="G622" s="8">
        <v>7680706</v>
      </c>
      <c r="I622" s="8">
        <v>0</v>
      </c>
      <c r="K622" s="8">
        <v>0</v>
      </c>
      <c r="M622" s="8">
        <v>1838000</v>
      </c>
      <c r="O622" s="8">
        <v>990432</v>
      </c>
      <c r="Q622" s="8">
        <v>0</v>
      </c>
      <c r="S622" s="9">
        <f t="shared" si="27"/>
        <v>10509138</v>
      </c>
      <c r="U622" s="8">
        <v>1487662</v>
      </c>
      <c r="X622" s="8">
        <f>+'St of Net Assets - GA'!O621-'LT _Lia - GA'!U622</f>
        <v>0</v>
      </c>
    </row>
    <row r="623" spans="1:27">
      <c r="A623" s="13" t="s">
        <v>597</v>
      </c>
      <c r="B623" s="13"/>
      <c r="C623" s="13" t="s">
        <v>56</v>
      </c>
      <c r="D623" s="13"/>
      <c r="E623" s="32">
        <v>45666</v>
      </c>
      <c r="G623" s="8">
        <v>634863</v>
      </c>
      <c r="I623" s="8">
        <v>0</v>
      </c>
      <c r="K623" s="8">
        <v>0</v>
      </c>
      <c r="M623" s="8">
        <v>41420</v>
      </c>
      <c r="O623" s="8">
        <f>36589+624479</f>
        <v>661068</v>
      </c>
      <c r="Q623" s="8">
        <v>0</v>
      </c>
      <c r="S623" s="9">
        <f t="shared" si="27"/>
        <v>1337351</v>
      </c>
      <c r="U623" s="8">
        <v>199384</v>
      </c>
      <c r="X623" s="8">
        <f>+'St of Net Assets - GA'!O622-'LT _Lia - GA'!U623</f>
        <v>0</v>
      </c>
    </row>
    <row r="624" spans="1:27">
      <c r="A624" s="13" t="s">
        <v>411</v>
      </c>
      <c r="B624" s="13"/>
      <c r="C624" s="13" t="s">
        <v>32</v>
      </c>
      <c r="D624" s="13"/>
      <c r="E624" s="32">
        <v>44081</v>
      </c>
      <c r="G624" s="8">
        <v>0</v>
      </c>
      <c r="I624" s="8">
        <v>0</v>
      </c>
      <c r="K624" s="8">
        <v>130000</v>
      </c>
      <c r="M624" s="8">
        <v>4246182</v>
      </c>
      <c r="O624" s="8">
        <v>3619114</v>
      </c>
      <c r="Q624" s="8">
        <v>0</v>
      </c>
      <c r="S624" s="9">
        <f t="shared" si="27"/>
        <v>7995296</v>
      </c>
      <c r="U624" s="8">
        <v>1018797</v>
      </c>
      <c r="X624" s="8">
        <f>+'St of Net Assets - GA'!O623-'LT _Lia - GA'!U624</f>
        <v>0</v>
      </c>
    </row>
    <row r="625" spans="1:24">
      <c r="A625" s="13" t="s">
        <v>720</v>
      </c>
      <c r="B625" s="13"/>
      <c r="C625" s="13" t="s">
        <v>70</v>
      </c>
      <c r="D625" s="13"/>
      <c r="E625" s="32">
        <v>50518</v>
      </c>
      <c r="G625" s="8">
        <v>6402436</v>
      </c>
      <c r="I625" s="8">
        <v>0</v>
      </c>
      <c r="K625" s="8">
        <v>0</v>
      </c>
      <c r="M625" s="8">
        <v>0</v>
      </c>
      <c r="O625" s="8">
        <v>336322</v>
      </c>
      <c r="Q625" s="8">
        <v>0</v>
      </c>
      <c r="S625" s="9">
        <f t="shared" si="27"/>
        <v>6738758</v>
      </c>
      <c r="U625" s="8">
        <v>160000</v>
      </c>
      <c r="X625" s="8">
        <f>+'St of Net Assets - GA'!O624-'LT _Lia - GA'!U625</f>
        <v>0</v>
      </c>
    </row>
    <row r="626" spans="1:24">
      <c r="A626" s="13" t="s">
        <v>625</v>
      </c>
      <c r="B626" s="13"/>
      <c r="C626" s="13" t="s">
        <v>79</v>
      </c>
      <c r="D626" s="13"/>
      <c r="E626" s="32">
        <v>49577</v>
      </c>
      <c r="G626" s="8">
        <v>0</v>
      </c>
      <c r="I626" s="8">
        <v>0</v>
      </c>
      <c r="K626" s="8">
        <v>0</v>
      </c>
      <c r="M626" s="8">
        <v>248549</v>
      </c>
      <c r="O626" s="8">
        <v>787994</v>
      </c>
      <c r="Q626" s="8">
        <v>0</v>
      </c>
      <c r="S626" s="9">
        <f t="shared" si="27"/>
        <v>1036543</v>
      </c>
      <c r="U626" s="8">
        <v>146654</v>
      </c>
      <c r="X626" s="8">
        <f>+'St of Net Assets - GA'!O625-'LT _Lia - GA'!U626</f>
        <v>0</v>
      </c>
    </row>
    <row r="627" spans="1:24">
      <c r="A627" s="13" t="s">
        <v>674</v>
      </c>
      <c r="B627" s="13"/>
      <c r="C627" s="13" t="s">
        <v>63</v>
      </c>
      <c r="D627" s="13"/>
      <c r="E627" s="32">
        <v>49973</v>
      </c>
      <c r="G627" s="8">
        <v>13190000</v>
      </c>
      <c r="I627" s="8">
        <v>0</v>
      </c>
      <c r="K627" s="8">
        <v>0</v>
      </c>
      <c r="M627" s="8">
        <f>65647+59289</f>
        <v>124936</v>
      </c>
      <c r="O627" s="8">
        <v>884337</v>
      </c>
      <c r="Q627" s="8">
        <v>0</v>
      </c>
      <c r="S627" s="9">
        <f t="shared" si="27"/>
        <v>14199273</v>
      </c>
      <c r="U627" s="8">
        <v>1163232</v>
      </c>
      <c r="X627" s="8">
        <f>+'St of Net Assets - GA'!O626-'LT _Lia - GA'!U627</f>
        <v>0</v>
      </c>
    </row>
    <row r="628" spans="1:24">
      <c r="A628" s="13" t="s">
        <v>845</v>
      </c>
      <c r="B628" s="13"/>
      <c r="C628" s="13" t="s">
        <v>71</v>
      </c>
      <c r="D628" s="13"/>
      <c r="E628" s="32">
        <v>45138</v>
      </c>
      <c r="G628" s="8">
        <v>23891267</v>
      </c>
      <c r="I628" s="8">
        <v>0</v>
      </c>
      <c r="K628" s="8">
        <v>0</v>
      </c>
      <c r="M628" s="8">
        <v>0</v>
      </c>
      <c r="O628" s="8">
        <f>5092695+467058</f>
        <v>5559753</v>
      </c>
      <c r="Q628" s="8">
        <v>0</v>
      </c>
      <c r="S628" s="9">
        <f t="shared" si="27"/>
        <v>29451020</v>
      </c>
      <c r="U628" s="8">
        <f>2964136+43245</f>
        <v>3007381</v>
      </c>
      <c r="X628" s="8">
        <f>+'St of Net Assets - GA'!O627-'LT _Lia - GA'!U628</f>
        <v>0</v>
      </c>
    </row>
    <row r="629" spans="1:24">
      <c r="A629" s="13" t="s">
        <v>367</v>
      </c>
      <c r="B629" s="13"/>
      <c r="C629" s="13" t="s">
        <v>27</v>
      </c>
      <c r="D629" s="13"/>
      <c r="E629" s="32">
        <v>46524</v>
      </c>
      <c r="G629" s="8">
        <f>5593667+52424611</f>
        <v>58018278</v>
      </c>
      <c r="I629" s="8">
        <v>0</v>
      </c>
      <c r="K629" s="8">
        <v>3114000</v>
      </c>
      <c r="M629" s="8">
        <v>0</v>
      </c>
      <c r="O629" s="8">
        <v>10127367</v>
      </c>
      <c r="Q629" s="8">
        <v>0</v>
      </c>
      <c r="S629" s="9">
        <f t="shared" si="27"/>
        <v>71259645</v>
      </c>
      <c r="U629" s="8">
        <v>6863223</v>
      </c>
      <c r="X629" s="8">
        <f>+'St of Net Assets - GA'!O628-'LT _Lia - GA'!U629</f>
        <v>0</v>
      </c>
    </row>
    <row r="630" spans="1:24">
      <c r="A630" s="13" t="s">
        <v>295</v>
      </c>
      <c r="B630" s="13"/>
      <c r="C630" s="13" t="s">
        <v>113</v>
      </c>
      <c r="D630" s="13"/>
      <c r="E630" s="32">
        <v>45146</v>
      </c>
      <c r="G630" s="8">
        <v>5941028</v>
      </c>
      <c r="I630" s="8">
        <v>0</v>
      </c>
      <c r="K630" s="8">
        <v>0</v>
      </c>
      <c r="M630" s="8">
        <v>6110</v>
      </c>
      <c r="O630" s="8">
        <v>560911</v>
      </c>
      <c r="Q630" s="8">
        <v>0</v>
      </c>
      <c r="S630" s="9">
        <f t="shared" si="27"/>
        <v>6508049</v>
      </c>
      <c r="U630" s="8">
        <v>296454</v>
      </c>
      <c r="X630" s="8">
        <f>+'St of Net Assets - GA'!O629-'LT _Lia - GA'!U630</f>
        <v>0</v>
      </c>
    </row>
    <row r="631" spans="1:24">
      <c r="A631" s="13" t="s">
        <v>412</v>
      </c>
      <c r="B631" s="13"/>
      <c r="C631" s="13" t="s">
        <v>32</v>
      </c>
      <c r="D631" s="13"/>
      <c r="E631" s="32">
        <v>45153</v>
      </c>
      <c r="G631" s="8">
        <v>20773882</v>
      </c>
      <c r="I631" s="8">
        <v>0</v>
      </c>
      <c r="K631" s="8">
        <v>0</v>
      </c>
      <c r="M631" s="8">
        <v>2279200</v>
      </c>
      <c r="O631" s="8">
        <v>1756097</v>
      </c>
      <c r="Q631" s="8">
        <v>0</v>
      </c>
      <c r="S631" s="9">
        <f t="shared" si="27"/>
        <v>24809179</v>
      </c>
      <c r="U631" s="8">
        <v>1542818</v>
      </c>
      <c r="X631" s="8">
        <f>+'St of Net Assets - GA'!O630-'LT _Lia - GA'!U631</f>
        <v>0</v>
      </c>
    </row>
    <row r="632" spans="1:24">
      <c r="A632" s="13" t="s">
        <v>388</v>
      </c>
      <c r="B632" s="13"/>
      <c r="C632" s="13" t="s">
        <v>116</v>
      </c>
      <c r="D632" s="13"/>
      <c r="E632" s="32">
        <v>45674</v>
      </c>
      <c r="G632" s="8">
        <v>3660000</v>
      </c>
      <c r="I632" s="8">
        <v>0</v>
      </c>
      <c r="K632" s="8">
        <v>0</v>
      </c>
      <c r="M632" s="8">
        <v>8000</v>
      </c>
      <c r="O632" s="8">
        <v>382729</v>
      </c>
      <c r="Q632" s="8">
        <v>0</v>
      </c>
      <c r="S632" s="9">
        <f t="shared" si="27"/>
        <v>4050729</v>
      </c>
      <c r="U632" s="8">
        <v>153000</v>
      </c>
      <c r="X632" s="8">
        <f>+'St of Net Assets - GA'!O631-'LT _Lia - GA'!U632</f>
        <v>0</v>
      </c>
    </row>
    <row r="633" spans="1:24">
      <c r="A633" s="13" t="s">
        <v>519</v>
      </c>
      <c r="B633" s="13"/>
      <c r="C633" s="13" t="s">
        <v>45</v>
      </c>
      <c r="D633" s="13"/>
      <c r="E633" s="32">
        <v>45161</v>
      </c>
      <c r="G633" s="8">
        <v>31774536</v>
      </c>
      <c r="I633" s="8">
        <v>0</v>
      </c>
      <c r="K633" s="8">
        <v>0</v>
      </c>
      <c r="M633" s="8">
        <v>5062152</v>
      </c>
      <c r="O633" s="8">
        <f>163602+10572962+315000</f>
        <v>11051564</v>
      </c>
      <c r="Q633" s="8">
        <v>0</v>
      </c>
      <c r="S633" s="9">
        <f t="shared" si="27"/>
        <v>47888252</v>
      </c>
      <c r="U633" s="8">
        <v>2162081</v>
      </c>
      <c r="X633" s="8">
        <f>+'St of Net Assets - GA'!O632-'LT _Lia - GA'!U633</f>
        <v>0</v>
      </c>
    </row>
    <row r="634" spans="1:24">
      <c r="A634" s="13" t="s">
        <v>621</v>
      </c>
      <c r="B634" s="13"/>
      <c r="C634" s="13" t="s">
        <v>58</v>
      </c>
      <c r="D634" s="13"/>
      <c r="E634" s="32">
        <v>49544</v>
      </c>
      <c r="G634" s="8">
        <f>3205000+2978000</f>
        <v>6183000</v>
      </c>
      <c r="I634" s="8">
        <v>0</v>
      </c>
      <c r="K634" s="8">
        <v>0</v>
      </c>
      <c r="M634" s="8">
        <v>1992</v>
      </c>
      <c r="O634" s="8">
        <v>684858</v>
      </c>
      <c r="Q634" s="8">
        <v>0</v>
      </c>
      <c r="S634" s="9">
        <f t="shared" si="27"/>
        <v>6869850</v>
      </c>
      <c r="U634" s="8">
        <v>383541</v>
      </c>
      <c r="X634" s="8">
        <f>+'St of Net Assets - GA'!O633-'LT _Lia - GA'!U634</f>
        <v>0</v>
      </c>
    </row>
    <row r="635" spans="1:24">
      <c r="A635" s="13" t="s">
        <v>568</v>
      </c>
      <c r="B635" s="13"/>
      <c r="C635" s="13" t="s">
        <v>51</v>
      </c>
      <c r="D635" s="13"/>
      <c r="E635" s="32">
        <v>45179</v>
      </c>
      <c r="G635" s="8">
        <v>31994784</v>
      </c>
      <c r="I635" s="8">
        <v>0</v>
      </c>
      <c r="K635" s="8">
        <v>0</v>
      </c>
      <c r="M635" s="8">
        <v>100328</v>
      </c>
      <c r="O635" s="8">
        <f>1151165+1932474</f>
        <v>3083639</v>
      </c>
      <c r="Q635" s="8">
        <v>0</v>
      </c>
      <c r="S635" s="9">
        <f t="shared" si="27"/>
        <v>35178751</v>
      </c>
      <c r="U635" s="8">
        <v>1821556</v>
      </c>
      <c r="X635" s="8">
        <f>+'St of Net Assets - GA'!O634-'LT _Lia - GA'!U635</f>
        <v>0</v>
      </c>
    </row>
    <row r="636" spans="1:24">
      <c r="A636" s="13"/>
      <c r="B636" s="13"/>
      <c r="C636" s="13"/>
      <c r="D636" s="13"/>
    </row>
  </sheetData>
  <phoneticPr fontId="3" type="noConversion"/>
  <pageMargins left="0.75" right="0.75" top="0.5" bottom="0.75" header="0.25" footer="0.25"/>
  <pageSetup scale="85" firstPageNumber="210" pageOrder="overThenDown" orientation="portrait" useFirstPageNumber="1" r:id="rId1"/>
  <headerFooter alignWithMargins="0">
    <oddFooter>&amp;C&amp;"Times New Roman,Regular"&amp;11&amp;P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G1"/>
  <sheetViews>
    <sheetView workbookViewId="0">
      <selection activeCell="J346" sqref="J346"/>
    </sheetView>
  </sheetViews>
  <sheetFormatPr defaultRowHeight="12.75"/>
  <cols>
    <col min="1" max="4" width="8.85546875" style="10"/>
    <col min="5" max="5" width="8.85546875" style="30"/>
    <col min="6" max="6" width="8.85546875" style="10"/>
    <col min="7" max="7" width="8.85546875" style="8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22" sqref="N22:N23"/>
    </sheetView>
  </sheetViews>
  <sheetFormatPr defaultRowHeight="12.75"/>
  <cols>
    <col min="1" max="1" width="8.85546875" style="8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AO748"/>
  <sheetViews>
    <sheetView zoomScaleNormal="100" zoomScaleSheetLayoutView="100" workbookViewId="0">
      <pane xSplit="1" ySplit="9" topLeftCell="B10" activePane="bottomRight" state="frozen"/>
      <selection sqref="A1:IV65536"/>
      <selection pane="topRight" sqref="A1:IV65536"/>
      <selection pane="bottomLeft" sqref="A1:IV65536"/>
      <selection pane="bottomRight" activeCell="K29" sqref="K29"/>
    </sheetView>
  </sheetViews>
  <sheetFormatPr defaultColWidth="9.140625" defaultRowHeight="12.75"/>
  <cols>
    <col min="1" max="1" width="32" style="10" customWidth="1"/>
    <col min="2" max="2" width="1.7109375" style="10" customWidth="1"/>
    <col min="3" max="3" width="11.7109375" style="10" customWidth="1"/>
    <col min="4" max="4" width="1.7109375" style="10" hidden="1" customWidth="1"/>
    <col min="5" max="5" width="11.7109375" style="30" hidden="1" customWidth="1"/>
    <col min="6" max="6" width="1.7109375" style="10" customWidth="1"/>
    <col min="7" max="7" width="11.7109375" style="8" customWidth="1"/>
    <col min="8" max="8" width="1.7109375" style="8" customWidth="1"/>
    <col min="9" max="9" width="11.7109375" style="8" customWidth="1"/>
    <col min="10" max="10" width="1.7109375" style="8" customWidth="1"/>
    <col min="11" max="11" width="11.7109375" style="8" customWidth="1"/>
    <col min="12" max="12" width="1.7109375" style="8" customWidth="1"/>
    <col min="13" max="13" width="11.7109375" style="8" customWidth="1"/>
    <col min="14" max="14" width="1.7109375" style="8" customWidth="1"/>
    <col min="15" max="15" width="11.7109375" style="8" customWidth="1"/>
    <col min="16" max="16" width="1.7109375" style="8" customWidth="1"/>
    <col min="17" max="17" width="11.7109375" style="8" customWidth="1"/>
    <col min="18" max="18" width="1.7109375" style="8" customWidth="1"/>
    <col min="19" max="19" width="11.7109375" style="8" customWidth="1"/>
    <col min="20" max="20" width="2.140625" style="8" customWidth="1"/>
    <col min="21" max="21" width="11.7109375" style="8" customWidth="1"/>
    <col min="22" max="22" width="1.7109375" style="8" customWidth="1"/>
    <col min="23" max="23" width="11.7109375" style="8" customWidth="1"/>
    <col min="24" max="24" width="1.7109375" style="8" customWidth="1"/>
    <col min="25" max="25" width="11.7109375" style="8" customWidth="1"/>
    <col min="26" max="26" width="1.7109375" style="8" customWidth="1"/>
    <col min="27" max="27" width="11.7109375" style="8" customWidth="1"/>
    <col min="28" max="28" width="1.7109375" style="71" hidden="1" customWidth="1"/>
    <col min="29" max="29" width="11.7109375" style="8" hidden="1" customWidth="1"/>
    <col min="30" max="30" width="1.7109375" style="8" customWidth="1"/>
    <col min="31" max="31" width="11.7109375" style="8" customWidth="1"/>
    <col min="32" max="32" width="1.7109375" style="8" customWidth="1"/>
    <col min="33" max="33" width="10.42578125" style="8" hidden="1" customWidth="1"/>
    <col min="34" max="34" width="6.140625" style="10" hidden="1" customWidth="1"/>
    <col min="35" max="35" width="11.7109375" style="8" customWidth="1"/>
    <col min="36" max="36" width="1.7109375" style="10" customWidth="1"/>
    <col min="37" max="37" width="11.7109375" style="10" customWidth="1"/>
    <col min="38" max="38" width="9.140625" style="10"/>
    <col min="39" max="39" width="11.7109375" style="10" customWidth="1"/>
    <col min="40" max="40" width="9.140625" style="10"/>
    <col min="41" max="41" width="11.7109375" style="10" customWidth="1"/>
    <col min="42" max="16384" width="9.140625" style="10"/>
  </cols>
  <sheetData>
    <row r="1" spans="1:37" ht="12" customHeight="1">
      <c r="A1" s="36" t="s">
        <v>135</v>
      </c>
      <c r="B1" s="36"/>
      <c r="C1" s="36"/>
      <c r="D1" s="36"/>
      <c r="E1" s="61"/>
    </row>
    <row r="2" spans="1:37" ht="12" customHeight="1">
      <c r="A2" s="36" t="s">
        <v>895</v>
      </c>
      <c r="B2" s="36"/>
      <c r="C2" s="36"/>
      <c r="D2" s="36"/>
      <c r="E2" s="61"/>
    </row>
    <row r="3" spans="1:37" ht="12" customHeight="1">
      <c r="AI3" s="16" t="s">
        <v>3</v>
      </c>
      <c r="AK3" s="36" t="s">
        <v>805</v>
      </c>
    </row>
    <row r="4" spans="1:37" ht="12" customHeight="1">
      <c r="A4" s="36" t="s">
        <v>175</v>
      </c>
      <c r="B4" s="36"/>
      <c r="C4" s="36"/>
      <c r="D4" s="36"/>
      <c r="E4" s="61"/>
      <c r="O4" s="11"/>
      <c r="P4" s="11"/>
      <c r="AI4" s="16" t="s">
        <v>147</v>
      </c>
    </row>
    <row r="5" spans="1:37" ht="12" customHeight="1">
      <c r="A5" s="36"/>
      <c r="G5" s="19" t="s">
        <v>106</v>
      </c>
      <c r="H5" s="19"/>
      <c r="I5" s="19"/>
      <c r="J5" s="19"/>
      <c r="K5" s="19"/>
      <c r="L5" s="24" t="s">
        <v>134</v>
      </c>
      <c r="M5" s="24"/>
      <c r="O5" s="19" t="s">
        <v>129</v>
      </c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G5" s="16" t="s">
        <v>3</v>
      </c>
      <c r="AI5" s="5" t="s">
        <v>81</v>
      </c>
    </row>
    <row r="6" spans="1:37" ht="12" customHeight="1">
      <c r="A6" s="132" t="s">
        <v>1075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O6" s="11"/>
      <c r="P6" s="11"/>
      <c r="AC6" s="11"/>
      <c r="AG6" s="16" t="s">
        <v>81</v>
      </c>
      <c r="AI6" s="5" t="s">
        <v>807</v>
      </c>
    </row>
    <row r="7" spans="1:37" ht="12" customHeight="1">
      <c r="A7" s="20"/>
      <c r="I7" s="16" t="s">
        <v>126</v>
      </c>
      <c r="M7" s="16" t="s">
        <v>3</v>
      </c>
      <c r="O7" s="20"/>
      <c r="P7" s="20"/>
      <c r="Q7" s="20"/>
      <c r="R7" s="20"/>
      <c r="S7" s="20" t="s">
        <v>105</v>
      </c>
      <c r="T7" s="20"/>
      <c r="U7" s="20"/>
      <c r="V7" s="20"/>
      <c r="W7" s="20" t="s">
        <v>145</v>
      </c>
      <c r="X7" s="20"/>
      <c r="Y7" s="4" t="s">
        <v>111</v>
      </c>
      <c r="Z7" s="20"/>
      <c r="AA7" s="20"/>
      <c r="AC7" s="10"/>
      <c r="AD7" s="24"/>
      <c r="AF7" s="24"/>
      <c r="AG7" s="5" t="s">
        <v>9</v>
      </c>
      <c r="AI7" s="16" t="s">
        <v>849</v>
      </c>
    </row>
    <row r="8" spans="1:37" ht="12" customHeight="1">
      <c r="A8" s="4"/>
      <c r="B8" s="4"/>
      <c r="C8" s="4"/>
      <c r="D8" s="4"/>
      <c r="E8" s="57"/>
      <c r="F8" s="4"/>
      <c r="G8" s="16" t="s">
        <v>0</v>
      </c>
      <c r="H8" s="16"/>
      <c r="I8" s="16" t="s">
        <v>111</v>
      </c>
      <c r="J8" s="16"/>
      <c r="K8" s="16" t="s">
        <v>73</v>
      </c>
      <c r="L8" s="16"/>
      <c r="M8" s="16" t="s">
        <v>142</v>
      </c>
      <c r="O8" s="5" t="s">
        <v>107</v>
      </c>
      <c r="P8" s="5"/>
      <c r="Q8" s="5" t="s">
        <v>757</v>
      </c>
      <c r="R8" s="5"/>
      <c r="S8" s="5" t="s">
        <v>143</v>
      </c>
      <c r="T8" s="5"/>
      <c r="U8" s="16" t="s">
        <v>108</v>
      </c>
      <c r="V8" s="16"/>
      <c r="W8" s="5" t="s">
        <v>146</v>
      </c>
      <c r="X8" s="5"/>
      <c r="Y8" s="4" t="s">
        <v>183</v>
      </c>
      <c r="Z8" s="5"/>
      <c r="AA8" s="16"/>
      <c r="AC8" s="5" t="s">
        <v>168</v>
      </c>
      <c r="AD8" s="16"/>
      <c r="AE8" s="5" t="s">
        <v>762</v>
      </c>
      <c r="AF8" s="16"/>
      <c r="AG8" s="5" t="s">
        <v>759</v>
      </c>
      <c r="AI8" s="5" t="s">
        <v>762</v>
      </c>
    </row>
    <row r="9" spans="1:37" ht="12" customHeight="1">
      <c r="A9" s="68" t="s">
        <v>206</v>
      </c>
      <c r="B9" s="20"/>
      <c r="C9" s="68" t="s">
        <v>4</v>
      </c>
      <c r="D9" s="20"/>
      <c r="E9" s="58" t="s">
        <v>205</v>
      </c>
      <c r="F9" s="4"/>
      <c r="G9" s="1" t="s">
        <v>6</v>
      </c>
      <c r="I9" s="1" t="s">
        <v>122</v>
      </c>
      <c r="K9" s="1" t="s">
        <v>109</v>
      </c>
      <c r="L9" s="5"/>
      <c r="M9" s="1" t="s">
        <v>9</v>
      </c>
      <c r="O9" s="1" t="s">
        <v>5</v>
      </c>
      <c r="P9" s="16"/>
      <c r="Q9" s="1" t="s">
        <v>5</v>
      </c>
      <c r="R9" s="16"/>
      <c r="S9" s="1" t="s">
        <v>144</v>
      </c>
      <c r="T9" s="1"/>
      <c r="U9" s="1" t="s">
        <v>110</v>
      </c>
      <c r="V9" s="5"/>
      <c r="W9" s="1" t="s">
        <v>5</v>
      </c>
      <c r="X9" s="5"/>
      <c r="Y9" s="6" t="s">
        <v>184</v>
      </c>
      <c r="Z9" s="16"/>
      <c r="AA9" s="1" t="s">
        <v>783</v>
      </c>
      <c r="AC9" s="1" t="s">
        <v>793</v>
      </c>
      <c r="AE9" s="1" t="s">
        <v>782</v>
      </c>
      <c r="AG9" s="1" t="s">
        <v>760</v>
      </c>
      <c r="AI9" s="1" t="s">
        <v>782</v>
      </c>
    </row>
    <row r="10" spans="1:37" ht="12" customHeight="1">
      <c r="A10" s="12"/>
      <c r="B10" s="12"/>
      <c r="C10" s="12"/>
      <c r="D10" s="12"/>
      <c r="E10" s="32"/>
      <c r="F10" s="4"/>
      <c r="G10" s="5"/>
      <c r="I10" s="5"/>
      <c r="K10" s="5"/>
      <c r="L10" s="5"/>
      <c r="M10" s="5"/>
      <c r="O10" s="5"/>
      <c r="S10" s="5"/>
      <c r="T10" s="5"/>
      <c r="U10" s="5"/>
      <c r="V10" s="5"/>
      <c r="W10" s="5"/>
      <c r="X10" s="5"/>
      <c r="Y10" s="5"/>
      <c r="AA10" s="5"/>
      <c r="AC10" s="5"/>
      <c r="AG10" s="5"/>
    </row>
    <row r="11" spans="1:37" s="35" customFormat="1" ht="12" customHeight="1">
      <c r="A11" s="34" t="s">
        <v>207</v>
      </c>
      <c r="B11" s="34"/>
      <c r="C11" s="34" t="s">
        <v>208</v>
      </c>
      <c r="D11" s="34"/>
      <c r="E11" s="34">
        <v>61903</v>
      </c>
      <c r="F11" s="47"/>
      <c r="G11" s="35">
        <v>2597751</v>
      </c>
      <c r="I11" s="35">
        <v>9383500</v>
      </c>
      <c r="K11" s="35">
        <v>60383</v>
      </c>
      <c r="M11" s="35">
        <f>SUM(G11:L11)</f>
        <v>12041634</v>
      </c>
      <c r="O11" s="35">
        <f>6149393+132495+2420544+144128</f>
        <v>8846560</v>
      </c>
      <c r="Q11" s="35">
        <v>0</v>
      </c>
      <c r="S11" s="35">
        <v>23609000</v>
      </c>
      <c r="U11" s="35">
        <v>973367</v>
      </c>
      <c r="W11" s="35">
        <v>0</v>
      </c>
      <c r="Y11" s="35">
        <v>10500</v>
      </c>
      <c r="AA11" s="35">
        <v>260275</v>
      </c>
      <c r="AB11" s="45"/>
      <c r="AC11" s="35">
        <v>0</v>
      </c>
      <c r="AE11" s="35">
        <v>0</v>
      </c>
      <c r="AG11" s="35">
        <f>SUM(O11:AE11)</f>
        <v>33699702</v>
      </c>
      <c r="AI11" s="35">
        <f>+AG11+M11</f>
        <v>45741336</v>
      </c>
    </row>
    <row r="12" spans="1:37" ht="12" customHeight="1">
      <c r="A12" s="12" t="s">
        <v>616</v>
      </c>
      <c r="B12" s="12"/>
      <c r="C12" s="12" t="s">
        <v>58</v>
      </c>
      <c r="D12" s="12"/>
      <c r="E12" s="32">
        <v>49494</v>
      </c>
      <c r="G12" s="8">
        <v>861335</v>
      </c>
      <c r="I12" s="8">
        <v>2241857</v>
      </c>
      <c r="K12" s="8">
        <v>12136</v>
      </c>
      <c r="M12" s="8">
        <f t="shared" ref="M12:M76" si="0">SUM(G12:L12)</f>
        <v>3115328</v>
      </c>
      <c r="O12" s="8">
        <f>1838664+34869+193218</f>
        <v>2066751</v>
      </c>
      <c r="Q12" s="8">
        <v>992243</v>
      </c>
      <c r="S12" s="8">
        <v>6395454</v>
      </c>
      <c r="U12" s="8">
        <v>62100</v>
      </c>
      <c r="W12" s="8">
        <v>0</v>
      </c>
      <c r="Y12" s="8">
        <v>1711</v>
      </c>
      <c r="AA12" s="8">
        <v>67138</v>
      </c>
      <c r="AB12" s="39"/>
      <c r="AC12" s="8">
        <v>0</v>
      </c>
      <c r="AE12" s="8">
        <v>0</v>
      </c>
      <c r="AG12" s="8">
        <f t="shared" ref="AG12:AG76" si="1">SUM(O12:AE12)</f>
        <v>9585397</v>
      </c>
      <c r="AH12" s="8"/>
      <c r="AI12" s="8">
        <f t="shared" ref="AI12:AI77" si="2">+AG12+M12</f>
        <v>12700725</v>
      </c>
    </row>
    <row r="13" spans="1:37" ht="12" customHeight="1">
      <c r="A13" s="12" t="s">
        <v>662</v>
      </c>
      <c r="B13" s="12"/>
      <c r="C13" s="12" t="s">
        <v>63</v>
      </c>
      <c r="D13" s="12"/>
      <c r="E13" s="32">
        <v>43489</v>
      </c>
      <c r="G13" s="8">
        <v>14776531</v>
      </c>
      <c r="I13" s="8">
        <v>69154973</v>
      </c>
      <c r="K13" s="8">
        <v>63545301</v>
      </c>
      <c r="M13" s="8">
        <f t="shared" si="0"/>
        <v>147476805</v>
      </c>
      <c r="O13" s="8">
        <f>109862408+3803913</f>
        <v>113666321</v>
      </c>
      <c r="Q13" s="8">
        <v>0</v>
      </c>
      <c r="S13" s="8">
        <v>154023898</v>
      </c>
      <c r="U13" s="8">
        <v>4443767</v>
      </c>
      <c r="W13" s="8">
        <v>0</v>
      </c>
      <c r="Y13" s="8">
        <v>0</v>
      </c>
      <c r="AA13" s="8">
        <f>512981+4297778</f>
        <v>4810759</v>
      </c>
      <c r="AB13" s="39"/>
      <c r="AC13" s="8">
        <v>0</v>
      </c>
      <c r="AE13" s="8">
        <v>0</v>
      </c>
      <c r="AG13" s="8">
        <f t="shared" si="1"/>
        <v>276944745</v>
      </c>
      <c r="AH13" s="8"/>
      <c r="AI13" s="8">
        <f t="shared" si="2"/>
        <v>424421550</v>
      </c>
    </row>
    <row r="14" spans="1:37" ht="12" hidden="1" customHeight="1">
      <c r="A14" s="13" t="s">
        <v>837</v>
      </c>
      <c r="B14" s="12"/>
      <c r="C14" s="12" t="s">
        <v>13</v>
      </c>
      <c r="D14" s="12"/>
      <c r="E14" s="32">
        <v>45906</v>
      </c>
      <c r="F14" s="7"/>
      <c r="G14" s="8">
        <v>1081030</v>
      </c>
      <c r="I14" s="8">
        <v>2341396</v>
      </c>
      <c r="M14" s="8">
        <f t="shared" si="0"/>
        <v>3422426</v>
      </c>
      <c r="O14" s="8">
        <v>4339455</v>
      </c>
      <c r="S14" s="8">
        <v>10321825</v>
      </c>
      <c r="U14" s="8">
        <v>89315</v>
      </c>
      <c r="AA14" s="8">
        <f>1100+12030+96701</f>
        <v>109831</v>
      </c>
      <c r="AB14" s="39"/>
      <c r="AG14" s="8">
        <f t="shared" si="1"/>
        <v>14860426</v>
      </c>
      <c r="AH14" s="8"/>
      <c r="AI14" s="8">
        <f t="shared" si="2"/>
        <v>18282852</v>
      </c>
      <c r="AK14" s="8" t="s">
        <v>956</v>
      </c>
    </row>
    <row r="15" spans="1:37" ht="12" customHeight="1">
      <c r="A15" s="12" t="s">
        <v>648</v>
      </c>
      <c r="B15" s="12"/>
      <c r="C15" s="12" t="s">
        <v>62</v>
      </c>
      <c r="D15" s="12"/>
      <c r="E15" s="32">
        <v>43497</v>
      </c>
      <c r="G15" s="8">
        <v>1724534</v>
      </c>
      <c r="I15" s="8">
        <v>6616965</v>
      </c>
      <c r="K15" s="8">
        <v>94427</v>
      </c>
      <c r="M15" s="8">
        <f t="shared" si="0"/>
        <v>8435926</v>
      </c>
      <c r="O15" s="8">
        <f>6786246+757287+231078+94672</f>
        <v>7869283</v>
      </c>
      <c r="Q15" s="8">
        <v>0</v>
      </c>
      <c r="S15" s="8">
        <v>17570483</v>
      </c>
      <c r="U15" s="8">
        <v>138317</v>
      </c>
      <c r="W15" s="8">
        <v>0</v>
      </c>
      <c r="Y15" s="8">
        <v>0</v>
      </c>
      <c r="AA15" s="8">
        <v>16115</v>
      </c>
      <c r="AB15" s="39"/>
      <c r="AC15" s="8">
        <v>0</v>
      </c>
      <c r="AE15" s="8">
        <v>195695</v>
      </c>
      <c r="AG15" s="8">
        <f t="shared" si="1"/>
        <v>25789893</v>
      </c>
      <c r="AH15" s="8"/>
      <c r="AI15" s="8">
        <f t="shared" si="2"/>
        <v>34225819</v>
      </c>
    </row>
    <row r="16" spans="1:37" ht="12" customHeight="1">
      <c r="A16" s="12" t="s">
        <v>343</v>
      </c>
      <c r="B16" s="12"/>
      <c r="C16" s="12" t="s">
        <v>25</v>
      </c>
      <c r="D16" s="12"/>
      <c r="E16" s="32">
        <v>46847</v>
      </c>
      <c r="G16" s="8">
        <v>1070029</v>
      </c>
      <c r="I16" s="8">
        <v>2234434</v>
      </c>
      <c r="K16" s="8">
        <v>6000</v>
      </c>
      <c r="M16" s="8">
        <f t="shared" si="0"/>
        <v>3310463</v>
      </c>
      <c r="O16" s="8">
        <f>2702245+324966+209</f>
        <v>3027420</v>
      </c>
      <c r="Q16" s="8">
        <v>0</v>
      </c>
      <c r="S16" s="8">
        <v>8590834</v>
      </c>
      <c r="U16" s="8">
        <v>94269</v>
      </c>
      <c r="W16" s="8">
        <v>0</v>
      </c>
      <c r="Y16" s="8">
        <v>0</v>
      </c>
      <c r="AA16" s="8">
        <v>650183</v>
      </c>
      <c r="AB16" s="39"/>
      <c r="AC16" s="8">
        <v>0</v>
      </c>
      <c r="AE16" s="8">
        <v>0</v>
      </c>
      <c r="AG16" s="8">
        <f t="shared" si="1"/>
        <v>12362706</v>
      </c>
      <c r="AH16" s="8"/>
      <c r="AI16" s="8">
        <f t="shared" si="2"/>
        <v>15673169</v>
      </c>
      <c r="AK16" s="8"/>
    </row>
    <row r="17" spans="1:37" s="8" customFormat="1" ht="12" customHeight="1">
      <c r="A17" s="13" t="s">
        <v>775</v>
      </c>
      <c r="B17" s="13"/>
      <c r="C17" s="13" t="s">
        <v>44</v>
      </c>
      <c r="D17" s="13"/>
      <c r="E17" s="13">
        <v>45195</v>
      </c>
      <c r="F17" s="5"/>
      <c r="G17" s="8">
        <v>2070730</v>
      </c>
      <c r="I17" s="8">
        <v>1822331</v>
      </c>
      <c r="K17" s="8">
        <v>0</v>
      </c>
      <c r="M17" s="8">
        <f>SUM(G17:L17)</f>
        <v>3893061</v>
      </c>
      <c r="O17" s="8">
        <f>13992098+1868638</f>
        <v>15860736</v>
      </c>
      <c r="Q17" s="8">
        <v>0</v>
      </c>
      <c r="S17" s="8">
        <v>19916814</v>
      </c>
      <c r="U17" s="8">
        <v>204044</v>
      </c>
      <c r="W17" s="8">
        <v>0</v>
      </c>
      <c r="Y17" s="8">
        <v>0</v>
      </c>
      <c r="AA17" s="8">
        <v>53975</v>
      </c>
      <c r="AB17" s="39"/>
      <c r="AC17" s="8">
        <v>0</v>
      </c>
      <c r="AE17" s="8">
        <v>0</v>
      </c>
      <c r="AG17" s="8">
        <f>SUM(O17:AE17)</f>
        <v>36035569</v>
      </c>
      <c r="AI17" s="8">
        <f>+AG17+M17</f>
        <v>39928630</v>
      </c>
    </row>
    <row r="18" spans="1:37" ht="12" customHeight="1">
      <c r="A18" s="12" t="s">
        <v>641</v>
      </c>
      <c r="B18" s="12"/>
      <c r="C18" s="12" t="s">
        <v>61</v>
      </c>
      <c r="D18" s="12"/>
      <c r="E18" s="32">
        <v>49759</v>
      </c>
      <c r="G18" s="8">
        <v>976798</v>
      </c>
      <c r="I18" s="8">
        <v>452176</v>
      </c>
      <c r="K18" s="8">
        <v>11415</v>
      </c>
      <c r="M18" s="8">
        <f t="shared" si="0"/>
        <v>1440389</v>
      </c>
      <c r="O18" s="8">
        <f>3002351+177234+272034+501093</f>
        <v>3952712</v>
      </c>
      <c r="Q18" s="8">
        <v>0</v>
      </c>
      <c r="S18" s="8">
        <v>5924907</v>
      </c>
      <c r="U18" s="8">
        <v>354321</v>
      </c>
      <c r="W18" s="8">
        <v>9529</v>
      </c>
      <c r="Y18" s="8">
        <v>10856</v>
      </c>
      <c r="AA18" s="8">
        <f>4515+53709</f>
        <v>58224</v>
      </c>
      <c r="AB18" s="39"/>
      <c r="AC18" s="8">
        <v>0</v>
      </c>
      <c r="AE18" s="8">
        <v>54743</v>
      </c>
      <c r="AG18" s="8">
        <f t="shared" si="1"/>
        <v>10365292</v>
      </c>
      <c r="AH18" s="8"/>
      <c r="AI18" s="8">
        <f t="shared" si="2"/>
        <v>11805681</v>
      </c>
    </row>
    <row r="19" spans="1:37" ht="12" hidden="1" customHeight="1">
      <c r="A19" s="13" t="s">
        <v>1019</v>
      </c>
      <c r="B19" s="13"/>
      <c r="C19" s="13" t="s">
        <v>814</v>
      </c>
      <c r="D19" s="12"/>
      <c r="E19" s="32"/>
      <c r="G19" s="8">
        <v>972848</v>
      </c>
      <c r="I19" s="8">
        <v>687983</v>
      </c>
      <c r="M19" s="8">
        <f t="shared" si="0"/>
        <v>1660831</v>
      </c>
      <c r="O19" s="8">
        <v>1291049</v>
      </c>
      <c r="Q19" s="8">
        <v>428072</v>
      </c>
      <c r="S19" s="8">
        <v>3768478</v>
      </c>
      <c r="U19" s="8">
        <v>28161</v>
      </c>
      <c r="AA19" s="8">
        <v>21892</v>
      </c>
      <c r="AB19" s="39"/>
      <c r="AG19" s="8">
        <f t="shared" si="1"/>
        <v>5537652</v>
      </c>
      <c r="AH19" s="8"/>
      <c r="AI19" s="8">
        <f t="shared" si="2"/>
        <v>7198483</v>
      </c>
    </row>
    <row r="20" spans="1:37" ht="12" customHeight="1">
      <c r="A20" s="12" t="s">
        <v>496</v>
      </c>
      <c r="B20" s="12"/>
      <c r="C20" s="12" t="s">
        <v>117</v>
      </c>
      <c r="D20" s="12"/>
      <c r="E20" s="32">
        <v>48207</v>
      </c>
      <c r="G20" s="8">
        <v>2309030</v>
      </c>
      <c r="I20" s="8">
        <v>1966680</v>
      </c>
      <c r="K20" s="8">
        <v>49036</v>
      </c>
      <c r="M20" s="8">
        <f t="shared" si="0"/>
        <v>4324746</v>
      </c>
      <c r="O20" s="8">
        <f>20949212+2142492+1548748</f>
        <v>24640452</v>
      </c>
      <c r="Q20" s="8">
        <v>0</v>
      </c>
      <c r="S20" s="8">
        <v>12069835</v>
      </c>
      <c r="U20" s="8">
        <v>134794</v>
      </c>
      <c r="W20" s="8">
        <v>355484</v>
      </c>
      <c r="Y20" s="8">
        <v>0</v>
      </c>
      <c r="AA20" s="8">
        <v>195806</v>
      </c>
      <c r="AB20" s="39"/>
      <c r="AC20" s="8">
        <v>0</v>
      </c>
      <c r="AE20" s="8">
        <v>0</v>
      </c>
      <c r="AG20" s="8">
        <f t="shared" si="1"/>
        <v>37396371</v>
      </c>
      <c r="AH20" s="8"/>
      <c r="AI20" s="8">
        <f t="shared" si="2"/>
        <v>41721117</v>
      </c>
    </row>
    <row r="21" spans="1:37" ht="12" customHeight="1">
      <c r="A21" s="12" t="s">
        <v>413</v>
      </c>
      <c r="B21" s="12"/>
      <c r="C21" s="12" t="s">
        <v>33</v>
      </c>
      <c r="D21" s="12"/>
      <c r="E21" s="32">
        <v>47415</v>
      </c>
      <c r="G21" s="8">
        <v>874975</v>
      </c>
      <c r="I21" s="8">
        <v>505215</v>
      </c>
      <c r="K21" s="8">
        <v>7921</v>
      </c>
      <c r="M21" s="8">
        <f t="shared" si="0"/>
        <v>1388111</v>
      </c>
      <c r="O21" s="8">
        <v>2090158</v>
      </c>
      <c r="Q21" s="8">
        <v>627401</v>
      </c>
      <c r="S21" s="8">
        <v>2259709</v>
      </c>
      <c r="U21" s="8">
        <v>42869</v>
      </c>
      <c r="W21" s="8">
        <v>0</v>
      </c>
      <c r="Y21" s="8">
        <v>20072</v>
      </c>
      <c r="AA21" s="8">
        <v>20839</v>
      </c>
      <c r="AB21" s="39"/>
      <c r="AC21" s="8">
        <v>0</v>
      </c>
      <c r="AE21" s="8">
        <v>0</v>
      </c>
      <c r="AG21" s="8">
        <f t="shared" si="1"/>
        <v>5061048</v>
      </c>
      <c r="AH21" s="8"/>
      <c r="AI21" s="8">
        <f t="shared" si="2"/>
        <v>6449159</v>
      </c>
    </row>
    <row r="22" spans="1:37" ht="12" hidden="1" customHeight="1">
      <c r="A22" s="13" t="s">
        <v>958</v>
      </c>
      <c r="B22" s="12"/>
      <c r="C22" s="12" t="s">
        <v>21</v>
      </c>
      <c r="D22" s="12"/>
      <c r="E22" s="32">
        <v>46631</v>
      </c>
      <c r="G22" s="8">
        <v>993775</v>
      </c>
      <c r="I22" s="8">
        <v>465761</v>
      </c>
      <c r="K22" s="8">
        <v>6601916</v>
      </c>
      <c r="M22" s="8">
        <f t="shared" si="0"/>
        <v>8061452</v>
      </c>
      <c r="O22" s="8">
        <v>2626371</v>
      </c>
      <c r="Q22" s="8">
        <v>1712898</v>
      </c>
      <c r="S22" s="8">
        <v>4853715</v>
      </c>
      <c r="U22" s="8">
        <v>52385</v>
      </c>
      <c r="AA22" s="8">
        <v>29131</v>
      </c>
      <c r="AB22" s="39"/>
      <c r="AG22" s="8">
        <f t="shared" si="1"/>
        <v>9274500</v>
      </c>
      <c r="AH22" s="8"/>
      <c r="AI22" s="8">
        <f t="shared" si="2"/>
        <v>17335952</v>
      </c>
      <c r="AK22" s="8" t="s">
        <v>956</v>
      </c>
    </row>
    <row r="23" spans="1:37" ht="12" customHeight="1">
      <c r="A23" s="12" t="s">
        <v>368</v>
      </c>
      <c r="B23" s="12"/>
      <c r="C23" s="12" t="s">
        <v>28</v>
      </c>
      <c r="D23" s="12"/>
      <c r="E23" s="32">
        <v>47043</v>
      </c>
      <c r="G23" s="8">
        <v>875195</v>
      </c>
      <c r="I23" s="8">
        <v>802228</v>
      </c>
      <c r="K23" s="8">
        <v>0</v>
      </c>
      <c r="M23" s="8">
        <f t="shared" si="0"/>
        <v>1677423</v>
      </c>
      <c r="O23" s="8">
        <f>5624576+221435+1194454</f>
        <v>7040465</v>
      </c>
      <c r="Q23" s="8">
        <v>0</v>
      </c>
      <c r="S23" s="8">
        <v>5981304</v>
      </c>
      <c r="U23" s="8">
        <v>190046</v>
      </c>
      <c r="W23" s="8">
        <v>0</v>
      </c>
      <c r="Y23" s="8">
        <v>6287</v>
      </c>
      <c r="AA23" s="8">
        <v>171880</v>
      </c>
      <c r="AB23" s="39"/>
      <c r="AC23" s="8">
        <v>0</v>
      </c>
      <c r="AE23" s="8">
        <v>0</v>
      </c>
      <c r="AG23" s="8">
        <f t="shared" si="1"/>
        <v>13389982</v>
      </c>
      <c r="AH23" s="8"/>
      <c r="AI23" s="8">
        <f t="shared" si="2"/>
        <v>15067405</v>
      </c>
    </row>
    <row r="24" spans="1:37" ht="12" customHeight="1">
      <c r="A24" s="12" t="s">
        <v>414</v>
      </c>
      <c r="B24" s="12"/>
      <c r="C24" s="12" t="s">
        <v>33</v>
      </c>
      <c r="D24" s="12"/>
      <c r="E24" s="32">
        <v>47423</v>
      </c>
      <c r="G24" s="8">
        <v>501586</v>
      </c>
      <c r="I24" s="8">
        <v>717649</v>
      </c>
      <c r="K24" s="8">
        <v>23256</v>
      </c>
      <c r="M24" s="8">
        <f t="shared" si="0"/>
        <v>1242491</v>
      </c>
      <c r="O24" s="8">
        <f>1195364+112364</f>
        <v>1307728</v>
      </c>
      <c r="Q24" s="8">
        <v>860831</v>
      </c>
      <c r="S24" s="8">
        <v>3139934</v>
      </c>
      <c r="U24" s="8">
        <v>76415</v>
      </c>
      <c r="W24" s="8">
        <v>0</v>
      </c>
      <c r="Y24" s="8">
        <v>27194</v>
      </c>
      <c r="AA24" s="8">
        <v>49057</v>
      </c>
      <c r="AB24" s="39"/>
      <c r="AC24" s="8">
        <v>0</v>
      </c>
      <c r="AE24" s="8">
        <v>0</v>
      </c>
      <c r="AG24" s="8">
        <f t="shared" si="1"/>
        <v>5461159</v>
      </c>
      <c r="AH24" s="8"/>
      <c r="AI24" s="8">
        <f t="shared" si="2"/>
        <v>6703650</v>
      </c>
    </row>
    <row r="25" spans="1:37" ht="12" customHeight="1">
      <c r="A25" s="12" t="s">
        <v>213</v>
      </c>
      <c r="B25" s="12"/>
      <c r="C25" s="12" t="s">
        <v>11</v>
      </c>
      <c r="D25" s="12"/>
      <c r="E25" s="32">
        <v>43505</v>
      </c>
      <c r="F25" s="7"/>
      <c r="G25" s="8">
        <v>1967509</v>
      </c>
      <c r="I25" s="8">
        <v>3882308</v>
      </c>
      <c r="K25" s="8">
        <v>6622</v>
      </c>
      <c r="M25" s="8">
        <f t="shared" si="0"/>
        <v>5856439</v>
      </c>
      <c r="O25" s="8">
        <f>15388145+442769</f>
        <v>15830914</v>
      </c>
      <c r="Q25" s="8">
        <v>0</v>
      </c>
      <c r="S25" s="8">
        <v>14219627</v>
      </c>
      <c r="U25" s="8">
        <v>253280</v>
      </c>
      <c r="W25" s="8">
        <v>0</v>
      </c>
      <c r="Y25" s="8">
        <v>0</v>
      </c>
      <c r="AA25" s="8">
        <v>385555</v>
      </c>
      <c r="AB25" s="39"/>
      <c r="AC25" s="8">
        <v>0</v>
      </c>
      <c r="AE25" s="8">
        <v>0</v>
      </c>
      <c r="AG25" s="8">
        <f t="shared" si="1"/>
        <v>30689376</v>
      </c>
      <c r="AH25" s="8"/>
      <c r="AI25" s="8">
        <f t="shared" si="2"/>
        <v>36545815</v>
      </c>
    </row>
    <row r="26" spans="1:37" ht="12" customHeight="1">
      <c r="A26" s="13" t="s">
        <v>761</v>
      </c>
      <c r="B26" s="13"/>
      <c r="C26" s="13" t="s">
        <v>12</v>
      </c>
      <c r="D26" s="13"/>
      <c r="E26" s="32">
        <v>43513</v>
      </c>
      <c r="F26" s="7"/>
      <c r="G26" s="8">
        <v>802429</v>
      </c>
      <c r="I26" s="8">
        <v>7928841</v>
      </c>
      <c r="K26" s="8">
        <v>0</v>
      </c>
      <c r="M26" s="8">
        <f t="shared" si="0"/>
        <v>8731270</v>
      </c>
      <c r="O26" s="8">
        <v>14285636</v>
      </c>
      <c r="Q26" s="8">
        <v>0</v>
      </c>
      <c r="S26" s="8">
        <v>45410928</v>
      </c>
      <c r="U26" s="8">
        <v>227533</v>
      </c>
      <c r="W26" s="8">
        <v>0</v>
      </c>
      <c r="Y26" s="8">
        <v>0</v>
      </c>
      <c r="AA26" s="8">
        <f>216015+8805</f>
        <v>224820</v>
      </c>
      <c r="AB26" s="39"/>
      <c r="AC26" s="8">
        <v>0</v>
      </c>
      <c r="AE26" s="8">
        <v>0</v>
      </c>
      <c r="AG26" s="8">
        <f t="shared" si="1"/>
        <v>60148917</v>
      </c>
      <c r="AH26" s="8"/>
      <c r="AI26" s="8">
        <f t="shared" si="2"/>
        <v>68880187</v>
      </c>
      <c r="AK26" s="8" t="s">
        <v>956</v>
      </c>
    </row>
    <row r="27" spans="1:37" ht="12" customHeight="1">
      <c r="A27" s="12" t="s">
        <v>223</v>
      </c>
      <c r="B27" s="12"/>
      <c r="C27" s="12" t="s">
        <v>13</v>
      </c>
      <c r="D27" s="12"/>
      <c r="E27" s="32">
        <v>43521</v>
      </c>
      <c r="F27" s="7"/>
      <c r="G27" s="8">
        <v>3200070</v>
      </c>
      <c r="I27" s="8">
        <v>5305700</v>
      </c>
      <c r="K27" s="8">
        <v>0</v>
      </c>
      <c r="M27" s="8">
        <f t="shared" si="0"/>
        <v>8505770</v>
      </c>
      <c r="O27" s="8">
        <v>16105592</v>
      </c>
      <c r="Q27" s="8">
        <v>2983038</v>
      </c>
      <c r="S27" s="8">
        <v>8418895</v>
      </c>
      <c r="U27" s="8">
        <v>429465</v>
      </c>
      <c r="W27" s="8">
        <v>441147</v>
      </c>
      <c r="Y27" s="8">
        <v>0</v>
      </c>
      <c r="AA27" s="8">
        <v>72006</v>
      </c>
      <c r="AB27" s="39"/>
      <c r="AC27" s="8">
        <v>0</v>
      </c>
      <c r="AE27" s="8">
        <v>0</v>
      </c>
      <c r="AG27" s="8">
        <f t="shared" si="1"/>
        <v>28450143</v>
      </c>
      <c r="AH27" s="8"/>
      <c r="AI27" s="8">
        <f t="shared" si="2"/>
        <v>36955913</v>
      </c>
      <c r="AK27" s="8" t="s">
        <v>956</v>
      </c>
    </row>
    <row r="28" spans="1:37" ht="12" customHeight="1">
      <c r="A28" s="12" t="s">
        <v>588</v>
      </c>
      <c r="B28" s="12"/>
      <c r="C28" s="12" t="s">
        <v>56</v>
      </c>
      <c r="D28" s="12"/>
      <c r="E28" s="32">
        <v>49171</v>
      </c>
      <c r="G28" s="8">
        <v>1105247</v>
      </c>
      <c r="I28" s="8">
        <v>1093825</v>
      </c>
      <c r="K28" s="8">
        <v>7162</v>
      </c>
      <c r="M28" s="8">
        <f t="shared" si="0"/>
        <v>2206234</v>
      </c>
      <c r="O28" s="8">
        <f>18266672+915405+585144</f>
        <v>19767221</v>
      </c>
      <c r="Q28" s="8">
        <v>0</v>
      </c>
      <c r="S28" s="8">
        <v>5910780</v>
      </c>
      <c r="U28" s="8">
        <v>273278</v>
      </c>
      <c r="W28" s="8">
        <v>0</v>
      </c>
      <c r="Y28" s="8">
        <v>0</v>
      </c>
      <c r="AA28" s="8">
        <v>256594</v>
      </c>
      <c r="AB28" s="39"/>
      <c r="AC28" s="8">
        <v>0</v>
      </c>
      <c r="AE28" s="8">
        <v>0</v>
      </c>
      <c r="AG28" s="8">
        <f t="shared" si="1"/>
        <v>26207873</v>
      </c>
      <c r="AH28" s="8"/>
      <c r="AI28" s="8">
        <f t="shared" si="2"/>
        <v>28414107</v>
      </c>
    </row>
    <row r="29" spans="1:37" ht="12" customHeight="1">
      <c r="A29" s="12" t="s">
        <v>508</v>
      </c>
      <c r="B29" s="12"/>
      <c r="C29" s="12" t="s">
        <v>45</v>
      </c>
      <c r="D29" s="12"/>
      <c r="E29" s="32">
        <v>48298</v>
      </c>
      <c r="G29" s="8">
        <v>1859542</v>
      </c>
      <c r="I29" s="8">
        <v>5278978</v>
      </c>
      <c r="K29" s="8">
        <v>107614</v>
      </c>
      <c r="M29" s="8">
        <f t="shared" si="0"/>
        <v>7246134</v>
      </c>
      <c r="O29" s="8">
        <v>17917613</v>
      </c>
      <c r="Q29" s="8">
        <v>0</v>
      </c>
      <c r="S29" s="8">
        <v>19949270</v>
      </c>
      <c r="U29" s="8">
        <v>182106</v>
      </c>
      <c r="W29" s="8">
        <v>0</v>
      </c>
      <c r="Y29" s="8">
        <v>0</v>
      </c>
      <c r="AA29" s="8">
        <v>48900</v>
      </c>
      <c r="AB29" s="39"/>
      <c r="AC29" s="8">
        <v>0</v>
      </c>
      <c r="AE29" s="8">
        <v>0</v>
      </c>
      <c r="AG29" s="8">
        <f t="shared" si="1"/>
        <v>38097889</v>
      </c>
      <c r="AH29" s="8"/>
      <c r="AI29" s="8">
        <f t="shared" si="2"/>
        <v>45344023</v>
      </c>
      <c r="AK29" s="8" t="s">
        <v>956</v>
      </c>
    </row>
    <row r="30" spans="1:37" ht="12" customHeight="1">
      <c r="A30" s="12" t="s">
        <v>483</v>
      </c>
      <c r="B30" s="12"/>
      <c r="C30" s="12" t="s">
        <v>44</v>
      </c>
      <c r="D30" s="12"/>
      <c r="E30" s="32">
        <v>48124</v>
      </c>
      <c r="G30" s="8">
        <v>1858123</v>
      </c>
      <c r="I30" s="8">
        <v>1353955</v>
      </c>
      <c r="K30" s="8">
        <v>0</v>
      </c>
      <c r="M30" s="8">
        <f t="shared" si="0"/>
        <v>3212078</v>
      </c>
      <c r="O30" s="8">
        <v>29011344</v>
      </c>
      <c r="Q30" s="8">
        <v>0</v>
      </c>
      <c r="S30" s="8">
        <v>10613902</v>
      </c>
      <c r="U30" s="8">
        <v>701154</v>
      </c>
      <c r="W30" s="8">
        <v>0</v>
      </c>
      <c r="Y30" s="8">
        <v>0</v>
      </c>
      <c r="AA30" s="8">
        <v>364470</v>
      </c>
      <c r="AB30" s="39"/>
      <c r="AC30" s="8">
        <v>0</v>
      </c>
      <c r="AE30" s="8">
        <v>0</v>
      </c>
      <c r="AG30" s="8">
        <f t="shared" si="1"/>
        <v>40690870</v>
      </c>
      <c r="AH30" s="8"/>
      <c r="AI30" s="8">
        <f t="shared" si="2"/>
        <v>43902948</v>
      </c>
      <c r="AK30" s="10" t="s">
        <v>956</v>
      </c>
    </row>
    <row r="31" spans="1:37" ht="12" customHeight="1">
      <c r="A31" s="12" t="s">
        <v>484</v>
      </c>
      <c r="B31" s="12"/>
      <c r="C31" s="12" t="s">
        <v>44</v>
      </c>
      <c r="D31" s="12"/>
      <c r="E31" s="32">
        <v>48116</v>
      </c>
      <c r="G31" s="8">
        <v>1226175</v>
      </c>
      <c r="I31" s="8">
        <v>1295231</v>
      </c>
      <c r="K31" s="8">
        <v>0</v>
      </c>
      <c r="M31" s="8">
        <f t="shared" si="0"/>
        <v>2521406</v>
      </c>
      <c r="O31" s="8">
        <f>18893188+3379889+703933</f>
        <v>22977010</v>
      </c>
      <c r="Q31" s="8">
        <v>0</v>
      </c>
      <c r="S31" s="8">
        <v>7478901</v>
      </c>
      <c r="U31" s="8">
        <v>366979</v>
      </c>
      <c r="W31" s="8">
        <v>0</v>
      </c>
      <c r="Y31" s="8">
        <v>0</v>
      </c>
      <c r="AA31" s="8">
        <v>637756</v>
      </c>
      <c r="AB31" s="39"/>
      <c r="AC31" s="8">
        <v>0</v>
      </c>
      <c r="AE31" s="8">
        <v>0</v>
      </c>
      <c r="AG31" s="8">
        <f t="shared" si="1"/>
        <v>31460646</v>
      </c>
      <c r="AH31" s="8"/>
      <c r="AI31" s="8">
        <f t="shared" si="2"/>
        <v>33982052</v>
      </c>
      <c r="AK31" s="10" t="s">
        <v>956</v>
      </c>
    </row>
    <row r="32" spans="1:37" ht="12" customHeight="1">
      <c r="A32" s="12" t="s">
        <v>330</v>
      </c>
      <c r="B32" s="12"/>
      <c r="C32" s="12" t="s">
        <v>22</v>
      </c>
      <c r="D32" s="12"/>
      <c r="E32" s="32">
        <v>46706</v>
      </c>
      <c r="G32" s="8">
        <v>1464571</v>
      </c>
      <c r="I32" s="8">
        <v>490471</v>
      </c>
      <c r="K32" s="8">
        <v>4464</v>
      </c>
      <c r="M32" s="8">
        <f t="shared" si="0"/>
        <v>1959506</v>
      </c>
      <c r="O32" s="8">
        <v>2404787</v>
      </c>
      <c r="Q32" s="8">
        <v>812491</v>
      </c>
      <c r="S32" s="8">
        <v>3112457</v>
      </c>
      <c r="U32" s="8">
        <v>47841</v>
      </c>
      <c r="W32" s="8">
        <v>65051</v>
      </c>
      <c r="Y32" s="8">
        <v>0</v>
      </c>
      <c r="AA32" s="8">
        <v>11808</v>
      </c>
      <c r="AB32" s="39"/>
      <c r="AC32" s="8">
        <v>0</v>
      </c>
      <c r="AE32" s="8">
        <v>0</v>
      </c>
      <c r="AG32" s="8">
        <f t="shared" si="1"/>
        <v>6454435</v>
      </c>
      <c r="AH32" s="8"/>
      <c r="AI32" s="8">
        <f t="shared" si="2"/>
        <v>8413941</v>
      </c>
      <c r="AK32" s="10" t="s">
        <v>956</v>
      </c>
    </row>
    <row r="33" spans="1:37" ht="12" customHeight="1">
      <c r="A33" s="12" t="s">
        <v>663</v>
      </c>
      <c r="B33" s="12"/>
      <c r="C33" s="12" t="s">
        <v>63</v>
      </c>
      <c r="D33" s="12"/>
      <c r="E33" s="32">
        <v>43539</v>
      </c>
      <c r="G33" s="8">
        <v>2094252</v>
      </c>
      <c r="I33" s="8">
        <v>14450978</v>
      </c>
      <c r="K33" s="8">
        <v>8027172</v>
      </c>
      <c r="M33" s="8">
        <f t="shared" si="0"/>
        <v>24572402</v>
      </c>
      <c r="O33" s="8">
        <f>11347609+933246+149986</f>
        <v>12430841</v>
      </c>
      <c r="Q33" s="8">
        <v>0</v>
      </c>
      <c r="S33" s="8">
        <v>20610072</v>
      </c>
      <c r="U33" s="8">
        <v>1254403</v>
      </c>
      <c r="W33" s="8">
        <v>0</v>
      </c>
      <c r="Y33" s="8">
        <v>0</v>
      </c>
      <c r="AA33" s="8">
        <v>98740</v>
      </c>
      <c r="AB33" s="39"/>
      <c r="AC33" s="8">
        <v>0</v>
      </c>
      <c r="AE33" s="8">
        <v>45668462</v>
      </c>
      <c r="AG33" s="8">
        <f t="shared" si="1"/>
        <v>80062518</v>
      </c>
      <c r="AH33" s="8"/>
      <c r="AI33" s="8">
        <f t="shared" si="2"/>
        <v>104634920</v>
      </c>
    </row>
    <row r="34" spans="1:37" ht="12" customHeight="1">
      <c r="A34" s="12" t="s">
        <v>815</v>
      </c>
      <c r="B34" s="12"/>
      <c r="C34" s="12" t="s">
        <v>15</v>
      </c>
      <c r="D34" s="12"/>
      <c r="E34" s="32"/>
      <c r="G34" s="8">
        <v>773185</v>
      </c>
      <c r="I34" s="8">
        <v>2209104</v>
      </c>
      <c r="K34" s="8">
        <v>25973</v>
      </c>
      <c r="M34" s="8">
        <f t="shared" si="0"/>
        <v>3008262</v>
      </c>
      <c r="O34" s="8">
        <f>1937025+35128+223619</f>
        <v>2195772</v>
      </c>
      <c r="Q34" s="8">
        <v>0</v>
      </c>
      <c r="S34" s="8">
        <v>5586258</v>
      </c>
      <c r="U34" s="8">
        <v>78488</v>
      </c>
      <c r="W34" s="8">
        <v>0</v>
      </c>
      <c r="Y34" s="8">
        <v>5606</v>
      </c>
      <c r="AA34" s="8">
        <v>93523</v>
      </c>
      <c r="AB34" s="39"/>
      <c r="AC34" s="8">
        <v>0</v>
      </c>
      <c r="AE34" s="8">
        <v>0</v>
      </c>
      <c r="AG34" s="8">
        <f t="shared" si="1"/>
        <v>7959647</v>
      </c>
      <c r="AH34" s="8"/>
      <c r="AI34" s="8">
        <f t="shared" si="2"/>
        <v>10967909</v>
      </c>
    </row>
    <row r="35" spans="1:37" ht="12" customHeight="1">
      <c r="A35" s="12" t="s">
        <v>266</v>
      </c>
      <c r="B35" s="12"/>
      <c r="C35" s="12" t="s">
        <v>115</v>
      </c>
      <c r="D35" s="12"/>
      <c r="E35" s="32">
        <v>46300</v>
      </c>
      <c r="F35" s="7"/>
      <c r="G35" s="8">
        <v>916339</v>
      </c>
      <c r="I35" s="8">
        <v>947284</v>
      </c>
      <c r="K35" s="8">
        <v>20505</v>
      </c>
      <c r="M35" s="8">
        <f t="shared" si="0"/>
        <v>1884128</v>
      </c>
      <c r="O35" s="8">
        <f>6491763+525208</f>
        <v>7016971</v>
      </c>
      <c r="Q35" s="8">
        <v>0</v>
      </c>
      <c r="S35" s="8">
        <v>8858958</v>
      </c>
      <c r="U35" s="8">
        <v>64762</v>
      </c>
      <c r="W35" s="8">
        <v>0</v>
      </c>
      <c r="Y35" s="8">
        <v>0</v>
      </c>
      <c r="AA35" s="8">
        <v>205832</v>
      </c>
      <c r="AB35" s="39"/>
      <c r="AC35" s="8">
        <v>0</v>
      </c>
      <c r="AE35" s="8">
        <v>0</v>
      </c>
      <c r="AG35" s="8">
        <f t="shared" si="1"/>
        <v>16146523</v>
      </c>
      <c r="AH35" s="8"/>
      <c r="AI35" s="8">
        <f t="shared" si="2"/>
        <v>18030651</v>
      </c>
    </row>
    <row r="36" spans="1:37" ht="12" hidden="1" customHeight="1">
      <c r="A36" s="13" t="s">
        <v>960</v>
      </c>
      <c r="B36" s="12"/>
      <c r="C36" s="12" t="s">
        <v>10</v>
      </c>
      <c r="D36" s="12"/>
      <c r="E36" s="32">
        <v>45765</v>
      </c>
      <c r="F36" s="7"/>
      <c r="G36" s="8">
        <v>936619</v>
      </c>
      <c r="I36" s="8">
        <v>999185</v>
      </c>
      <c r="K36" s="8">
        <v>37138</v>
      </c>
      <c r="M36" s="8">
        <f t="shared" si="0"/>
        <v>1972942</v>
      </c>
      <c r="O36" s="8">
        <f>7310159+611018</f>
        <v>7921177</v>
      </c>
      <c r="S36" s="8">
        <v>8070401</v>
      </c>
      <c r="U36" s="8">
        <v>347246</v>
      </c>
      <c r="AA36" s="8">
        <v>187777</v>
      </c>
      <c r="AB36" s="39"/>
      <c r="AC36" s="8">
        <v>0</v>
      </c>
      <c r="AG36" s="8">
        <f t="shared" si="1"/>
        <v>16526601</v>
      </c>
      <c r="AH36" s="8"/>
      <c r="AI36" s="8">
        <f t="shared" si="2"/>
        <v>18499543</v>
      </c>
      <c r="AK36" s="10" t="s">
        <v>956</v>
      </c>
    </row>
    <row r="37" spans="1:37">
      <c r="A37" s="12" t="s">
        <v>296</v>
      </c>
      <c r="B37" s="12"/>
      <c r="C37" s="12" t="s">
        <v>20</v>
      </c>
      <c r="D37" s="12"/>
      <c r="E37" s="32">
        <v>43547</v>
      </c>
      <c r="G37" s="8">
        <v>2252485</v>
      </c>
      <c r="I37" s="8">
        <v>1505054</v>
      </c>
      <c r="K37" s="8">
        <v>215000</v>
      </c>
      <c r="M37" s="8">
        <f t="shared" si="0"/>
        <v>3972539</v>
      </c>
      <c r="O37" s="8">
        <f>19468848+1684629</f>
        <v>21153477</v>
      </c>
      <c r="Q37" s="8">
        <v>0</v>
      </c>
      <c r="S37" s="8">
        <v>7508064</v>
      </c>
      <c r="U37" s="8">
        <v>248432</v>
      </c>
      <c r="W37" s="8">
        <v>0</v>
      </c>
      <c r="Y37" s="8">
        <v>0</v>
      </c>
      <c r="AA37" s="8">
        <v>450190</v>
      </c>
      <c r="AB37" s="39"/>
      <c r="AC37" s="8">
        <v>0</v>
      </c>
      <c r="AE37" s="8">
        <v>0</v>
      </c>
      <c r="AG37" s="8">
        <f t="shared" si="1"/>
        <v>29360163</v>
      </c>
      <c r="AH37" s="8"/>
      <c r="AI37" s="8">
        <f t="shared" si="2"/>
        <v>33332702</v>
      </c>
    </row>
    <row r="38" spans="1:37" ht="12" customHeight="1">
      <c r="A38" s="12" t="s">
        <v>297</v>
      </c>
      <c r="B38" s="12"/>
      <c r="C38" s="12" t="s">
        <v>20</v>
      </c>
      <c r="D38" s="12"/>
      <c r="E38" s="32">
        <v>43554</v>
      </c>
      <c r="G38" s="8">
        <v>4997679</v>
      </c>
      <c r="I38" s="8">
        <v>3028823</v>
      </c>
      <c r="K38" s="8">
        <v>6992</v>
      </c>
      <c r="M38" s="8">
        <f t="shared" si="0"/>
        <v>8033494</v>
      </c>
      <c r="O38" s="8">
        <v>30394644</v>
      </c>
      <c r="Q38" s="8">
        <v>0</v>
      </c>
      <c r="S38" s="8">
        <v>5152707</v>
      </c>
      <c r="U38" s="8">
        <v>465682</v>
      </c>
      <c r="W38" s="8">
        <v>0</v>
      </c>
      <c r="Y38" s="8">
        <v>0</v>
      </c>
      <c r="AA38" s="8">
        <v>40154</v>
      </c>
      <c r="AB38" s="39"/>
      <c r="AC38" s="8">
        <v>0</v>
      </c>
      <c r="AE38" s="8">
        <v>0</v>
      </c>
      <c r="AG38" s="8">
        <f t="shared" si="1"/>
        <v>36053187</v>
      </c>
      <c r="AH38" s="8"/>
      <c r="AI38" s="8">
        <f>+AG38+M38</f>
        <v>44086681</v>
      </c>
    </row>
    <row r="39" spans="1:37" ht="12" customHeight="1">
      <c r="A39" s="12" t="s">
        <v>278</v>
      </c>
      <c r="B39" s="12"/>
      <c r="C39" s="12" t="s">
        <v>114</v>
      </c>
      <c r="D39" s="12"/>
      <c r="E39" s="32">
        <v>46425</v>
      </c>
      <c r="F39" s="7"/>
      <c r="G39" s="8">
        <v>2129574</v>
      </c>
      <c r="I39" s="8">
        <v>2393726</v>
      </c>
      <c r="K39" s="8">
        <v>33476</v>
      </c>
      <c r="M39" s="8">
        <f t="shared" si="0"/>
        <v>4556776</v>
      </c>
      <c r="O39" s="8">
        <f>4233639+1035559</f>
        <v>5269198</v>
      </c>
      <c r="Q39" s="8">
        <v>0</v>
      </c>
      <c r="S39" s="8">
        <v>9876608</v>
      </c>
      <c r="U39" s="8">
        <v>15479</v>
      </c>
      <c r="W39" s="8">
        <v>0</v>
      </c>
      <c r="Y39" s="8">
        <v>0</v>
      </c>
      <c r="AA39" s="8">
        <f>29844+17095</f>
        <v>46939</v>
      </c>
      <c r="AB39" s="39"/>
      <c r="AC39" s="8">
        <v>0</v>
      </c>
      <c r="AE39" s="8">
        <v>0</v>
      </c>
      <c r="AG39" s="8">
        <f t="shared" si="1"/>
        <v>15208224</v>
      </c>
      <c r="AH39" s="8"/>
      <c r="AI39" s="8">
        <f>+AG39+M39</f>
        <v>19765000</v>
      </c>
    </row>
    <row r="40" spans="1:37" ht="12" customHeight="1">
      <c r="A40" s="12" t="s">
        <v>384</v>
      </c>
      <c r="B40" s="12"/>
      <c r="C40" s="12" t="s">
        <v>116</v>
      </c>
      <c r="D40" s="12"/>
      <c r="E40" s="32">
        <v>47241</v>
      </c>
      <c r="G40" s="8">
        <v>6786668</v>
      </c>
      <c r="I40" s="8">
        <v>3537114</v>
      </c>
      <c r="K40" s="8">
        <v>0</v>
      </c>
      <c r="M40" s="8">
        <f t="shared" si="0"/>
        <v>10323782</v>
      </c>
      <c r="O40" s="8">
        <v>53599594</v>
      </c>
      <c r="Q40" s="8">
        <v>0</v>
      </c>
      <c r="S40" s="8">
        <v>18518990</v>
      </c>
      <c r="U40" s="8">
        <v>699093</v>
      </c>
      <c r="W40" s="8">
        <v>0</v>
      </c>
      <c r="Y40" s="8">
        <v>0</v>
      </c>
      <c r="AA40" s="8">
        <v>1046351</v>
      </c>
      <c r="AB40" s="39"/>
      <c r="AC40" s="8">
        <v>0</v>
      </c>
      <c r="AE40" s="8">
        <v>0</v>
      </c>
      <c r="AG40" s="8">
        <f t="shared" si="1"/>
        <v>73864028</v>
      </c>
      <c r="AH40" s="8"/>
      <c r="AI40" s="8">
        <f t="shared" si="2"/>
        <v>84187810</v>
      </c>
    </row>
    <row r="41" spans="1:37" ht="12" customHeight="1">
      <c r="A41" s="12" t="s">
        <v>298</v>
      </c>
      <c r="B41" s="12"/>
      <c r="C41" s="12" t="s">
        <v>20</v>
      </c>
      <c r="D41" s="12"/>
      <c r="E41" s="32">
        <v>43562</v>
      </c>
      <c r="G41" s="8">
        <v>2825893</v>
      </c>
      <c r="I41" s="8">
        <v>4995080</v>
      </c>
      <c r="K41" s="8">
        <v>198216</v>
      </c>
      <c r="M41" s="8">
        <f t="shared" si="0"/>
        <v>8019189</v>
      </c>
      <c r="O41" s="8">
        <v>26302774</v>
      </c>
      <c r="Q41" s="8">
        <v>0</v>
      </c>
      <c r="S41" s="8">
        <v>15619448</v>
      </c>
      <c r="U41" s="8">
        <v>288540</v>
      </c>
      <c r="W41" s="8">
        <v>0</v>
      </c>
      <c r="Y41" s="8">
        <v>0</v>
      </c>
      <c r="AA41" s="8">
        <v>492000</v>
      </c>
      <c r="AB41" s="39"/>
      <c r="AC41" s="8">
        <v>0</v>
      </c>
      <c r="AE41" s="8">
        <v>0</v>
      </c>
      <c r="AG41" s="8">
        <f t="shared" si="1"/>
        <v>42702762</v>
      </c>
      <c r="AH41" s="8"/>
      <c r="AI41" s="8">
        <f t="shared" si="2"/>
        <v>50721951</v>
      </c>
    </row>
    <row r="42" spans="1:37" ht="12" customHeight="1">
      <c r="A42" s="12" t="s">
        <v>231</v>
      </c>
      <c r="B42" s="12"/>
      <c r="C42" s="12" t="s">
        <v>15</v>
      </c>
      <c r="D42" s="12"/>
      <c r="E42" s="32">
        <v>43570</v>
      </c>
      <c r="F42" s="7"/>
      <c r="G42" s="8">
        <v>1545570</v>
      </c>
      <c r="I42" s="8">
        <v>4693494</v>
      </c>
      <c r="K42" s="8">
        <v>41318</v>
      </c>
      <c r="M42" s="8">
        <f t="shared" si="0"/>
        <v>6280382</v>
      </c>
      <c r="O42" s="8">
        <v>2613072</v>
      </c>
      <c r="Q42" s="8">
        <v>0</v>
      </c>
      <c r="S42" s="8">
        <v>8070282</v>
      </c>
      <c r="U42" s="8">
        <v>50060</v>
      </c>
      <c r="W42" s="8">
        <v>0</v>
      </c>
      <c r="Y42" s="8">
        <v>0</v>
      </c>
      <c r="AA42" s="8">
        <f>1500+33742</f>
        <v>35242</v>
      </c>
      <c r="AB42" s="39"/>
      <c r="AC42" s="8">
        <v>0</v>
      </c>
      <c r="AE42" s="8">
        <v>0</v>
      </c>
      <c r="AG42" s="8">
        <f t="shared" si="1"/>
        <v>10768656</v>
      </c>
      <c r="AH42" s="8"/>
      <c r="AI42" s="8">
        <f t="shared" si="2"/>
        <v>17049038</v>
      </c>
    </row>
    <row r="43" spans="1:37" ht="12" customHeight="1">
      <c r="A43" s="12" t="s">
        <v>443</v>
      </c>
      <c r="B43" s="12"/>
      <c r="C43" s="12" t="s">
        <v>37</v>
      </c>
      <c r="D43" s="12"/>
      <c r="E43" s="32">
        <v>43596</v>
      </c>
      <c r="G43" s="8">
        <v>980571</v>
      </c>
      <c r="I43" s="8">
        <v>2861587</v>
      </c>
      <c r="K43" s="8">
        <v>22861</v>
      </c>
      <c r="M43" s="8">
        <f t="shared" si="0"/>
        <v>3865019</v>
      </c>
      <c r="O43" s="8">
        <v>6482847</v>
      </c>
      <c r="Q43" s="8">
        <v>1646802</v>
      </c>
      <c r="S43" s="8">
        <v>9760086</v>
      </c>
      <c r="U43" s="8">
        <v>82339</v>
      </c>
      <c r="W43" s="8">
        <v>0</v>
      </c>
      <c r="Y43" s="8">
        <v>0</v>
      </c>
      <c r="AA43" s="8">
        <v>112663</v>
      </c>
      <c r="AB43" s="39"/>
      <c r="AC43" s="8">
        <v>0</v>
      </c>
      <c r="AE43" s="8">
        <v>0</v>
      </c>
      <c r="AG43" s="8">
        <f t="shared" si="1"/>
        <v>18084737</v>
      </c>
      <c r="AH43" s="8"/>
      <c r="AI43" s="8">
        <f t="shared" si="2"/>
        <v>21949756</v>
      </c>
    </row>
    <row r="44" spans="1:37" ht="12" customHeight="1">
      <c r="A44" s="12" t="s">
        <v>715</v>
      </c>
      <c r="B44" s="12"/>
      <c r="C44" s="12" t="s">
        <v>70</v>
      </c>
      <c r="D44" s="12"/>
      <c r="E44" s="32">
        <v>43604</v>
      </c>
      <c r="G44" s="8">
        <v>460633</v>
      </c>
      <c r="I44" s="8">
        <v>1428959</v>
      </c>
      <c r="K44" s="8">
        <v>5943</v>
      </c>
      <c r="M44" s="8">
        <f t="shared" si="0"/>
        <v>1895535</v>
      </c>
      <c r="O44" s="8">
        <v>4093042</v>
      </c>
      <c r="Q44" s="8">
        <v>0</v>
      </c>
      <c r="S44" s="8">
        <v>4829404</v>
      </c>
      <c r="U44" s="8">
        <v>82043</v>
      </c>
      <c r="W44" s="8">
        <v>0</v>
      </c>
      <c r="Y44" s="8">
        <v>0</v>
      </c>
      <c r="AA44" s="8">
        <v>27850</v>
      </c>
      <c r="AB44" s="39"/>
      <c r="AC44" s="8">
        <v>0</v>
      </c>
      <c r="AE44" s="8">
        <v>0</v>
      </c>
      <c r="AG44" s="8">
        <f t="shared" si="1"/>
        <v>9032339</v>
      </c>
      <c r="AH44" s="8"/>
      <c r="AI44" s="8">
        <f t="shared" si="2"/>
        <v>10927874</v>
      </c>
    </row>
    <row r="45" spans="1:37" ht="12" customHeight="1">
      <c r="A45" s="12" t="s">
        <v>571</v>
      </c>
      <c r="B45" s="12"/>
      <c r="C45" s="12" t="s">
        <v>53</v>
      </c>
      <c r="D45" s="12"/>
      <c r="E45" s="32">
        <v>48926</v>
      </c>
      <c r="G45" s="8">
        <v>1560777</v>
      </c>
      <c r="I45" s="8">
        <v>1299998</v>
      </c>
      <c r="K45" s="8">
        <v>21780</v>
      </c>
      <c r="M45" s="8">
        <f t="shared" si="0"/>
        <v>2882555</v>
      </c>
      <c r="O45" s="8">
        <v>8338447</v>
      </c>
      <c r="Q45" s="8">
        <v>0</v>
      </c>
      <c r="S45" s="8">
        <v>9820147</v>
      </c>
      <c r="U45" s="8">
        <v>286755</v>
      </c>
      <c r="W45" s="8">
        <v>0</v>
      </c>
      <c r="Y45" s="8">
        <v>0</v>
      </c>
      <c r="AA45" s="8">
        <v>9015</v>
      </c>
      <c r="AB45" s="39"/>
      <c r="AC45" s="8">
        <v>0</v>
      </c>
      <c r="AE45" s="8">
        <v>0</v>
      </c>
      <c r="AG45" s="8">
        <f t="shared" si="1"/>
        <v>18454364</v>
      </c>
      <c r="AH45" s="8"/>
      <c r="AI45" s="8">
        <f t="shared" si="2"/>
        <v>21336919</v>
      </c>
    </row>
    <row r="46" spans="1:37" ht="12" customHeight="1">
      <c r="A46" s="12" t="s">
        <v>299</v>
      </c>
      <c r="B46" s="12"/>
      <c r="C46" s="12" t="s">
        <v>20</v>
      </c>
      <c r="D46" s="12"/>
      <c r="E46" s="32">
        <v>43612</v>
      </c>
      <c r="G46" s="8">
        <v>5033466</v>
      </c>
      <c r="I46" s="8">
        <v>5035731</v>
      </c>
      <c r="K46" s="8">
        <v>36000</v>
      </c>
      <c r="M46" s="8">
        <f t="shared" si="0"/>
        <v>10105197</v>
      </c>
      <c r="O46" s="8">
        <v>56400000</v>
      </c>
      <c r="Q46" s="8">
        <v>0</v>
      </c>
      <c r="S46" s="8">
        <v>25200000</v>
      </c>
      <c r="U46" s="8">
        <v>200000</v>
      </c>
      <c r="W46" s="8">
        <v>0</v>
      </c>
      <c r="Y46" s="8">
        <v>0</v>
      </c>
      <c r="AA46" s="8">
        <v>1200000</v>
      </c>
      <c r="AB46" s="39"/>
      <c r="AC46" s="8">
        <v>0</v>
      </c>
      <c r="AE46" s="8">
        <v>0</v>
      </c>
      <c r="AG46" s="8">
        <f t="shared" si="1"/>
        <v>83000000</v>
      </c>
      <c r="AH46" s="8"/>
      <c r="AI46" s="8">
        <f t="shared" si="2"/>
        <v>93105197</v>
      </c>
      <c r="AK46" s="10" t="s">
        <v>897</v>
      </c>
    </row>
    <row r="47" spans="1:37" ht="12" customHeight="1">
      <c r="A47" s="12" t="s">
        <v>377</v>
      </c>
      <c r="B47" s="12"/>
      <c r="C47" s="12" t="s">
        <v>30</v>
      </c>
      <c r="D47" s="12"/>
      <c r="E47" s="32">
        <v>47167</v>
      </c>
      <c r="G47" s="8">
        <v>590606</v>
      </c>
      <c r="I47" s="8">
        <v>522346</v>
      </c>
      <c r="K47" s="8">
        <v>10013</v>
      </c>
      <c r="M47" s="8">
        <f t="shared" si="0"/>
        <v>1122965</v>
      </c>
      <c r="O47" s="8">
        <v>4565456</v>
      </c>
      <c r="Q47" s="8">
        <v>1656813</v>
      </c>
      <c r="S47" s="8">
        <v>4620371</v>
      </c>
      <c r="U47" s="8">
        <v>52667</v>
      </c>
      <c r="W47" s="8">
        <v>0</v>
      </c>
      <c r="Y47" s="8">
        <v>0</v>
      </c>
      <c r="AA47" s="8">
        <v>14978</v>
      </c>
      <c r="AB47" s="39"/>
      <c r="AC47" s="8">
        <v>0</v>
      </c>
      <c r="AE47" s="8">
        <v>0</v>
      </c>
      <c r="AG47" s="8">
        <f t="shared" si="1"/>
        <v>10910285</v>
      </c>
      <c r="AH47" s="8"/>
      <c r="AI47" s="8">
        <f t="shared" si="2"/>
        <v>12033250</v>
      </c>
    </row>
    <row r="48" spans="1:37" ht="12" customHeight="1">
      <c r="A48" s="12" t="s">
        <v>336</v>
      </c>
      <c r="B48" s="12"/>
      <c r="C48" s="12" t="s">
        <v>24</v>
      </c>
      <c r="D48" s="12"/>
      <c r="E48" s="32">
        <v>46789</v>
      </c>
      <c r="G48" s="8">
        <v>1159511</v>
      </c>
      <c r="I48" s="8">
        <v>1669764</v>
      </c>
      <c r="K48" s="8">
        <v>16057</v>
      </c>
      <c r="M48" s="8">
        <f t="shared" si="0"/>
        <v>2845332</v>
      </c>
      <c r="O48" s="8">
        <v>6369732</v>
      </c>
      <c r="Q48" s="8">
        <v>0</v>
      </c>
      <c r="S48" s="8">
        <v>7413241</v>
      </c>
      <c r="U48" s="8">
        <v>108013</v>
      </c>
      <c r="W48" s="8">
        <v>0</v>
      </c>
      <c r="Y48" s="8">
        <v>0</v>
      </c>
      <c r="AA48" s="8">
        <v>25496</v>
      </c>
      <c r="AB48" s="39"/>
      <c r="AC48" s="8">
        <v>0</v>
      </c>
      <c r="AE48" s="8">
        <v>0</v>
      </c>
      <c r="AG48" s="8">
        <f t="shared" si="1"/>
        <v>13916482</v>
      </c>
      <c r="AH48" s="8"/>
      <c r="AI48" s="8">
        <f t="shared" si="2"/>
        <v>16761814</v>
      </c>
    </row>
    <row r="49" spans="1:37" ht="12" customHeight="1">
      <c r="A49" s="12" t="s">
        <v>344</v>
      </c>
      <c r="B49" s="12"/>
      <c r="C49" s="12" t="s">
        <v>25</v>
      </c>
      <c r="D49" s="12"/>
      <c r="E49" s="32">
        <v>46854</v>
      </c>
      <c r="G49" s="8">
        <v>952480</v>
      </c>
      <c r="I49" s="8">
        <v>1206972</v>
      </c>
      <c r="K49" s="8">
        <v>0</v>
      </c>
      <c r="M49" s="8">
        <f t="shared" si="0"/>
        <v>2159452</v>
      </c>
      <c r="O49" s="8">
        <v>2867427</v>
      </c>
      <c r="Q49" s="8">
        <v>967079</v>
      </c>
      <c r="S49" s="8">
        <v>3218834</v>
      </c>
      <c r="U49" s="8">
        <v>49811</v>
      </c>
      <c r="W49" s="8">
        <v>0</v>
      </c>
      <c r="Y49" s="8">
        <v>0</v>
      </c>
      <c r="AA49" s="8">
        <v>73685</v>
      </c>
      <c r="AB49" s="39"/>
      <c r="AC49" s="8">
        <v>0</v>
      </c>
      <c r="AE49" s="8">
        <v>0</v>
      </c>
      <c r="AG49" s="8">
        <f t="shared" si="1"/>
        <v>7176836</v>
      </c>
      <c r="AH49" s="8"/>
      <c r="AI49" s="8">
        <f t="shared" si="2"/>
        <v>9336288</v>
      </c>
    </row>
    <row r="50" spans="1:37" ht="12" customHeight="1">
      <c r="A50" s="12" t="s">
        <v>536</v>
      </c>
      <c r="B50" s="12"/>
      <c r="C50" s="12" t="s">
        <v>48</v>
      </c>
      <c r="D50" s="12"/>
      <c r="E50" s="32">
        <v>48611</v>
      </c>
      <c r="G50" s="8">
        <v>725001</v>
      </c>
      <c r="I50" s="8">
        <v>272772</v>
      </c>
      <c r="K50" s="8">
        <v>78957</v>
      </c>
      <c r="M50" s="8">
        <f t="shared" si="0"/>
        <v>1076730</v>
      </c>
      <c r="O50" s="8">
        <v>3914862</v>
      </c>
      <c r="Q50" s="8">
        <v>0</v>
      </c>
      <c r="S50" s="8">
        <v>3418659</v>
      </c>
      <c r="U50" s="8">
        <v>0</v>
      </c>
      <c r="W50" s="8">
        <v>0</v>
      </c>
      <c r="Y50" s="8">
        <v>0</v>
      </c>
      <c r="AA50" s="8">
        <v>185331</v>
      </c>
      <c r="AB50" s="39"/>
      <c r="AC50" s="8">
        <v>0</v>
      </c>
      <c r="AE50" s="8">
        <v>0</v>
      </c>
      <c r="AG50" s="8">
        <f t="shared" si="1"/>
        <v>7518852</v>
      </c>
      <c r="AH50" s="8"/>
      <c r="AI50" s="8">
        <f t="shared" si="2"/>
        <v>8595582</v>
      </c>
    </row>
    <row r="51" spans="1:37" ht="12" customHeight="1">
      <c r="A51" s="12" t="s">
        <v>267</v>
      </c>
      <c r="B51" s="12"/>
      <c r="C51" s="12" t="s">
        <v>115</v>
      </c>
      <c r="D51" s="12"/>
      <c r="E51" s="32">
        <v>46318</v>
      </c>
      <c r="F51" s="7"/>
      <c r="G51" s="8">
        <v>1658388</v>
      </c>
      <c r="I51" s="8">
        <v>1891832</v>
      </c>
      <c r="K51" s="8">
        <v>0</v>
      </c>
      <c r="M51" s="8">
        <f t="shared" si="0"/>
        <v>3550220</v>
      </c>
      <c r="O51" s="8">
        <v>3372758</v>
      </c>
      <c r="Q51" s="8">
        <v>0</v>
      </c>
      <c r="S51" s="8">
        <v>9653204</v>
      </c>
      <c r="U51" s="8">
        <v>64598</v>
      </c>
      <c r="W51" s="8">
        <v>0</v>
      </c>
      <c r="Y51" s="8">
        <v>0</v>
      </c>
      <c r="AA51" s="8">
        <v>102741</v>
      </c>
      <c r="AB51" s="39"/>
      <c r="AC51" s="8">
        <v>0</v>
      </c>
      <c r="AE51" s="8">
        <v>0</v>
      </c>
      <c r="AG51" s="8">
        <f t="shared" si="1"/>
        <v>13193301</v>
      </c>
      <c r="AH51" s="8"/>
      <c r="AI51" s="8">
        <f t="shared" si="2"/>
        <v>16743521</v>
      </c>
    </row>
    <row r="52" spans="1:37" ht="12" hidden="1" customHeight="1">
      <c r="A52" s="13" t="s">
        <v>962</v>
      </c>
      <c r="B52" s="12"/>
      <c r="C52" s="12" t="s">
        <v>60</v>
      </c>
      <c r="D52" s="12"/>
      <c r="E52" s="32">
        <v>49692</v>
      </c>
      <c r="G52" s="8">
        <v>329837</v>
      </c>
      <c r="I52" s="8">
        <v>595341</v>
      </c>
      <c r="M52" s="8">
        <f>SUM(G52:L52)</f>
        <v>925178</v>
      </c>
      <c r="O52" s="8">
        <v>449073</v>
      </c>
      <c r="Q52" s="8">
        <v>224991</v>
      </c>
      <c r="S52" s="8">
        <v>1089754</v>
      </c>
      <c r="U52" s="8">
        <v>21797</v>
      </c>
      <c r="Y52" s="8">
        <v>0</v>
      </c>
      <c r="AA52" s="8">
        <f>1700+18155</f>
        <v>19855</v>
      </c>
      <c r="AB52" s="39"/>
      <c r="AC52" s="8">
        <v>0</v>
      </c>
      <c r="AG52" s="8">
        <f>SUM(O52:AE52)</f>
        <v>1805470</v>
      </c>
      <c r="AH52" s="8"/>
      <c r="AI52" s="8">
        <f>+AG52+M52</f>
        <v>2730648</v>
      </c>
      <c r="AK52" s="10" t="s">
        <v>956</v>
      </c>
    </row>
    <row r="53" spans="1:37" ht="12" customHeight="1">
      <c r="A53" s="12" t="s">
        <v>352</v>
      </c>
      <c r="B53" s="12"/>
      <c r="C53" s="12" t="s">
        <v>27</v>
      </c>
      <c r="D53" s="12"/>
      <c r="E53" s="32">
        <v>43620</v>
      </c>
      <c r="G53" s="8">
        <v>691609</v>
      </c>
      <c r="I53" s="8">
        <v>1623809</v>
      </c>
      <c r="K53" s="8">
        <v>101589</v>
      </c>
      <c r="M53" s="8">
        <f>SUM(G53:L53)</f>
        <v>2417007</v>
      </c>
      <c r="O53" s="8">
        <v>20858299</v>
      </c>
      <c r="Q53" s="8">
        <v>5070708</v>
      </c>
      <c r="S53" s="8">
        <v>8829963</v>
      </c>
      <c r="U53" s="8">
        <v>666202</v>
      </c>
      <c r="W53" s="8">
        <v>0</v>
      </c>
      <c r="Y53" s="8">
        <v>0</v>
      </c>
      <c r="AA53" s="8">
        <v>300252</v>
      </c>
      <c r="AB53" s="39"/>
      <c r="AC53" s="8">
        <v>0</v>
      </c>
      <c r="AE53" s="8">
        <v>0</v>
      </c>
      <c r="AG53" s="8">
        <f>SUM(O53:AE53)</f>
        <v>35725424</v>
      </c>
      <c r="AH53" s="8"/>
      <c r="AI53" s="8">
        <f>+AG53+M53</f>
        <v>38142431</v>
      </c>
    </row>
    <row r="54" spans="1:37" ht="12" customHeight="1">
      <c r="A54" s="12" t="s">
        <v>333</v>
      </c>
      <c r="B54" s="12"/>
      <c r="C54" s="12" t="s">
        <v>23</v>
      </c>
      <c r="D54" s="12"/>
      <c r="E54" s="32">
        <v>46748</v>
      </c>
      <c r="G54" s="8">
        <v>1387042</v>
      </c>
      <c r="I54" s="8">
        <v>1338135</v>
      </c>
      <c r="K54" s="8">
        <v>19360</v>
      </c>
      <c r="M54" s="8">
        <f>SUM(G54:L54)</f>
        <v>2744537</v>
      </c>
      <c r="O54" s="8">
        <f>11433389+2649715</f>
        <v>14083104</v>
      </c>
      <c r="Q54" s="8">
        <v>4346558</v>
      </c>
      <c r="S54" s="8">
        <v>7350791</v>
      </c>
      <c r="U54" s="8">
        <v>286958</v>
      </c>
      <c r="W54" s="8">
        <v>0</v>
      </c>
      <c r="Y54" s="8">
        <v>7544</v>
      </c>
      <c r="AA54" s="8">
        <v>158125</v>
      </c>
      <c r="AB54" s="39"/>
      <c r="AC54" s="8">
        <v>0</v>
      </c>
      <c r="AE54" s="8">
        <v>0</v>
      </c>
      <c r="AG54" s="8">
        <f t="shared" si="1"/>
        <v>26233080</v>
      </c>
      <c r="AH54" s="8"/>
      <c r="AI54" s="8">
        <f>+AG54+M54</f>
        <v>28977617</v>
      </c>
    </row>
    <row r="55" spans="1:37" ht="12" customHeight="1">
      <c r="A55" s="12" t="s">
        <v>525</v>
      </c>
      <c r="B55" s="12"/>
      <c r="C55" s="12" t="s">
        <v>47</v>
      </c>
      <c r="D55" s="12"/>
      <c r="E55" s="32">
        <v>48462</v>
      </c>
      <c r="G55" s="8">
        <v>2070288</v>
      </c>
      <c r="I55" s="8">
        <v>0</v>
      </c>
      <c r="K55" s="8">
        <v>0</v>
      </c>
      <c r="M55" s="8">
        <f>SUM(G55:L55)</f>
        <v>2070288</v>
      </c>
      <c r="O55" s="8">
        <f>3768631+595824</f>
        <v>4364455</v>
      </c>
      <c r="Q55" s="8">
        <v>0</v>
      </c>
      <c r="S55" s="8">
        <v>8504231</v>
      </c>
      <c r="U55" s="8">
        <v>89148</v>
      </c>
      <c r="W55" s="8">
        <v>0</v>
      </c>
      <c r="Y55" s="8">
        <v>0</v>
      </c>
      <c r="AA55" s="8">
        <f>3575300+28644</f>
        <v>3603944</v>
      </c>
      <c r="AB55" s="39"/>
      <c r="AC55" s="8">
        <v>0</v>
      </c>
      <c r="AE55" s="8">
        <v>0</v>
      </c>
      <c r="AG55" s="8">
        <f t="shared" si="1"/>
        <v>16561778</v>
      </c>
      <c r="AH55" s="8"/>
      <c r="AI55" s="8">
        <f>+AG55+M55</f>
        <v>18632066</v>
      </c>
    </row>
    <row r="56" spans="1:37" ht="12" customHeight="1">
      <c r="A56" s="12" t="s">
        <v>274</v>
      </c>
      <c r="B56" s="12"/>
      <c r="C56" s="12" t="s">
        <v>18</v>
      </c>
      <c r="D56" s="12"/>
      <c r="E56" s="32">
        <v>46383</v>
      </c>
      <c r="F56" s="7"/>
      <c r="G56" s="8">
        <v>1473244</v>
      </c>
      <c r="I56" s="8">
        <v>2106039</v>
      </c>
      <c r="K56" s="8">
        <v>21820</v>
      </c>
      <c r="M56" s="8">
        <f t="shared" si="0"/>
        <v>3601103</v>
      </c>
      <c r="O56" s="8">
        <v>3159911</v>
      </c>
      <c r="Q56" s="8">
        <v>0</v>
      </c>
      <c r="S56" s="8">
        <v>8726623</v>
      </c>
      <c r="U56" s="8">
        <v>0</v>
      </c>
      <c r="W56" s="8">
        <v>0</v>
      </c>
      <c r="Y56" s="8">
        <v>0</v>
      </c>
      <c r="AA56" s="8">
        <v>241855</v>
      </c>
      <c r="AB56" s="39"/>
      <c r="AC56" s="8">
        <v>0</v>
      </c>
      <c r="AE56" s="8">
        <v>0</v>
      </c>
      <c r="AG56" s="8">
        <f t="shared" si="1"/>
        <v>12128389</v>
      </c>
      <c r="AH56" s="8"/>
      <c r="AI56" s="8">
        <f t="shared" si="2"/>
        <v>15729492</v>
      </c>
    </row>
    <row r="57" spans="1:37" ht="12" customHeight="1">
      <c r="A57" s="12" t="s">
        <v>345</v>
      </c>
      <c r="B57" s="12"/>
      <c r="C57" s="12" t="s">
        <v>25</v>
      </c>
      <c r="D57" s="12"/>
      <c r="E57" s="32">
        <v>46862</v>
      </c>
      <c r="G57" s="8">
        <v>1198230</v>
      </c>
      <c r="I57" s="8">
        <v>1182349</v>
      </c>
      <c r="K57" s="8">
        <v>0</v>
      </c>
      <c r="M57" s="8">
        <f t="shared" si="0"/>
        <v>2380579</v>
      </c>
      <c r="O57" s="8">
        <v>5422500</v>
      </c>
      <c r="Q57" s="8">
        <v>3387407</v>
      </c>
      <c r="S57" s="8">
        <v>3778515</v>
      </c>
      <c r="U57" s="8">
        <v>66045</v>
      </c>
      <c r="W57" s="8">
        <v>0</v>
      </c>
      <c r="Y57" s="8">
        <v>0</v>
      </c>
      <c r="AA57" s="8">
        <v>61861</v>
      </c>
      <c r="AB57" s="39"/>
      <c r="AC57" s="8">
        <v>0</v>
      </c>
      <c r="AE57" s="8">
        <v>0</v>
      </c>
      <c r="AG57" s="8">
        <f t="shared" si="1"/>
        <v>12716328</v>
      </c>
      <c r="AH57" s="8"/>
      <c r="AI57" s="8">
        <f t="shared" si="2"/>
        <v>15096907</v>
      </c>
    </row>
    <row r="58" spans="1:37" ht="12" customHeight="1">
      <c r="A58" s="12" t="s">
        <v>675</v>
      </c>
      <c r="B58" s="12"/>
      <c r="C58" s="12" t="s">
        <v>64</v>
      </c>
      <c r="D58" s="12"/>
      <c r="E58" s="32">
        <v>50096</v>
      </c>
      <c r="G58" s="8">
        <v>267406</v>
      </c>
      <c r="I58" s="8">
        <v>789445</v>
      </c>
      <c r="K58" s="8">
        <v>1706</v>
      </c>
      <c r="M58" s="8">
        <f t="shared" si="0"/>
        <v>1058557</v>
      </c>
      <c r="O58" s="8">
        <v>1277824</v>
      </c>
      <c r="Q58" s="8">
        <v>0</v>
      </c>
      <c r="S58" s="8">
        <v>1690509</v>
      </c>
      <c r="U58" s="8">
        <v>12291</v>
      </c>
      <c r="W58" s="8">
        <v>0</v>
      </c>
      <c r="Y58" s="8">
        <v>0</v>
      </c>
      <c r="AA58" s="8">
        <v>31745</v>
      </c>
      <c r="AB58" s="39"/>
      <c r="AC58" s="8">
        <v>0</v>
      </c>
      <c r="AE58" s="8">
        <v>0</v>
      </c>
      <c r="AG58" s="8">
        <f t="shared" si="1"/>
        <v>3012369</v>
      </c>
      <c r="AH58" s="8"/>
      <c r="AI58" s="8">
        <f t="shared" si="2"/>
        <v>4070926</v>
      </c>
    </row>
    <row r="59" spans="1:37" ht="12" customHeight="1">
      <c r="A59" s="12" t="s">
        <v>626</v>
      </c>
      <c r="B59" s="12"/>
      <c r="C59" s="12" t="s">
        <v>59</v>
      </c>
      <c r="D59" s="12"/>
      <c r="E59" s="32">
        <v>49593</v>
      </c>
      <c r="G59" s="8">
        <v>977443</v>
      </c>
      <c r="I59" s="8">
        <v>1642263</v>
      </c>
      <c r="K59" s="8">
        <v>22549</v>
      </c>
      <c r="M59" s="8">
        <f>SUM(G59:L59)</f>
        <v>2642255</v>
      </c>
      <c r="O59" s="8">
        <v>1229298</v>
      </c>
      <c r="Q59" s="8">
        <v>0</v>
      </c>
      <c r="S59" s="8">
        <v>6030942</v>
      </c>
      <c r="U59" s="8">
        <v>15193</v>
      </c>
      <c r="W59" s="8">
        <v>0</v>
      </c>
      <c r="Y59" s="8">
        <v>47</v>
      </c>
      <c r="AA59" s="8">
        <v>216392</v>
      </c>
      <c r="AB59" s="39"/>
      <c r="AC59" s="8">
        <v>0</v>
      </c>
      <c r="AE59" s="8">
        <v>0</v>
      </c>
      <c r="AG59" s="8">
        <f>SUM(O59:AE59)</f>
        <v>7491872</v>
      </c>
      <c r="AH59" s="8"/>
      <c r="AI59" s="8">
        <f>+AG59+M59</f>
        <v>10134127</v>
      </c>
    </row>
    <row r="60" spans="1:37" ht="12" hidden="1" customHeight="1">
      <c r="A60" s="13" t="s">
        <v>898</v>
      </c>
      <c r="B60" s="12"/>
      <c r="C60" s="12" t="s">
        <v>10</v>
      </c>
      <c r="D60" s="12"/>
      <c r="E60" s="32">
        <v>49593</v>
      </c>
      <c r="G60" s="8">
        <v>1035306</v>
      </c>
      <c r="I60" s="8">
        <v>656238</v>
      </c>
      <c r="M60" s="8">
        <f t="shared" si="0"/>
        <v>1691544</v>
      </c>
      <c r="O60" s="8">
        <v>3213707</v>
      </c>
      <c r="Q60" s="8">
        <v>417166</v>
      </c>
      <c r="S60" s="8">
        <v>4746796</v>
      </c>
      <c r="U60" s="8">
        <v>68178</v>
      </c>
      <c r="W60" s="8">
        <v>8822</v>
      </c>
      <c r="AA60" s="8">
        <v>54364</v>
      </c>
      <c r="AB60" s="39"/>
      <c r="AC60" s="8">
        <v>0</v>
      </c>
      <c r="AG60" s="8">
        <f t="shared" si="1"/>
        <v>8509033</v>
      </c>
      <c r="AH60" s="8"/>
      <c r="AI60" s="8">
        <f t="shared" si="2"/>
        <v>10200577</v>
      </c>
      <c r="AK60" s="10" t="s">
        <v>956</v>
      </c>
    </row>
    <row r="61" spans="1:37" ht="12" customHeight="1">
      <c r="A61" s="12" t="s">
        <v>509</v>
      </c>
      <c r="B61" s="12"/>
      <c r="C61" s="12" t="s">
        <v>45</v>
      </c>
      <c r="D61" s="12"/>
      <c r="E61" s="32">
        <v>48306</v>
      </c>
      <c r="G61" s="8">
        <v>2008428</v>
      </c>
      <c r="I61" s="8">
        <v>2917388</v>
      </c>
      <c r="K61" s="8">
        <v>67273</v>
      </c>
      <c r="M61" s="8">
        <f t="shared" si="0"/>
        <v>4993089</v>
      </c>
      <c r="O61" s="8">
        <v>27845547</v>
      </c>
      <c r="Q61" s="8">
        <v>0</v>
      </c>
      <c r="S61" s="8">
        <v>11929757</v>
      </c>
      <c r="U61" s="8">
        <v>758782</v>
      </c>
      <c r="W61" s="8">
        <v>0</v>
      </c>
      <c r="Y61" s="8">
        <v>0</v>
      </c>
      <c r="AA61" s="8">
        <v>299849</v>
      </c>
      <c r="AB61" s="39"/>
      <c r="AC61" s="8">
        <v>0</v>
      </c>
      <c r="AE61" s="8">
        <v>0</v>
      </c>
      <c r="AG61" s="8">
        <f t="shared" si="1"/>
        <v>40833935</v>
      </c>
      <c r="AH61" s="8"/>
      <c r="AI61" s="8">
        <f t="shared" si="2"/>
        <v>45827024</v>
      </c>
    </row>
    <row r="62" spans="1:37" ht="12" customHeight="1">
      <c r="A62" s="12" t="s">
        <v>642</v>
      </c>
      <c r="B62" s="12"/>
      <c r="C62" s="12" t="s">
        <v>61</v>
      </c>
      <c r="D62" s="12"/>
      <c r="E62" s="32">
        <v>49767</v>
      </c>
      <c r="G62" s="8">
        <v>1011228</v>
      </c>
      <c r="I62" s="8">
        <v>449021</v>
      </c>
      <c r="K62" s="8">
        <v>4033</v>
      </c>
      <c r="M62" s="8">
        <f t="shared" si="0"/>
        <v>1464282</v>
      </c>
      <c r="O62" s="8">
        <v>961697</v>
      </c>
      <c r="Q62" s="8">
        <v>136486</v>
      </c>
      <c r="S62" s="8">
        <v>2532962</v>
      </c>
      <c r="U62" s="8">
        <v>24587</v>
      </c>
      <c r="W62" s="8">
        <v>0</v>
      </c>
      <c r="Y62" s="8">
        <v>6678</v>
      </c>
      <c r="AA62" s="8">
        <v>0</v>
      </c>
      <c r="AB62" s="39"/>
      <c r="AC62" s="8">
        <v>0</v>
      </c>
      <c r="AE62" s="8">
        <v>0</v>
      </c>
      <c r="AG62" s="8">
        <f t="shared" si="1"/>
        <v>3662410</v>
      </c>
      <c r="AH62" s="8"/>
      <c r="AI62" s="8">
        <f t="shared" si="2"/>
        <v>5126692</v>
      </c>
    </row>
    <row r="63" spans="1:37" ht="12" customHeight="1">
      <c r="A63" s="12" t="s">
        <v>733</v>
      </c>
      <c r="B63" s="12"/>
      <c r="C63" s="12" t="s">
        <v>72</v>
      </c>
      <c r="D63" s="12"/>
      <c r="E63" s="32">
        <v>43638</v>
      </c>
      <c r="G63" s="8">
        <v>851872</v>
      </c>
      <c r="I63" s="8">
        <v>1459080</v>
      </c>
      <c r="K63" s="8">
        <v>0</v>
      </c>
      <c r="M63" s="8">
        <f t="shared" si="0"/>
        <v>2310952</v>
      </c>
      <c r="O63" s="8">
        <v>20343298</v>
      </c>
      <c r="Q63" s="8">
        <v>0</v>
      </c>
      <c r="S63" s="8">
        <v>11083131</v>
      </c>
      <c r="U63" s="8">
        <v>0</v>
      </c>
      <c r="W63" s="8">
        <v>0</v>
      </c>
      <c r="Y63" s="8">
        <v>0</v>
      </c>
      <c r="AA63" s="8">
        <v>1291070</v>
      </c>
      <c r="AB63" s="39"/>
      <c r="AC63" s="8">
        <v>0</v>
      </c>
      <c r="AE63" s="8">
        <v>0</v>
      </c>
      <c r="AG63" s="8">
        <f t="shared" si="1"/>
        <v>32717499</v>
      </c>
      <c r="AH63" s="8"/>
      <c r="AI63" s="8">
        <f t="shared" si="2"/>
        <v>35028451</v>
      </c>
    </row>
    <row r="64" spans="1:37" ht="12" hidden="1" customHeight="1">
      <c r="A64" s="88" t="s">
        <v>961</v>
      </c>
      <c r="B64" s="12"/>
      <c r="C64" s="12" t="s">
        <v>48</v>
      </c>
      <c r="D64" s="12"/>
      <c r="E64" s="32">
        <v>43646</v>
      </c>
      <c r="M64" s="8">
        <f>SUM(G64:L64)</f>
        <v>0</v>
      </c>
      <c r="AB64" s="39"/>
      <c r="AC64" s="8">
        <v>0</v>
      </c>
      <c r="AG64" s="8">
        <f>SUM(O64:AE64)</f>
        <v>0</v>
      </c>
      <c r="AH64" s="8" t="s">
        <v>876</v>
      </c>
      <c r="AI64" s="8">
        <f>+AG64+M64</f>
        <v>0</v>
      </c>
    </row>
    <row r="65" spans="1:37" ht="12" customHeight="1">
      <c r="A65" s="12" t="s">
        <v>873</v>
      </c>
      <c r="B65" s="12"/>
      <c r="C65" s="12" t="s">
        <v>20</v>
      </c>
      <c r="D65" s="12"/>
      <c r="E65" s="32">
        <v>43646</v>
      </c>
      <c r="G65" s="8">
        <v>3189655</v>
      </c>
      <c r="I65" s="8">
        <v>2112058</v>
      </c>
      <c r="K65" s="8">
        <v>360892</v>
      </c>
      <c r="M65" s="8">
        <f t="shared" si="0"/>
        <v>5662605</v>
      </c>
      <c r="O65" s="8">
        <v>33429785</v>
      </c>
      <c r="Q65" s="8">
        <v>0</v>
      </c>
      <c r="S65" s="8">
        <v>12964758</v>
      </c>
      <c r="U65" s="8">
        <v>420266</v>
      </c>
      <c r="W65" s="8">
        <v>83857</v>
      </c>
      <c r="Y65" s="8">
        <v>9603</v>
      </c>
      <c r="AA65" s="8">
        <v>55713</v>
      </c>
      <c r="AB65" s="39"/>
      <c r="AC65" s="8">
        <v>0</v>
      </c>
      <c r="AE65" s="8">
        <v>0</v>
      </c>
      <c r="AG65" s="8">
        <f t="shared" si="1"/>
        <v>46963982</v>
      </c>
      <c r="AH65" s="8"/>
      <c r="AI65" s="8">
        <f t="shared" si="2"/>
        <v>52626587</v>
      </c>
    </row>
    <row r="66" spans="1:37" ht="12" customHeight="1">
      <c r="A66" s="12" t="s">
        <v>232</v>
      </c>
      <c r="B66" s="12"/>
      <c r="C66" s="12" t="s">
        <v>15</v>
      </c>
      <c r="D66" s="12"/>
      <c r="E66" s="32">
        <v>45237</v>
      </c>
      <c r="F66" s="7"/>
      <c r="G66" s="8">
        <v>466045</v>
      </c>
      <c r="I66" s="8">
        <v>1905548</v>
      </c>
      <c r="K66" s="8">
        <v>11728</v>
      </c>
      <c r="M66" s="8">
        <f t="shared" si="0"/>
        <v>2383321</v>
      </c>
      <c r="O66" s="8">
        <v>1596218</v>
      </c>
      <c r="Q66" s="8">
        <v>0</v>
      </c>
      <c r="S66" s="8">
        <v>4159900</v>
      </c>
      <c r="U66" s="8">
        <v>26423</v>
      </c>
      <c r="W66" s="8">
        <v>0</v>
      </c>
      <c r="Y66" s="8">
        <v>0</v>
      </c>
      <c r="AA66" s="8">
        <v>9085</v>
      </c>
      <c r="AB66" s="39"/>
      <c r="AC66" s="8">
        <v>0</v>
      </c>
      <c r="AE66" s="8">
        <v>0</v>
      </c>
      <c r="AG66" s="8">
        <f t="shared" si="1"/>
        <v>5791626</v>
      </c>
      <c r="AH66" s="8"/>
      <c r="AI66" s="8">
        <f t="shared" si="2"/>
        <v>8174947</v>
      </c>
      <c r="AK66" s="10" t="s">
        <v>956</v>
      </c>
    </row>
    <row r="67" spans="1:37" ht="12" customHeight="1">
      <c r="A67" s="12" t="s">
        <v>434</v>
      </c>
      <c r="B67" s="12"/>
      <c r="C67" s="12" t="s">
        <v>435</v>
      </c>
      <c r="D67" s="12"/>
      <c r="E67" s="32">
        <v>47613</v>
      </c>
      <c r="G67" s="8">
        <v>601700</v>
      </c>
      <c r="I67" s="8">
        <v>1208216</v>
      </c>
      <c r="K67" s="8">
        <v>9000</v>
      </c>
      <c r="M67" s="8">
        <f t="shared" si="0"/>
        <v>1818916</v>
      </c>
      <c r="O67" s="8">
        <v>1492111</v>
      </c>
      <c r="Q67" s="8">
        <v>0</v>
      </c>
      <c r="S67" s="8">
        <v>4724793</v>
      </c>
      <c r="U67" s="8">
        <v>25099</v>
      </c>
      <c r="W67" s="8">
        <v>0</v>
      </c>
      <c r="Y67" s="8">
        <v>200</v>
      </c>
      <c r="AA67" s="8">
        <v>67569</v>
      </c>
      <c r="AB67" s="39"/>
      <c r="AC67" s="8">
        <v>0</v>
      </c>
      <c r="AE67" s="8">
        <v>0</v>
      </c>
      <c r="AG67" s="8">
        <f t="shared" si="1"/>
        <v>6309772</v>
      </c>
      <c r="AH67" s="8"/>
      <c r="AI67" s="8">
        <f t="shared" si="2"/>
        <v>8128688</v>
      </c>
    </row>
    <row r="68" spans="1:37" ht="12" customHeight="1">
      <c r="A68" s="12" t="s">
        <v>676</v>
      </c>
      <c r="B68" s="12"/>
      <c r="C68" s="12" t="s">
        <v>64</v>
      </c>
      <c r="D68" s="12"/>
      <c r="E68" s="32">
        <v>50112</v>
      </c>
      <c r="G68" s="8">
        <v>968407</v>
      </c>
      <c r="I68" s="8">
        <v>762526</v>
      </c>
      <c r="K68" s="8">
        <v>18753</v>
      </c>
      <c r="M68" s="8">
        <f t="shared" si="0"/>
        <v>1749686</v>
      </c>
      <c r="O68" s="8">
        <v>2542803</v>
      </c>
      <c r="Q68" s="8">
        <v>0</v>
      </c>
      <c r="S68" s="8">
        <v>3714767</v>
      </c>
      <c r="U68" s="8">
        <v>29708</v>
      </c>
      <c r="W68" s="8">
        <v>0</v>
      </c>
      <c r="Y68" s="8">
        <v>0</v>
      </c>
      <c r="AA68" s="8">
        <v>23220</v>
      </c>
      <c r="AB68" s="39"/>
      <c r="AC68" s="8">
        <v>0</v>
      </c>
      <c r="AE68" s="8">
        <v>0</v>
      </c>
      <c r="AG68" s="8">
        <f t="shared" si="1"/>
        <v>6310498</v>
      </c>
      <c r="AH68" s="8"/>
      <c r="AI68" s="8">
        <f t="shared" si="2"/>
        <v>8060184</v>
      </c>
    </row>
    <row r="69" spans="1:37" ht="12" customHeight="1">
      <c r="A69" s="13" t="s">
        <v>677</v>
      </c>
      <c r="B69" s="12"/>
      <c r="C69" s="12" t="s">
        <v>64</v>
      </c>
      <c r="D69" s="12"/>
      <c r="E69" s="32">
        <v>50120</v>
      </c>
      <c r="G69" s="8">
        <v>685066</v>
      </c>
      <c r="I69" s="8">
        <v>1444080</v>
      </c>
      <c r="K69" s="8">
        <v>14679</v>
      </c>
      <c r="M69" s="8">
        <f t="shared" si="0"/>
        <v>2143825</v>
      </c>
      <c r="O69" s="8">
        <v>3721788</v>
      </c>
      <c r="Q69" s="8">
        <v>0</v>
      </c>
      <c r="S69" s="8">
        <v>6301225</v>
      </c>
      <c r="U69" s="8">
        <v>590875</v>
      </c>
      <c r="W69" s="8">
        <v>0</v>
      </c>
      <c r="Y69" s="8">
        <v>0</v>
      </c>
      <c r="AA69" s="8">
        <v>0</v>
      </c>
      <c r="AB69" s="39"/>
      <c r="AC69" s="8">
        <v>0</v>
      </c>
      <c r="AE69" s="8">
        <v>0</v>
      </c>
      <c r="AG69" s="8">
        <f t="shared" si="1"/>
        <v>10613888</v>
      </c>
      <c r="AH69" s="8"/>
      <c r="AI69" s="8">
        <f t="shared" si="2"/>
        <v>12757713</v>
      </c>
      <c r="AK69" s="8" t="s">
        <v>956</v>
      </c>
    </row>
    <row r="70" spans="1:37" ht="12" customHeight="1">
      <c r="A70" s="12" t="s">
        <v>301</v>
      </c>
      <c r="B70" s="12"/>
      <c r="C70" s="12" t="s">
        <v>20</v>
      </c>
      <c r="D70" s="12"/>
      <c r="E70" s="32">
        <v>43653</v>
      </c>
      <c r="G70" s="8">
        <v>811591</v>
      </c>
      <c r="I70" s="8">
        <v>970384</v>
      </c>
      <c r="K70" s="8">
        <v>2558</v>
      </c>
      <c r="M70" s="8">
        <f t="shared" si="0"/>
        <v>1784533</v>
      </c>
      <c r="O70" s="8">
        <v>10881834</v>
      </c>
      <c r="Q70" s="8">
        <v>0</v>
      </c>
      <c r="S70" s="8">
        <v>4076393</v>
      </c>
      <c r="U70" s="8">
        <v>17640</v>
      </c>
      <c r="W70" s="8">
        <v>0</v>
      </c>
      <c r="Y70" s="8">
        <v>0</v>
      </c>
      <c r="AA70" s="8">
        <v>145454</v>
      </c>
      <c r="AB70" s="39"/>
      <c r="AC70" s="8">
        <v>0</v>
      </c>
      <c r="AE70" s="8">
        <v>0</v>
      </c>
      <c r="AG70" s="8">
        <f t="shared" si="1"/>
        <v>15121321</v>
      </c>
      <c r="AH70" s="8"/>
      <c r="AI70" s="8">
        <f t="shared" si="2"/>
        <v>16905854</v>
      </c>
    </row>
    <row r="71" spans="1:37" ht="12" customHeight="1">
      <c r="A71" s="13" t="s">
        <v>544</v>
      </c>
      <c r="B71" s="12"/>
      <c r="C71" s="12" t="s">
        <v>50</v>
      </c>
      <c r="D71" s="12"/>
      <c r="E71" s="32">
        <v>48678</v>
      </c>
      <c r="G71" s="8">
        <v>1190590</v>
      </c>
      <c r="I71" s="8">
        <v>1276884</v>
      </c>
      <c r="K71" s="8">
        <v>29168</v>
      </c>
      <c r="M71" s="8">
        <f t="shared" si="0"/>
        <v>2496642</v>
      </c>
      <c r="O71" s="8">
        <v>6484782</v>
      </c>
      <c r="Q71" s="8">
        <v>0</v>
      </c>
      <c r="S71" s="8">
        <v>21344381</v>
      </c>
      <c r="U71" s="8">
        <v>0</v>
      </c>
      <c r="W71" s="8">
        <v>0</v>
      </c>
      <c r="Y71" s="8">
        <v>0</v>
      </c>
      <c r="AA71" s="8">
        <v>218720</v>
      </c>
      <c r="AB71" s="39"/>
      <c r="AC71" s="8">
        <v>0</v>
      </c>
      <c r="AE71" s="8">
        <v>0</v>
      </c>
      <c r="AG71" s="8">
        <f t="shared" si="1"/>
        <v>28047883</v>
      </c>
      <c r="AH71" s="8"/>
      <c r="AI71" s="8">
        <f t="shared" si="2"/>
        <v>30544525</v>
      </c>
      <c r="AK71" s="8" t="s">
        <v>956</v>
      </c>
    </row>
    <row r="72" spans="1:37" ht="12" customHeight="1">
      <c r="A72" s="12" t="s">
        <v>252</v>
      </c>
      <c r="B72" s="12"/>
      <c r="C72" s="12" t="s">
        <v>16</v>
      </c>
      <c r="D72" s="12"/>
      <c r="E72" s="32">
        <v>46177</v>
      </c>
      <c r="F72" s="7"/>
      <c r="G72" s="8">
        <v>620754</v>
      </c>
      <c r="I72" s="8">
        <v>841754</v>
      </c>
      <c r="K72" s="8">
        <v>7168</v>
      </c>
      <c r="M72" s="8">
        <f t="shared" si="0"/>
        <v>1469676</v>
      </c>
      <c r="O72" s="8">
        <v>3360631</v>
      </c>
      <c r="Q72" s="8">
        <v>0</v>
      </c>
      <c r="S72" s="8">
        <v>3210428</v>
      </c>
      <c r="U72" s="8">
        <v>75344</v>
      </c>
      <c r="W72" s="8">
        <v>6137</v>
      </c>
      <c r="Y72" s="8">
        <v>0</v>
      </c>
      <c r="AA72" s="8">
        <v>34198</v>
      </c>
      <c r="AB72" s="39"/>
      <c r="AC72" s="8">
        <v>0</v>
      </c>
      <c r="AE72" s="8">
        <v>0</v>
      </c>
      <c r="AG72" s="8">
        <f t="shared" si="1"/>
        <v>6686738</v>
      </c>
      <c r="AH72" s="8"/>
      <c r="AI72" s="8">
        <f t="shared" si="2"/>
        <v>8156414</v>
      </c>
    </row>
    <row r="73" spans="1:37" ht="12" customHeight="1">
      <c r="A73" s="12" t="s">
        <v>526</v>
      </c>
      <c r="B73" s="12"/>
      <c r="C73" s="12" t="s">
        <v>47</v>
      </c>
      <c r="D73" s="12"/>
      <c r="E73" s="32">
        <v>43661</v>
      </c>
      <c r="G73" s="8">
        <v>2985818</v>
      </c>
      <c r="I73" s="8">
        <v>5247931</v>
      </c>
      <c r="K73" s="8">
        <v>344411</v>
      </c>
      <c r="M73" s="8">
        <f t="shared" si="0"/>
        <v>8578160</v>
      </c>
      <c r="O73" s="8">
        <v>39370959</v>
      </c>
      <c r="Q73" s="8">
        <v>0</v>
      </c>
      <c r="S73" s="8">
        <v>29756334</v>
      </c>
      <c r="U73" s="8">
        <v>180324</v>
      </c>
      <c r="W73" s="8">
        <v>0</v>
      </c>
      <c r="Y73" s="8">
        <v>0</v>
      </c>
      <c r="AA73" s="8">
        <f>34146+241006</f>
        <v>275152</v>
      </c>
      <c r="AB73" s="39"/>
      <c r="AC73" s="8">
        <v>0</v>
      </c>
      <c r="AE73" s="8">
        <v>0</v>
      </c>
      <c r="AG73" s="8">
        <f t="shared" si="1"/>
        <v>69582769</v>
      </c>
      <c r="AH73" s="8"/>
      <c r="AI73" s="8">
        <f t="shared" si="2"/>
        <v>78160929</v>
      </c>
    </row>
    <row r="74" spans="1:37" ht="12" hidden="1" customHeight="1">
      <c r="A74" s="13" t="s">
        <v>966</v>
      </c>
      <c r="B74" s="12"/>
      <c r="C74" s="12" t="s">
        <v>727</v>
      </c>
      <c r="D74" s="12"/>
      <c r="E74" s="32">
        <v>43679</v>
      </c>
      <c r="G74" s="8">
        <v>2575870</v>
      </c>
      <c r="I74" s="8">
        <v>1773012</v>
      </c>
      <c r="M74" s="8">
        <f t="shared" si="0"/>
        <v>4348882</v>
      </c>
      <c r="O74" s="8">
        <v>8304094</v>
      </c>
      <c r="Q74" s="8">
        <v>2968997</v>
      </c>
      <c r="S74" s="8">
        <v>7679917</v>
      </c>
      <c r="U74" s="8">
        <v>159451</v>
      </c>
      <c r="Y74" s="8">
        <v>45299</v>
      </c>
      <c r="AA74" s="8">
        <f>51412+7795</f>
        <v>59207</v>
      </c>
      <c r="AB74" s="39"/>
      <c r="AC74" s="8">
        <v>0</v>
      </c>
      <c r="AG74" s="8">
        <f t="shared" si="1"/>
        <v>19216965</v>
      </c>
      <c r="AH74" s="8"/>
      <c r="AI74" s="8">
        <f t="shared" si="2"/>
        <v>23565847</v>
      </c>
      <c r="AK74" s="8" t="s">
        <v>956</v>
      </c>
    </row>
    <row r="75" spans="1:37" ht="12" customHeight="1">
      <c r="A75" s="12" t="s">
        <v>290</v>
      </c>
      <c r="B75" s="12"/>
      <c r="C75" s="12" t="s">
        <v>113</v>
      </c>
      <c r="D75" s="12"/>
      <c r="E75" s="32">
        <v>46508</v>
      </c>
      <c r="G75" s="8">
        <v>537652</v>
      </c>
      <c r="I75" s="8">
        <v>948928</v>
      </c>
      <c r="K75" s="8">
        <v>18736</v>
      </c>
      <c r="M75" s="8">
        <f t="shared" si="0"/>
        <v>1505316</v>
      </c>
      <c r="O75" s="8">
        <v>2193028</v>
      </c>
      <c r="Q75" s="8">
        <v>1402945</v>
      </c>
      <c r="S75" s="8">
        <v>4442878</v>
      </c>
      <c r="U75" s="8">
        <v>338266</v>
      </c>
      <c r="W75" s="8">
        <v>0</v>
      </c>
      <c r="Y75" s="8">
        <v>0</v>
      </c>
      <c r="AA75" s="8">
        <v>3000</v>
      </c>
      <c r="AB75" s="39"/>
      <c r="AC75" s="8">
        <v>0</v>
      </c>
      <c r="AE75" s="8">
        <v>0</v>
      </c>
      <c r="AG75" s="8">
        <f t="shared" si="1"/>
        <v>8380117</v>
      </c>
      <c r="AH75" s="8"/>
      <c r="AI75" s="8">
        <f t="shared" si="2"/>
        <v>9885433</v>
      </c>
    </row>
    <row r="76" spans="1:37" ht="12" customHeight="1">
      <c r="A76" s="12" t="s">
        <v>217</v>
      </c>
      <c r="B76" s="12"/>
      <c r="C76" s="12" t="s">
        <v>12</v>
      </c>
      <c r="D76" s="12"/>
      <c r="E76" s="32">
        <v>45856</v>
      </c>
      <c r="F76" s="7"/>
      <c r="G76" s="8">
        <v>1773103</v>
      </c>
      <c r="I76" s="8">
        <v>752274</v>
      </c>
      <c r="K76" s="8">
        <v>0</v>
      </c>
      <c r="M76" s="8">
        <f t="shared" si="0"/>
        <v>2525377</v>
      </c>
      <c r="O76" s="8">
        <v>7986936</v>
      </c>
      <c r="Q76" s="8">
        <v>0</v>
      </c>
      <c r="S76" s="8">
        <v>10331526</v>
      </c>
      <c r="U76" s="8">
        <v>90651</v>
      </c>
      <c r="W76" s="8">
        <v>0</v>
      </c>
      <c r="Y76" s="8">
        <v>0</v>
      </c>
      <c r="AA76" s="8">
        <v>56067</v>
      </c>
      <c r="AB76" s="39"/>
      <c r="AC76" s="8">
        <v>0</v>
      </c>
      <c r="AE76" s="8">
        <v>0</v>
      </c>
      <c r="AG76" s="8">
        <f t="shared" si="1"/>
        <v>18465180</v>
      </c>
      <c r="AH76" s="8"/>
      <c r="AI76" s="8">
        <f t="shared" si="2"/>
        <v>20990557</v>
      </c>
    </row>
    <row r="77" spans="1:37" s="8" customFormat="1" ht="12" customHeight="1">
      <c r="A77" s="13" t="s">
        <v>217</v>
      </c>
      <c r="B77" s="13"/>
      <c r="C77" s="13" t="s">
        <v>39</v>
      </c>
      <c r="D77" s="13"/>
      <c r="E77" s="13">
        <v>47787</v>
      </c>
      <c r="G77" s="8">
        <v>1014458</v>
      </c>
      <c r="I77" s="8">
        <v>4294567</v>
      </c>
      <c r="K77" s="8">
        <v>45016</v>
      </c>
      <c r="M77" s="8">
        <f t="shared" ref="M77:M81" si="3">SUM(G77:L77)</f>
        <v>5354041</v>
      </c>
      <c r="O77" s="8">
        <v>6796420</v>
      </c>
      <c r="Q77" s="8">
        <v>0</v>
      </c>
      <c r="S77" s="8">
        <v>9706271</v>
      </c>
      <c r="U77" s="8">
        <v>0</v>
      </c>
      <c r="W77" s="8">
        <v>0</v>
      </c>
      <c r="Y77" s="8">
        <v>0</v>
      </c>
      <c r="AA77" s="8">
        <v>179245</v>
      </c>
      <c r="AB77" s="39"/>
      <c r="AC77" s="8">
        <v>0</v>
      </c>
      <c r="AE77" s="8">
        <v>0</v>
      </c>
      <c r="AG77" s="8">
        <f t="shared" ref="AG77:AG81" si="4">SUM(O77:AE77)</f>
        <v>16681936</v>
      </c>
      <c r="AI77" s="8">
        <f t="shared" si="2"/>
        <v>22035977</v>
      </c>
    </row>
    <row r="78" spans="1:37" s="8" customFormat="1" ht="12" customHeight="1">
      <c r="A78" s="13" t="s">
        <v>968</v>
      </c>
      <c r="B78" s="13"/>
      <c r="C78" s="13" t="s">
        <v>47</v>
      </c>
      <c r="D78" s="13"/>
      <c r="E78" s="32">
        <v>48470</v>
      </c>
      <c r="G78" s="8">
        <v>1036570</v>
      </c>
      <c r="I78" s="8">
        <v>1111352</v>
      </c>
      <c r="K78" s="8">
        <v>0</v>
      </c>
      <c r="M78" s="8">
        <f t="shared" si="3"/>
        <v>2147922</v>
      </c>
      <c r="O78" s="8">
        <v>11441120</v>
      </c>
      <c r="Q78" s="8">
        <v>0</v>
      </c>
      <c r="S78" s="8">
        <v>9446531</v>
      </c>
      <c r="U78" s="8">
        <v>0</v>
      </c>
      <c r="W78" s="8">
        <v>0</v>
      </c>
      <c r="Y78" s="8">
        <v>0</v>
      </c>
      <c r="AA78" s="8">
        <v>231691</v>
      </c>
      <c r="AB78" s="39"/>
      <c r="AC78" s="8">
        <v>0</v>
      </c>
      <c r="AE78" s="8">
        <v>0</v>
      </c>
      <c r="AG78" s="8">
        <f t="shared" si="4"/>
        <v>21119342</v>
      </c>
      <c r="AI78" s="8">
        <f>+AG78+M78</f>
        <v>23267264</v>
      </c>
    </row>
    <row r="79" spans="1:37" ht="12" hidden="1" customHeight="1">
      <c r="A79" s="8" t="s">
        <v>901</v>
      </c>
      <c r="B79" s="12"/>
      <c r="C79" s="12" t="s">
        <v>114</v>
      </c>
      <c r="D79" s="12"/>
      <c r="E79" s="32">
        <v>46755</v>
      </c>
      <c r="M79" s="8">
        <f t="shared" si="3"/>
        <v>0</v>
      </c>
      <c r="AB79" s="39"/>
      <c r="AC79" s="8">
        <v>0</v>
      </c>
      <c r="AG79" s="8">
        <f t="shared" si="4"/>
        <v>0</v>
      </c>
      <c r="AH79" s="8"/>
      <c r="AI79" s="8">
        <f>+AG79+M79</f>
        <v>0</v>
      </c>
      <c r="AK79" s="8" t="s">
        <v>967</v>
      </c>
    </row>
    <row r="80" spans="1:37" ht="12" customHeight="1">
      <c r="A80" s="12" t="s">
        <v>334</v>
      </c>
      <c r="B80" s="12"/>
      <c r="C80" s="12" t="s">
        <v>23</v>
      </c>
      <c r="D80" s="12"/>
      <c r="E80" s="32">
        <v>46755</v>
      </c>
      <c r="G80" s="8">
        <v>1921907</v>
      </c>
      <c r="I80" s="8">
        <v>1256254</v>
      </c>
      <c r="K80" s="8">
        <v>33093</v>
      </c>
      <c r="M80" s="8">
        <f t="shared" si="3"/>
        <v>3211254</v>
      </c>
      <c r="O80" s="8">
        <v>10284651</v>
      </c>
      <c r="Q80" s="8">
        <v>4537934</v>
      </c>
      <c r="S80" s="8">
        <v>6661954</v>
      </c>
      <c r="U80" s="8">
        <v>300672</v>
      </c>
      <c r="W80" s="8">
        <v>0</v>
      </c>
      <c r="Y80" s="8">
        <v>0</v>
      </c>
      <c r="AA80" s="8">
        <v>28150</v>
      </c>
      <c r="AB80" s="39"/>
      <c r="AC80" s="8">
        <v>0</v>
      </c>
      <c r="AE80" s="8">
        <v>0</v>
      </c>
      <c r="AG80" s="8">
        <f t="shared" si="4"/>
        <v>21813361</v>
      </c>
      <c r="AH80" s="8"/>
      <c r="AI80" s="8">
        <f>+AG80+M80</f>
        <v>25024615</v>
      </c>
    </row>
    <row r="81" spans="1:35" ht="12" customHeight="1">
      <c r="A81" s="12" t="s">
        <v>291</v>
      </c>
      <c r="B81" s="12"/>
      <c r="C81" s="12" t="s">
        <v>113</v>
      </c>
      <c r="D81" s="12"/>
      <c r="E81" s="32">
        <v>43687</v>
      </c>
      <c r="G81" s="8">
        <v>918153</v>
      </c>
      <c r="I81" s="8">
        <v>3683476</v>
      </c>
      <c r="K81" s="8">
        <v>5403</v>
      </c>
      <c r="M81" s="8">
        <f t="shared" si="3"/>
        <v>4607032</v>
      </c>
      <c r="O81" s="8">
        <f>4112529+58292+711692+58291</f>
        <v>4940804</v>
      </c>
      <c r="Q81" s="8">
        <v>0</v>
      </c>
      <c r="S81" s="8">
        <v>9002094</v>
      </c>
      <c r="U81" s="8">
        <v>605548</v>
      </c>
      <c r="W81" s="8">
        <v>0</v>
      </c>
      <c r="Y81" s="8">
        <v>1041</v>
      </c>
      <c r="AA81" s="8">
        <v>202695</v>
      </c>
      <c r="AB81" s="39"/>
      <c r="AC81" s="8">
        <v>0</v>
      </c>
      <c r="AE81" s="8">
        <v>0</v>
      </c>
      <c r="AG81" s="8">
        <f t="shared" si="4"/>
        <v>14752182</v>
      </c>
      <c r="AH81" s="8"/>
      <c r="AI81" s="8">
        <f>+AG81+M81</f>
        <v>19359214</v>
      </c>
    </row>
    <row r="82" spans="1:35" ht="12" customHeight="1">
      <c r="A82" s="12"/>
      <c r="B82" s="12"/>
      <c r="C82" s="12"/>
      <c r="D82" s="12"/>
      <c r="E82" s="32"/>
      <c r="AB82" s="39"/>
      <c r="AH82" s="8"/>
    </row>
    <row r="83" spans="1:35" ht="12" customHeight="1">
      <c r="A83" s="12"/>
      <c r="B83" s="12"/>
      <c r="C83" s="12"/>
      <c r="D83" s="12"/>
      <c r="E83" s="32"/>
      <c r="AB83" s="39"/>
      <c r="AG83" s="10"/>
      <c r="AH83" s="8"/>
      <c r="AI83" s="8" t="s">
        <v>805</v>
      </c>
    </row>
    <row r="84" spans="1:35" ht="12" customHeight="1">
      <c r="A84" s="12"/>
      <c r="B84" s="12"/>
      <c r="C84" s="12"/>
      <c r="D84" s="12"/>
      <c r="E84" s="32"/>
      <c r="AB84" s="39"/>
      <c r="AH84" s="8"/>
    </row>
    <row r="85" spans="1:35" ht="12" customHeight="1">
      <c r="A85" s="12" t="s">
        <v>569</v>
      </c>
      <c r="B85" s="12"/>
      <c r="C85" s="12" t="s">
        <v>52</v>
      </c>
      <c r="D85" s="12"/>
      <c r="E85" s="32">
        <v>45252</v>
      </c>
      <c r="G85" s="35">
        <v>675997</v>
      </c>
      <c r="H85" s="35"/>
      <c r="I85" s="35">
        <v>879222</v>
      </c>
      <c r="J85" s="35"/>
      <c r="K85" s="35">
        <v>11417</v>
      </c>
      <c r="L85" s="35"/>
      <c r="M85" s="35">
        <f t="shared" ref="M85:M151" si="5">SUM(G85:L85)</f>
        <v>1566636</v>
      </c>
      <c r="N85" s="35"/>
      <c r="O85" s="35">
        <v>2402878</v>
      </c>
      <c r="P85" s="35"/>
      <c r="Q85" s="35">
        <v>0</v>
      </c>
      <c r="R85" s="35"/>
      <c r="S85" s="35">
        <v>4436798</v>
      </c>
      <c r="T85" s="35"/>
      <c r="U85" s="35">
        <v>0</v>
      </c>
      <c r="V85" s="35"/>
      <c r="W85" s="35">
        <v>0</v>
      </c>
      <c r="X85" s="35"/>
      <c r="Y85" s="35">
        <v>0</v>
      </c>
      <c r="Z85" s="35"/>
      <c r="AA85" s="35">
        <v>98699</v>
      </c>
      <c r="AB85" s="45"/>
      <c r="AC85" s="35">
        <v>0</v>
      </c>
      <c r="AD85" s="35"/>
      <c r="AE85" s="35">
        <v>0</v>
      </c>
      <c r="AF85" s="35"/>
      <c r="AG85" s="35">
        <f t="shared" ref="AG85" si="6">SUM(O85:AE85)</f>
        <v>6938375</v>
      </c>
      <c r="AH85" s="35"/>
      <c r="AI85" s="35">
        <f t="shared" ref="AI85" si="7">+AG85+M85</f>
        <v>8505011</v>
      </c>
    </row>
    <row r="86" spans="1:35" ht="12" customHeight="1">
      <c r="A86" s="12" t="s">
        <v>389</v>
      </c>
      <c r="B86" s="12"/>
      <c r="C86" s="12" t="s">
        <v>31</v>
      </c>
      <c r="D86" s="12"/>
      <c r="E86" s="32">
        <v>43695</v>
      </c>
      <c r="G86" s="8">
        <v>1300649</v>
      </c>
      <c r="I86" s="8">
        <v>5157263</v>
      </c>
      <c r="K86" s="8">
        <v>42780</v>
      </c>
      <c r="M86" s="8">
        <f t="shared" si="5"/>
        <v>6500692</v>
      </c>
      <c r="O86" s="8">
        <v>5686432</v>
      </c>
      <c r="Q86" s="8">
        <v>0</v>
      </c>
      <c r="S86" s="8">
        <v>11880887</v>
      </c>
      <c r="U86" s="8">
        <v>90866</v>
      </c>
      <c r="W86" s="8">
        <v>0</v>
      </c>
      <c r="Y86" s="8">
        <v>0</v>
      </c>
      <c r="AA86" s="8">
        <v>250026</v>
      </c>
      <c r="AB86" s="39"/>
      <c r="AC86" s="8">
        <v>0</v>
      </c>
      <c r="AE86" s="8">
        <v>0</v>
      </c>
      <c r="AG86" s="8">
        <f t="shared" ref="AG86:AG148" si="8">SUM(O86:AE86)</f>
        <v>17908211</v>
      </c>
      <c r="AH86" s="8"/>
      <c r="AI86" s="8">
        <f t="shared" ref="AI86:AI147" si="9">+AG86+M86</f>
        <v>24408903</v>
      </c>
    </row>
    <row r="87" spans="1:35" ht="12" customHeight="1">
      <c r="A87" s="12" t="s">
        <v>510</v>
      </c>
      <c r="B87" s="12"/>
      <c r="C87" s="12" t="s">
        <v>45</v>
      </c>
      <c r="D87" s="12"/>
      <c r="E87" s="32">
        <v>43703</v>
      </c>
      <c r="G87" s="8">
        <v>265657</v>
      </c>
      <c r="I87" s="8">
        <v>3042673</v>
      </c>
      <c r="K87" s="8">
        <v>18488</v>
      </c>
      <c r="M87" s="8">
        <f t="shared" si="5"/>
        <v>3326818</v>
      </c>
      <c r="O87" s="8">
        <v>2332086</v>
      </c>
      <c r="Q87" s="8">
        <v>0</v>
      </c>
      <c r="S87" s="8">
        <v>9316238</v>
      </c>
      <c r="U87" s="8">
        <v>22386</v>
      </c>
      <c r="W87" s="8">
        <v>0</v>
      </c>
      <c r="Y87" s="8">
        <v>0</v>
      </c>
      <c r="AA87" s="8">
        <v>34184</v>
      </c>
      <c r="AB87" s="39"/>
      <c r="AC87" s="8">
        <v>0</v>
      </c>
      <c r="AE87" s="8">
        <v>0</v>
      </c>
      <c r="AG87" s="8">
        <f t="shared" si="8"/>
        <v>11704894</v>
      </c>
      <c r="AH87" s="8"/>
      <c r="AI87" s="8">
        <f t="shared" si="9"/>
        <v>15031712</v>
      </c>
    </row>
    <row r="88" spans="1:35" ht="12" customHeight="1">
      <c r="A88" s="12" t="s">
        <v>353</v>
      </c>
      <c r="B88" s="12"/>
      <c r="C88" s="12" t="s">
        <v>27</v>
      </c>
      <c r="D88" s="12"/>
      <c r="E88" s="32">
        <v>46946</v>
      </c>
      <c r="G88" s="8">
        <v>949853</v>
      </c>
      <c r="I88" s="8">
        <v>2833400</v>
      </c>
      <c r="K88" s="8">
        <v>27039</v>
      </c>
      <c r="M88" s="8">
        <f t="shared" si="5"/>
        <v>3810292</v>
      </c>
      <c r="O88" s="8">
        <v>14037226</v>
      </c>
      <c r="Q88" s="8">
        <v>3096276</v>
      </c>
      <c r="S88" s="8">
        <v>14556809</v>
      </c>
      <c r="U88" s="8">
        <v>233004</v>
      </c>
      <c r="W88" s="8">
        <v>0</v>
      </c>
      <c r="Y88" s="8">
        <v>0</v>
      </c>
      <c r="AA88" s="8">
        <v>111523</v>
      </c>
      <c r="AB88" s="39"/>
      <c r="AC88" s="8">
        <v>0</v>
      </c>
      <c r="AE88" s="8">
        <v>0</v>
      </c>
      <c r="AG88" s="8">
        <f t="shared" si="8"/>
        <v>32034838</v>
      </c>
      <c r="AH88" s="8"/>
      <c r="AI88" s="8">
        <f t="shared" si="9"/>
        <v>35845130</v>
      </c>
    </row>
    <row r="89" spans="1:35" ht="12" customHeight="1">
      <c r="A89" s="12" t="s">
        <v>511</v>
      </c>
      <c r="B89" s="12"/>
      <c r="C89" s="12" t="s">
        <v>45</v>
      </c>
      <c r="D89" s="12"/>
      <c r="E89" s="32">
        <v>48314</v>
      </c>
      <c r="G89" s="8">
        <v>1332571</v>
      </c>
      <c r="I89" s="8">
        <v>959663</v>
      </c>
      <c r="K89" s="8">
        <v>46871</v>
      </c>
      <c r="M89" s="8">
        <f t="shared" si="5"/>
        <v>2339105</v>
      </c>
      <c r="O89" s="8">
        <v>16116762</v>
      </c>
      <c r="Q89" s="8">
        <v>0</v>
      </c>
      <c r="S89" s="8">
        <v>9520658</v>
      </c>
      <c r="U89" s="8">
        <v>211387</v>
      </c>
      <c r="W89" s="8">
        <v>0</v>
      </c>
      <c r="Y89" s="8">
        <v>0</v>
      </c>
      <c r="AA89" s="8">
        <v>42108</v>
      </c>
      <c r="AB89" s="39"/>
      <c r="AC89" s="8">
        <v>0</v>
      </c>
      <c r="AE89" s="8">
        <v>0</v>
      </c>
      <c r="AG89" s="8">
        <f t="shared" si="8"/>
        <v>25890915</v>
      </c>
      <c r="AH89" s="8"/>
      <c r="AI89" s="8">
        <f t="shared" si="9"/>
        <v>28230020</v>
      </c>
    </row>
    <row r="90" spans="1:35" ht="12" customHeight="1">
      <c r="A90" s="12" t="s">
        <v>650</v>
      </c>
      <c r="B90" s="12"/>
      <c r="C90" s="12" t="s">
        <v>62</v>
      </c>
      <c r="D90" s="12"/>
      <c r="E90" s="32">
        <v>43711</v>
      </c>
      <c r="G90" s="8">
        <v>2845441</v>
      </c>
      <c r="I90" s="8">
        <v>4076678</v>
      </c>
      <c r="K90" s="8">
        <v>20600</v>
      </c>
      <c r="M90" s="8">
        <f>SUM(G90:L90)</f>
        <v>6942719</v>
      </c>
      <c r="O90" s="8">
        <v>9042038</v>
      </c>
      <c r="Q90" s="8">
        <v>0</v>
      </c>
      <c r="S90" s="8">
        <v>11101716</v>
      </c>
      <c r="U90" s="8">
        <v>17579</v>
      </c>
      <c r="W90" s="8">
        <v>0</v>
      </c>
      <c r="Y90" s="8">
        <v>0</v>
      </c>
      <c r="AA90" s="8">
        <v>359538</v>
      </c>
      <c r="AB90" s="39"/>
      <c r="AC90" s="8">
        <v>0</v>
      </c>
      <c r="AE90" s="8">
        <v>0</v>
      </c>
      <c r="AG90" s="8">
        <f>SUM(O90:AE90)</f>
        <v>20520871</v>
      </c>
      <c r="AH90" s="8"/>
      <c r="AI90" s="8">
        <f>+AG90+M90</f>
        <v>27463590</v>
      </c>
    </row>
    <row r="91" spans="1:35" ht="12" customHeight="1">
      <c r="A91" s="12" t="s">
        <v>649</v>
      </c>
      <c r="B91" s="12"/>
      <c r="C91" s="12" t="s">
        <v>62</v>
      </c>
      <c r="D91" s="12"/>
      <c r="E91" s="32">
        <v>43711</v>
      </c>
      <c r="G91" s="8">
        <v>2140000</v>
      </c>
      <c r="I91" s="8">
        <v>31035000</v>
      </c>
      <c r="K91" s="8">
        <v>215000</v>
      </c>
      <c r="M91" s="8">
        <f>SUM(G91:L91)</f>
        <v>33390000</v>
      </c>
      <c r="O91" s="8">
        <v>28907000</v>
      </c>
      <c r="Q91" s="8">
        <v>0</v>
      </c>
      <c r="S91" s="8">
        <v>62673000</v>
      </c>
      <c r="U91" s="8">
        <v>1168000</v>
      </c>
      <c r="W91" s="8">
        <v>0</v>
      </c>
      <c r="Y91" s="8">
        <v>0</v>
      </c>
      <c r="AA91" s="8">
        <v>890000</v>
      </c>
      <c r="AB91" s="39"/>
      <c r="AC91" s="8">
        <v>0</v>
      </c>
      <c r="AE91" s="8">
        <v>0</v>
      </c>
      <c r="AG91" s="8">
        <f>SUM(O91:AE91)</f>
        <v>93638000</v>
      </c>
      <c r="AH91" s="8"/>
      <c r="AI91" s="8">
        <f>+AG91+M91</f>
        <v>127028000</v>
      </c>
    </row>
    <row r="92" spans="1:35" ht="12" customHeight="1">
      <c r="A92" s="12" t="s">
        <v>378</v>
      </c>
      <c r="B92" s="12"/>
      <c r="C92" s="12" t="s">
        <v>30</v>
      </c>
      <c r="D92" s="12"/>
      <c r="E92" s="32">
        <v>47175</v>
      </c>
      <c r="G92" s="8">
        <v>1187773</v>
      </c>
      <c r="I92" s="8">
        <v>1520319</v>
      </c>
      <c r="K92" s="8">
        <v>0</v>
      </c>
      <c r="M92" s="8">
        <f>SUM(G92:L92)</f>
        <v>2708092</v>
      </c>
      <c r="O92" s="8">
        <v>7825766</v>
      </c>
      <c r="Q92" s="8">
        <v>0</v>
      </c>
      <c r="S92" s="8">
        <v>5799670</v>
      </c>
      <c r="U92" s="8">
        <v>45404</v>
      </c>
      <c r="W92" s="8">
        <v>0</v>
      </c>
      <c r="Y92" s="8">
        <v>0</v>
      </c>
      <c r="AA92" s="8">
        <v>29523</v>
      </c>
      <c r="AB92" s="39"/>
      <c r="AC92" s="8">
        <v>0</v>
      </c>
      <c r="AE92" s="8">
        <v>0</v>
      </c>
      <c r="AG92" s="8">
        <f>SUM(O92:AE92)</f>
        <v>13700363</v>
      </c>
      <c r="AH92" s="8"/>
      <c r="AI92" s="8">
        <f>+AG92+M92</f>
        <v>16408455</v>
      </c>
    </row>
    <row r="93" spans="1:35" ht="12" customHeight="1">
      <c r="A93" s="12" t="s">
        <v>560</v>
      </c>
      <c r="B93" s="12"/>
      <c r="C93" s="12" t="s">
        <v>78</v>
      </c>
      <c r="D93" s="12"/>
      <c r="E93" s="32">
        <v>48793</v>
      </c>
      <c r="G93" s="8">
        <v>982920</v>
      </c>
      <c r="I93" s="8">
        <v>1618392</v>
      </c>
      <c r="K93" s="8">
        <v>0</v>
      </c>
      <c r="M93" s="8">
        <f>SUM(G93:L93)</f>
        <v>2601312</v>
      </c>
      <c r="O93" s="8">
        <v>2366911</v>
      </c>
      <c r="Q93" s="8">
        <v>0</v>
      </c>
      <c r="S93" s="8">
        <v>6665975</v>
      </c>
      <c r="U93" s="8">
        <v>49369</v>
      </c>
      <c r="W93" s="8">
        <v>160294</v>
      </c>
      <c r="Y93" s="8">
        <v>0</v>
      </c>
      <c r="AA93" s="8">
        <v>43113</v>
      </c>
      <c r="AB93" s="39"/>
      <c r="AC93" s="8">
        <v>0</v>
      </c>
      <c r="AE93" s="8">
        <v>0</v>
      </c>
      <c r="AG93" s="8">
        <f>SUM(O93:AE93)</f>
        <v>9285662</v>
      </c>
      <c r="AH93" s="8"/>
      <c r="AI93" s="8">
        <f>+AG93+M93</f>
        <v>11886974</v>
      </c>
    </row>
    <row r="94" spans="1:35" ht="12" hidden="1" customHeight="1">
      <c r="A94" s="13" t="s">
        <v>838</v>
      </c>
      <c r="B94" s="12"/>
      <c r="C94" s="12" t="s">
        <v>740</v>
      </c>
      <c r="D94" s="12"/>
      <c r="E94" s="32">
        <v>45260</v>
      </c>
      <c r="G94" s="8">
        <v>828725</v>
      </c>
      <c r="I94" s="8">
        <v>1002787</v>
      </c>
      <c r="K94" s="8">
        <v>9545</v>
      </c>
      <c r="M94" s="8">
        <f t="shared" si="5"/>
        <v>1841057</v>
      </c>
      <c r="O94" s="8">
        <v>2833864</v>
      </c>
      <c r="S94" s="8">
        <v>4259967</v>
      </c>
      <c r="U94" s="8">
        <v>146474</v>
      </c>
      <c r="AA94" s="8">
        <v>60496</v>
      </c>
      <c r="AB94" s="39"/>
      <c r="AC94" s="8">
        <v>0</v>
      </c>
      <c r="AG94" s="8">
        <f t="shared" si="8"/>
        <v>7300801</v>
      </c>
      <c r="AH94" s="8"/>
      <c r="AI94" s="8">
        <f t="shared" si="9"/>
        <v>9141858</v>
      </c>
    </row>
    <row r="95" spans="1:35" ht="12" customHeight="1">
      <c r="A95" s="12" t="s">
        <v>708</v>
      </c>
      <c r="B95" s="12"/>
      <c r="C95" s="12" t="s">
        <v>69</v>
      </c>
      <c r="D95" s="12"/>
      <c r="E95" s="32">
        <v>50419</v>
      </c>
      <c r="G95" s="8">
        <v>631234</v>
      </c>
      <c r="I95" s="8">
        <v>1725022</v>
      </c>
      <c r="K95" s="8">
        <v>0</v>
      </c>
      <c r="M95" s="8">
        <f t="shared" si="5"/>
        <v>2356256</v>
      </c>
      <c r="O95" s="8">
        <v>4462436</v>
      </c>
      <c r="Q95" s="8">
        <v>1791316</v>
      </c>
      <c r="S95" s="8">
        <v>7894694</v>
      </c>
      <c r="U95" s="8">
        <v>28509</v>
      </c>
      <c r="W95" s="8">
        <v>84009</v>
      </c>
      <c r="Y95" s="8">
        <v>12210</v>
      </c>
      <c r="AA95" s="8">
        <v>88069</v>
      </c>
      <c r="AB95" s="39"/>
      <c r="AC95" s="8">
        <v>0</v>
      </c>
      <c r="AE95" s="8">
        <v>0</v>
      </c>
      <c r="AG95" s="8">
        <f t="shared" si="8"/>
        <v>14361243</v>
      </c>
      <c r="AH95" s="8"/>
      <c r="AI95" s="8">
        <f t="shared" si="9"/>
        <v>16717499</v>
      </c>
    </row>
    <row r="96" spans="1:35" ht="12" customHeight="1">
      <c r="A96" s="12" t="s">
        <v>253</v>
      </c>
      <c r="B96" s="12"/>
      <c r="C96" s="12" t="s">
        <v>16</v>
      </c>
      <c r="D96" s="12"/>
      <c r="E96" s="32">
        <v>45278</v>
      </c>
      <c r="F96" s="7"/>
      <c r="G96" s="8">
        <v>1087331</v>
      </c>
      <c r="I96" s="8">
        <v>2852256</v>
      </c>
      <c r="K96" s="8">
        <v>15000</v>
      </c>
      <c r="M96" s="8">
        <f t="shared" si="5"/>
        <v>3954587</v>
      </c>
      <c r="O96" s="8">
        <v>4369727</v>
      </c>
      <c r="Q96" s="8">
        <v>0</v>
      </c>
      <c r="S96" s="8">
        <v>12260846</v>
      </c>
      <c r="U96" s="8">
        <v>0</v>
      </c>
      <c r="W96" s="8">
        <v>0</v>
      </c>
      <c r="Y96" s="8">
        <v>0</v>
      </c>
      <c r="AA96" s="8">
        <v>146829</v>
      </c>
      <c r="AB96" s="39"/>
      <c r="AC96" s="8">
        <v>0</v>
      </c>
      <c r="AE96" s="8">
        <v>0</v>
      </c>
      <c r="AG96" s="8">
        <f t="shared" si="8"/>
        <v>16777402</v>
      </c>
      <c r="AH96" s="8"/>
      <c r="AI96" s="8">
        <f t="shared" si="9"/>
        <v>20731989</v>
      </c>
    </row>
    <row r="97" spans="1:37" ht="12" customHeight="1">
      <c r="A97" s="12" t="s">
        <v>385</v>
      </c>
      <c r="B97" s="12"/>
      <c r="C97" s="12" t="s">
        <v>116</v>
      </c>
      <c r="D97" s="12"/>
      <c r="E97" s="32">
        <v>47258</v>
      </c>
      <c r="G97" s="8">
        <v>442453</v>
      </c>
      <c r="I97" s="8">
        <v>250016</v>
      </c>
      <c r="K97" s="8">
        <v>0</v>
      </c>
      <c r="M97" s="8">
        <f t="shared" si="5"/>
        <v>692469</v>
      </c>
      <c r="O97" s="8">
        <v>2012219</v>
      </c>
      <c r="Q97" s="8">
        <v>924250</v>
      </c>
      <c r="S97" s="8">
        <v>3182216</v>
      </c>
      <c r="U97" s="8">
        <v>19633</v>
      </c>
      <c r="W97" s="8">
        <v>0</v>
      </c>
      <c r="Y97" s="8">
        <v>350</v>
      </c>
      <c r="AA97" s="8">
        <v>38524</v>
      </c>
      <c r="AB97" s="39"/>
      <c r="AC97" s="8">
        <v>0</v>
      </c>
      <c r="AE97" s="8">
        <v>0</v>
      </c>
      <c r="AG97" s="8">
        <f t="shared" si="8"/>
        <v>6177192</v>
      </c>
      <c r="AH97" s="8"/>
      <c r="AI97" s="8">
        <f t="shared" si="9"/>
        <v>6869661</v>
      </c>
    </row>
    <row r="98" spans="1:37" ht="12" hidden="1" customHeight="1">
      <c r="A98" s="13" t="s">
        <v>839</v>
      </c>
      <c r="B98" s="12"/>
      <c r="C98" s="12" t="s">
        <v>534</v>
      </c>
      <c r="D98" s="12"/>
      <c r="E98" s="32">
        <v>43729</v>
      </c>
      <c r="G98" s="8">
        <v>2484704</v>
      </c>
      <c r="I98" s="8">
        <v>4646005</v>
      </c>
      <c r="K98" s="8">
        <v>21801</v>
      </c>
      <c r="M98" s="8">
        <f t="shared" si="5"/>
        <v>7152510</v>
      </c>
      <c r="O98" s="8">
        <f>10719091+1068700</f>
        <v>11787791</v>
      </c>
      <c r="Q98" s="8">
        <v>2543471</v>
      </c>
      <c r="S98" s="8">
        <v>12063473</v>
      </c>
      <c r="U98" s="8">
        <v>379117</v>
      </c>
      <c r="W98" s="8">
        <v>167413</v>
      </c>
      <c r="Y98" s="8">
        <v>2198</v>
      </c>
      <c r="AA98" s="8">
        <v>192902</v>
      </c>
      <c r="AB98" s="39"/>
      <c r="AC98" s="8">
        <v>0</v>
      </c>
      <c r="AG98" s="8">
        <f t="shared" si="8"/>
        <v>27136365</v>
      </c>
      <c r="AH98" s="8"/>
      <c r="AI98" s="8">
        <f t="shared" si="9"/>
        <v>34288875</v>
      </c>
      <c r="AK98" s="8" t="s">
        <v>956</v>
      </c>
    </row>
    <row r="99" spans="1:37" ht="12" customHeight="1">
      <c r="A99" s="13" t="s">
        <v>906</v>
      </c>
      <c r="B99" s="12"/>
      <c r="C99" s="12" t="s">
        <v>40</v>
      </c>
      <c r="D99" s="12"/>
      <c r="E99" s="32">
        <v>47829</v>
      </c>
      <c r="G99" s="8">
        <v>372600</v>
      </c>
      <c r="I99" s="8">
        <v>1442706</v>
      </c>
      <c r="K99" s="8">
        <v>24713</v>
      </c>
      <c r="M99" s="8">
        <f t="shared" si="5"/>
        <v>1840019</v>
      </c>
      <c r="O99" s="8">
        <v>3054385</v>
      </c>
      <c r="Q99" s="8">
        <v>1018764</v>
      </c>
      <c r="S99" s="8">
        <v>5039052</v>
      </c>
      <c r="U99" s="8">
        <v>85212</v>
      </c>
      <c r="W99" s="8">
        <v>0</v>
      </c>
      <c r="Y99" s="8">
        <v>0</v>
      </c>
      <c r="AA99" s="8">
        <v>6435</v>
      </c>
      <c r="AB99" s="39"/>
      <c r="AC99" s="8">
        <v>0</v>
      </c>
      <c r="AE99" s="8">
        <v>0</v>
      </c>
      <c r="AG99" s="8">
        <f t="shared" si="8"/>
        <v>9203848</v>
      </c>
      <c r="AH99" s="8"/>
      <c r="AI99" s="8">
        <f t="shared" si="9"/>
        <v>11043867</v>
      </c>
    </row>
    <row r="100" spans="1:37" ht="12" customHeight="1">
      <c r="A100" s="34" t="s">
        <v>907</v>
      </c>
      <c r="B100" s="12"/>
      <c r="C100" s="12" t="s">
        <v>50</v>
      </c>
      <c r="D100" s="12"/>
      <c r="E100" s="32">
        <v>43737</v>
      </c>
      <c r="G100" s="8">
        <v>4680434</v>
      </c>
      <c r="I100" s="8">
        <v>5553009</v>
      </c>
      <c r="K100" s="8">
        <v>0</v>
      </c>
      <c r="M100" s="8">
        <f t="shared" si="5"/>
        <v>10233443</v>
      </c>
      <c r="O100" s="8">
        <v>55742677</v>
      </c>
      <c r="Q100" s="8">
        <v>0</v>
      </c>
      <c r="S100" s="8">
        <v>21338489</v>
      </c>
      <c r="U100" s="8">
        <v>0</v>
      </c>
      <c r="W100" s="8">
        <v>0</v>
      </c>
      <c r="Y100" s="8">
        <v>0</v>
      </c>
      <c r="AA100" s="8">
        <v>1282885</v>
      </c>
      <c r="AB100" s="39"/>
      <c r="AC100" s="8">
        <v>0</v>
      </c>
      <c r="AE100" s="8">
        <v>0</v>
      </c>
      <c r="AG100" s="8">
        <f t="shared" si="8"/>
        <v>78364051</v>
      </c>
      <c r="AH100" s="8"/>
      <c r="AI100" s="8">
        <f t="shared" si="9"/>
        <v>88597494</v>
      </c>
    </row>
    <row r="101" spans="1:37" ht="12" customHeight="1">
      <c r="A101" s="13" t="s">
        <v>1052</v>
      </c>
      <c r="B101" s="12"/>
      <c r="C101" s="12" t="s">
        <v>22</v>
      </c>
      <c r="D101" s="12"/>
      <c r="E101" s="32">
        <v>46714</v>
      </c>
      <c r="G101" s="8">
        <v>621642</v>
      </c>
      <c r="I101" s="8">
        <v>1272604</v>
      </c>
      <c r="K101" s="8">
        <v>0</v>
      </c>
      <c r="M101" s="8">
        <f t="shared" si="5"/>
        <v>1894246</v>
      </c>
      <c r="O101" s="8">
        <v>2584089</v>
      </c>
      <c r="Q101" s="8">
        <v>770471</v>
      </c>
      <c r="S101" s="8">
        <v>6168911</v>
      </c>
      <c r="U101" s="8">
        <v>77105</v>
      </c>
      <c r="W101" s="8">
        <v>0</v>
      </c>
      <c r="Y101" s="8">
        <v>60808</v>
      </c>
      <c r="AA101" s="8">
        <f>13720+1661</f>
        <v>15381</v>
      </c>
      <c r="AB101" s="39"/>
      <c r="AC101" s="8">
        <v>0</v>
      </c>
      <c r="AE101" s="8">
        <v>0</v>
      </c>
      <c r="AG101" s="8">
        <f t="shared" si="8"/>
        <v>9676765</v>
      </c>
      <c r="AH101" s="8"/>
      <c r="AI101" s="8">
        <f t="shared" si="9"/>
        <v>11571011</v>
      </c>
    </row>
    <row r="102" spans="1:37" ht="12" customHeight="1">
      <c r="A102" s="12" t="s">
        <v>302</v>
      </c>
      <c r="B102" s="12"/>
      <c r="C102" s="12" t="s">
        <v>20</v>
      </c>
      <c r="D102" s="12"/>
      <c r="E102" s="32">
        <v>45286</v>
      </c>
      <c r="G102" s="8">
        <v>547943</v>
      </c>
      <c r="I102" s="8">
        <v>636929</v>
      </c>
      <c r="K102" s="8">
        <v>2604</v>
      </c>
      <c r="M102" s="8">
        <f t="shared" si="5"/>
        <v>1187476</v>
      </c>
      <c r="O102" s="8">
        <v>20930444</v>
      </c>
      <c r="Q102" s="8">
        <v>0</v>
      </c>
      <c r="S102" s="8">
        <v>5356437</v>
      </c>
      <c r="U102" s="8">
        <v>0</v>
      </c>
      <c r="W102" s="8">
        <v>0</v>
      </c>
      <c r="Y102" s="8">
        <v>0</v>
      </c>
      <c r="AA102" s="8">
        <v>240463</v>
      </c>
      <c r="AB102" s="39"/>
      <c r="AC102" s="8">
        <v>0</v>
      </c>
      <c r="AE102" s="8">
        <v>0</v>
      </c>
      <c r="AG102" s="8">
        <f t="shared" si="8"/>
        <v>26527344</v>
      </c>
      <c r="AH102" s="8"/>
      <c r="AI102" s="8">
        <f t="shared" si="9"/>
        <v>27714820</v>
      </c>
    </row>
    <row r="103" spans="1:37" ht="12" customHeight="1">
      <c r="A103" s="12" t="s">
        <v>678</v>
      </c>
      <c r="B103" s="12"/>
      <c r="C103" s="12" t="s">
        <v>64</v>
      </c>
      <c r="D103" s="12"/>
      <c r="E103" s="32">
        <v>50138</v>
      </c>
      <c r="G103" s="8">
        <v>1301082</v>
      </c>
      <c r="I103" s="8">
        <v>1073275</v>
      </c>
      <c r="K103" s="8">
        <v>19892</v>
      </c>
      <c r="M103" s="8">
        <f t="shared" si="5"/>
        <v>2394249</v>
      </c>
      <c r="O103" s="8">
        <v>4858064</v>
      </c>
      <c r="Q103" s="8">
        <v>0</v>
      </c>
      <c r="S103" s="8">
        <v>7689795</v>
      </c>
      <c r="U103" s="8">
        <v>8897</v>
      </c>
      <c r="W103" s="8">
        <v>0</v>
      </c>
      <c r="Y103" s="8">
        <v>0</v>
      </c>
      <c r="AA103" s="8">
        <v>65342</v>
      </c>
      <c r="AB103" s="39"/>
      <c r="AC103" s="8">
        <v>0</v>
      </c>
      <c r="AE103" s="8">
        <v>0</v>
      </c>
      <c r="AG103" s="8">
        <f t="shared" si="8"/>
        <v>12622098</v>
      </c>
      <c r="AH103" s="8"/>
      <c r="AI103" s="8">
        <f t="shared" si="9"/>
        <v>15016347</v>
      </c>
    </row>
    <row r="104" spans="1:37" s="35" customFormat="1" ht="12" customHeight="1">
      <c r="A104" s="34" t="s">
        <v>379</v>
      </c>
      <c r="B104" s="34"/>
      <c r="C104" s="34" t="s">
        <v>30</v>
      </c>
      <c r="D104" s="34"/>
      <c r="E104" s="34">
        <v>47183</v>
      </c>
      <c r="G104" s="8">
        <v>1275002</v>
      </c>
      <c r="H104" s="8"/>
      <c r="I104" s="8">
        <v>2609818</v>
      </c>
      <c r="J104" s="8"/>
      <c r="K104" s="8">
        <v>148112</v>
      </c>
      <c r="L104" s="8"/>
      <c r="M104" s="8">
        <f t="shared" si="5"/>
        <v>4032932</v>
      </c>
      <c r="N104" s="8"/>
      <c r="O104" s="8">
        <v>22187411</v>
      </c>
      <c r="P104" s="8"/>
      <c r="Q104" s="8">
        <v>0</v>
      </c>
      <c r="R104" s="8"/>
      <c r="S104" s="8">
        <v>10002340</v>
      </c>
      <c r="T104" s="8"/>
      <c r="U104" s="8">
        <v>114606</v>
      </c>
      <c r="V104" s="8"/>
      <c r="W104" s="8">
        <v>17072</v>
      </c>
      <c r="X104" s="8"/>
      <c r="Y104" s="8">
        <v>0</v>
      </c>
      <c r="Z104" s="8"/>
      <c r="AA104" s="8">
        <f>3710+312094</f>
        <v>315804</v>
      </c>
      <c r="AB104" s="39"/>
      <c r="AC104" s="8">
        <v>0</v>
      </c>
      <c r="AD104" s="8"/>
      <c r="AE104" s="8">
        <v>0</v>
      </c>
      <c r="AF104" s="8"/>
      <c r="AG104" s="8">
        <f t="shared" si="8"/>
        <v>32637233</v>
      </c>
      <c r="AH104" s="8"/>
      <c r="AI104" s="8">
        <f t="shared" si="9"/>
        <v>36670165</v>
      </c>
    </row>
    <row r="105" spans="1:37" ht="12" customHeight="1">
      <c r="A105" s="12" t="s">
        <v>465</v>
      </c>
      <c r="B105" s="12"/>
      <c r="C105" s="12" t="s">
        <v>466</v>
      </c>
      <c r="D105" s="12"/>
      <c r="E105" s="32">
        <v>45294</v>
      </c>
      <c r="G105" s="8">
        <v>1230751</v>
      </c>
      <c r="I105" s="8">
        <v>3329966</v>
      </c>
      <c r="K105" s="8">
        <v>0</v>
      </c>
      <c r="M105" s="8">
        <f t="shared" si="5"/>
        <v>4560717</v>
      </c>
      <c r="O105" s="8">
        <v>2301149</v>
      </c>
      <c r="Q105" s="8">
        <v>0</v>
      </c>
      <c r="S105" s="8">
        <v>7377491</v>
      </c>
      <c r="U105" s="8">
        <v>19083</v>
      </c>
      <c r="W105" s="8">
        <v>0</v>
      </c>
      <c r="Y105" s="8">
        <v>5000</v>
      </c>
      <c r="AA105" s="8">
        <v>12537</v>
      </c>
      <c r="AB105" s="39"/>
      <c r="AC105" s="8">
        <v>0</v>
      </c>
      <c r="AE105" s="8">
        <v>0</v>
      </c>
      <c r="AG105" s="8">
        <f t="shared" si="8"/>
        <v>9715260</v>
      </c>
      <c r="AH105" s="8"/>
      <c r="AI105" s="8">
        <f t="shared" si="9"/>
        <v>14275977</v>
      </c>
    </row>
    <row r="106" spans="1:37" ht="12" customHeight="1">
      <c r="A106" s="12" t="s">
        <v>617</v>
      </c>
      <c r="B106" s="12"/>
      <c r="C106" s="12" t="s">
        <v>58</v>
      </c>
      <c r="D106" s="12"/>
      <c r="E106" s="32">
        <v>43745</v>
      </c>
      <c r="G106" s="8">
        <v>2065993</v>
      </c>
      <c r="I106" s="8">
        <v>6721914</v>
      </c>
      <c r="K106" s="8">
        <v>0</v>
      </c>
      <c r="M106" s="8">
        <f t="shared" si="5"/>
        <v>8787907</v>
      </c>
      <c r="O106" s="8">
        <v>12809208</v>
      </c>
      <c r="Q106" s="8">
        <v>0</v>
      </c>
      <c r="S106" s="8">
        <v>12374214</v>
      </c>
      <c r="U106" s="8">
        <v>216183</v>
      </c>
      <c r="W106" s="8">
        <v>54518</v>
      </c>
      <c r="Y106" s="8">
        <v>4250</v>
      </c>
      <c r="AA106" s="8">
        <v>121442</v>
      </c>
      <c r="AB106" s="39"/>
      <c r="AC106" s="8">
        <v>0</v>
      </c>
      <c r="AE106" s="8">
        <v>0</v>
      </c>
      <c r="AG106" s="8">
        <f t="shared" si="8"/>
        <v>25579815</v>
      </c>
      <c r="AH106" s="8"/>
      <c r="AI106" s="8">
        <f t="shared" si="9"/>
        <v>34367722</v>
      </c>
    </row>
    <row r="107" spans="1:37" ht="12" customHeight="1">
      <c r="A107" s="13" t="s">
        <v>721</v>
      </c>
      <c r="B107" s="12"/>
      <c r="C107" s="12" t="s">
        <v>71</v>
      </c>
      <c r="D107" s="12"/>
      <c r="E107" s="32">
        <v>50534</v>
      </c>
      <c r="G107" s="8">
        <v>649490</v>
      </c>
      <c r="I107" s="8">
        <v>874576</v>
      </c>
      <c r="K107" s="8">
        <v>39177</v>
      </c>
      <c r="M107" s="8">
        <f t="shared" si="5"/>
        <v>1563243</v>
      </c>
      <c r="O107" s="8">
        <v>4588312</v>
      </c>
      <c r="Q107" s="8">
        <v>1395670</v>
      </c>
      <c r="S107" s="8">
        <v>5536216</v>
      </c>
      <c r="U107" s="8">
        <v>90517</v>
      </c>
      <c r="W107" s="8">
        <v>0</v>
      </c>
      <c r="Y107" s="8">
        <v>0</v>
      </c>
      <c r="AA107" s="8">
        <v>135165</v>
      </c>
      <c r="AB107" s="39"/>
      <c r="AC107" s="8">
        <v>0</v>
      </c>
      <c r="AE107" s="8">
        <v>0</v>
      </c>
      <c r="AG107" s="8">
        <f t="shared" si="8"/>
        <v>11745880</v>
      </c>
      <c r="AH107" s="8"/>
      <c r="AI107" s="8">
        <f t="shared" si="9"/>
        <v>13309123</v>
      </c>
      <c r="AK107" s="8"/>
    </row>
    <row r="108" spans="1:37" ht="12" customHeight="1">
      <c r="A108" s="13" t="s">
        <v>910</v>
      </c>
      <c r="B108" s="12"/>
      <c r="C108" s="12" t="s">
        <v>32</v>
      </c>
      <c r="D108" s="12"/>
      <c r="E108" s="32">
        <v>43752</v>
      </c>
      <c r="G108" s="8">
        <v>17931672</v>
      </c>
      <c r="I108" s="8">
        <v>126199712</v>
      </c>
      <c r="K108" s="8">
        <v>0</v>
      </c>
      <c r="M108" s="8">
        <f t="shared" si="5"/>
        <v>144131384</v>
      </c>
      <c r="O108" s="8">
        <v>289383877</v>
      </c>
      <c r="Q108" s="8">
        <v>0</v>
      </c>
      <c r="S108" s="8">
        <v>165610526</v>
      </c>
      <c r="U108" s="8">
        <v>0</v>
      </c>
      <c r="W108" s="8">
        <v>10919337</v>
      </c>
      <c r="Y108" s="8">
        <v>11482598</v>
      </c>
      <c r="AA108" s="8">
        <v>0</v>
      </c>
      <c r="AB108" s="39"/>
      <c r="AC108" s="8">
        <v>0</v>
      </c>
      <c r="AE108" s="8">
        <v>0</v>
      </c>
      <c r="AG108" s="8">
        <f t="shared" si="8"/>
        <v>477396338</v>
      </c>
      <c r="AH108" s="8"/>
      <c r="AI108" s="8">
        <f t="shared" si="9"/>
        <v>621527722</v>
      </c>
    </row>
    <row r="109" spans="1:37" ht="12" customHeight="1">
      <c r="A109" s="12" t="s">
        <v>581</v>
      </c>
      <c r="B109" s="12"/>
      <c r="C109" s="12" t="s">
        <v>54</v>
      </c>
      <c r="D109" s="12"/>
      <c r="E109" s="32">
        <v>43760</v>
      </c>
      <c r="G109" s="8">
        <v>567471</v>
      </c>
      <c r="I109" s="8">
        <v>5193793</v>
      </c>
      <c r="K109" s="8">
        <v>13148</v>
      </c>
      <c r="M109" s="8">
        <f t="shared" si="5"/>
        <v>5774412</v>
      </c>
      <c r="O109" s="8">
        <v>8583594</v>
      </c>
      <c r="Q109" s="8">
        <v>1484082</v>
      </c>
      <c r="S109" s="8">
        <v>9830361</v>
      </c>
      <c r="U109" s="8">
        <v>371662</v>
      </c>
      <c r="W109" s="8">
        <v>173020</v>
      </c>
      <c r="Y109" s="8">
        <v>0</v>
      </c>
      <c r="AA109" s="8">
        <v>134937</v>
      </c>
      <c r="AB109" s="39"/>
      <c r="AC109" s="8">
        <v>0</v>
      </c>
      <c r="AE109" s="8">
        <v>0</v>
      </c>
      <c r="AG109" s="8">
        <f t="shared" si="8"/>
        <v>20577656</v>
      </c>
      <c r="AH109" s="8"/>
      <c r="AI109" s="8">
        <f t="shared" si="9"/>
        <v>26352068</v>
      </c>
    </row>
    <row r="110" spans="1:37" ht="12" customHeight="1">
      <c r="A110" s="12" t="s">
        <v>260</v>
      </c>
      <c r="B110" s="12"/>
      <c r="C110" s="12" t="s">
        <v>17</v>
      </c>
      <c r="D110" s="12"/>
      <c r="E110" s="32">
        <v>46284</v>
      </c>
      <c r="F110" s="7"/>
      <c r="G110" s="8">
        <v>3465002</v>
      </c>
      <c r="I110" s="8">
        <v>1422254</v>
      </c>
      <c r="K110" s="8">
        <v>21811</v>
      </c>
      <c r="M110" s="8">
        <f t="shared" si="5"/>
        <v>4909067</v>
      </c>
      <c r="O110" s="8">
        <v>9190773</v>
      </c>
      <c r="Q110" s="8">
        <v>0</v>
      </c>
      <c r="S110" s="8">
        <v>7380072</v>
      </c>
      <c r="U110" s="8">
        <v>0</v>
      </c>
      <c r="W110" s="8">
        <v>0</v>
      </c>
      <c r="Y110" s="8">
        <v>0</v>
      </c>
      <c r="AA110" s="8">
        <v>142208</v>
      </c>
      <c r="AB110" s="39"/>
      <c r="AC110" s="8">
        <v>0</v>
      </c>
      <c r="AE110" s="8">
        <v>0</v>
      </c>
      <c r="AG110" s="8">
        <f t="shared" si="8"/>
        <v>16713053</v>
      </c>
      <c r="AH110" s="8"/>
      <c r="AI110" s="8">
        <f t="shared" si="9"/>
        <v>21622120</v>
      </c>
    </row>
    <row r="111" spans="1:37" ht="12" customHeight="1">
      <c r="A111" s="12" t="s">
        <v>627</v>
      </c>
      <c r="B111" s="12"/>
      <c r="C111" s="12" t="s">
        <v>59</v>
      </c>
      <c r="D111" s="12"/>
      <c r="E111" s="32">
        <v>49601</v>
      </c>
      <c r="G111" s="8">
        <v>1235670</v>
      </c>
      <c r="I111" s="8">
        <v>999772</v>
      </c>
      <c r="K111" s="8">
        <v>5255</v>
      </c>
      <c r="M111" s="8">
        <f t="shared" si="5"/>
        <v>2240697</v>
      </c>
      <c r="O111" s="8">
        <f>948810+201299+56366+15976</f>
        <v>1222451</v>
      </c>
      <c r="Q111" s="8">
        <v>0</v>
      </c>
      <c r="S111" s="8">
        <v>20987939</v>
      </c>
      <c r="U111" s="8">
        <v>146669</v>
      </c>
      <c r="W111" s="8">
        <v>0</v>
      </c>
      <c r="Y111" s="8">
        <v>5428</v>
      </c>
      <c r="AA111" s="8">
        <v>180679</v>
      </c>
      <c r="AB111" s="39"/>
      <c r="AC111" s="8">
        <v>0</v>
      </c>
      <c r="AE111" s="8">
        <v>0</v>
      </c>
      <c r="AG111" s="8">
        <f t="shared" si="8"/>
        <v>22543166</v>
      </c>
      <c r="AH111" s="8"/>
      <c r="AI111" s="8">
        <f t="shared" si="9"/>
        <v>24783863</v>
      </c>
    </row>
    <row r="112" spans="1:37" ht="12" customHeight="1">
      <c r="A112" s="12" t="s">
        <v>694</v>
      </c>
      <c r="B112" s="12"/>
      <c r="C112" s="12" t="s">
        <v>65</v>
      </c>
      <c r="D112" s="12"/>
      <c r="E112" s="32">
        <v>43778</v>
      </c>
      <c r="G112" s="8">
        <v>1290969</v>
      </c>
      <c r="I112" s="8">
        <v>4221838</v>
      </c>
      <c r="K112" s="8">
        <v>346646</v>
      </c>
      <c r="M112" s="8">
        <f t="shared" si="5"/>
        <v>5859453</v>
      </c>
      <c r="O112" s="8">
        <v>3552093</v>
      </c>
      <c r="Q112" s="8">
        <v>0</v>
      </c>
      <c r="S112" s="8">
        <v>11518639</v>
      </c>
      <c r="U112" s="8">
        <v>68107</v>
      </c>
      <c r="W112" s="8">
        <v>0</v>
      </c>
      <c r="Y112" s="8">
        <v>0</v>
      </c>
      <c r="AA112" s="8">
        <v>12437</v>
      </c>
      <c r="AB112" s="39"/>
      <c r="AC112" s="8">
        <v>0</v>
      </c>
      <c r="AE112" s="8">
        <v>0</v>
      </c>
      <c r="AG112" s="8">
        <f t="shared" si="8"/>
        <v>15151276</v>
      </c>
      <c r="AH112" s="8"/>
      <c r="AI112" s="8">
        <f t="shared" si="9"/>
        <v>21010729</v>
      </c>
    </row>
    <row r="113" spans="1:37" ht="12" customHeight="1">
      <c r="A113" s="12" t="s">
        <v>609</v>
      </c>
      <c r="B113" s="12"/>
      <c r="C113" s="12" t="s">
        <v>112</v>
      </c>
      <c r="D113" s="12"/>
      <c r="E113" s="32">
        <v>49411</v>
      </c>
      <c r="G113" s="8">
        <v>1307572</v>
      </c>
      <c r="I113" s="8">
        <v>1799375</v>
      </c>
      <c r="K113" s="8">
        <v>15345</v>
      </c>
      <c r="M113" s="8">
        <f t="shared" si="5"/>
        <v>3122292</v>
      </c>
      <c r="O113" s="8">
        <v>4463589</v>
      </c>
      <c r="Q113" s="8">
        <v>0</v>
      </c>
      <c r="S113" s="8">
        <v>8459423</v>
      </c>
      <c r="U113" s="8">
        <v>253478</v>
      </c>
      <c r="W113" s="8">
        <v>0</v>
      </c>
      <c r="Y113" s="8">
        <v>0</v>
      </c>
      <c r="AA113" s="8">
        <v>33104</v>
      </c>
      <c r="AB113" s="39"/>
      <c r="AC113" s="8">
        <v>0</v>
      </c>
      <c r="AE113" s="8">
        <v>0</v>
      </c>
      <c r="AG113" s="8">
        <f t="shared" si="8"/>
        <v>13209594</v>
      </c>
      <c r="AH113" s="8"/>
      <c r="AI113" s="8">
        <f t="shared" si="9"/>
        <v>16331886</v>
      </c>
      <c r="AK113" s="8"/>
    </row>
    <row r="114" spans="1:37" ht="12" customHeight="1">
      <c r="A114" s="12" t="s">
        <v>485</v>
      </c>
      <c r="B114" s="12"/>
      <c r="C114" s="12" t="s">
        <v>44</v>
      </c>
      <c r="D114" s="12"/>
      <c r="E114" s="32">
        <v>48132</v>
      </c>
      <c r="G114" s="8">
        <v>3449744</v>
      </c>
      <c r="I114" s="8">
        <v>2130124</v>
      </c>
      <c r="K114" s="8">
        <v>12721</v>
      </c>
      <c r="M114" s="8">
        <f t="shared" si="5"/>
        <v>5592589</v>
      </c>
      <c r="O114" s="8">
        <v>2827370</v>
      </c>
      <c r="Q114" s="8">
        <v>0</v>
      </c>
      <c r="S114" s="8">
        <v>7022665</v>
      </c>
      <c r="U114" s="8">
        <v>27188</v>
      </c>
      <c r="W114" s="8">
        <v>0</v>
      </c>
      <c r="Y114" s="8">
        <v>0</v>
      </c>
      <c r="AA114" s="8">
        <v>175983</v>
      </c>
      <c r="AB114" s="39"/>
      <c r="AC114" s="8">
        <v>0</v>
      </c>
      <c r="AE114" s="8">
        <v>0</v>
      </c>
      <c r="AG114" s="8">
        <f t="shared" si="8"/>
        <v>10053206</v>
      </c>
      <c r="AH114" s="8"/>
      <c r="AI114" s="8">
        <f t="shared" si="9"/>
        <v>15645795</v>
      </c>
    </row>
    <row r="115" spans="1:37" ht="12" customHeight="1">
      <c r="A115" s="12" t="s">
        <v>911</v>
      </c>
      <c r="B115" s="12"/>
      <c r="C115" s="12" t="s">
        <v>115</v>
      </c>
      <c r="D115" s="12"/>
      <c r="E115" s="32"/>
      <c r="G115" s="8">
        <v>1378781</v>
      </c>
      <c r="I115" s="8">
        <v>1148251</v>
      </c>
      <c r="K115" s="8">
        <v>24373</v>
      </c>
      <c r="M115" s="8">
        <f t="shared" si="5"/>
        <v>2551405</v>
      </c>
      <c r="O115" s="8">
        <v>5849681</v>
      </c>
      <c r="Q115" s="8">
        <v>2661787</v>
      </c>
      <c r="S115" s="8">
        <v>6874635</v>
      </c>
      <c r="U115" s="8">
        <v>149294</v>
      </c>
      <c r="W115" s="8">
        <v>0</v>
      </c>
      <c r="Y115" s="8">
        <v>0</v>
      </c>
      <c r="AA115" s="8">
        <v>91510</v>
      </c>
      <c r="AB115" s="39"/>
      <c r="AC115" s="8">
        <v>0</v>
      </c>
      <c r="AE115" s="8">
        <v>0</v>
      </c>
      <c r="AG115" s="8">
        <f t="shared" si="8"/>
        <v>15626907</v>
      </c>
      <c r="AH115" s="8"/>
      <c r="AI115" s="8">
        <f t="shared" si="9"/>
        <v>18178312</v>
      </c>
    </row>
    <row r="116" spans="1:37" ht="12" customHeight="1">
      <c r="A116" s="13" t="s">
        <v>908</v>
      </c>
      <c r="B116" s="12"/>
      <c r="C116" s="12" t="s">
        <v>20</v>
      </c>
      <c r="D116" s="12"/>
      <c r="E116" s="32">
        <v>43794</v>
      </c>
      <c r="G116" s="8">
        <f>3164442+4048658</f>
        <v>7213100</v>
      </c>
      <c r="I116" s="8">
        <f>10886162+1632068</f>
        <v>12518230</v>
      </c>
      <c r="K116" s="8">
        <v>72294</v>
      </c>
      <c r="M116" s="8">
        <f t="shared" si="5"/>
        <v>19803624</v>
      </c>
      <c r="O116" s="8">
        <v>66011147</v>
      </c>
      <c r="Q116" s="8">
        <v>0</v>
      </c>
      <c r="S116" s="8">
        <v>27656292</v>
      </c>
      <c r="U116" s="8">
        <v>1200992</v>
      </c>
      <c r="W116" s="8">
        <v>17774</v>
      </c>
      <c r="Y116" s="8">
        <v>0</v>
      </c>
      <c r="AA116" s="8">
        <v>1146055</v>
      </c>
      <c r="AB116" s="39"/>
      <c r="AC116" s="8">
        <v>0</v>
      </c>
      <c r="AE116" s="8">
        <v>0</v>
      </c>
      <c r="AG116" s="8">
        <f t="shared" si="8"/>
        <v>96032260</v>
      </c>
      <c r="AH116" s="8"/>
      <c r="AI116" s="8">
        <f t="shared" si="9"/>
        <v>115835884</v>
      </c>
    </row>
    <row r="117" spans="1:37" ht="12" customHeight="1">
      <c r="A117" s="12" t="s">
        <v>303</v>
      </c>
      <c r="B117" s="12"/>
      <c r="C117" s="12" t="s">
        <v>20</v>
      </c>
      <c r="D117" s="12"/>
      <c r="E117" s="32">
        <v>43786</v>
      </c>
      <c r="G117" s="8">
        <v>2132457</v>
      </c>
      <c r="I117" s="8">
        <v>219804476</v>
      </c>
      <c r="K117" s="8">
        <v>150881349</v>
      </c>
      <c r="M117" s="8">
        <f t="shared" si="5"/>
        <v>372818282</v>
      </c>
      <c r="O117" s="8">
        <f>155294660+10941106+22122341</f>
        <v>188358107</v>
      </c>
      <c r="Q117" s="8">
        <v>0</v>
      </c>
      <c r="S117" s="8">
        <v>419460527</v>
      </c>
      <c r="U117" s="8">
        <v>9507759</v>
      </c>
      <c r="W117" s="8">
        <v>0</v>
      </c>
      <c r="Y117" s="8">
        <v>0</v>
      </c>
      <c r="AA117" s="8">
        <v>10669482</v>
      </c>
      <c r="AB117" s="39"/>
      <c r="AC117" s="8">
        <v>0</v>
      </c>
      <c r="AE117" s="8">
        <v>0</v>
      </c>
      <c r="AG117" s="8">
        <f t="shared" si="8"/>
        <v>627995875</v>
      </c>
      <c r="AH117" s="8"/>
      <c r="AI117" s="8">
        <f t="shared" si="9"/>
        <v>1000814157</v>
      </c>
      <c r="AK117" s="10" t="s">
        <v>909</v>
      </c>
    </row>
    <row r="118" spans="1:37" ht="12" customHeight="1">
      <c r="A118" s="12" t="s">
        <v>275</v>
      </c>
      <c r="B118" s="12"/>
      <c r="C118" s="12" t="s">
        <v>18</v>
      </c>
      <c r="D118" s="12"/>
      <c r="E118" s="32">
        <v>46391</v>
      </c>
      <c r="F118" s="7"/>
      <c r="G118" s="8">
        <v>1002741</v>
      </c>
      <c r="I118" s="8">
        <v>1338311</v>
      </c>
      <c r="K118" s="8">
        <v>28066</v>
      </c>
      <c r="M118" s="8">
        <f t="shared" si="5"/>
        <v>2369118</v>
      </c>
      <c r="O118" s="8">
        <v>5481142</v>
      </c>
      <c r="Q118" s="8">
        <v>0</v>
      </c>
      <c r="S118" s="8">
        <v>9378491</v>
      </c>
      <c r="U118" s="8">
        <v>383173</v>
      </c>
      <c r="W118" s="8">
        <v>0</v>
      </c>
      <c r="Y118" s="8">
        <v>0</v>
      </c>
      <c r="AA118" s="8">
        <v>46012</v>
      </c>
      <c r="AB118" s="39"/>
      <c r="AC118" s="8">
        <v>0</v>
      </c>
      <c r="AE118" s="8">
        <v>0</v>
      </c>
      <c r="AG118" s="8">
        <f t="shared" si="8"/>
        <v>15288818</v>
      </c>
      <c r="AH118" s="8"/>
      <c r="AI118" s="8">
        <f t="shared" si="9"/>
        <v>17657936</v>
      </c>
      <c r="AK118" s="8"/>
    </row>
    <row r="119" spans="1:37" ht="12" customHeight="1">
      <c r="A119" s="12" t="s">
        <v>527</v>
      </c>
      <c r="B119" s="12"/>
      <c r="C119" s="12" t="s">
        <v>47</v>
      </c>
      <c r="D119" s="12"/>
      <c r="E119" s="32">
        <v>48488</v>
      </c>
      <c r="G119" s="8">
        <v>1840898</v>
      </c>
      <c r="I119" s="8">
        <v>1418196</v>
      </c>
      <c r="K119" s="8">
        <v>997738</v>
      </c>
      <c r="M119" s="8">
        <f t="shared" si="5"/>
        <v>4256832</v>
      </c>
      <c r="O119" s="8">
        <v>13373269</v>
      </c>
      <c r="Q119" s="8">
        <v>1876265</v>
      </c>
      <c r="S119" s="8">
        <v>12899423</v>
      </c>
      <c r="U119" s="8">
        <v>43354</v>
      </c>
      <c r="W119" s="8">
        <v>0</v>
      </c>
      <c r="Y119" s="8">
        <v>0</v>
      </c>
      <c r="AA119" s="8">
        <v>159771</v>
      </c>
      <c r="AB119" s="39"/>
      <c r="AC119" s="8">
        <v>0</v>
      </c>
      <c r="AE119" s="8">
        <v>0</v>
      </c>
      <c r="AG119" s="8">
        <f t="shared" si="8"/>
        <v>28352082</v>
      </c>
      <c r="AH119" s="8"/>
      <c r="AI119" s="8">
        <f t="shared" si="9"/>
        <v>32608914</v>
      </c>
    </row>
    <row r="120" spans="1:37" ht="12" customHeight="1">
      <c r="A120" s="12" t="s">
        <v>622</v>
      </c>
      <c r="B120" s="12"/>
      <c r="C120" s="12" t="s">
        <v>79</v>
      </c>
      <c r="D120" s="12"/>
      <c r="E120" s="32">
        <v>45302</v>
      </c>
      <c r="G120" s="8">
        <v>1505541</v>
      </c>
      <c r="I120" s="8">
        <v>2458412</v>
      </c>
      <c r="K120" s="8">
        <v>555420</v>
      </c>
      <c r="M120" s="8">
        <f t="shared" si="5"/>
        <v>4519373</v>
      </c>
      <c r="O120" s="8">
        <v>6546233</v>
      </c>
      <c r="Q120" s="8">
        <v>485116</v>
      </c>
      <c r="S120" s="8">
        <v>47899345</v>
      </c>
      <c r="U120" s="8">
        <v>131945</v>
      </c>
      <c r="W120" s="8">
        <v>215904</v>
      </c>
      <c r="Y120" s="8">
        <v>0</v>
      </c>
      <c r="AA120" s="8">
        <v>194182</v>
      </c>
      <c r="AB120" s="39"/>
      <c r="AC120" s="8">
        <v>0</v>
      </c>
      <c r="AE120" s="8">
        <v>0</v>
      </c>
      <c r="AG120" s="8">
        <f t="shared" si="8"/>
        <v>55472725</v>
      </c>
      <c r="AH120" s="8"/>
      <c r="AI120" s="8">
        <f t="shared" si="9"/>
        <v>59992098</v>
      </c>
    </row>
    <row r="121" spans="1:37" ht="12" hidden="1" customHeight="1">
      <c r="A121" s="13" t="s">
        <v>914</v>
      </c>
      <c r="B121" s="12"/>
      <c r="C121" s="12" t="s">
        <v>534</v>
      </c>
      <c r="D121" s="12"/>
      <c r="E121" s="32"/>
      <c r="G121" s="8">
        <v>1043913</v>
      </c>
      <c r="I121" s="8">
        <v>1546220</v>
      </c>
      <c r="K121" s="8">
        <v>24301</v>
      </c>
      <c r="M121" s="8">
        <f t="shared" si="5"/>
        <v>2614434</v>
      </c>
      <c r="O121" s="8">
        <v>4608245</v>
      </c>
      <c r="S121" s="8">
        <v>7484268</v>
      </c>
      <c r="U121" s="8">
        <v>85975</v>
      </c>
      <c r="W121" s="8">
        <v>7563</v>
      </c>
      <c r="AA121" s="8">
        <f>2279+4378</f>
        <v>6657</v>
      </c>
      <c r="AB121" s="39"/>
      <c r="AC121" s="8">
        <v>0</v>
      </c>
      <c r="AG121" s="8">
        <f t="shared" si="8"/>
        <v>12192708</v>
      </c>
      <c r="AH121" s="8"/>
      <c r="AI121" s="8">
        <f t="shared" si="9"/>
        <v>14807142</v>
      </c>
    </row>
    <row r="122" spans="1:37" ht="12" hidden="1" customHeight="1">
      <c r="A122" s="12" t="s">
        <v>829</v>
      </c>
      <c r="B122" s="12"/>
      <c r="C122" s="12" t="s">
        <v>57</v>
      </c>
      <c r="D122" s="12"/>
      <c r="E122" s="32">
        <v>64964</v>
      </c>
      <c r="G122" s="8">
        <v>179920</v>
      </c>
      <c r="I122" s="8">
        <v>162047</v>
      </c>
      <c r="M122" s="8">
        <f t="shared" si="5"/>
        <v>341967</v>
      </c>
      <c r="O122" s="8">
        <f>166568+34353</f>
        <v>200921</v>
      </c>
      <c r="S122" s="8">
        <v>644621</v>
      </c>
      <c r="U122" s="8">
        <v>26404</v>
      </c>
      <c r="AA122" s="8">
        <v>105503</v>
      </c>
      <c r="AB122" s="39"/>
      <c r="AC122" s="8">
        <v>0</v>
      </c>
      <c r="AG122" s="8">
        <f t="shared" si="8"/>
        <v>977449</v>
      </c>
      <c r="AH122" s="8"/>
      <c r="AI122" s="8">
        <f t="shared" si="9"/>
        <v>1319416</v>
      </c>
    </row>
    <row r="123" spans="1:37" ht="12" customHeight="1">
      <c r="A123" s="12" t="s">
        <v>292</v>
      </c>
      <c r="B123" s="12"/>
      <c r="C123" s="12" t="s">
        <v>113</v>
      </c>
      <c r="D123" s="12"/>
      <c r="E123" s="32">
        <v>46516</v>
      </c>
      <c r="G123" s="8">
        <v>1304484</v>
      </c>
      <c r="I123" s="8">
        <v>604776</v>
      </c>
      <c r="K123" s="8">
        <v>15062</v>
      </c>
      <c r="M123" s="8">
        <f t="shared" si="5"/>
        <v>1924322</v>
      </c>
      <c r="O123" s="8">
        <v>3064551</v>
      </c>
      <c r="Q123" s="8">
        <v>1331020</v>
      </c>
      <c r="S123" s="8">
        <v>3927500</v>
      </c>
      <c r="U123" s="8">
        <v>45267</v>
      </c>
      <c r="W123" s="8">
        <v>0</v>
      </c>
      <c r="Y123" s="8">
        <v>0</v>
      </c>
      <c r="AA123" s="8">
        <v>24757</v>
      </c>
      <c r="AB123" s="39"/>
      <c r="AC123" s="8">
        <v>0</v>
      </c>
      <c r="AE123" s="8">
        <v>0</v>
      </c>
      <c r="AG123" s="8">
        <f t="shared" si="8"/>
        <v>8393095</v>
      </c>
      <c r="AH123" s="8"/>
      <c r="AI123" s="8">
        <f t="shared" si="9"/>
        <v>10317417</v>
      </c>
    </row>
    <row r="124" spans="1:37" ht="12" customHeight="1">
      <c r="A124" s="12" t="s">
        <v>486</v>
      </c>
      <c r="B124" s="12"/>
      <c r="C124" s="12" t="s">
        <v>44</v>
      </c>
      <c r="D124" s="12"/>
      <c r="E124" s="32">
        <v>48140</v>
      </c>
      <c r="G124" s="8">
        <v>1036148</v>
      </c>
      <c r="I124" s="8">
        <v>652370</v>
      </c>
      <c r="K124" s="8">
        <v>14511</v>
      </c>
      <c r="M124" s="8">
        <f t="shared" si="5"/>
        <v>1703029</v>
      </c>
      <c r="O124" s="8">
        <v>5808472</v>
      </c>
      <c r="Q124" s="8">
        <v>0</v>
      </c>
      <c r="S124" s="8">
        <v>3362745</v>
      </c>
      <c r="U124" s="8">
        <v>34330</v>
      </c>
      <c r="W124" s="8">
        <v>0</v>
      </c>
      <c r="Y124" s="8">
        <v>0</v>
      </c>
      <c r="AA124" s="8">
        <v>43553</v>
      </c>
      <c r="AB124" s="39"/>
      <c r="AC124" s="8">
        <v>0</v>
      </c>
      <c r="AE124" s="8">
        <v>0</v>
      </c>
      <c r="AG124" s="8">
        <f t="shared" si="8"/>
        <v>9249100</v>
      </c>
      <c r="AH124" s="8"/>
      <c r="AI124" s="8">
        <f t="shared" si="9"/>
        <v>10952129</v>
      </c>
    </row>
    <row r="125" spans="1:37" ht="12" customHeight="1">
      <c r="A125" s="12" t="s">
        <v>279</v>
      </c>
      <c r="B125" s="12"/>
      <c r="C125" s="12" t="s">
        <v>114</v>
      </c>
      <c r="D125" s="12"/>
      <c r="E125" s="32">
        <v>45328</v>
      </c>
      <c r="F125" s="7"/>
      <c r="G125" s="8">
        <v>1425430</v>
      </c>
      <c r="I125" s="8">
        <v>1289537</v>
      </c>
      <c r="K125" s="8">
        <v>154226</v>
      </c>
      <c r="M125" s="8">
        <f t="shared" si="5"/>
        <v>2869193</v>
      </c>
      <c r="O125" s="8">
        <v>3974983</v>
      </c>
      <c r="Q125" s="8">
        <v>1467354</v>
      </c>
      <c r="S125" s="8">
        <v>2674860</v>
      </c>
      <c r="U125" s="8">
        <v>191237</v>
      </c>
      <c r="W125" s="8">
        <v>0</v>
      </c>
      <c r="Y125" s="8">
        <v>0</v>
      </c>
      <c r="AA125" s="8">
        <v>14786</v>
      </c>
      <c r="AB125" s="39"/>
      <c r="AC125" s="8">
        <v>0</v>
      </c>
      <c r="AE125" s="8">
        <v>0</v>
      </c>
      <c r="AG125" s="8">
        <f t="shared" si="8"/>
        <v>8323220</v>
      </c>
      <c r="AH125" s="8"/>
      <c r="AI125" s="8">
        <f t="shared" si="9"/>
        <v>11192413</v>
      </c>
    </row>
    <row r="126" spans="1:37" ht="12" customHeight="1">
      <c r="A126" s="12" t="s">
        <v>354</v>
      </c>
      <c r="B126" s="12"/>
      <c r="C126" s="12" t="s">
        <v>27</v>
      </c>
      <c r="D126" s="12"/>
      <c r="E126" s="32">
        <v>43802</v>
      </c>
      <c r="G126" s="8">
        <v>14455626</v>
      </c>
      <c r="I126" s="8">
        <v>136370265</v>
      </c>
      <c r="K126" s="8">
        <v>600825</v>
      </c>
      <c r="M126" s="8">
        <f t="shared" si="5"/>
        <v>151426716</v>
      </c>
      <c r="O126" s="8">
        <v>477762513</v>
      </c>
      <c r="Q126" s="8">
        <v>0</v>
      </c>
      <c r="S126" s="8">
        <v>295703405</v>
      </c>
      <c r="U126" s="8">
        <v>6737757</v>
      </c>
      <c r="W126" s="8">
        <v>4798815</v>
      </c>
      <c r="Y126" s="8">
        <v>88979</v>
      </c>
      <c r="AA126" s="8">
        <v>7305914</v>
      </c>
      <c r="AB126" s="39"/>
      <c r="AC126" s="8">
        <v>0</v>
      </c>
      <c r="AE126" s="8">
        <v>0</v>
      </c>
      <c r="AG126" s="8">
        <f t="shared" si="8"/>
        <v>792397383</v>
      </c>
      <c r="AH126" s="8"/>
      <c r="AI126" s="8">
        <f t="shared" si="9"/>
        <v>943824099</v>
      </c>
    </row>
    <row r="127" spans="1:37" ht="12" hidden="1" customHeight="1">
      <c r="A127" s="12" t="s">
        <v>830</v>
      </c>
      <c r="B127" s="12"/>
      <c r="C127" s="12" t="s">
        <v>603</v>
      </c>
      <c r="D127" s="12"/>
      <c r="E127" s="32">
        <v>49312</v>
      </c>
      <c r="G127" s="8">
        <v>699317</v>
      </c>
      <c r="I127" s="8">
        <v>285904</v>
      </c>
      <c r="K127" s="8">
        <v>10307</v>
      </c>
      <c r="M127" s="8">
        <f t="shared" si="5"/>
        <v>995528</v>
      </c>
      <c r="O127" s="8">
        <f>1712131+94228+60932</f>
        <v>1867291</v>
      </c>
      <c r="Q127" s="8">
        <v>734638</v>
      </c>
      <c r="S127" s="8">
        <v>4355824</v>
      </c>
      <c r="U127" s="8">
        <v>64412</v>
      </c>
      <c r="AA127" s="8">
        <v>91372</v>
      </c>
      <c r="AB127" s="39"/>
      <c r="AC127" s="8">
        <v>0</v>
      </c>
      <c r="AG127" s="8">
        <f t="shared" si="8"/>
        <v>7113537</v>
      </c>
      <c r="AH127" s="8"/>
      <c r="AI127" s="8">
        <f t="shared" si="9"/>
        <v>8109065</v>
      </c>
    </row>
    <row r="128" spans="1:37" ht="12" customHeight="1">
      <c r="A128" s="12" t="s">
        <v>218</v>
      </c>
      <c r="B128" s="12"/>
      <c r="C128" s="12" t="s">
        <v>12</v>
      </c>
      <c r="D128" s="12"/>
      <c r="E128" s="32">
        <v>43810</v>
      </c>
      <c r="F128" s="7"/>
      <c r="G128" s="8">
        <v>614777</v>
      </c>
      <c r="I128" s="8">
        <v>3590587</v>
      </c>
      <c r="K128" s="8">
        <v>331079</v>
      </c>
      <c r="M128" s="8">
        <f t="shared" si="5"/>
        <v>4536443</v>
      </c>
      <c r="O128" s="8">
        <v>4627523</v>
      </c>
      <c r="Q128" s="8">
        <v>0</v>
      </c>
      <c r="S128" s="8">
        <v>12254102</v>
      </c>
      <c r="U128" s="8">
        <v>103476</v>
      </c>
      <c r="W128" s="8">
        <v>0</v>
      </c>
      <c r="Y128" s="8">
        <v>0</v>
      </c>
      <c r="AA128" s="8">
        <v>272412</v>
      </c>
      <c r="AB128" s="39"/>
      <c r="AC128" s="8">
        <v>0</v>
      </c>
      <c r="AE128" s="8">
        <v>0</v>
      </c>
      <c r="AG128" s="8">
        <f t="shared" si="8"/>
        <v>17257513</v>
      </c>
      <c r="AH128" s="8"/>
      <c r="AI128" s="8">
        <f t="shared" si="9"/>
        <v>21793956</v>
      </c>
    </row>
    <row r="129" spans="1:37" ht="12" customHeight="1">
      <c r="A129" s="12" t="s">
        <v>427</v>
      </c>
      <c r="B129" s="12"/>
      <c r="C129" s="12" t="s">
        <v>428</v>
      </c>
      <c r="D129" s="12"/>
      <c r="E129" s="32">
        <v>47548</v>
      </c>
      <c r="G129" s="8">
        <v>413498</v>
      </c>
      <c r="I129" s="8">
        <v>660681</v>
      </c>
      <c r="K129" s="8">
        <v>7500</v>
      </c>
      <c r="M129" s="8">
        <f t="shared" si="5"/>
        <v>1081679</v>
      </c>
      <c r="O129" s="8">
        <v>1760456</v>
      </c>
      <c r="Q129" s="8">
        <v>0</v>
      </c>
      <c r="S129" s="8">
        <v>2554333</v>
      </c>
      <c r="U129" s="8">
        <v>24938</v>
      </c>
      <c r="W129" s="8">
        <v>0</v>
      </c>
      <c r="Y129" s="8">
        <v>0</v>
      </c>
      <c r="AA129" s="8">
        <v>12960</v>
      </c>
      <c r="AB129" s="39"/>
      <c r="AC129" s="8">
        <v>0</v>
      </c>
      <c r="AE129" s="8">
        <v>0</v>
      </c>
      <c r="AG129" s="8">
        <f t="shared" si="8"/>
        <v>4352687</v>
      </c>
      <c r="AH129" s="8"/>
      <c r="AI129" s="8">
        <f t="shared" si="9"/>
        <v>5434366</v>
      </c>
    </row>
    <row r="130" spans="1:37" ht="12" hidden="1" customHeight="1">
      <c r="A130" s="88" t="s">
        <v>969</v>
      </c>
      <c r="B130" s="12"/>
      <c r="C130" s="12" t="s">
        <v>603</v>
      </c>
      <c r="D130" s="12"/>
      <c r="E130" s="32">
        <v>49320</v>
      </c>
      <c r="M130" s="8">
        <f t="shared" si="5"/>
        <v>0</v>
      </c>
      <c r="AB130" s="39"/>
      <c r="AC130" s="8">
        <v>0</v>
      </c>
      <c r="AG130" s="8">
        <f t="shared" si="8"/>
        <v>0</v>
      </c>
      <c r="AH130" s="8"/>
      <c r="AI130" s="8">
        <f t="shared" si="9"/>
        <v>0</v>
      </c>
    </row>
    <row r="131" spans="1:37" ht="12" customHeight="1">
      <c r="A131" s="12" t="s">
        <v>664</v>
      </c>
      <c r="B131" s="12"/>
      <c r="C131" s="12" t="s">
        <v>63</v>
      </c>
      <c r="D131" s="12"/>
      <c r="E131" s="32">
        <v>49981</v>
      </c>
      <c r="G131" s="8">
        <v>1547568</v>
      </c>
      <c r="I131" s="8">
        <v>1905176</v>
      </c>
      <c r="K131" s="8">
        <v>84909</v>
      </c>
      <c r="M131" s="8">
        <f t="shared" si="5"/>
        <v>3537653</v>
      </c>
      <c r="O131" s="8">
        <v>26427104</v>
      </c>
      <c r="Q131" s="8">
        <v>0</v>
      </c>
      <c r="S131" s="8">
        <v>6718928</v>
      </c>
      <c r="U131" s="8">
        <v>182203</v>
      </c>
      <c r="W131" s="8">
        <v>0</v>
      </c>
      <c r="Y131" s="8">
        <v>0</v>
      </c>
      <c r="AA131" s="8">
        <v>337795</v>
      </c>
      <c r="AB131" s="39"/>
      <c r="AC131" s="8">
        <v>0</v>
      </c>
      <c r="AE131" s="8">
        <v>0</v>
      </c>
      <c r="AG131" s="8">
        <f t="shared" si="8"/>
        <v>33666030</v>
      </c>
      <c r="AH131" s="8"/>
      <c r="AI131" s="8">
        <f t="shared" si="9"/>
        <v>37203683</v>
      </c>
    </row>
    <row r="132" spans="1:37" ht="12" customHeight="1">
      <c r="A132" s="12" t="s">
        <v>415</v>
      </c>
      <c r="B132" s="12"/>
      <c r="C132" s="12" t="s">
        <v>33</v>
      </c>
      <c r="D132" s="12"/>
      <c r="E132" s="32">
        <v>47431</v>
      </c>
      <c r="G132" s="8">
        <v>524658</v>
      </c>
      <c r="I132" s="8">
        <v>611730</v>
      </c>
      <c r="K132" s="8">
        <v>7198</v>
      </c>
      <c r="M132" s="8">
        <f t="shared" si="5"/>
        <v>1143586</v>
      </c>
      <c r="O132" s="8">
        <f>1542163+79926</f>
        <v>1622089</v>
      </c>
      <c r="Q132" s="8">
        <v>1326771</v>
      </c>
      <c r="S132" s="8">
        <v>2981789</v>
      </c>
      <c r="U132" s="8">
        <v>11093</v>
      </c>
      <c r="W132" s="8">
        <v>0</v>
      </c>
      <c r="Y132" s="8">
        <v>23454</v>
      </c>
      <c r="AA132" s="8">
        <v>23515</v>
      </c>
      <c r="AB132" s="39"/>
      <c r="AC132" s="8">
        <v>0</v>
      </c>
      <c r="AE132" s="8">
        <v>0</v>
      </c>
      <c r="AG132" s="8">
        <f t="shared" si="8"/>
        <v>5988711</v>
      </c>
      <c r="AH132" s="8"/>
      <c r="AI132" s="8">
        <f t="shared" si="9"/>
        <v>7132297</v>
      </c>
    </row>
    <row r="133" spans="1:37" ht="12" customHeight="1">
      <c r="A133" s="12" t="s">
        <v>287</v>
      </c>
      <c r="B133" s="12"/>
      <c r="C133" s="12" t="s">
        <v>19</v>
      </c>
      <c r="D133" s="12"/>
      <c r="E133" s="32">
        <v>43828</v>
      </c>
      <c r="G133" s="8">
        <v>1358843</v>
      </c>
      <c r="I133" s="8">
        <v>2410748</v>
      </c>
      <c r="K133" s="8">
        <v>14108</v>
      </c>
      <c r="M133" s="8">
        <f t="shared" si="5"/>
        <v>3783699</v>
      </c>
      <c r="O133" s="8">
        <v>4638099</v>
      </c>
      <c r="Q133" s="8">
        <v>0</v>
      </c>
      <c r="S133" s="8">
        <v>9416205</v>
      </c>
      <c r="U133" s="8">
        <v>0</v>
      </c>
      <c r="W133" s="8">
        <v>0</v>
      </c>
      <c r="Y133" s="8">
        <v>0</v>
      </c>
      <c r="AA133" s="8">
        <v>338600</v>
      </c>
      <c r="AB133" s="39"/>
      <c r="AC133" s="8">
        <v>0</v>
      </c>
      <c r="AE133" s="8">
        <v>0</v>
      </c>
      <c r="AG133" s="8">
        <f t="shared" si="8"/>
        <v>14392904</v>
      </c>
      <c r="AH133" s="8"/>
      <c r="AI133" s="8">
        <f t="shared" si="9"/>
        <v>18176603</v>
      </c>
    </row>
    <row r="134" spans="1:37" ht="12" customHeight="1">
      <c r="A134" s="12" t="s">
        <v>816</v>
      </c>
      <c r="B134" s="12"/>
      <c r="C134" s="12" t="s">
        <v>63</v>
      </c>
      <c r="D134" s="12"/>
      <c r="E134" s="32"/>
      <c r="G134" s="8">
        <v>5346086</v>
      </c>
      <c r="I134" s="8">
        <v>1986397</v>
      </c>
      <c r="K134" s="8">
        <v>25777</v>
      </c>
      <c r="M134" s="8">
        <f t="shared" si="5"/>
        <v>7358260</v>
      </c>
      <c r="O134" s="8">
        <v>9519854</v>
      </c>
      <c r="Q134" s="8">
        <v>0</v>
      </c>
      <c r="S134" s="8">
        <v>5204376</v>
      </c>
      <c r="U134" s="8">
        <v>0</v>
      </c>
      <c r="W134" s="8">
        <v>0</v>
      </c>
      <c r="Y134" s="8">
        <v>0</v>
      </c>
      <c r="AA134" s="8">
        <v>90300</v>
      </c>
      <c r="AB134" s="39"/>
      <c r="AC134" s="8">
        <v>0</v>
      </c>
      <c r="AE134" s="8">
        <v>0</v>
      </c>
      <c r="AG134" s="8">
        <f t="shared" si="8"/>
        <v>14814530</v>
      </c>
      <c r="AH134" s="8"/>
      <c r="AI134" s="8">
        <f t="shared" si="9"/>
        <v>22172790</v>
      </c>
    </row>
    <row r="135" spans="1:37" ht="12" customHeight="1">
      <c r="A135" s="13" t="s">
        <v>915</v>
      </c>
      <c r="B135" s="12"/>
      <c r="C135" s="12" t="s">
        <v>48</v>
      </c>
      <c r="D135" s="12"/>
      <c r="E135" s="32">
        <v>45336</v>
      </c>
      <c r="G135" s="8">
        <v>814466</v>
      </c>
      <c r="I135" s="8">
        <v>786120</v>
      </c>
      <c r="K135" s="8">
        <v>4877</v>
      </c>
      <c r="M135" s="8">
        <f t="shared" si="5"/>
        <v>1605463</v>
      </c>
      <c r="O135" s="8">
        <v>1652045</v>
      </c>
      <c r="Q135" s="8">
        <v>1575289</v>
      </c>
      <c r="S135" s="8">
        <v>3384682</v>
      </c>
      <c r="U135" s="8">
        <v>36318</v>
      </c>
      <c r="W135" s="8">
        <v>0</v>
      </c>
      <c r="Y135" s="8">
        <v>0</v>
      </c>
      <c r="AA135" s="8">
        <v>33592</v>
      </c>
      <c r="AB135" s="39"/>
      <c r="AC135" s="8">
        <v>0</v>
      </c>
      <c r="AE135" s="8">
        <v>0</v>
      </c>
      <c r="AG135" s="8">
        <f t="shared" si="8"/>
        <v>6681926</v>
      </c>
      <c r="AH135" s="8"/>
      <c r="AI135" s="8">
        <f t="shared" si="9"/>
        <v>8287389</v>
      </c>
    </row>
    <row r="136" spans="1:37" ht="12" customHeight="1">
      <c r="A136" s="13" t="s">
        <v>916</v>
      </c>
      <c r="B136" s="12"/>
      <c r="C136" s="12" t="s">
        <v>113</v>
      </c>
      <c r="D136" s="12"/>
      <c r="E136" s="32">
        <v>45344</v>
      </c>
      <c r="G136" s="8">
        <v>405095</v>
      </c>
      <c r="I136" s="8">
        <v>1642391</v>
      </c>
      <c r="K136" s="8">
        <v>7179</v>
      </c>
      <c r="M136" s="8">
        <f t="shared" si="5"/>
        <v>2054665</v>
      </c>
      <c r="O136" s="8">
        <v>2236439</v>
      </c>
      <c r="Q136" s="8">
        <v>0</v>
      </c>
      <c r="S136" s="8">
        <v>4181766</v>
      </c>
      <c r="U136" s="8">
        <v>32182</v>
      </c>
      <c r="W136" s="8">
        <v>0</v>
      </c>
      <c r="Y136" s="8">
        <v>0</v>
      </c>
      <c r="AA136" s="8">
        <v>23810</v>
      </c>
      <c r="AB136" s="39"/>
      <c r="AC136" s="8">
        <v>0</v>
      </c>
      <c r="AE136" s="8">
        <v>0</v>
      </c>
      <c r="AG136" s="8">
        <f t="shared" si="8"/>
        <v>6474197</v>
      </c>
      <c r="AH136" s="8"/>
      <c r="AI136" s="8">
        <f t="shared" si="9"/>
        <v>8528862</v>
      </c>
    </row>
    <row r="137" spans="1:37" ht="12" customHeight="1">
      <c r="A137" s="12" t="s">
        <v>280</v>
      </c>
      <c r="B137" s="12"/>
      <c r="C137" s="12" t="s">
        <v>114</v>
      </c>
      <c r="D137" s="12"/>
      <c r="E137" s="32">
        <v>46433</v>
      </c>
      <c r="F137" s="7"/>
      <c r="G137" s="8">
        <v>2183183</v>
      </c>
      <c r="I137" s="8">
        <v>546345</v>
      </c>
      <c r="K137" s="8">
        <v>16474</v>
      </c>
      <c r="M137" s="8">
        <f t="shared" si="5"/>
        <v>2746002</v>
      </c>
      <c r="O137" s="8">
        <v>2394522</v>
      </c>
      <c r="Q137" s="8">
        <v>1035585</v>
      </c>
      <c r="S137" s="8">
        <v>5203482</v>
      </c>
      <c r="U137" s="8">
        <v>81272</v>
      </c>
      <c r="W137" s="8">
        <v>0</v>
      </c>
      <c r="Y137" s="8">
        <v>0</v>
      </c>
      <c r="AA137" s="8">
        <v>37347</v>
      </c>
      <c r="AB137" s="39"/>
      <c r="AC137" s="8">
        <v>0</v>
      </c>
      <c r="AE137" s="8">
        <v>0</v>
      </c>
      <c r="AG137" s="8">
        <f t="shared" si="8"/>
        <v>8752208</v>
      </c>
      <c r="AH137" s="8"/>
      <c r="AI137" s="8">
        <f t="shared" si="9"/>
        <v>11498210</v>
      </c>
    </row>
    <row r="138" spans="1:37" ht="12" customHeight="1">
      <c r="A138" s="12" t="s">
        <v>280</v>
      </c>
      <c r="B138" s="12"/>
      <c r="C138" s="12" t="s">
        <v>112</v>
      </c>
      <c r="D138" s="12"/>
      <c r="E138" s="32">
        <v>49429</v>
      </c>
      <c r="G138" s="8">
        <v>618708</v>
      </c>
      <c r="I138" s="8">
        <v>1484298</v>
      </c>
      <c r="K138" s="8">
        <v>13981</v>
      </c>
      <c r="M138" s="8">
        <f t="shared" si="5"/>
        <v>2116987</v>
      </c>
      <c r="O138" s="8">
        <v>2797490</v>
      </c>
      <c r="Q138" s="8">
        <v>0</v>
      </c>
      <c r="S138" s="8">
        <v>7014522</v>
      </c>
      <c r="U138" s="8">
        <v>244598</v>
      </c>
      <c r="W138" s="8">
        <v>0</v>
      </c>
      <c r="Y138" s="8">
        <v>0</v>
      </c>
      <c r="AA138" s="8">
        <v>19588</v>
      </c>
      <c r="AB138" s="39"/>
      <c r="AC138" s="8">
        <v>0</v>
      </c>
      <c r="AE138" s="8">
        <v>0</v>
      </c>
      <c r="AG138" s="8">
        <f t="shared" si="8"/>
        <v>10076198</v>
      </c>
      <c r="AH138" s="8"/>
      <c r="AI138" s="8">
        <f t="shared" si="9"/>
        <v>12193185</v>
      </c>
    </row>
    <row r="139" spans="1:37" ht="12" hidden="1" customHeight="1">
      <c r="A139" s="13" t="s">
        <v>917</v>
      </c>
      <c r="B139" s="13"/>
      <c r="C139" s="13" t="s">
        <v>67</v>
      </c>
      <c r="D139" s="12"/>
      <c r="E139" s="32"/>
      <c r="G139" s="8">
        <v>1177157</v>
      </c>
      <c r="I139" s="8">
        <v>931569</v>
      </c>
      <c r="K139" s="8">
        <v>3556002</v>
      </c>
      <c r="M139" s="8">
        <f t="shared" si="5"/>
        <v>5664728</v>
      </c>
      <c r="O139" s="8">
        <v>2229586</v>
      </c>
      <c r="Q139" s="8">
        <v>875688</v>
      </c>
      <c r="S139" s="8">
        <v>4448554</v>
      </c>
      <c r="U139" s="8">
        <v>323321</v>
      </c>
      <c r="W139" s="8">
        <v>229004</v>
      </c>
      <c r="Y139" s="8">
        <v>67495</v>
      </c>
      <c r="AA139" s="8">
        <v>1606</v>
      </c>
      <c r="AB139" s="39"/>
      <c r="AC139" s="8">
        <v>0</v>
      </c>
      <c r="AE139" s="8">
        <f>23306+1283905</f>
        <v>1307211</v>
      </c>
      <c r="AG139" s="8">
        <f t="shared" si="8"/>
        <v>9482465</v>
      </c>
      <c r="AH139" s="8"/>
      <c r="AI139" s="8">
        <f t="shared" si="9"/>
        <v>15147193</v>
      </c>
    </row>
    <row r="140" spans="1:37" ht="12" customHeight="1">
      <c r="A140" s="12" t="s">
        <v>589</v>
      </c>
      <c r="B140" s="12"/>
      <c r="C140" s="12" t="s">
        <v>56</v>
      </c>
      <c r="D140" s="12"/>
      <c r="E140" s="32">
        <v>49189</v>
      </c>
      <c r="G140" s="8">
        <v>1577298</v>
      </c>
      <c r="I140" s="8">
        <v>1943994</v>
      </c>
      <c r="K140" s="8">
        <v>52461</v>
      </c>
      <c r="M140" s="8">
        <f t="shared" si="5"/>
        <v>3573753</v>
      </c>
      <c r="O140" s="8">
        <v>7202147</v>
      </c>
      <c r="Q140" s="8">
        <v>0</v>
      </c>
      <c r="S140" s="8">
        <v>12719075</v>
      </c>
      <c r="U140" s="8">
        <v>91782</v>
      </c>
      <c r="W140" s="8">
        <v>0</v>
      </c>
      <c r="Y140" s="8">
        <v>0</v>
      </c>
      <c r="AA140" s="8">
        <v>51619</v>
      </c>
      <c r="AB140" s="39"/>
      <c r="AC140" s="8">
        <v>0</v>
      </c>
      <c r="AE140" s="8">
        <v>0</v>
      </c>
      <c r="AG140" s="8">
        <f t="shared" si="8"/>
        <v>20064623</v>
      </c>
      <c r="AH140" s="8"/>
      <c r="AI140" s="8">
        <f t="shared" si="9"/>
        <v>23638376</v>
      </c>
    </row>
    <row r="141" spans="1:37" ht="12" customHeight="1">
      <c r="A141" s="12" t="s">
        <v>817</v>
      </c>
      <c r="B141" s="12"/>
      <c r="C141" s="12" t="s">
        <v>579</v>
      </c>
      <c r="D141" s="12"/>
      <c r="E141" s="32"/>
      <c r="G141" s="8">
        <v>880169</v>
      </c>
      <c r="I141" s="8">
        <v>1656492</v>
      </c>
      <c r="K141" s="8">
        <v>0</v>
      </c>
      <c r="M141" s="8">
        <f t="shared" si="5"/>
        <v>2536661</v>
      </c>
      <c r="O141" s="8">
        <v>420736</v>
      </c>
      <c r="Q141" s="8">
        <v>0</v>
      </c>
      <c r="S141" s="8">
        <v>7239158</v>
      </c>
      <c r="U141" s="8">
        <v>0</v>
      </c>
      <c r="W141" s="8">
        <v>0</v>
      </c>
      <c r="Y141" s="8">
        <v>0</v>
      </c>
      <c r="AA141" s="8">
        <v>225720</v>
      </c>
      <c r="AB141" s="39"/>
      <c r="AC141" s="8">
        <v>0</v>
      </c>
      <c r="AE141" s="8">
        <v>0</v>
      </c>
      <c r="AG141" s="8">
        <f t="shared" si="8"/>
        <v>7885614</v>
      </c>
      <c r="AH141" s="8"/>
      <c r="AI141" s="8">
        <f t="shared" si="9"/>
        <v>10422275</v>
      </c>
    </row>
    <row r="142" spans="1:37" ht="12" customHeight="1">
      <c r="A142" s="12" t="s">
        <v>665</v>
      </c>
      <c r="B142" s="12"/>
      <c r="C142" s="12" t="s">
        <v>63</v>
      </c>
      <c r="D142" s="12"/>
      <c r="E142" s="32">
        <v>43836</v>
      </c>
      <c r="G142" s="8">
        <v>5350974</v>
      </c>
      <c r="I142" s="8">
        <v>5591840</v>
      </c>
      <c r="K142" s="8">
        <v>17890</v>
      </c>
      <c r="M142" s="8">
        <f t="shared" si="5"/>
        <v>10960704</v>
      </c>
      <c r="O142" s="8">
        <v>26517337</v>
      </c>
      <c r="Q142" s="8">
        <v>0</v>
      </c>
      <c r="S142" s="8">
        <v>16312675</v>
      </c>
      <c r="U142" s="8">
        <v>163005</v>
      </c>
      <c r="W142" s="8">
        <v>32752</v>
      </c>
      <c r="Y142" s="8">
        <v>0</v>
      </c>
      <c r="AA142" s="8">
        <v>116772</v>
      </c>
      <c r="AB142" s="39"/>
      <c r="AC142" s="8">
        <v>0</v>
      </c>
      <c r="AE142" s="8">
        <v>0</v>
      </c>
      <c r="AG142" s="8">
        <f t="shared" si="8"/>
        <v>43142541</v>
      </c>
      <c r="AH142" s="8"/>
      <c r="AI142" s="8">
        <f t="shared" si="9"/>
        <v>54103245</v>
      </c>
    </row>
    <row r="143" spans="1:37" ht="12" customHeight="1">
      <c r="A143" s="13" t="s">
        <v>1053</v>
      </c>
      <c r="B143" s="12"/>
      <c r="C143" s="12" t="s">
        <v>20</v>
      </c>
      <c r="D143" s="12"/>
      <c r="E143" s="32">
        <v>46557</v>
      </c>
      <c r="G143" s="8">
        <v>877142</v>
      </c>
      <c r="I143" s="8">
        <v>336294</v>
      </c>
      <c r="K143" s="8">
        <v>5736</v>
      </c>
      <c r="M143" s="8">
        <f t="shared" si="5"/>
        <v>1219172</v>
      </c>
      <c r="O143" s="8">
        <v>10089056</v>
      </c>
      <c r="Q143" s="8">
        <v>0</v>
      </c>
      <c r="S143" s="8">
        <v>4499771</v>
      </c>
      <c r="U143" s="8">
        <v>253128</v>
      </c>
      <c r="W143" s="8">
        <v>0</v>
      </c>
      <c r="Y143" s="8">
        <v>0</v>
      </c>
      <c r="AA143" s="8">
        <v>230773</v>
      </c>
      <c r="AB143" s="39"/>
      <c r="AC143" s="8">
        <v>0</v>
      </c>
      <c r="AE143" s="8">
        <v>0</v>
      </c>
      <c r="AG143" s="8">
        <f t="shared" si="8"/>
        <v>15072728</v>
      </c>
      <c r="AH143" s="8"/>
      <c r="AI143" s="8">
        <f t="shared" si="9"/>
        <v>16291900</v>
      </c>
      <c r="AK143" s="15" t="s">
        <v>919</v>
      </c>
    </row>
    <row r="144" spans="1:37" ht="12" customHeight="1">
      <c r="A144" s="12" t="s">
        <v>828</v>
      </c>
      <c r="B144" s="12"/>
      <c r="C144" s="12" t="s">
        <v>71</v>
      </c>
      <c r="D144" s="12"/>
      <c r="E144" s="32">
        <v>48934</v>
      </c>
      <c r="G144" s="8">
        <v>511299</v>
      </c>
      <c r="I144" s="8">
        <v>1056721</v>
      </c>
      <c r="K144" s="8">
        <v>8929</v>
      </c>
      <c r="M144" s="8">
        <f t="shared" si="5"/>
        <v>1576949</v>
      </c>
      <c r="O144" s="8">
        <v>2796535</v>
      </c>
      <c r="Q144" s="8">
        <v>1015927</v>
      </c>
      <c r="S144" s="8">
        <v>3636514</v>
      </c>
      <c r="U144" s="8">
        <v>18829</v>
      </c>
      <c r="W144" s="8">
        <v>0</v>
      </c>
      <c r="Y144" s="8">
        <v>0</v>
      </c>
      <c r="AA144" s="8">
        <v>42845</v>
      </c>
      <c r="AB144" s="39"/>
      <c r="AC144" s="8">
        <v>0</v>
      </c>
      <c r="AE144" s="8">
        <v>0</v>
      </c>
      <c r="AG144" s="8">
        <f t="shared" si="8"/>
        <v>7510650</v>
      </c>
      <c r="AH144" s="8"/>
      <c r="AI144" s="8">
        <f t="shared" si="9"/>
        <v>9087599</v>
      </c>
    </row>
    <row r="145" spans="1:37" ht="12" customHeight="1">
      <c r="A145" s="12" t="s">
        <v>572</v>
      </c>
      <c r="B145" s="12"/>
      <c r="C145" s="12" t="s">
        <v>53</v>
      </c>
      <c r="D145" s="12"/>
      <c r="E145" s="32">
        <v>48934</v>
      </c>
      <c r="G145" s="8">
        <v>509097</v>
      </c>
      <c r="I145" s="8">
        <v>380117</v>
      </c>
      <c r="K145" s="8">
        <v>4337</v>
      </c>
      <c r="M145" s="8">
        <f t="shared" si="5"/>
        <v>893551</v>
      </c>
      <c r="O145" s="8">
        <v>7291322</v>
      </c>
      <c r="Q145" s="8">
        <v>0</v>
      </c>
      <c r="S145" s="8">
        <v>1717675</v>
      </c>
      <c r="U145" s="8">
        <v>88241</v>
      </c>
      <c r="W145" s="8">
        <v>0</v>
      </c>
      <c r="Y145" s="8">
        <v>0</v>
      </c>
      <c r="AA145" s="8">
        <v>15679</v>
      </c>
      <c r="AB145" s="39"/>
      <c r="AC145" s="8">
        <v>0</v>
      </c>
      <c r="AE145" s="8">
        <v>0</v>
      </c>
      <c r="AG145" s="8">
        <f t="shared" si="8"/>
        <v>9112917</v>
      </c>
      <c r="AH145" s="8"/>
      <c r="AI145" s="8">
        <f t="shared" si="9"/>
        <v>10006468</v>
      </c>
    </row>
    <row r="146" spans="1:37" ht="12" hidden="1" customHeight="1">
      <c r="A146" s="13" t="s">
        <v>921</v>
      </c>
      <c r="B146" s="12"/>
      <c r="C146" s="12" t="s">
        <v>40</v>
      </c>
      <c r="D146" s="12"/>
      <c r="E146" s="32">
        <v>47837</v>
      </c>
      <c r="G146" s="8">
        <v>804633</v>
      </c>
      <c r="I146" s="8">
        <v>1353041</v>
      </c>
      <c r="K146" s="8">
        <v>5964</v>
      </c>
      <c r="M146" s="8">
        <f t="shared" si="5"/>
        <v>2163638</v>
      </c>
      <c r="O146" s="8">
        <v>1218888</v>
      </c>
      <c r="Q146" s="8">
        <v>1009090</v>
      </c>
      <c r="S146" s="8">
        <v>2852927</v>
      </c>
      <c r="U146" s="8">
        <v>64479</v>
      </c>
      <c r="AA146" s="8">
        <v>73126</v>
      </c>
      <c r="AB146" s="39"/>
      <c r="AC146" s="8">
        <v>0</v>
      </c>
      <c r="AG146" s="8">
        <f t="shared" si="8"/>
        <v>5218510</v>
      </c>
      <c r="AH146" s="8"/>
      <c r="AI146" s="8">
        <f t="shared" si="9"/>
        <v>7382148</v>
      </c>
    </row>
    <row r="147" spans="1:37" ht="12" customHeight="1">
      <c r="A147" s="12" t="s">
        <v>467</v>
      </c>
      <c r="B147" s="12"/>
      <c r="C147" s="12" t="s">
        <v>466</v>
      </c>
      <c r="D147" s="12"/>
      <c r="E147" s="32">
        <v>47928</v>
      </c>
      <c r="G147" s="8">
        <v>1186914</v>
      </c>
      <c r="I147" s="8">
        <v>2912259</v>
      </c>
      <c r="K147" s="8">
        <v>83115</v>
      </c>
      <c r="M147" s="8">
        <f t="shared" si="5"/>
        <v>4182288</v>
      </c>
      <c r="O147" s="8">
        <v>833145</v>
      </c>
      <c r="Q147" s="8">
        <v>0</v>
      </c>
      <c r="S147" s="8">
        <v>7447377</v>
      </c>
      <c r="U147" s="8">
        <v>52324</v>
      </c>
      <c r="W147" s="8">
        <v>0</v>
      </c>
      <c r="Y147" s="8">
        <v>0</v>
      </c>
      <c r="AA147" s="8">
        <v>30645</v>
      </c>
      <c r="AB147" s="39"/>
      <c r="AC147" s="8">
        <v>0</v>
      </c>
      <c r="AE147" s="8">
        <v>0</v>
      </c>
      <c r="AG147" s="8">
        <f t="shared" si="8"/>
        <v>8363491</v>
      </c>
      <c r="AH147" s="8"/>
      <c r="AI147" s="8">
        <f t="shared" si="9"/>
        <v>12545779</v>
      </c>
    </row>
    <row r="148" spans="1:37" ht="12" customHeight="1">
      <c r="A148" s="12" t="s">
        <v>546</v>
      </c>
      <c r="B148" s="12"/>
      <c r="C148" s="12" t="s">
        <v>50</v>
      </c>
      <c r="D148" s="12"/>
      <c r="E148" s="32">
        <v>43844</v>
      </c>
      <c r="G148" s="8">
        <v>5079000</v>
      </c>
      <c r="I148" s="8">
        <v>66429000</v>
      </c>
      <c r="K148" s="8">
        <v>940000</v>
      </c>
      <c r="M148" s="8">
        <f t="shared" si="5"/>
        <v>72448000</v>
      </c>
      <c r="O148" s="8">
        <v>79700000</v>
      </c>
      <c r="Q148" s="8">
        <v>0</v>
      </c>
      <c r="S148" s="8">
        <v>143522000</v>
      </c>
      <c r="U148" s="8">
        <v>0</v>
      </c>
      <c r="W148" s="8">
        <v>0</v>
      </c>
      <c r="Y148" s="8">
        <v>0</v>
      </c>
      <c r="AA148" s="8">
        <v>9930000</v>
      </c>
      <c r="AB148" s="39"/>
      <c r="AC148" s="8">
        <v>0</v>
      </c>
      <c r="AE148" s="8">
        <v>0</v>
      </c>
      <c r="AG148" s="8">
        <f t="shared" si="8"/>
        <v>233152000</v>
      </c>
      <c r="AH148" s="8"/>
      <c r="AI148" s="8">
        <f>+AG148+M148</f>
        <v>305600000</v>
      </c>
      <c r="AK148" s="10" t="s">
        <v>922</v>
      </c>
    </row>
    <row r="149" spans="1:37" ht="12" customHeight="1">
      <c r="A149" s="13" t="s">
        <v>924</v>
      </c>
      <c r="B149" s="12"/>
      <c r="C149" s="12" t="s">
        <v>32</v>
      </c>
      <c r="D149" s="12"/>
      <c r="E149" s="32">
        <v>43851</v>
      </c>
      <c r="G149" s="8">
        <v>603879</v>
      </c>
      <c r="I149" s="8">
        <v>1195650</v>
      </c>
      <c r="K149" s="8">
        <v>1065</v>
      </c>
      <c r="M149" s="8">
        <f t="shared" si="5"/>
        <v>1800594</v>
      </c>
      <c r="O149" s="8">
        <v>8788230</v>
      </c>
      <c r="Q149" s="8">
        <v>0</v>
      </c>
      <c r="S149" s="8">
        <v>4635021</v>
      </c>
      <c r="U149" s="8">
        <v>0</v>
      </c>
      <c r="W149" s="8">
        <v>0</v>
      </c>
      <c r="Y149" s="8">
        <v>0</v>
      </c>
      <c r="AA149" s="8">
        <v>390443</v>
      </c>
      <c r="AB149" s="39"/>
      <c r="AC149" s="8">
        <v>0</v>
      </c>
      <c r="AE149" s="8">
        <v>0</v>
      </c>
      <c r="AG149" s="8">
        <f>SUM(O149:AE149)</f>
        <v>13813694</v>
      </c>
      <c r="AH149" s="8"/>
      <c r="AI149" s="8">
        <f>+AG149+M149</f>
        <v>15614288</v>
      </c>
    </row>
    <row r="150" spans="1:37" ht="12" hidden="1" customHeight="1">
      <c r="A150" s="13" t="s">
        <v>925</v>
      </c>
      <c r="B150" s="12"/>
      <c r="C150" s="12" t="s">
        <v>22</v>
      </c>
      <c r="D150" s="12"/>
      <c r="E150" s="32">
        <v>43869</v>
      </c>
      <c r="G150" s="8">
        <v>1877013</v>
      </c>
      <c r="I150" s="8">
        <v>3851672</v>
      </c>
      <c r="K150" s="8">
        <v>977238</v>
      </c>
      <c r="M150" s="8">
        <f t="shared" si="5"/>
        <v>6705923</v>
      </c>
      <c r="O150" s="8">
        <v>6697806</v>
      </c>
      <c r="Q150" s="8">
        <v>1572654</v>
      </c>
      <c r="S150" s="8">
        <v>12190404</v>
      </c>
      <c r="U150" s="8">
        <v>77100</v>
      </c>
      <c r="W150" s="8">
        <v>13832</v>
      </c>
      <c r="AA150" s="8">
        <f>785000+461234+43626</f>
        <v>1289860</v>
      </c>
      <c r="AB150" s="39"/>
      <c r="AC150" s="8">
        <v>0</v>
      </c>
      <c r="AE150" s="8">
        <v>80917</v>
      </c>
      <c r="AG150" s="8">
        <f>SUM(O150:AE150)</f>
        <v>21922573</v>
      </c>
      <c r="AH150" s="8"/>
      <c r="AI150" s="8">
        <f>+AG150+M150</f>
        <v>28628496</v>
      </c>
    </row>
    <row r="151" spans="1:37" ht="12" customHeight="1">
      <c r="A151" s="13" t="s">
        <v>926</v>
      </c>
      <c r="B151" s="13"/>
      <c r="C151" s="13" t="s">
        <v>23</v>
      </c>
      <c r="D151" s="12"/>
      <c r="E151" s="32"/>
      <c r="G151" s="8">
        <v>2735459</v>
      </c>
      <c r="I151" s="8">
        <v>3679566</v>
      </c>
      <c r="K151" s="8">
        <v>47590</v>
      </c>
      <c r="M151" s="8">
        <f t="shared" si="5"/>
        <v>6462615</v>
      </c>
      <c r="O151" s="8">
        <v>26460919</v>
      </c>
      <c r="Q151" s="8">
        <v>0</v>
      </c>
      <c r="S151" s="8">
        <v>17819899</v>
      </c>
      <c r="U151" s="8">
        <v>0</v>
      </c>
      <c r="W151" s="8">
        <v>0</v>
      </c>
      <c r="Y151" s="8">
        <v>0</v>
      </c>
      <c r="AA151" s="8">
        <v>592124</v>
      </c>
      <c r="AB151" s="39"/>
      <c r="AC151" s="8">
        <v>0</v>
      </c>
      <c r="AE151" s="8">
        <v>0</v>
      </c>
      <c r="AG151" s="8">
        <f t="shared" ref="AG151:AG152" si="10">SUM(O151:AE151)</f>
        <v>44872942</v>
      </c>
      <c r="AH151" s="8"/>
      <c r="AI151" s="8">
        <f t="shared" ref="AI151:AI153" si="11">+AG151+M151</f>
        <v>51335557</v>
      </c>
    </row>
    <row r="152" spans="1:37" s="8" customFormat="1" ht="12" customHeight="1">
      <c r="A152" s="13" t="s">
        <v>210</v>
      </c>
      <c r="B152" s="13"/>
      <c r="C152" s="13" t="s">
        <v>10</v>
      </c>
      <c r="D152" s="13"/>
      <c r="E152" s="13">
        <v>43885</v>
      </c>
      <c r="F152" s="11"/>
      <c r="G152" s="8">
        <v>1095651</v>
      </c>
      <c r="I152" s="8">
        <v>1686459</v>
      </c>
      <c r="K152" s="8">
        <v>78833</v>
      </c>
      <c r="M152" s="8">
        <f t="shared" ref="M152:M225" si="12">SUM(G152:L152)</f>
        <v>2860943</v>
      </c>
      <c r="O152" s="8">
        <v>4351644</v>
      </c>
      <c r="Q152" s="8">
        <v>0</v>
      </c>
      <c r="S152" s="8">
        <v>3773330</v>
      </c>
      <c r="U152" s="8">
        <v>29094</v>
      </c>
      <c r="W152" s="8">
        <v>0</v>
      </c>
      <c r="Y152" s="8">
        <v>6569</v>
      </c>
      <c r="AA152" s="8">
        <v>62129</v>
      </c>
      <c r="AB152" s="39"/>
      <c r="AC152" s="8">
        <v>0</v>
      </c>
      <c r="AE152" s="8">
        <v>0</v>
      </c>
      <c r="AG152" s="8">
        <f t="shared" si="10"/>
        <v>8222766</v>
      </c>
      <c r="AI152" s="8">
        <f t="shared" si="11"/>
        <v>11083709</v>
      </c>
    </row>
    <row r="153" spans="1:37" ht="12" customHeight="1">
      <c r="A153" s="12" t="s">
        <v>695</v>
      </c>
      <c r="B153" s="12"/>
      <c r="C153" s="12" t="s">
        <v>65</v>
      </c>
      <c r="D153" s="12"/>
      <c r="E153" s="32">
        <v>43893</v>
      </c>
      <c r="G153" s="8">
        <v>1107300</v>
      </c>
      <c r="I153" s="8">
        <v>2033169</v>
      </c>
      <c r="K153" s="8">
        <v>39723</v>
      </c>
      <c r="M153" s="8">
        <f t="shared" si="12"/>
        <v>3180192</v>
      </c>
      <c r="O153" s="8">
        <v>11837370</v>
      </c>
      <c r="Q153" s="8">
        <v>0</v>
      </c>
      <c r="S153" s="8">
        <v>9141111</v>
      </c>
      <c r="U153" s="8">
        <v>0</v>
      </c>
      <c r="W153" s="8">
        <v>0</v>
      </c>
      <c r="Y153" s="8">
        <v>0</v>
      </c>
      <c r="AA153" s="8">
        <v>182334</v>
      </c>
      <c r="AB153" s="39"/>
      <c r="AC153" s="8">
        <v>0</v>
      </c>
      <c r="AE153" s="8">
        <v>0</v>
      </c>
      <c r="AG153" s="8">
        <f t="shared" ref="AG153:AG225" si="13">SUM(O153:AE153)</f>
        <v>21160815</v>
      </c>
      <c r="AH153" s="8"/>
      <c r="AI153" s="8">
        <f t="shared" si="11"/>
        <v>24341007</v>
      </c>
      <c r="AJ153" s="10" t="s">
        <v>134</v>
      </c>
    </row>
    <row r="154" spans="1:37" s="8" customFormat="1" ht="12" customHeight="1">
      <c r="A154" s="13" t="s">
        <v>355</v>
      </c>
      <c r="B154" s="13"/>
      <c r="C154" s="13" t="s">
        <v>27</v>
      </c>
      <c r="D154" s="13"/>
      <c r="E154" s="32">
        <v>47027</v>
      </c>
      <c r="G154" s="8">
        <v>6956000</v>
      </c>
      <c r="I154" s="8">
        <v>5853000</v>
      </c>
      <c r="K154" s="8">
        <v>0</v>
      </c>
      <c r="M154" s="8">
        <f t="shared" si="12"/>
        <v>12809000</v>
      </c>
      <c r="O154" s="8">
        <v>128155000</v>
      </c>
      <c r="Q154" s="8">
        <v>0</v>
      </c>
      <c r="S154" s="8">
        <v>32577000</v>
      </c>
      <c r="U154" s="8">
        <v>3175000</v>
      </c>
      <c r="W154" s="8">
        <v>0</v>
      </c>
      <c r="Y154" s="8">
        <v>0</v>
      </c>
      <c r="AA154" s="8">
        <v>349000</v>
      </c>
      <c r="AB154" s="39"/>
      <c r="AC154" s="8">
        <v>0</v>
      </c>
      <c r="AE154" s="8">
        <v>0</v>
      </c>
      <c r="AG154" s="8">
        <f t="shared" si="13"/>
        <v>164256000</v>
      </c>
      <c r="AI154" s="8">
        <f t="shared" ref="AI154:AI225" si="14">+AG154+M154</f>
        <v>177065000</v>
      </c>
      <c r="AK154" s="8" t="s">
        <v>922</v>
      </c>
    </row>
    <row r="155" spans="1:37" s="8" customFormat="1" ht="12" customHeight="1">
      <c r="A155" s="13"/>
      <c r="B155" s="13"/>
      <c r="C155" s="13"/>
      <c r="D155" s="13"/>
      <c r="E155" s="32"/>
      <c r="AB155" s="39"/>
    </row>
    <row r="156" spans="1:37" s="8" customFormat="1" ht="12" customHeight="1">
      <c r="A156" s="13"/>
      <c r="B156" s="13"/>
      <c r="C156" s="13"/>
      <c r="D156" s="13"/>
      <c r="E156" s="32"/>
      <c r="AB156" s="39"/>
      <c r="AI156" s="8" t="s">
        <v>805</v>
      </c>
    </row>
    <row r="157" spans="1:37" s="8" customFormat="1" ht="12" customHeight="1">
      <c r="A157" s="13"/>
      <c r="B157" s="13"/>
      <c r="C157" s="13"/>
      <c r="D157" s="13"/>
      <c r="E157" s="32"/>
      <c r="AB157" s="39"/>
    </row>
    <row r="158" spans="1:37" ht="12" customHeight="1">
      <c r="A158" s="13" t="s">
        <v>305</v>
      </c>
      <c r="B158" s="12"/>
      <c r="C158" s="12" t="s">
        <v>20</v>
      </c>
      <c r="D158" s="12"/>
      <c r="E158" s="32">
        <v>43901</v>
      </c>
      <c r="G158" s="35">
        <v>3966608</v>
      </c>
      <c r="H158" s="35"/>
      <c r="I158" s="35">
        <v>15290299</v>
      </c>
      <c r="J158" s="35"/>
      <c r="K158" s="35">
        <v>5846</v>
      </c>
      <c r="L158" s="35"/>
      <c r="M158" s="35">
        <f t="shared" si="12"/>
        <v>19262753</v>
      </c>
      <c r="N158" s="35"/>
      <c r="O158" s="35">
        <v>11274579</v>
      </c>
      <c r="P158" s="35"/>
      <c r="Q158" s="35">
        <v>0</v>
      </c>
      <c r="R158" s="35"/>
      <c r="S158" s="35">
        <v>34561314</v>
      </c>
      <c r="T158" s="35"/>
      <c r="U158" s="35">
        <v>516993</v>
      </c>
      <c r="V158" s="35"/>
      <c r="W158" s="35">
        <v>0</v>
      </c>
      <c r="X158" s="35"/>
      <c r="Y158" s="35">
        <v>0</v>
      </c>
      <c r="Z158" s="35"/>
      <c r="AA158" s="35">
        <v>571027</v>
      </c>
      <c r="AB158" s="45"/>
      <c r="AC158" s="35">
        <v>0</v>
      </c>
      <c r="AD158" s="35"/>
      <c r="AE158" s="35">
        <v>0</v>
      </c>
      <c r="AF158" s="35"/>
      <c r="AG158" s="35">
        <f t="shared" si="13"/>
        <v>46923913</v>
      </c>
      <c r="AH158" s="35"/>
      <c r="AI158" s="35">
        <f t="shared" si="14"/>
        <v>66186666</v>
      </c>
      <c r="AK158" s="8" t="s">
        <v>956</v>
      </c>
    </row>
    <row r="159" spans="1:37" ht="12" customHeight="1">
      <c r="A159" s="12" t="s">
        <v>276</v>
      </c>
      <c r="B159" s="12"/>
      <c r="C159" s="12" t="s">
        <v>18</v>
      </c>
      <c r="D159" s="12"/>
      <c r="E159" s="32">
        <v>46409</v>
      </c>
      <c r="F159" s="7"/>
      <c r="G159" s="8">
        <v>912088</v>
      </c>
      <c r="I159" s="8">
        <v>1955665</v>
      </c>
      <c r="K159" s="8">
        <v>0</v>
      </c>
      <c r="M159" s="8">
        <f t="shared" si="12"/>
        <v>2867753</v>
      </c>
      <c r="O159" s="8">
        <v>3020501</v>
      </c>
      <c r="Q159" s="8">
        <v>0</v>
      </c>
      <c r="S159" s="8">
        <v>7594805</v>
      </c>
      <c r="U159" s="8">
        <v>81051</v>
      </c>
      <c r="W159" s="8">
        <v>0</v>
      </c>
      <c r="Y159" s="8">
        <v>1400</v>
      </c>
      <c r="AA159" s="8">
        <v>104895</v>
      </c>
      <c r="AB159" s="39"/>
      <c r="AC159" s="8">
        <v>0</v>
      </c>
      <c r="AE159" s="8">
        <v>0</v>
      </c>
      <c r="AG159" s="8">
        <f t="shared" si="13"/>
        <v>10802652</v>
      </c>
      <c r="AH159" s="8"/>
      <c r="AI159" s="8">
        <f t="shared" si="14"/>
        <v>13670405</v>
      </c>
    </row>
    <row r="160" spans="1:37" ht="12.75" customHeight="1">
      <c r="A160" s="12" t="s">
        <v>390</v>
      </c>
      <c r="B160" s="12"/>
      <c r="C160" s="12" t="s">
        <v>31</v>
      </c>
      <c r="D160" s="12"/>
      <c r="E160" s="32">
        <v>69682</v>
      </c>
      <c r="G160" s="8">
        <v>1206259</v>
      </c>
      <c r="I160" s="8">
        <v>1567237</v>
      </c>
      <c r="K160" s="8">
        <v>29743</v>
      </c>
      <c r="M160" s="8">
        <f t="shared" si="12"/>
        <v>2803239</v>
      </c>
      <c r="O160" s="8">
        <v>2553583</v>
      </c>
      <c r="Q160" s="8">
        <v>0</v>
      </c>
      <c r="S160" s="8">
        <v>6460132</v>
      </c>
      <c r="U160" s="8">
        <v>90093</v>
      </c>
      <c r="W160" s="8">
        <v>0</v>
      </c>
      <c r="Y160" s="8">
        <v>32953</v>
      </c>
      <c r="AA160" s="8">
        <v>40614</v>
      </c>
      <c r="AB160" s="39"/>
      <c r="AC160" s="8">
        <v>0</v>
      </c>
      <c r="AE160" s="8">
        <v>0</v>
      </c>
      <c r="AG160" s="8">
        <f t="shared" si="13"/>
        <v>9177375</v>
      </c>
      <c r="AH160" s="8"/>
      <c r="AI160" s="8">
        <f t="shared" si="14"/>
        <v>11980614</v>
      </c>
      <c r="AK160" s="8"/>
    </row>
    <row r="161" spans="1:37" ht="12" customHeight="1">
      <c r="A161" s="12" t="s">
        <v>441</v>
      </c>
      <c r="B161" s="12"/>
      <c r="C161" s="12" t="s">
        <v>36</v>
      </c>
      <c r="D161" s="12"/>
      <c r="E161" s="32">
        <v>47688</v>
      </c>
      <c r="G161" s="8">
        <v>1334424</v>
      </c>
      <c r="I161" s="8">
        <v>2185058</v>
      </c>
      <c r="K161" s="8">
        <v>0</v>
      </c>
      <c r="M161" s="8">
        <f t="shared" si="12"/>
        <v>3519482</v>
      </c>
      <c r="O161" s="8">
        <v>8152015</v>
      </c>
      <c r="Q161" s="8">
        <v>0</v>
      </c>
      <c r="S161" s="8">
        <v>6493119</v>
      </c>
      <c r="U161" s="8">
        <v>192847</v>
      </c>
      <c r="W161" s="8">
        <v>0</v>
      </c>
      <c r="Y161" s="8">
        <v>0</v>
      </c>
      <c r="AA161" s="8">
        <v>143072</v>
      </c>
      <c r="AB161" s="39"/>
      <c r="AC161" s="8">
        <v>0</v>
      </c>
      <c r="AE161" s="8">
        <v>0</v>
      </c>
      <c r="AG161" s="8">
        <f t="shared" si="13"/>
        <v>14981053</v>
      </c>
      <c r="AH161" s="8"/>
      <c r="AI161" s="8">
        <f t="shared" si="14"/>
        <v>18500535</v>
      </c>
    </row>
    <row r="162" spans="1:37" ht="12" hidden="1" customHeight="1">
      <c r="A162" s="13" t="s">
        <v>929</v>
      </c>
      <c r="B162" s="13"/>
      <c r="C162" s="13" t="s">
        <v>40</v>
      </c>
      <c r="D162" s="12"/>
      <c r="E162" s="32"/>
      <c r="G162" s="8">
        <v>824108</v>
      </c>
      <c r="I162" s="8">
        <v>919392</v>
      </c>
      <c r="K162" s="8">
        <v>74691</v>
      </c>
      <c r="M162" s="8">
        <f t="shared" si="12"/>
        <v>1818191</v>
      </c>
      <c r="O162" s="8">
        <v>5666958</v>
      </c>
      <c r="S162" s="8">
        <v>5252366</v>
      </c>
      <c r="U162" s="8">
        <v>173340</v>
      </c>
      <c r="AA162" s="8">
        <v>68189</v>
      </c>
      <c r="AB162" s="39"/>
      <c r="AC162" s="8">
        <v>0</v>
      </c>
      <c r="AE162" s="8">
        <f>3010000+12966</f>
        <v>3022966</v>
      </c>
      <c r="AG162" s="8">
        <f t="shared" si="13"/>
        <v>14183819</v>
      </c>
      <c r="AH162" s="8"/>
      <c r="AI162" s="8">
        <f t="shared" si="14"/>
        <v>16002010</v>
      </c>
    </row>
    <row r="163" spans="1:37" ht="12" customHeight="1">
      <c r="A163" s="12" t="s">
        <v>281</v>
      </c>
      <c r="B163" s="12"/>
      <c r="C163" s="12" t="s">
        <v>114</v>
      </c>
      <c r="D163" s="12"/>
      <c r="E163" s="32">
        <v>43919</v>
      </c>
      <c r="F163" s="7"/>
      <c r="G163" s="8">
        <v>981292</v>
      </c>
      <c r="I163" s="8">
        <v>7630937</v>
      </c>
      <c r="K163" s="8">
        <v>0</v>
      </c>
      <c r="M163" s="8">
        <f t="shared" si="12"/>
        <v>8612229</v>
      </c>
      <c r="O163" s="8">
        <v>5576668</v>
      </c>
      <c r="Q163" s="8">
        <v>0</v>
      </c>
      <c r="S163" s="8">
        <v>7827563</v>
      </c>
      <c r="U163" s="8">
        <v>452381</v>
      </c>
      <c r="W163" s="8">
        <v>0</v>
      </c>
      <c r="Y163" s="8">
        <v>0</v>
      </c>
      <c r="AA163" s="8">
        <v>63046</v>
      </c>
      <c r="AB163" s="39"/>
      <c r="AC163" s="8">
        <v>0</v>
      </c>
      <c r="AE163" s="8">
        <v>0</v>
      </c>
      <c r="AG163" s="8">
        <f t="shared" si="13"/>
        <v>13919658</v>
      </c>
      <c r="AH163" s="8"/>
      <c r="AI163" s="8">
        <f t="shared" si="14"/>
        <v>22531887</v>
      </c>
    </row>
    <row r="164" spans="1:37" ht="12" customHeight="1">
      <c r="A164" s="12" t="s">
        <v>563</v>
      </c>
      <c r="B164" s="12"/>
      <c r="C164" s="12" t="s">
        <v>51</v>
      </c>
      <c r="D164" s="12"/>
      <c r="E164" s="32">
        <v>48835</v>
      </c>
      <c r="G164" s="8">
        <v>1927067</v>
      </c>
      <c r="I164" s="8">
        <v>2141723</v>
      </c>
      <c r="K164" s="8">
        <v>22915</v>
      </c>
      <c r="M164" s="8">
        <f t="shared" si="12"/>
        <v>4091705</v>
      </c>
      <c r="O164" s="8">
        <v>5975745</v>
      </c>
      <c r="Q164" s="8">
        <v>0</v>
      </c>
      <c r="S164" s="8">
        <v>9414390</v>
      </c>
      <c r="U164" s="8">
        <v>127193</v>
      </c>
      <c r="W164" s="8">
        <v>0</v>
      </c>
      <c r="Y164" s="8">
        <v>0</v>
      </c>
      <c r="AA164" s="8">
        <v>152263</v>
      </c>
      <c r="AB164" s="39"/>
      <c r="AC164" s="8">
        <v>0</v>
      </c>
      <c r="AE164" s="8">
        <v>0</v>
      </c>
      <c r="AG164" s="8">
        <f t="shared" si="13"/>
        <v>15669591</v>
      </c>
      <c r="AH164" s="8"/>
      <c r="AI164" s="8">
        <f t="shared" si="14"/>
        <v>19761296</v>
      </c>
    </row>
    <row r="165" spans="1:37" ht="12" customHeight="1">
      <c r="A165" s="12" t="s">
        <v>282</v>
      </c>
      <c r="B165" s="12"/>
      <c r="C165" s="12" t="s">
        <v>114</v>
      </c>
      <c r="D165" s="12"/>
      <c r="E165" s="32">
        <v>43927</v>
      </c>
      <c r="F165" s="7"/>
      <c r="G165" s="8">
        <v>802132</v>
      </c>
      <c r="I165" s="8">
        <v>1549711</v>
      </c>
      <c r="K165" s="8">
        <v>113828</v>
      </c>
      <c r="M165" s="8">
        <f t="shared" si="12"/>
        <v>2465671</v>
      </c>
      <c r="O165" s="8">
        <v>3287888</v>
      </c>
      <c r="Q165" s="8">
        <v>0</v>
      </c>
      <c r="S165" s="8">
        <v>6979141</v>
      </c>
      <c r="U165" s="8">
        <v>0</v>
      </c>
      <c r="W165" s="8">
        <v>0</v>
      </c>
      <c r="Y165" s="8">
        <v>0</v>
      </c>
      <c r="AA165" s="8">
        <v>3029</v>
      </c>
      <c r="AB165" s="39"/>
      <c r="AC165" s="8">
        <v>0</v>
      </c>
      <c r="AE165" s="8">
        <v>0</v>
      </c>
      <c r="AG165" s="8">
        <f t="shared" si="13"/>
        <v>10270058</v>
      </c>
      <c r="AH165" s="8"/>
      <c r="AI165" s="8">
        <f t="shared" si="14"/>
        <v>12735729</v>
      </c>
    </row>
    <row r="166" spans="1:37" ht="12" customHeight="1">
      <c r="A166" s="12" t="s">
        <v>237</v>
      </c>
      <c r="B166" s="12"/>
      <c r="C166" s="12" t="s">
        <v>77</v>
      </c>
      <c r="D166" s="12"/>
      <c r="E166" s="32">
        <v>46037</v>
      </c>
      <c r="F166" s="7"/>
      <c r="G166" s="8">
        <v>1012124</v>
      </c>
      <c r="I166" s="8">
        <v>1532297</v>
      </c>
      <c r="K166" s="8">
        <v>0</v>
      </c>
      <c r="M166" s="8">
        <f t="shared" si="12"/>
        <v>2544421</v>
      </c>
      <c r="O166" s="8">
        <v>3628637</v>
      </c>
      <c r="Q166" s="8">
        <v>0</v>
      </c>
      <c r="S166" s="8">
        <v>7600266</v>
      </c>
      <c r="U166" s="8">
        <v>361791</v>
      </c>
      <c r="W166" s="8">
        <v>54118</v>
      </c>
      <c r="Y166" s="8">
        <v>16816</v>
      </c>
      <c r="AA166" s="8">
        <v>91999</v>
      </c>
      <c r="AB166" s="39"/>
      <c r="AC166" s="8">
        <v>0</v>
      </c>
      <c r="AE166" s="8">
        <v>0</v>
      </c>
      <c r="AG166" s="8">
        <f t="shared" si="13"/>
        <v>11753627</v>
      </c>
      <c r="AH166" s="8"/>
      <c r="AI166" s="8">
        <f t="shared" si="14"/>
        <v>14298048</v>
      </c>
    </row>
    <row r="167" spans="1:37" ht="12" customHeight="1">
      <c r="A167" s="12" t="s">
        <v>237</v>
      </c>
      <c r="B167" s="12"/>
      <c r="C167" s="12" t="s">
        <v>531</v>
      </c>
      <c r="D167" s="12"/>
      <c r="E167" s="32">
        <v>48512</v>
      </c>
      <c r="F167" s="7"/>
      <c r="G167" s="8">
        <v>857035</v>
      </c>
      <c r="I167" s="8">
        <v>1482237</v>
      </c>
      <c r="K167" s="8">
        <v>0</v>
      </c>
      <c r="M167" s="8">
        <f t="shared" si="12"/>
        <v>2339272</v>
      </c>
      <c r="O167" s="8">
        <v>2325194</v>
      </c>
      <c r="Q167" s="8">
        <v>0</v>
      </c>
      <c r="S167" s="8">
        <v>4654178</v>
      </c>
      <c r="U167" s="8">
        <v>29986</v>
      </c>
      <c r="W167" s="8">
        <v>0</v>
      </c>
      <c r="Y167" s="8">
        <v>92786</v>
      </c>
      <c r="AA167" s="8">
        <v>29323</v>
      </c>
      <c r="AB167" s="39"/>
      <c r="AC167" s="8">
        <v>0</v>
      </c>
      <c r="AE167" s="8">
        <v>0</v>
      </c>
      <c r="AG167" s="8">
        <f t="shared" si="13"/>
        <v>7131467</v>
      </c>
      <c r="AH167" s="8"/>
      <c r="AI167" s="8">
        <f t="shared" si="14"/>
        <v>9470739</v>
      </c>
    </row>
    <row r="168" spans="1:37" ht="12" hidden="1" customHeight="1">
      <c r="A168" s="13" t="s">
        <v>931</v>
      </c>
      <c r="B168" s="12"/>
      <c r="C168" s="12" t="s">
        <v>55</v>
      </c>
      <c r="D168" s="12"/>
      <c r="E168" s="32">
        <v>49122</v>
      </c>
      <c r="G168" s="8">
        <v>414573</v>
      </c>
      <c r="I168" s="8">
        <v>2481974</v>
      </c>
      <c r="M168" s="8">
        <f t="shared" si="12"/>
        <v>2896547</v>
      </c>
      <c r="O168" s="8">
        <v>988936</v>
      </c>
      <c r="S168" s="8">
        <v>4972591</v>
      </c>
      <c r="U168" s="8">
        <v>69830</v>
      </c>
      <c r="AA168" s="8">
        <f>3463+32436</f>
        <v>35899</v>
      </c>
      <c r="AB168" s="39"/>
      <c r="AC168" s="8">
        <v>0</v>
      </c>
      <c r="AG168" s="8">
        <f t="shared" si="13"/>
        <v>6067256</v>
      </c>
      <c r="AH168" s="8"/>
      <c r="AI168" s="8">
        <f t="shared" si="14"/>
        <v>8963803</v>
      </c>
    </row>
    <row r="169" spans="1:37" ht="12" customHeight="1">
      <c r="A169" s="12" t="s">
        <v>734</v>
      </c>
      <c r="B169" s="12"/>
      <c r="C169" s="12" t="s">
        <v>72</v>
      </c>
      <c r="D169" s="12"/>
      <c r="E169" s="32">
        <v>50674</v>
      </c>
      <c r="G169" s="8">
        <v>1451575</v>
      </c>
      <c r="I169" s="8">
        <v>886965</v>
      </c>
      <c r="K169" s="8">
        <v>26315</v>
      </c>
      <c r="M169" s="8">
        <f t="shared" si="12"/>
        <v>2364855</v>
      </c>
      <c r="O169" s="8">
        <v>5013878</v>
      </c>
      <c r="Q169" s="8">
        <v>1782159</v>
      </c>
      <c r="S169" s="8">
        <v>7628254</v>
      </c>
      <c r="U169" s="8">
        <v>228777</v>
      </c>
      <c r="W169" s="8">
        <v>480000</v>
      </c>
      <c r="Y169" s="8">
        <v>0</v>
      </c>
      <c r="AA169" s="8">
        <v>41832</v>
      </c>
      <c r="AB169" s="39"/>
      <c r="AC169" s="8">
        <v>0</v>
      </c>
      <c r="AE169" s="8">
        <v>0</v>
      </c>
      <c r="AG169" s="8">
        <f t="shared" si="13"/>
        <v>15174900</v>
      </c>
      <c r="AH169" s="8"/>
      <c r="AI169" s="8">
        <f t="shared" si="14"/>
        <v>17539755</v>
      </c>
    </row>
    <row r="170" spans="1:37" ht="12" customHeight="1">
      <c r="A170" s="12" t="s">
        <v>974</v>
      </c>
      <c r="B170" s="12"/>
      <c r="C170" s="12" t="s">
        <v>57</v>
      </c>
      <c r="D170" s="12"/>
      <c r="E170" s="32">
        <v>43935</v>
      </c>
      <c r="G170" s="8">
        <v>1172282</v>
      </c>
      <c r="I170" s="8">
        <v>1229530</v>
      </c>
      <c r="K170" s="8">
        <v>0</v>
      </c>
      <c r="M170" s="8">
        <f t="shared" si="12"/>
        <v>2401812</v>
      </c>
      <c r="O170" s="8">
        <v>10606483</v>
      </c>
      <c r="Q170" s="8">
        <v>0</v>
      </c>
      <c r="S170" s="8">
        <v>9822321</v>
      </c>
      <c r="U170" s="8">
        <v>0</v>
      </c>
      <c r="W170" s="8">
        <v>0</v>
      </c>
      <c r="Y170" s="8">
        <v>0</v>
      </c>
      <c r="AA170" s="8">
        <v>505483</v>
      </c>
      <c r="AB170" s="39"/>
      <c r="AC170" s="8">
        <v>0</v>
      </c>
      <c r="AE170" s="8">
        <v>0</v>
      </c>
      <c r="AG170" s="8">
        <f t="shared" si="13"/>
        <v>20934287</v>
      </c>
      <c r="AH170" s="8"/>
      <c r="AI170" s="8">
        <f t="shared" si="14"/>
        <v>23336099</v>
      </c>
      <c r="AK170" s="8" t="s">
        <v>956</v>
      </c>
    </row>
    <row r="171" spans="1:37" ht="12" hidden="1" customHeight="1">
      <c r="A171" s="12" t="s">
        <v>932</v>
      </c>
      <c r="B171" s="12"/>
      <c r="C171" s="12" t="s">
        <v>727</v>
      </c>
      <c r="D171" s="12"/>
      <c r="E171" s="32">
        <v>50617</v>
      </c>
      <c r="G171" s="8">
        <v>450631</v>
      </c>
      <c r="I171" s="8">
        <v>588273</v>
      </c>
      <c r="M171" s="8">
        <f t="shared" si="12"/>
        <v>1038904</v>
      </c>
      <c r="O171" s="8">
        <v>1989849</v>
      </c>
      <c r="Q171" s="8">
        <v>726162</v>
      </c>
      <c r="S171" s="8">
        <v>5765897</v>
      </c>
      <c r="U171" s="8">
        <v>43513</v>
      </c>
      <c r="AA171" s="8">
        <f>1714+77687</f>
        <v>79401</v>
      </c>
      <c r="AB171" s="39"/>
      <c r="AC171" s="8">
        <v>0</v>
      </c>
      <c r="AG171" s="8">
        <f t="shared" si="13"/>
        <v>8604822</v>
      </c>
      <c r="AH171" s="8"/>
      <c r="AI171" s="8">
        <f t="shared" si="14"/>
        <v>9643726</v>
      </c>
    </row>
    <row r="172" spans="1:37" ht="12" customHeight="1">
      <c r="A172" s="12" t="s">
        <v>241</v>
      </c>
      <c r="B172" s="12"/>
      <c r="C172" s="12" t="s">
        <v>242</v>
      </c>
      <c r="D172" s="12"/>
      <c r="E172" s="32">
        <v>46094</v>
      </c>
      <c r="F172" s="7"/>
      <c r="G172" s="8">
        <v>1642915</v>
      </c>
      <c r="I172" s="8">
        <v>3018418</v>
      </c>
      <c r="K172" s="8">
        <v>25490</v>
      </c>
      <c r="M172" s="8">
        <f t="shared" si="12"/>
        <v>4686823</v>
      </c>
      <c r="O172" s="8">
        <v>13262271</v>
      </c>
      <c r="Q172" s="8">
        <v>0</v>
      </c>
      <c r="S172" s="8">
        <v>16552612</v>
      </c>
      <c r="U172" s="8">
        <v>116334</v>
      </c>
      <c r="W172" s="8">
        <v>716031</v>
      </c>
      <c r="Y172" s="8">
        <v>0</v>
      </c>
      <c r="AA172" s="8">
        <v>128872</v>
      </c>
      <c r="AB172" s="39"/>
      <c r="AC172" s="8">
        <v>0</v>
      </c>
      <c r="AE172" s="8">
        <v>0</v>
      </c>
      <c r="AG172" s="8">
        <f t="shared" si="13"/>
        <v>30776120</v>
      </c>
      <c r="AH172" s="8"/>
      <c r="AI172" s="8">
        <f t="shared" si="14"/>
        <v>35462943</v>
      </c>
    </row>
    <row r="173" spans="1:37" ht="12" customHeight="1">
      <c r="A173" s="12" t="s">
        <v>450</v>
      </c>
      <c r="B173" s="12"/>
      <c r="C173" s="12" t="s">
        <v>39</v>
      </c>
      <c r="D173" s="12"/>
      <c r="E173" s="32">
        <v>47795</v>
      </c>
      <c r="G173" s="8">
        <v>1152803</v>
      </c>
      <c r="I173" s="8">
        <v>3544682</v>
      </c>
      <c r="K173" s="8">
        <v>26058</v>
      </c>
      <c r="M173" s="8">
        <f t="shared" si="12"/>
        <v>4723543</v>
      </c>
      <c r="O173" s="8">
        <v>7845442</v>
      </c>
      <c r="Q173" s="8">
        <v>0</v>
      </c>
      <c r="S173" s="8">
        <v>8371415</v>
      </c>
      <c r="U173" s="8">
        <v>4280</v>
      </c>
      <c r="W173" s="8">
        <v>0</v>
      </c>
      <c r="Y173" s="8">
        <v>0</v>
      </c>
      <c r="AA173" s="8">
        <v>83427</v>
      </c>
      <c r="AB173" s="39"/>
      <c r="AC173" s="8">
        <v>0</v>
      </c>
      <c r="AE173" s="8">
        <v>0</v>
      </c>
      <c r="AG173" s="8">
        <f t="shared" si="13"/>
        <v>16304564</v>
      </c>
      <c r="AH173" s="8"/>
      <c r="AI173" s="8">
        <f t="shared" si="14"/>
        <v>21028107</v>
      </c>
    </row>
    <row r="174" spans="1:37" ht="12" customHeight="1">
      <c r="A174" s="12" t="s">
        <v>729</v>
      </c>
      <c r="B174" s="12"/>
      <c r="C174" s="12" t="s">
        <v>727</v>
      </c>
      <c r="D174" s="12"/>
      <c r="E174" s="32">
        <v>50625</v>
      </c>
      <c r="G174" s="8">
        <v>738162</v>
      </c>
      <c r="I174" s="8">
        <v>731127</v>
      </c>
      <c r="K174" s="8">
        <v>0</v>
      </c>
      <c r="M174" s="8">
        <f t="shared" si="12"/>
        <v>1469289</v>
      </c>
      <c r="O174" s="8">
        <v>1678529</v>
      </c>
      <c r="Q174" s="8">
        <v>0</v>
      </c>
      <c r="S174" s="8">
        <v>3189384</v>
      </c>
      <c r="U174" s="8">
        <v>63517</v>
      </c>
      <c r="W174" s="8">
        <v>0</v>
      </c>
      <c r="Y174" s="8">
        <v>16756</v>
      </c>
      <c r="AA174" s="8">
        <f>50502+15414</f>
        <v>65916</v>
      </c>
      <c r="AB174" s="39"/>
      <c r="AC174" s="8">
        <v>0</v>
      </c>
      <c r="AE174" s="8">
        <v>0</v>
      </c>
      <c r="AG174" s="8">
        <f t="shared" si="13"/>
        <v>5014102</v>
      </c>
      <c r="AH174" s="8"/>
      <c r="AI174" s="8">
        <f t="shared" si="14"/>
        <v>6483391</v>
      </c>
    </row>
    <row r="175" spans="1:37" ht="12" hidden="1" customHeight="1">
      <c r="A175" s="13" t="s">
        <v>934</v>
      </c>
      <c r="B175" s="13"/>
      <c r="C175" s="13" t="s">
        <v>10</v>
      </c>
      <c r="D175" s="12"/>
      <c r="E175" s="32"/>
      <c r="G175" s="8">
        <v>2069770</v>
      </c>
      <c r="I175" s="8">
        <v>2022496</v>
      </c>
      <c r="K175" s="8">
        <v>280606</v>
      </c>
      <c r="M175" s="8">
        <f t="shared" si="12"/>
        <v>4372872</v>
      </c>
      <c r="O175" s="8">
        <v>9010439</v>
      </c>
      <c r="S175" s="8">
        <v>11621412</v>
      </c>
      <c r="U175" s="8">
        <v>116879</v>
      </c>
      <c r="AA175" s="8">
        <f>344203+1168601+38249986</f>
        <v>39762790</v>
      </c>
      <c r="AB175" s="39"/>
      <c r="AC175" s="8">
        <v>0</v>
      </c>
      <c r="AG175" s="8">
        <f t="shared" si="13"/>
        <v>60511520</v>
      </c>
      <c r="AH175" s="8"/>
      <c r="AI175" s="8">
        <f t="shared" si="14"/>
        <v>64884392</v>
      </c>
    </row>
    <row r="176" spans="1:37" ht="12" customHeight="1">
      <c r="A176" s="12" t="s">
        <v>977</v>
      </c>
      <c r="B176" s="12"/>
      <c r="C176" s="12" t="s">
        <v>46</v>
      </c>
      <c r="D176" s="12"/>
      <c r="E176" s="32">
        <v>48413</v>
      </c>
      <c r="G176" s="8">
        <v>1976416</v>
      </c>
      <c r="I176" s="8">
        <v>1475700</v>
      </c>
      <c r="K176" s="8">
        <v>37937</v>
      </c>
      <c r="M176" s="8">
        <f t="shared" si="12"/>
        <v>3490053</v>
      </c>
      <c r="O176" s="8">
        <v>3442411</v>
      </c>
      <c r="Q176" s="8">
        <v>0</v>
      </c>
      <c r="S176" s="8">
        <v>6740646</v>
      </c>
      <c r="U176" s="8">
        <v>37521</v>
      </c>
      <c r="W176" s="8">
        <v>0</v>
      </c>
      <c r="Y176" s="8">
        <v>6542</v>
      </c>
      <c r="AA176" s="8">
        <v>39023</v>
      </c>
      <c r="AB176" s="39"/>
      <c r="AC176" s="8">
        <v>0</v>
      </c>
      <c r="AE176" s="8">
        <v>0</v>
      </c>
      <c r="AG176" s="8">
        <f t="shared" si="13"/>
        <v>10266143</v>
      </c>
      <c r="AH176" s="8"/>
      <c r="AI176" s="8">
        <f t="shared" si="14"/>
        <v>13756196</v>
      </c>
      <c r="AK176" s="8"/>
    </row>
    <row r="177" spans="1:37" ht="12" hidden="1" customHeight="1">
      <c r="A177" s="12" t="s">
        <v>1020</v>
      </c>
      <c r="B177" s="12"/>
      <c r="C177" s="12" t="s">
        <v>72</v>
      </c>
      <c r="D177" s="12"/>
      <c r="E177" s="32"/>
      <c r="G177" s="8">
        <v>391522</v>
      </c>
      <c r="K177" s="8">
        <v>209847</v>
      </c>
      <c r="M177" s="8">
        <f>SUM(G177:L177)</f>
        <v>601369</v>
      </c>
      <c r="O177" s="8">
        <v>3898540</v>
      </c>
      <c r="S177" s="8">
        <f>7194642+370127</f>
        <v>7564769</v>
      </c>
      <c r="U177" s="8">
        <v>101238</v>
      </c>
      <c r="AA177" s="8">
        <f>40098+255333+5923+245380+164635</f>
        <v>711369</v>
      </c>
      <c r="AB177" s="39"/>
      <c r="AC177" s="8">
        <v>0</v>
      </c>
      <c r="AG177" s="8">
        <f>SUM(O177:AE177)</f>
        <v>12275916</v>
      </c>
      <c r="AH177" s="8"/>
      <c r="AI177" s="8">
        <f>+AG177+M177</f>
        <v>12877285</v>
      </c>
      <c r="AK177" s="8" t="s">
        <v>967</v>
      </c>
    </row>
    <row r="178" spans="1:37" ht="12" customHeight="1">
      <c r="A178" s="12" t="s">
        <v>487</v>
      </c>
      <c r="B178" s="12"/>
      <c r="C178" s="12" t="s">
        <v>44</v>
      </c>
      <c r="D178" s="12"/>
      <c r="E178" s="32">
        <v>43943</v>
      </c>
      <c r="G178" s="8">
        <v>3027003</v>
      </c>
      <c r="I178" s="8">
        <v>13797301</v>
      </c>
      <c r="K178" s="8">
        <v>250340</v>
      </c>
      <c r="M178" s="8">
        <f t="shared" si="12"/>
        <v>17074644</v>
      </c>
      <c r="O178" s="8">
        <v>29534267</v>
      </c>
      <c r="Q178" s="8">
        <v>0</v>
      </c>
      <c r="S178" s="8">
        <v>38831619</v>
      </c>
      <c r="U178" s="8">
        <v>245150</v>
      </c>
      <c r="W178" s="8">
        <v>0</v>
      </c>
      <c r="Y178" s="8">
        <v>0</v>
      </c>
      <c r="AA178" s="8">
        <v>2689253</v>
      </c>
      <c r="AB178" s="39"/>
      <c r="AC178" s="8">
        <v>0</v>
      </c>
      <c r="AE178" s="8">
        <v>0</v>
      </c>
      <c r="AG178" s="8">
        <f t="shared" si="13"/>
        <v>71300289</v>
      </c>
      <c r="AH178" s="8"/>
      <c r="AI178" s="8">
        <f t="shared" si="14"/>
        <v>88374933</v>
      </c>
    </row>
    <row r="179" spans="1:37" ht="12" customHeight="1">
      <c r="A179" s="12" t="s">
        <v>306</v>
      </c>
      <c r="B179" s="12"/>
      <c r="C179" s="12" t="s">
        <v>20</v>
      </c>
      <c r="D179" s="12"/>
      <c r="E179" s="32">
        <v>43950</v>
      </c>
      <c r="G179" s="8">
        <v>6590445</v>
      </c>
      <c r="I179" s="8">
        <v>7012788</v>
      </c>
      <c r="K179" s="8">
        <v>0</v>
      </c>
      <c r="M179" s="8">
        <f t="shared" si="12"/>
        <v>13603233</v>
      </c>
      <c r="O179" s="8">
        <v>37374004</v>
      </c>
      <c r="Q179" s="8">
        <v>5745681</v>
      </c>
      <c r="S179" s="8">
        <v>29350742</v>
      </c>
      <c r="U179" s="8">
        <v>333592</v>
      </c>
      <c r="W179" s="8">
        <v>287593</v>
      </c>
      <c r="Y179" s="8">
        <v>0</v>
      </c>
      <c r="AA179" s="8">
        <v>122532</v>
      </c>
      <c r="AB179" s="39"/>
      <c r="AC179" s="8">
        <v>0</v>
      </c>
      <c r="AE179" s="8">
        <v>0</v>
      </c>
      <c r="AG179" s="8">
        <f t="shared" si="13"/>
        <v>73214144</v>
      </c>
      <c r="AH179" s="8"/>
      <c r="AI179" s="8">
        <f t="shared" si="14"/>
        <v>86817377</v>
      </c>
    </row>
    <row r="180" spans="1:37" ht="12" hidden="1" customHeight="1">
      <c r="A180" s="13" t="s">
        <v>840</v>
      </c>
      <c r="B180" s="12"/>
      <c r="C180" s="12" t="s">
        <v>28</v>
      </c>
      <c r="D180" s="12"/>
      <c r="E180" s="32">
        <v>47050</v>
      </c>
      <c r="G180" s="8">
        <v>1289485</v>
      </c>
      <c r="I180" s="8">
        <v>887150</v>
      </c>
      <c r="K180" s="8">
        <v>52257</v>
      </c>
      <c r="M180" s="8">
        <f t="shared" si="12"/>
        <v>2228892</v>
      </c>
      <c r="O180" s="8">
        <v>7103672</v>
      </c>
      <c r="S180" s="8">
        <v>5780124</v>
      </c>
      <c r="U180" s="8">
        <v>136912</v>
      </c>
      <c r="AA180" s="8">
        <v>111780</v>
      </c>
      <c r="AB180" s="39"/>
      <c r="AC180" s="8">
        <v>0</v>
      </c>
      <c r="AG180" s="8">
        <f t="shared" si="13"/>
        <v>13132488</v>
      </c>
      <c r="AH180" s="8"/>
      <c r="AI180" s="8">
        <f t="shared" si="14"/>
        <v>15361380</v>
      </c>
    </row>
    <row r="181" spans="1:37" ht="12" customHeight="1">
      <c r="A181" s="12" t="s">
        <v>702</v>
      </c>
      <c r="B181" s="12"/>
      <c r="C181" s="12" t="s">
        <v>66</v>
      </c>
      <c r="D181" s="12"/>
      <c r="E181" s="32">
        <v>50328</v>
      </c>
      <c r="G181" s="8">
        <v>398168</v>
      </c>
      <c r="I181" s="8">
        <v>717661</v>
      </c>
      <c r="K181" s="8">
        <v>16321</v>
      </c>
      <c r="M181" s="8">
        <f t="shared" si="12"/>
        <v>1132150</v>
      </c>
      <c r="O181" s="8">
        <v>7375967</v>
      </c>
      <c r="Q181" s="8">
        <v>0</v>
      </c>
      <c r="S181" s="8">
        <v>3009443</v>
      </c>
      <c r="U181" s="8">
        <v>166531</v>
      </c>
      <c r="W181" s="8">
        <v>0</v>
      </c>
      <c r="Y181" s="8">
        <v>0</v>
      </c>
      <c r="AA181" s="8">
        <v>66135</v>
      </c>
      <c r="AB181" s="39"/>
      <c r="AC181" s="8">
        <v>0</v>
      </c>
      <c r="AE181" s="8">
        <v>0</v>
      </c>
      <c r="AG181" s="8">
        <f t="shared" si="13"/>
        <v>10618076</v>
      </c>
      <c r="AH181" s="8"/>
      <c r="AI181" s="8">
        <f t="shared" si="14"/>
        <v>11750226</v>
      </c>
    </row>
    <row r="182" spans="1:37" ht="12" customHeight="1">
      <c r="A182" s="12" t="s">
        <v>851</v>
      </c>
      <c r="B182" s="12"/>
      <c r="C182" s="12" t="s">
        <v>116</v>
      </c>
      <c r="D182" s="12"/>
      <c r="E182" s="32">
        <v>46102</v>
      </c>
      <c r="F182" s="7"/>
      <c r="G182" s="8">
        <v>1539122</v>
      </c>
      <c r="I182" s="8">
        <v>4782528</v>
      </c>
      <c r="K182" s="8">
        <v>0</v>
      </c>
      <c r="M182" s="8">
        <f>SUM(G182:L182)</f>
        <v>6321650</v>
      </c>
      <c r="O182" s="8">
        <v>18547518</v>
      </c>
      <c r="Q182" s="8">
        <v>3279080</v>
      </c>
      <c r="S182" s="8">
        <v>22310367</v>
      </c>
      <c r="U182" s="8">
        <v>222689</v>
      </c>
      <c r="W182" s="8">
        <v>168365</v>
      </c>
      <c r="Y182" s="8">
        <v>0</v>
      </c>
      <c r="AA182" s="8">
        <v>362700</v>
      </c>
      <c r="AB182" s="39"/>
      <c r="AC182" s="8">
        <v>0</v>
      </c>
      <c r="AE182" s="8">
        <v>0</v>
      </c>
      <c r="AG182" s="8">
        <f>SUM(O182:AE182)</f>
        <v>44890719</v>
      </c>
      <c r="AH182" s="8"/>
      <c r="AI182" s="8">
        <f>+AG182+M182</f>
        <v>51212369</v>
      </c>
    </row>
    <row r="183" spans="1:37" ht="12" customHeight="1">
      <c r="A183" s="12" t="s">
        <v>243</v>
      </c>
      <c r="B183" s="12"/>
      <c r="C183" s="12" t="s">
        <v>242</v>
      </c>
      <c r="D183" s="12"/>
      <c r="E183" s="32">
        <v>46102</v>
      </c>
      <c r="F183" s="7"/>
      <c r="G183" s="8">
        <v>5227473</v>
      </c>
      <c r="I183" s="8">
        <v>7681121</v>
      </c>
      <c r="K183" s="8">
        <v>127280</v>
      </c>
      <c r="M183" s="8">
        <f t="shared" si="12"/>
        <v>13035874</v>
      </c>
      <c r="O183" s="8">
        <v>42665090</v>
      </c>
      <c r="Q183" s="8">
        <v>0</v>
      </c>
      <c r="S183" s="8">
        <v>30971560</v>
      </c>
      <c r="U183" s="8">
        <v>0</v>
      </c>
      <c r="W183" s="8">
        <v>0</v>
      </c>
      <c r="Y183" s="8">
        <v>0</v>
      </c>
      <c r="AA183" s="8">
        <v>3217614</v>
      </c>
      <c r="AB183" s="39"/>
      <c r="AC183" s="8">
        <v>0</v>
      </c>
      <c r="AE183" s="8">
        <v>0</v>
      </c>
      <c r="AG183" s="8">
        <f t="shared" ref="AG183:AG186" si="15">SUM(O183:AE183)</f>
        <v>76854264</v>
      </c>
      <c r="AH183" s="8"/>
      <c r="AI183" s="8">
        <f t="shared" ref="AI183:AI186" si="16">+AG183+M183</f>
        <v>89890138</v>
      </c>
    </row>
    <row r="184" spans="1:37" ht="12" customHeight="1">
      <c r="A184" s="12" t="s">
        <v>436</v>
      </c>
      <c r="B184" s="12"/>
      <c r="C184" s="12" t="s">
        <v>435</v>
      </c>
      <c r="D184" s="12"/>
      <c r="E184" s="32">
        <v>47621</v>
      </c>
      <c r="G184" s="8">
        <v>477072</v>
      </c>
      <c r="I184" s="8">
        <v>927572</v>
      </c>
      <c r="K184" s="8">
        <v>0</v>
      </c>
      <c r="M184" s="8">
        <f t="shared" si="12"/>
        <v>1404644</v>
      </c>
      <c r="O184" s="8">
        <v>1769494</v>
      </c>
      <c r="Q184" s="8">
        <v>0</v>
      </c>
      <c r="S184" s="8">
        <v>4978139</v>
      </c>
      <c r="U184" s="8">
        <v>0</v>
      </c>
      <c r="W184" s="8">
        <v>0</v>
      </c>
      <c r="Y184" s="8">
        <v>2800</v>
      </c>
      <c r="AA184" s="8">
        <f>75936+17534</f>
        <v>93470</v>
      </c>
      <c r="AB184" s="39"/>
      <c r="AC184" s="8">
        <v>0</v>
      </c>
      <c r="AE184" s="8">
        <v>0</v>
      </c>
      <c r="AG184" s="8">
        <f t="shared" si="15"/>
        <v>6843903</v>
      </c>
      <c r="AH184" s="8"/>
      <c r="AI184" s="8">
        <f t="shared" si="16"/>
        <v>8248547</v>
      </c>
    </row>
    <row r="185" spans="1:37" ht="12" customHeight="1">
      <c r="A185" s="12" t="s">
        <v>346</v>
      </c>
      <c r="B185" s="12"/>
      <c r="C185" s="12" t="s">
        <v>25</v>
      </c>
      <c r="D185" s="12"/>
      <c r="E185" s="32">
        <v>46870</v>
      </c>
      <c r="G185" s="8">
        <v>2122506</v>
      </c>
      <c r="I185" s="8">
        <v>1034795</v>
      </c>
      <c r="K185" s="8">
        <v>0</v>
      </c>
      <c r="M185" s="8">
        <f t="shared" si="12"/>
        <v>3157301</v>
      </c>
      <c r="O185" s="8">
        <v>4470980</v>
      </c>
      <c r="Q185" s="8">
        <v>4803989</v>
      </c>
      <c r="S185" s="8">
        <v>10110336</v>
      </c>
      <c r="U185" s="8">
        <v>1002467</v>
      </c>
      <c r="W185" s="8">
        <v>0</v>
      </c>
      <c r="Y185" s="8">
        <v>0</v>
      </c>
      <c r="AA185" s="8">
        <f>16867176+145004</f>
        <v>17012180</v>
      </c>
      <c r="AB185" s="39"/>
      <c r="AC185" s="8">
        <v>0</v>
      </c>
      <c r="AE185" s="8">
        <v>0</v>
      </c>
      <c r="AG185" s="8">
        <f t="shared" si="15"/>
        <v>37399952</v>
      </c>
      <c r="AH185" s="8"/>
      <c r="AI185" s="8">
        <f t="shared" si="16"/>
        <v>40557253</v>
      </c>
    </row>
    <row r="186" spans="1:37" ht="12" customHeight="1">
      <c r="A186" s="12" t="s">
        <v>468</v>
      </c>
      <c r="B186" s="12"/>
      <c r="C186" s="12" t="s">
        <v>466</v>
      </c>
      <c r="D186" s="12"/>
      <c r="E186" s="32">
        <v>47936</v>
      </c>
      <c r="G186" s="8">
        <v>1228523</v>
      </c>
      <c r="I186" s="8">
        <v>2107203</v>
      </c>
      <c r="K186" s="8">
        <v>11482</v>
      </c>
      <c r="M186" s="8">
        <f t="shared" si="12"/>
        <v>3347208</v>
      </c>
      <c r="O186" s="8">
        <v>3511054</v>
      </c>
      <c r="Q186" s="8">
        <v>0</v>
      </c>
      <c r="S186" s="8">
        <v>9270094</v>
      </c>
      <c r="U186" s="8">
        <v>66551</v>
      </c>
      <c r="W186" s="8">
        <v>0</v>
      </c>
      <c r="Y186" s="8">
        <v>0</v>
      </c>
      <c r="AA186" s="8">
        <v>25375</v>
      </c>
      <c r="AB186" s="39"/>
      <c r="AC186" s="8">
        <v>0</v>
      </c>
      <c r="AE186" s="8">
        <v>0</v>
      </c>
      <c r="AG186" s="8">
        <f t="shared" si="15"/>
        <v>12873074</v>
      </c>
      <c r="AH186" s="8"/>
      <c r="AI186" s="8">
        <f t="shared" si="16"/>
        <v>16220282</v>
      </c>
    </row>
    <row r="187" spans="1:37" ht="12" hidden="1" customHeight="1">
      <c r="A187" s="12" t="s">
        <v>841</v>
      </c>
      <c r="B187" s="12"/>
      <c r="C187" s="12" t="s">
        <v>61</v>
      </c>
      <c r="D187" s="12"/>
      <c r="E187" s="32">
        <v>49775</v>
      </c>
      <c r="G187" s="8">
        <v>1030763</v>
      </c>
      <c r="I187" s="8">
        <v>446137</v>
      </c>
      <c r="K187" s="8">
        <v>7864288</v>
      </c>
      <c r="M187" s="8">
        <f t="shared" si="12"/>
        <v>9341188</v>
      </c>
      <c r="O187" s="8">
        <v>1200272</v>
      </c>
      <c r="Q187" s="8">
        <v>347090</v>
      </c>
      <c r="S187" s="8">
        <v>2478261</v>
      </c>
      <c r="U187" s="8">
        <v>292551</v>
      </c>
      <c r="AA187" s="8">
        <v>43964</v>
      </c>
      <c r="AB187" s="39"/>
      <c r="AC187" s="8">
        <v>0</v>
      </c>
      <c r="AG187" s="8">
        <f t="shared" si="13"/>
        <v>4362138</v>
      </c>
      <c r="AH187" s="8"/>
      <c r="AI187" s="8">
        <f t="shared" si="14"/>
        <v>13703326</v>
      </c>
    </row>
    <row r="188" spans="1:37" ht="12" customHeight="1">
      <c r="A188" s="12" t="s">
        <v>651</v>
      </c>
      <c r="B188" s="12"/>
      <c r="C188" s="12" t="s">
        <v>62</v>
      </c>
      <c r="D188" s="12"/>
      <c r="E188" s="32">
        <v>49841</v>
      </c>
      <c r="G188" s="8">
        <v>1176402</v>
      </c>
      <c r="I188" s="8">
        <v>2062109</v>
      </c>
      <c r="K188" s="8">
        <v>21536</v>
      </c>
      <c r="M188" s="8">
        <f t="shared" si="12"/>
        <v>3260047</v>
      </c>
      <c r="O188" s="8">
        <v>5957071</v>
      </c>
      <c r="Q188" s="8">
        <v>0</v>
      </c>
      <c r="S188" s="8">
        <v>8689446</v>
      </c>
      <c r="U188" s="8">
        <v>71897</v>
      </c>
      <c r="W188" s="8">
        <v>0</v>
      </c>
      <c r="Y188" s="8">
        <v>0</v>
      </c>
      <c r="AA188" s="8">
        <v>122183</v>
      </c>
      <c r="AB188" s="39"/>
      <c r="AC188" s="8">
        <v>0</v>
      </c>
      <c r="AE188" s="8">
        <v>0</v>
      </c>
      <c r="AG188" s="8">
        <f t="shared" si="13"/>
        <v>14840597</v>
      </c>
      <c r="AH188" s="8"/>
      <c r="AI188" s="8">
        <f t="shared" si="14"/>
        <v>18100644</v>
      </c>
    </row>
    <row r="189" spans="1:37" ht="12" hidden="1" customHeight="1">
      <c r="A189" s="91" t="s">
        <v>972</v>
      </c>
      <c r="B189" s="12"/>
      <c r="C189" s="12" t="s">
        <v>41</v>
      </c>
      <c r="D189" s="12"/>
      <c r="E189" s="32">
        <v>45369</v>
      </c>
      <c r="M189" s="8">
        <f t="shared" si="12"/>
        <v>0</v>
      </c>
      <c r="AB189" s="39"/>
      <c r="AC189" s="8">
        <v>0</v>
      </c>
      <c r="AG189" s="8">
        <f t="shared" si="13"/>
        <v>0</v>
      </c>
      <c r="AH189" s="8"/>
      <c r="AI189" s="8">
        <f t="shared" si="14"/>
        <v>0</v>
      </c>
    </row>
    <row r="190" spans="1:37" ht="12" customHeight="1">
      <c r="A190" s="12" t="s">
        <v>307</v>
      </c>
      <c r="B190" s="12"/>
      <c r="C190" s="12" t="s">
        <v>20</v>
      </c>
      <c r="D190" s="12"/>
      <c r="E190" s="32">
        <v>43976</v>
      </c>
      <c r="G190" s="8">
        <v>1490006</v>
      </c>
      <c r="I190" s="8">
        <v>1405810</v>
      </c>
      <c r="K190" s="8">
        <v>0</v>
      </c>
      <c r="M190" s="8">
        <f t="shared" si="12"/>
        <v>2895816</v>
      </c>
      <c r="O190" s="8">
        <v>18231813</v>
      </c>
      <c r="Q190" s="8">
        <v>0</v>
      </c>
      <c r="S190" s="8">
        <v>5288005</v>
      </c>
      <c r="U190" s="8">
        <v>513033</v>
      </c>
      <c r="W190" s="8">
        <v>0</v>
      </c>
      <c r="Y190" s="8">
        <v>0</v>
      </c>
      <c r="AA190" s="8">
        <v>135256</v>
      </c>
      <c r="AB190" s="39"/>
      <c r="AC190" s="8">
        <v>0</v>
      </c>
      <c r="AE190" s="8">
        <v>0</v>
      </c>
      <c r="AG190" s="8">
        <f t="shared" si="13"/>
        <v>24168107</v>
      </c>
      <c r="AH190" s="8"/>
      <c r="AI190" s="8">
        <f t="shared" si="14"/>
        <v>27063923</v>
      </c>
    </row>
    <row r="191" spans="1:37" ht="12" customHeight="1">
      <c r="A191" s="12" t="s">
        <v>936</v>
      </c>
      <c r="B191" s="12"/>
      <c r="C191" s="12" t="s">
        <v>28</v>
      </c>
      <c r="D191" s="12"/>
      <c r="E191" s="32"/>
      <c r="G191" s="8">
        <v>274898</v>
      </c>
      <c r="I191" s="8">
        <v>648405</v>
      </c>
      <c r="K191" s="8">
        <v>6234</v>
      </c>
      <c r="M191" s="8">
        <f t="shared" si="12"/>
        <v>929537</v>
      </c>
      <c r="O191" s="8">
        <f>1031510+245594+16368</f>
        <v>1293472</v>
      </c>
      <c r="Q191" s="8">
        <v>418013</v>
      </c>
      <c r="S191" s="8">
        <v>2574348</v>
      </c>
      <c r="U191" s="8">
        <v>73387</v>
      </c>
      <c r="W191" s="8">
        <v>0</v>
      </c>
      <c r="Y191" s="8">
        <v>1577</v>
      </c>
      <c r="AA191" s="8">
        <v>135364</v>
      </c>
      <c r="AB191" s="39"/>
      <c r="AC191" s="8">
        <v>0</v>
      </c>
      <c r="AE191" s="8">
        <v>0</v>
      </c>
      <c r="AG191" s="8">
        <f t="shared" si="13"/>
        <v>4496161</v>
      </c>
      <c r="AH191" s="8"/>
      <c r="AI191" s="8">
        <f t="shared" si="14"/>
        <v>5425698</v>
      </c>
    </row>
    <row r="192" spans="1:37" ht="12" customHeight="1">
      <c r="A192" s="12" t="s">
        <v>238</v>
      </c>
      <c r="B192" s="12"/>
      <c r="C192" s="12" t="s">
        <v>77</v>
      </c>
      <c r="D192" s="12"/>
      <c r="E192" s="32">
        <v>46045</v>
      </c>
      <c r="F192" s="7"/>
      <c r="G192" s="8">
        <v>1113480</v>
      </c>
      <c r="I192" s="8">
        <v>949970</v>
      </c>
      <c r="K192" s="8">
        <v>0</v>
      </c>
      <c r="M192" s="8">
        <f t="shared" si="12"/>
        <v>2063450</v>
      </c>
      <c r="O192" s="8">
        <v>2547594</v>
      </c>
      <c r="Q192" s="8">
        <v>0</v>
      </c>
      <c r="S192" s="8">
        <v>4799913</v>
      </c>
      <c r="U192" s="8">
        <v>207288</v>
      </c>
      <c r="W192" s="8">
        <v>0</v>
      </c>
      <c r="Y192" s="8">
        <v>0</v>
      </c>
      <c r="AA192" s="8">
        <v>97458</v>
      </c>
      <c r="AB192" s="39"/>
      <c r="AC192" s="8">
        <v>0</v>
      </c>
      <c r="AE192" s="8">
        <v>0</v>
      </c>
      <c r="AG192" s="8">
        <f t="shared" si="13"/>
        <v>7652253</v>
      </c>
      <c r="AH192" s="8"/>
      <c r="AI192" s="8">
        <f t="shared" si="14"/>
        <v>9715703</v>
      </c>
    </row>
    <row r="193" spans="1:37" ht="12" customHeight="1">
      <c r="A193" s="13" t="s">
        <v>937</v>
      </c>
      <c r="B193" s="13"/>
      <c r="C193" s="13" t="s">
        <v>13</v>
      </c>
      <c r="D193" s="12"/>
      <c r="E193" s="32"/>
      <c r="F193" s="7"/>
      <c r="G193" s="8">
        <v>754298</v>
      </c>
      <c r="I193" s="8">
        <v>3084355</v>
      </c>
      <c r="K193" s="8">
        <v>25851</v>
      </c>
      <c r="M193" s="8">
        <f t="shared" si="12"/>
        <v>3864504</v>
      </c>
      <c r="O193" s="8">
        <v>3109518</v>
      </c>
      <c r="Q193" s="8">
        <v>0</v>
      </c>
      <c r="S193" s="8">
        <v>7806372</v>
      </c>
      <c r="U193" s="8">
        <v>54062</v>
      </c>
      <c r="W193" s="8">
        <v>0</v>
      </c>
      <c r="Y193" s="8">
        <v>1000</v>
      </c>
      <c r="AA193" s="8">
        <f>10591+6141</f>
        <v>16732</v>
      </c>
      <c r="AB193" s="39"/>
      <c r="AC193" s="8">
        <v>0</v>
      </c>
      <c r="AE193" s="8">
        <v>0</v>
      </c>
      <c r="AG193" s="8">
        <f t="shared" si="13"/>
        <v>10987684</v>
      </c>
      <c r="AH193" s="8"/>
      <c r="AI193" s="8">
        <f t="shared" si="14"/>
        <v>14852188</v>
      </c>
    </row>
    <row r="194" spans="1:37" ht="12" customHeight="1">
      <c r="A194" s="12" t="s">
        <v>268</v>
      </c>
      <c r="B194" s="12"/>
      <c r="C194" s="12" t="s">
        <v>115</v>
      </c>
      <c r="D194" s="12"/>
      <c r="E194" s="32">
        <v>46334</v>
      </c>
      <c r="F194" s="7"/>
      <c r="G194" s="8">
        <v>712646</v>
      </c>
      <c r="I194" s="8">
        <v>1669300</v>
      </c>
      <c r="K194" s="8">
        <v>280313</v>
      </c>
      <c r="M194" s="8">
        <f t="shared" si="12"/>
        <v>2662259</v>
      </c>
      <c r="O194" s="8">
        <v>1703670</v>
      </c>
      <c r="Q194" s="8">
        <v>0</v>
      </c>
      <c r="S194" s="8">
        <v>6934561</v>
      </c>
      <c r="U194" s="8">
        <v>36343</v>
      </c>
      <c r="W194" s="8">
        <v>0</v>
      </c>
      <c r="Y194" s="8">
        <v>0</v>
      </c>
      <c r="AA194" s="8">
        <v>146649</v>
      </c>
      <c r="AB194" s="39"/>
      <c r="AC194" s="8">
        <v>0</v>
      </c>
      <c r="AE194" s="8">
        <v>0</v>
      </c>
      <c r="AG194" s="8">
        <f t="shared" si="13"/>
        <v>8821223</v>
      </c>
      <c r="AH194" s="8"/>
      <c r="AI194" s="8">
        <f t="shared" si="14"/>
        <v>11483482</v>
      </c>
    </row>
    <row r="195" spans="1:37" s="35" customFormat="1" ht="12" customHeight="1">
      <c r="A195" s="12" t="s">
        <v>1054</v>
      </c>
      <c r="B195" s="34"/>
      <c r="C195" s="34" t="s">
        <v>56</v>
      </c>
      <c r="D195" s="34"/>
      <c r="E195" s="34">
        <v>49197</v>
      </c>
      <c r="G195" s="8">
        <v>1869457</v>
      </c>
      <c r="H195" s="8"/>
      <c r="I195" s="8">
        <v>1382078</v>
      </c>
      <c r="J195" s="8"/>
      <c r="K195" s="8">
        <v>26662</v>
      </c>
      <c r="L195" s="8"/>
      <c r="M195" s="8">
        <f t="shared" si="12"/>
        <v>3278197</v>
      </c>
      <c r="N195" s="8"/>
      <c r="O195" s="8">
        <v>10335114</v>
      </c>
      <c r="P195" s="8"/>
      <c r="Q195" s="8">
        <v>0</v>
      </c>
      <c r="R195" s="8"/>
      <c r="S195" s="8">
        <v>8643160</v>
      </c>
      <c r="T195" s="8"/>
      <c r="U195" s="8">
        <v>41626</v>
      </c>
      <c r="V195" s="8"/>
      <c r="W195" s="8">
        <v>343108</v>
      </c>
      <c r="X195" s="8"/>
      <c r="Y195" s="8">
        <v>0</v>
      </c>
      <c r="Z195" s="8"/>
      <c r="AA195" s="8">
        <v>60893</v>
      </c>
      <c r="AB195" s="39"/>
      <c r="AC195" s="8">
        <v>0</v>
      </c>
      <c r="AD195" s="8"/>
      <c r="AE195" s="8">
        <v>0</v>
      </c>
      <c r="AF195" s="8"/>
      <c r="AG195" s="8">
        <f t="shared" si="13"/>
        <v>19423901</v>
      </c>
      <c r="AH195" s="8"/>
      <c r="AI195" s="8">
        <f t="shared" si="14"/>
        <v>22702098</v>
      </c>
    </row>
    <row r="196" spans="1:37" ht="12" customHeight="1">
      <c r="A196" s="12" t="s">
        <v>416</v>
      </c>
      <c r="B196" s="12"/>
      <c r="C196" s="12" t="s">
        <v>33</v>
      </c>
      <c r="D196" s="12"/>
      <c r="E196" s="32">
        <v>43984</v>
      </c>
      <c r="G196" s="8">
        <v>5311317</v>
      </c>
      <c r="I196" s="8">
        <v>4908471</v>
      </c>
      <c r="K196" s="8">
        <v>228181</v>
      </c>
      <c r="M196" s="8">
        <f t="shared" si="12"/>
        <v>10447969</v>
      </c>
      <c r="O196" s="8">
        <v>26945393</v>
      </c>
      <c r="Q196" s="8">
        <v>0</v>
      </c>
      <c r="S196" s="8">
        <v>27911759</v>
      </c>
      <c r="U196" s="8">
        <v>802716</v>
      </c>
      <c r="W196" s="8">
        <v>0</v>
      </c>
      <c r="Y196" s="8">
        <v>0</v>
      </c>
      <c r="AA196" s="8">
        <v>695892</v>
      </c>
      <c r="AB196" s="39"/>
      <c r="AC196" s="8">
        <v>0</v>
      </c>
      <c r="AE196" s="8">
        <v>0</v>
      </c>
      <c r="AG196" s="8">
        <f t="shared" si="13"/>
        <v>56355760</v>
      </c>
      <c r="AH196" s="8"/>
      <c r="AI196" s="8">
        <f t="shared" si="14"/>
        <v>66803729</v>
      </c>
    </row>
    <row r="197" spans="1:37" ht="12" customHeight="1">
      <c r="A197" s="12" t="s">
        <v>393</v>
      </c>
      <c r="B197" s="12"/>
      <c r="C197" s="12" t="s">
        <v>32</v>
      </c>
      <c r="D197" s="12"/>
      <c r="E197" s="32">
        <v>47332</v>
      </c>
      <c r="G197" s="8">
        <v>701881</v>
      </c>
      <c r="I197" s="8">
        <v>3297051</v>
      </c>
      <c r="K197" s="8">
        <v>9800</v>
      </c>
      <c r="M197" s="8">
        <f t="shared" si="12"/>
        <v>4008732</v>
      </c>
      <c r="O197" s="8">
        <v>9424753</v>
      </c>
      <c r="Q197" s="8">
        <v>0</v>
      </c>
      <c r="S197" s="8">
        <v>6508593</v>
      </c>
      <c r="U197" s="8">
        <v>0</v>
      </c>
      <c r="W197" s="8">
        <v>0</v>
      </c>
      <c r="Y197" s="8">
        <v>0</v>
      </c>
      <c r="AA197" s="8">
        <v>219922</v>
      </c>
      <c r="AB197" s="39"/>
      <c r="AC197" s="8">
        <v>0</v>
      </c>
      <c r="AE197" s="8">
        <v>0</v>
      </c>
      <c r="AG197" s="8">
        <f t="shared" si="13"/>
        <v>16153268</v>
      </c>
      <c r="AH197" s="8"/>
      <c r="AI197" s="8">
        <f t="shared" si="14"/>
        <v>20162000</v>
      </c>
    </row>
    <row r="198" spans="1:37" ht="12" customHeight="1">
      <c r="A198" s="12" t="s">
        <v>488</v>
      </c>
      <c r="B198" s="12"/>
      <c r="C198" s="12" t="s">
        <v>44</v>
      </c>
      <c r="D198" s="12"/>
      <c r="E198" s="32">
        <v>48157</v>
      </c>
      <c r="G198" s="8">
        <v>1653130</v>
      </c>
      <c r="I198" s="8">
        <v>1249822</v>
      </c>
      <c r="K198" s="8">
        <v>24505</v>
      </c>
      <c r="M198" s="8">
        <f t="shared" si="12"/>
        <v>2927457</v>
      </c>
      <c r="O198" s="8">
        <v>6489476</v>
      </c>
      <c r="Q198" s="8">
        <v>0</v>
      </c>
      <c r="S198" s="8">
        <v>8663566</v>
      </c>
      <c r="U198" s="8">
        <v>212550</v>
      </c>
      <c r="W198" s="8">
        <v>0</v>
      </c>
      <c r="Y198" s="8">
        <v>0</v>
      </c>
      <c r="AA198" s="8">
        <v>61834</v>
      </c>
      <c r="AB198" s="39"/>
      <c r="AC198" s="8">
        <v>0</v>
      </c>
      <c r="AE198" s="8">
        <v>0</v>
      </c>
      <c r="AG198" s="8">
        <f t="shared" si="13"/>
        <v>15427426</v>
      </c>
      <c r="AH198" s="8"/>
      <c r="AI198" s="8">
        <f t="shared" si="14"/>
        <v>18354883</v>
      </c>
      <c r="AK198" s="8"/>
    </row>
    <row r="199" spans="1:37" ht="12" customHeight="1">
      <c r="A199" s="12" t="s">
        <v>394</v>
      </c>
      <c r="B199" s="12"/>
      <c r="C199" s="12" t="s">
        <v>32</v>
      </c>
      <c r="D199" s="12"/>
      <c r="E199" s="32">
        <v>47340</v>
      </c>
      <c r="G199" s="8">
        <v>3279482</v>
      </c>
      <c r="I199" s="8">
        <v>3136545</v>
      </c>
      <c r="K199" s="8">
        <v>71482</v>
      </c>
      <c r="M199" s="8">
        <f t="shared" si="12"/>
        <v>6487509</v>
      </c>
      <c r="O199" s="8">
        <v>39668647</v>
      </c>
      <c r="Q199" s="8">
        <v>0</v>
      </c>
      <c r="S199" s="8">
        <v>26067903</v>
      </c>
      <c r="U199" s="8">
        <v>457809</v>
      </c>
      <c r="W199" s="8">
        <v>7006312</v>
      </c>
      <c r="Y199" s="8">
        <v>0</v>
      </c>
      <c r="AA199" s="8">
        <v>854040</v>
      </c>
      <c r="AB199" s="39"/>
      <c r="AC199" s="8">
        <v>0</v>
      </c>
      <c r="AE199" s="8">
        <v>0</v>
      </c>
      <c r="AG199" s="8">
        <f t="shared" si="13"/>
        <v>74054711</v>
      </c>
      <c r="AH199" s="8"/>
      <c r="AI199" s="8">
        <f t="shared" si="14"/>
        <v>80542220</v>
      </c>
    </row>
    <row r="200" spans="1:37" hidden="1">
      <c r="A200" s="13" t="s">
        <v>836</v>
      </c>
      <c r="B200" s="12"/>
      <c r="C200" s="12" t="s">
        <v>70</v>
      </c>
      <c r="D200" s="12"/>
      <c r="E200" s="32">
        <v>50484</v>
      </c>
      <c r="G200" s="8">
        <v>1147419</v>
      </c>
      <c r="I200" s="8">
        <v>1262696</v>
      </c>
      <c r="K200" s="8">
        <v>22324</v>
      </c>
      <c r="M200" s="8">
        <f t="shared" si="12"/>
        <v>2432439</v>
      </c>
      <c r="O200" s="8">
        <v>3934100</v>
      </c>
      <c r="S200" s="8">
        <v>4565164</v>
      </c>
      <c r="U200" s="8">
        <v>43133</v>
      </c>
      <c r="W200" s="8">
        <v>964295</v>
      </c>
      <c r="AA200" s="8">
        <f>4557+21742</f>
        <v>26299</v>
      </c>
      <c r="AB200" s="39"/>
      <c r="AC200" s="8">
        <v>0</v>
      </c>
      <c r="AG200" s="8">
        <f t="shared" si="13"/>
        <v>9532991</v>
      </c>
      <c r="AH200" s="8"/>
      <c r="AI200" s="8">
        <f t="shared" si="14"/>
        <v>11965430</v>
      </c>
    </row>
    <row r="201" spans="1:37">
      <c r="A201" s="12" t="s">
        <v>644</v>
      </c>
      <c r="B201" s="12"/>
      <c r="C201" s="12" t="s">
        <v>61</v>
      </c>
      <c r="D201" s="12"/>
      <c r="E201" s="32">
        <v>49783</v>
      </c>
      <c r="G201" s="8">
        <v>536762</v>
      </c>
      <c r="I201" s="8">
        <v>777062</v>
      </c>
      <c r="K201" s="8">
        <v>400444</v>
      </c>
      <c r="M201" s="8">
        <f t="shared" si="12"/>
        <v>1714268</v>
      </c>
      <c r="O201" s="8">
        <v>2243785</v>
      </c>
      <c r="Q201" s="8">
        <v>1302120</v>
      </c>
      <c r="S201" s="8">
        <v>3536368</v>
      </c>
      <c r="U201" s="8">
        <v>364009</v>
      </c>
      <c r="W201" s="8">
        <v>0</v>
      </c>
      <c r="Y201" s="8">
        <v>0</v>
      </c>
      <c r="AA201" s="8">
        <v>67513</v>
      </c>
      <c r="AB201" s="39"/>
      <c r="AC201" s="8">
        <v>0</v>
      </c>
      <c r="AE201" s="8">
        <v>0</v>
      </c>
      <c r="AG201" s="8">
        <f t="shared" si="13"/>
        <v>7513795</v>
      </c>
      <c r="AH201" s="8"/>
      <c r="AI201" s="8">
        <f t="shared" si="14"/>
        <v>9228063</v>
      </c>
    </row>
    <row r="202" spans="1:37" hidden="1">
      <c r="A202" s="13" t="s">
        <v>938</v>
      </c>
      <c r="B202" s="13"/>
      <c r="C202" s="13" t="s">
        <v>534</v>
      </c>
      <c r="D202" s="12"/>
      <c r="E202" s="32"/>
      <c r="G202" s="8">
        <f>560507+367518</f>
        <v>928025</v>
      </c>
      <c r="I202" s="8">
        <f>974356+70981</f>
        <v>1045337</v>
      </c>
      <c r="K202" s="8">
        <v>8004</v>
      </c>
      <c r="M202" s="8">
        <f t="shared" si="12"/>
        <v>1981366</v>
      </c>
      <c r="O202" s="8">
        <v>3288102</v>
      </c>
      <c r="S202" s="8">
        <v>4577173</v>
      </c>
      <c r="AA202" s="8">
        <f>91525+2210</f>
        <v>93735</v>
      </c>
      <c r="AB202" s="39"/>
      <c r="AC202" s="8">
        <v>0</v>
      </c>
      <c r="AG202" s="8">
        <f t="shared" si="13"/>
        <v>7959010</v>
      </c>
      <c r="AH202" s="8"/>
      <c r="AI202" s="8">
        <f t="shared" si="14"/>
        <v>9940376</v>
      </c>
    </row>
    <row r="203" spans="1:37" ht="12" customHeight="1">
      <c r="A203" s="12" t="s">
        <v>636</v>
      </c>
      <c r="B203" s="12"/>
      <c r="C203" s="12" t="s">
        <v>60</v>
      </c>
      <c r="D203" s="12"/>
      <c r="E203" s="32">
        <v>43992</v>
      </c>
      <c r="G203" s="8">
        <v>743554</v>
      </c>
      <c r="I203" s="8">
        <v>5255576</v>
      </c>
      <c r="K203" s="8">
        <v>14198</v>
      </c>
      <c r="M203" s="8">
        <f t="shared" si="12"/>
        <v>6013328</v>
      </c>
      <c r="O203" s="8">
        <v>8396898</v>
      </c>
      <c r="Q203" s="8">
        <v>0</v>
      </c>
      <c r="S203" s="8">
        <v>11052449</v>
      </c>
      <c r="U203" s="8">
        <v>301455</v>
      </c>
      <c r="W203" s="8">
        <v>0</v>
      </c>
      <c r="Y203" s="8">
        <v>0</v>
      </c>
      <c r="AA203" s="8">
        <v>442904</v>
      </c>
      <c r="AB203" s="39"/>
      <c r="AC203" s="8">
        <v>0</v>
      </c>
      <c r="AE203" s="8">
        <v>0</v>
      </c>
      <c r="AG203" s="8">
        <f t="shared" si="13"/>
        <v>20193706</v>
      </c>
      <c r="AH203" s="8"/>
      <c r="AI203" s="8">
        <f t="shared" si="14"/>
        <v>26207034</v>
      </c>
    </row>
    <row r="204" spans="1:37" ht="12" customHeight="1">
      <c r="A204" s="12" t="s">
        <v>709</v>
      </c>
      <c r="B204" s="12"/>
      <c r="C204" s="12" t="s">
        <v>69</v>
      </c>
      <c r="D204" s="12"/>
      <c r="E204" s="32">
        <v>44008</v>
      </c>
      <c r="G204" s="8">
        <v>2170271</v>
      </c>
      <c r="I204" s="8">
        <v>1961485</v>
      </c>
      <c r="K204" s="8">
        <v>122443</v>
      </c>
      <c r="M204" s="8">
        <f t="shared" si="12"/>
        <v>4254199</v>
      </c>
      <c r="O204" s="8">
        <v>12256599</v>
      </c>
      <c r="Q204" s="8">
        <v>0</v>
      </c>
      <c r="S204" s="8">
        <v>14034152</v>
      </c>
      <c r="U204" s="8">
        <v>0</v>
      </c>
      <c r="W204" s="8">
        <v>0</v>
      </c>
      <c r="Y204" s="8">
        <v>0</v>
      </c>
      <c r="AA204" s="8">
        <v>253283</v>
      </c>
      <c r="AB204" s="39"/>
      <c r="AC204" s="8">
        <v>0</v>
      </c>
      <c r="AE204" s="8">
        <v>0</v>
      </c>
      <c r="AG204" s="8">
        <f t="shared" si="13"/>
        <v>26544034</v>
      </c>
      <c r="AH204" s="8"/>
      <c r="AI204" s="8">
        <f t="shared" si="14"/>
        <v>30798233</v>
      </c>
    </row>
    <row r="205" spans="1:37" ht="12" customHeight="1">
      <c r="A205" s="12" t="s">
        <v>564</v>
      </c>
      <c r="B205" s="12"/>
      <c r="C205" s="12" t="s">
        <v>51</v>
      </c>
      <c r="D205" s="12"/>
      <c r="E205" s="32">
        <v>48843</v>
      </c>
      <c r="G205" s="8">
        <v>1595048</v>
      </c>
      <c r="I205" s="8">
        <v>3215628</v>
      </c>
      <c r="K205" s="8">
        <v>62772</v>
      </c>
      <c r="M205" s="8">
        <f t="shared" si="12"/>
        <v>4873448</v>
      </c>
      <c r="O205" s="8">
        <v>4721695</v>
      </c>
      <c r="Q205" s="8">
        <v>0</v>
      </c>
      <c r="S205" s="8">
        <v>12647434</v>
      </c>
      <c r="U205" s="8">
        <v>344351</v>
      </c>
      <c r="W205" s="8">
        <v>0</v>
      </c>
      <c r="Y205" s="8">
        <v>0</v>
      </c>
      <c r="AA205" s="8">
        <f>4100+1563</f>
        <v>5663</v>
      </c>
      <c r="AB205" s="39"/>
      <c r="AC205" s="8">
        <v>0</v>
      </c>
      <c r="AE205" s="8">
        <v>0</v>
      </c>
      <c r="AG205" s="8">
        <f t="shared" si="13"/>
        <v>17719143</v>
      </c>
      <c r="AH205" s="8"/>
      <c r="AI205" s="8">
        <f t="shared" si="14"/>
        <v>22592591</v>
      </c>
    </row>
    <row r="206" spans="1:37" hidden="1">
      <c r="A206" s="12" t="s">
        <v>835</v>
      </c>
      <c r="B206" s="12"/>
      <c r="C206" s="12" t="s">
        <v>21</v>
      </c>
      <c r="D206" s="12"/>
      <c r="E206" s="32">
        <v>46649</v>
      </c>
      <c r="G206" s="8">
        <v>1530170</v>
      </c>
      <c r="I206" s="8">
        <v>350461</v>
      </c>
      <c r="K206" s="8">
        <v>1356352</v>
      </c>
      <c r="M206" s="8">
        <f t="shared" si="12"/>
        <v>3236983</v>
      </c>
      <c r="O206" s="8">
        <v>1341163</v>
      </c>
      <c r="Q206" s="8">
        <v>552445</v>
      </c>
      <c r="S206" s="8">
        <v>3258769</v>
      </c>
      <c r="U206" s="8">
        <v>46118</v>
      </c>
      <c r="AA206" s="8">
        <v>8287</v>
      </c>
      <c r="AB206" s="39"/>
      <c r="AC206" s="8">
        <v>0</v>
      </c>
      <c r="AE206" s="8">
        <v>12558533</v>
      </c>
      <c r="AG206" s="8">
        <f t="shared" si="13"/>
        <v>17765315</v>
      </c>
      <c r="AH206" s="8"/>
      <c r="AI206" s="8">
        <f t="shared" si="14"/>
        <v>21002298</v>
      </c>
    </row>
    <row r="207" spans="1:37" ht="12" hidden="1" customHeight="1">
      <c r="A207" s="12" t="s">
        <v>939</v>
      </c>
      <c r="B207" s="12"/>
      <c r="C207" s="12" t="s">
        <v>40</v>
      </c>
      <c r="D207" s="12"/>
      <c r="E207" s="32">
        <v>47852</v>
      </c>
      <c r="G207" s="8">
        <v>1013860</v>
      </c>
      <c r="I207" s="8">
        <v>1627784</v>
      </c>
      <c r="K207" s="8">
        <v>275780</v>
      </c>
      <c r="M207" s="8">
        <f t="shared" si="12"/>
        <v>2917424</v>
      </c>
      <c r="O207" s="8">
        <v>3399803</v>
      </c>
      <c r="S207" s="8">
        <v>4478348</v>
      </c>
      <c r="U207" s="8">
        <v>118377</v>
      </c>
      <c r="AA207" s="8">
        <f>137075+63686</f>
        <v>200761</v>
      </c>
      <c r="AB207" s="39"/>
      <c r="AC207" s="8">
        <v>0</v>
      </c>
      <c r="AG207" s="8">
        <f t="shared" si="13"/>
        <v>8197289</v>
      </c>
      <c r="AH207" s="8"/>
      <c r="AI207" s="8">
        <f t="shared" si="14"/>
        <v>11114713</v>
      </c>
    </row>
    <row r="208" spans="1:37" ht="12" customHeight="1">
      <c r="A208" s="12" t="s">
        <v>623</v>
      </c>
      <c r="B208" s="12"/>
      <c r="C208" s="12" t="s">
        <v>79</v>
      </c>
      <c r="D208" s="12"/>
      <c r="E208" s="32">
        <v>44016</v>
      </c>
      <c r="G208" s="8">
        <v>1689777</v>
      </c>
      <c r="I208" s="8">
        <v>5418501</v>
      </c>
      <c r="K208" s="8">
        <v>16208</v>
      </c>
      <c r="M208" s="8">
        <f t="shared" si="12"/>
        <v>7124486</v>
      </c>
      <c r="O208" s="8">
        <v>18279209</v>
      </c>
      <c r="Q208" s="8">
        <v>0</v>
      </c>
      <c r="S208" s="8">
        <v>14937185</v>
      </c>
      <c r="U208" s="8">
        <v>414815</v>
      </c>
      <c r="W208" s="8">
        <v>1444249</v>
      </c>
      <c r="Y208" s="8">
        <v>3187433</v>
      </c>
      <c r="AA208" s="8">
        <v>253514</v>
      </c>
      <c r="AB208" s="39"/>
      <c r="AC208" s="8">
        <v>0</v>
      </c>
      <c r="AE208" s="8">
        <v>0</v>
      </c>
      <c r="AG208" s="8">
        <f t="shared" si="13"/>
        <v>38516405</v>
      </c>
      <c r="AH208" s="8"/>
      <c r="AI208" s="8">
        <f t="shared" si="14"/>
        <v>45640891</v>
      </c>
    </row>
    <row r="209" spans="1:37" ht="12" customHeight="1">
      <c r="A209" s="12" t="s">
        <v>717</v>
      </c>
      <c r="B209" s="12"/>
      <c r="C209" s="12" t="s">
        <v>70</v>
      </c>
      <c r="D209" s="12"/>
      <c r="E209" s="32">
        <v>50492</v>
      </c>
      <c r="G209" s="8">
        <v>379616</v>
      </c>
      <c r="I209" s="8">
        <v>1921880</v>
      </c>
      <c r="K209" s="8">
        <v>35660</v>
      </c>
      <c r="M209" s="8">
        <f t="shared" si="12"/>
        <v>2337156</v>
      </c>
      <c r="O209" s="8">
        <v>1518361</v>
      </c>
      <c r="Q209" s="8">
        <v>0</v>
      </c>
      <c r="S209" s="8">
        <v>5055966</v>
      </c>
      <c r="U209" s="8">
        <v>23359</v>
      </c>
      <c r="W209" s="8">
        <v>0</v>
      </c>
      <c r="Y209" s="8">
        <v>0</v>
      </c>
      <c r="AA209" s="8">
        <v>4551</v>
      </c>
      <c r="AB209" s="39"/>
      <c r="AC209" s="8">
        <v>0</v>
      </c>
      <c r="AE209" s="8">
        <v>0</v>
      </c>
      <c r="AG209" s="8">
        <f t="shared" si="13"/>
        <v>6602237</v>
      </c>
      <c r="AH209" s="8"/>
      <c r="AI209" s="8">
        <f t="shared" si="14"/>
        <v>8939393</v>
      </c>
    </row>
    <row r="210" spans="1:37" ht="12" customHeight="1">
      <c r="A210" s="12" t="s">
        <v>356</v>
      </c>
      <c r="B210" s="12"/>
      <c r="C210" s="12" t="s">
        <v>27</v>
      </c>
      <c r="D210" s="12"/>
      <c r="E210" s="32">
        <v>46961</v>
      </c>
      <c r="G210" s="8">
        <v>3292830</v>
      </c>
      <c r="I210" s="8">
        <v>5530540</v>
      </c>
      <c r="K210" s="8">
        <v>0</v>
      </c>
      <c r="M210" s="8">
        <f t="shared" si="12"/>
        <v>8823370</v>
      </c>
      <c r="O210" s="8">
        <v>53249747</v>
      </c>
      <c r="Q210" s="8">
        <v>0</v>
      </c>
      <c r="S210" s="8">
        <v>20918913</v>
      </c>
      <c r="U210" s="8">
        <v>514456</v>
      </c>
      <c r="W210" s="8">
        <v>1376107</v>
      </c>
      <c r="Y210" s="8">
        <v>0</v>
      </c>
      <c r="AA210" s="8">
        <v>1816</v>
      </c>
      <c r="AB210" s="39"/>
      <c r="AC210" s="8">
        <v>0</v>
      </c>
      <c r="AE210" s="8">
        <v>0</v>
      </c>
      <c r="AG210" s="8">
        <f t="shared" si="13"/>
        <v>76061039</v>
      </c>
      <c r="AH210" s="8"/>
      <c r="AI210" s="8">
        <f t="shared" si="14"/>
        <v>84884409</v>
      </c>
    </row>
    <row r="211" spans="1:37" ht="12" customHeight="1">
      <c r="A211" s="12" t="s">
        <v>294</v>
      </c>
      <c r="B211" s="12"/>
      <c r="C211" s="12" t="s">
        <v>113</v>
      </c>
      <c r="D211" s="12"/>
      <c r="E211" s="32">
        <v>44024</v>
      </c>
      <c r="G211" s="8">
        <v>899625</v>
      </c>
      <c r="I211" s="8">
        <v>2790276</v>
      </c>
      <c r="K211" s="8">
        <v>11133</v>
      </c>
      <c r="M211" s="8">
        <f t="shared" si="12"/>
        <v>3701034</v>
      </c>
      <c r="O211" s="8">
        <f>4592462+76337+732532</f>
        <v>5401331</v>
      </c>
      <c r="Q211" s="8">
        <v>0</v>
      </c>
      <c r="S211" s="8">
        <v>10536860</v>
      </c>
      <c r="U211" s="8">
        <v>91478</v>
      </c>
      <c r="W211" s="8">
        <v>0</v>
      </c>
      <c r="Y211" s="8">
        <v>13738</v>
      </c>
      <c r="AA211" s="8">
        <v>257342</v>
      </c>
      <c r="AB211" s="39"/>
      <c r="AC211" s="8">
        <v>0</v>
      </c>
      <c r="AE211" s="8">
        <v>0</v>
      </c>
      <c r="AG211" s="8">
        <f t="shared" si="13"/>
        <v>16300749</v>
      </c>
      <c r="AH211" s="8"/>
      <c r="AI211" s="8">
        <f t="shared" si="14"/>
        <v>20001783</v>
      </c>
    </row>
    <row r="212" spans="1:37" ht="12" customHeight="1">
      <c r="A212" s="12" t="s">
        <v>375</v>
      </c>
      <c r="B212" s="12"/>
      <c r="C212" s="12" t="s">
        <v>29</v>
      </c>
      <c r="D212" s="12"/>
      <c r="E212" s="32">
        <v>65680</v>
      </c>
      <c r="G212" s="8">
        <v>1481936</v>
      </c>
      <c r="I212" s="8">
        <v>5378008</v>
      </c>
      <c r="K212" s="8">
        <v>0</v>
      </c>
      <c r="M212" s="8">
        <f t="shared" si="12"/>
        <v>6859944</v>
      </c>
      <c r="O212" s="8">
        <v>10718984</v>
      </c>
      <c r="Q212" s="8">
        <v>0</v>
      </c>
      <c r="S212" s="8">
        <v>10916890</v>
      </c>
      <c r="U212" s="8">
        <v>693880</v>
      </c>
      <c r="W212" s="8">
        <v>0</v>
      </c>
      <c r="Y212" s="8">
        <v>0</v>
      </c>
      <c r="AA212" s="8">
        <f>531+93847</f>
        <v>94378</v>
      </c>
      <c r="AB212" s="39"/>
      <c r="AC212" s="8">
        <v>0</v>
      </c>
      <c r="AE212" s="8">
        <v>0</v>
      </c>
      <c r="AG212" s="8">
        <f t="shared" si="13"/>
        <v>22424132</v>
      </c>
      <c r="AH212" s="8"/>
      <c r="AI212" s="8">
        <f t="shared" si="14"/>
        <v>29284076</v>
      </c>
    </row>
    <row r="213" spans="1:37" ht="12" customHeight="1">
      <c r="A213" s="12" t="s">
        <v>376</v>
      </c>
      <c r="B213" s="12"/>
      <c r="C213" s="12" t="s">
        <v>29</v>
      </c>
      <c r="D213" s="12"/>
      <c r="E213" s="32">
        <v>44032</v>
      </c>
      <c r="G213" s="8">
        <v>1837033</v>
      </c>
      <c r="I213" s="8">
        <v>4200865</v>
      </c>
      <c r="K213" s="8">
        <v>31699</v>
      </c>
      <c r="M213" s="8">
        <f t="shared" si="12"/>
        <v>6069597</v>
      </c>
      <c r="O213" s="8">
        <v>6184521</v>
      </c>
      <c r="Q213" s="8">
        <v>0</v>
      </c>
      <c r="S213" s="8">
        <v>11094772</v>
      </c>
      <c r="U213" s="8">
        <v>832283</v>
      </c>
      <c r="W213" s="8">
        <v>0</v>
      </c>
      <c r="Y213" s="8">
        <v>0</v>
      </c>
      <c r="AA213" s="8">
        <v>163951</v>
      </c>
      <c r="AB213" s="39"/>
      <c r="AC213" s="8">
        <v>0</v>
      </c>
      <c r="AE213" s="8">
        <v>0</v>
      </c>
      <c r="AG213" s="8">
        <f t="shared" si="13"/>
        <v>18275527</v>
      </c>
      <c r="AH213" s="8"/>
      <c r="AI213" s="8">
        <f t="shared" si="14"/>
        <v>24345124</v>
      </c>
    </row>
    <row r="214" spans="1:37" ht="12" customHeight="1">
      <c r="A214" s="12" t="s">
        <v>696</v>
      </c>
      <c r="B214" s="12"/>
      <c r="C214" s="12" t="s">
        <v>65</v>
      </c>
      <c r="D214" s="12"/>
      <c r="E214" s="32">
        <v>50278</v>
      </c>
      <c r="G214" s="8">
        <v>987277</v>
      </c>
      <c r="I214" s="8">
        <v>1108378</v>
      </c>
      <c r="K214" s="8">
        <v>12542</v>
      </c>
      <c r="M214" s="8">
        <f t="shared" si="12"/>
        <v>2108197</v>
      </c>
      <c r="O214" s="8">
        <v>5406756</v>
      </c>
      <c r="Q214" s="8">
        <v>0</v>
      </c>
      <c r="S214" s="8">
        <v>4473677</v>
      </c>
      <c r="U214" s="8">
        <v>52943</v>
      </c>
      <c r="W214" s="8">
        <v>0</v>
      </c>
      <c r="Y214" s="8">
        <v>0</v>
      </c>
      <c r="AA214" s="8">
        <v>26748</v>
      </c>
      <c r="AB214" s="39"/>
      <c r="AC214" s="8">
        <v>0</v>
      </c>
      <c r="AE214" s="8">
        <v>0</v>
      </c>
      <c r="AG214" s="8">
        <f t="shared" si="13"/>
        <v>9960124</v>
      </c>
      <c r="AH214" s="8"/>
      <c r="AI214" s="8">
        <f t="shared" si="14"/>
        <v>12068321</v>
      </c>
    </row>
    <row r="215" spans="1:37" ht="12" customHeight="1">
      <c r="A215" s="12" t="s">
        <v>980</v>
      </c>
      <c r="B215" s="12"/>
      <c r="C215" s="12" t="s">
        <v>20</v>
      </c>
      <c r="D215" s="12"/>
      <c r="E215" s="32">
        <v>44040</v>
      </c>
      <c r="G215" s="8">
        <v>1024059</v>
      </c>
      <c r="I215" s="8">
        <v>5130223</v>
      </c>
      <c r="K215" s="8">
        <v>0</v>
      </c>
      <c r="M215" s="8">
        <f t="shared" si="12"/>
        <v>6154282</v>
      </c>
      <c r="O215" s="8">
        <v>18416147</v>
      </c>
      <c r="Q215" s="8">
        <v>0</v>
      </c>
      <c r="S215" s="8">
        <v>21340773</v>
      </c>
      <c r="U215" s="8">
        <v>249948</v>
      </c>
      <c r="W215" s="8">
        <v>0</v>
      </c>
      <c r="Y215" s="8">
        <v>0</v>
      </c>
      <c r="AA215" s="8">
        <v>148999</v>
      </c>
      <c r="AB215" s="39"/>
      <c r="AC215" s="8">
        <v>0</v>
      </c>
      <c r="AE215" s="8">
        <v>0</v>
      </c>
      <c r="AG215" s="8">
        <f t="shared" si="13"/>
        <v>40155867</v>
      </c>
      <c r="AH215" s="8"/>
      <c r="AI215" s="8">
        <f t="shared" si="14"/>
        <v>46310149</v>
      </c>
      <c r="AK215" s="8" t="s">
        <v>956</v>
      </c>
    </row>
    <row r="216" spans="1:37" ht="12" customHeight="1">
      <c r="A216" s="12" t="s">
        <v>888</v>
      </c>
      <c r="B216" s="12"/>
      <c r="C216" s="12" t="s">
        <v>12</v>
      </c>
      <c r="D216" s="12"/>
      <c r="E216" s="32">
        <v>44057</v>
      </c>
      <c r="F216" s="7"/>
      <c r="G216" s="8">
        <v>1980411</v>
      </c>
      <c r="I216" s="8">
        <v>2407557</v>
      </c>
      <c r="K216" s="8">
        <v>12544202</v>
      </c>
      <c r="M216" s="8">
        <f t="shared" si="12"/>
        <v>16932170</v>
      </c>
      <c r="O216" s="8">
        <v>8607737</v>
      </c>
      <c r="Q216" s="8">
        <v>0</v>
      </c>
      <c r="S216" s="8">
        <v>13999929</v>
      </c>
      <c r="U216" s="8">
        <v>242079</v>
      </c>
      <c r="W216" s="8">
        <v>95772</v>
      </c>
      <c r="Y216" s="8">
        <v>0</v>
      </c>
      <c r="AA216" s="8">
        <v>134996</v>
      </c>
      <c r="AB216" s="39"/>
      <c r="AC216" s="8">
        <v>0</v>
      </c>
      <c r="AE216" s="8">
        <v>0</v>
      </c>
      <c r="AG216" s="8">
        <f t="shared" si="13"/>
        <v>23080513</v>
      </c>
      <c r="AH216" s="8"/>
      <c r="AI216" s="8">
        <f t="shared" si="14"/>
        <v>40012683</v>
      </c>
    </row>
    <row r="217" spans="1:37" ht="12" customHeight="1">
      <c r="A217" s="12" t="s">
        <v>573</v>
      </c>
      <c r="B217" s="12"/>
      <c r="C217" s="12" t="s">
        <v>53</v>
      </c>
      <c r="D217" s="12"/>
      <c r="E217" s="32">
        <v>48942</v>
      </c>
      <c r="G217" s="8">
        <v>1385154</v>
      </c>
      <c r="I217" s="8">
        <v>1125411</v>
      </c>
      <c r="K217" s="8">
        <v>0</v>
      </c>
      <c r="M217" s="8">
        <f t="shared" si="12"/>
        <v>2510565</v>
      </c>
      <c r="O217" s="8">
        <v>4593970</v>
      </c>
      <c r="Q217" s="8">
        <v>0</v>
      </c>
      <c r="S217" s="8">
        <v>19804495</v>
      </c>
      <c r="U217" s="8">
        <v>123027</v>
      </c>
      <c r="W217" s="8">
        <v>0</v>
      </c>
      <c r="Y217" s="8">
        <v>0</v>
      </c>
      <c r="AA217" s="8">
        <v>9109</v>
      </c>
      <c r="AB217" s="39"/>
      <c r="AC217" s="8">
        <v>0</v>
      </c>
      <c r="AE217" s="8">
        <v>0</v>
      </c>
      <c r="AG217" s="8">
        <f t="shared" si="13"/>
        <v>24530601</v>
      </c>
      <c r="AH217" s="8"/>
      <c r="AI217" s="8">
        <f t="shared" si="14"/>
        <v>27041166</v>
      </c>
    </row>
    <row r="218" spans="1:37" ht="12" hidden="1" customHeight="1">
      <c r="A218" s="12" t="s">
        <v>940</v>
      </c>
      <c r="B218" s="12"/>
      <c r="C218" s="12" t="s">
        <v>77</v>
      </c>
      <c r="D218" s="12"/>
      <c r="E218" s="32">
        <v>45377</v>
      </c>
      <c r="F218" s="7"/>
      <c r="G218" s="8">
        <v>658074</v>
      </c>
      <c r="I218" s="8">
        <v>888178</v>
      </c>
      <c r="K218" s="8">
        <v>194842</v>
      </c>
      <c r="M218" s="8">
        <f t="shared" si="12"/>
        <v>1741094</v>
      </c>
      <c r="O218" s="8">
        <f>1878622+39615+314319+126555</f>
        <v>2359111</v>
      </c>
      <c r="S218" s="8">
        <v>5633794</v>
      </c>
      <c r="U218" s="8">
        <v>34098</v>
      </c>
      <c r="AA218" s="8">
        <f>6400+55195</f>
        <v>61595</v>
      </c>
      <c r="AB218" s="39"/>
      <c r="AC218" s="8">
        <v>0</v>
      </c>
      <c r="AG218" s="8">
        <f t="shared" si="13"/>
        <v>8088598</v>
      </c>
      <c r="AH218" s="8"/>
      <c r="AI218" s="8">
        <f t="shared" si="14"/>
        <v>9829692</v>
      </c>
    </row>
    <row r="219" spans="1:37" ht="12" customHeight="1">
      <c r="A219" s="12" t="s">
        <v>624</v>
      </c>
      <c r="B219" s="12"/>
      <c r="C219" s="12" t="s">
        <v>79</v>
      </c>
      <c r="D219" s="12"/>
      <c r="E219" s="32">
        <v>45385</v>
      </c>
      <c r="G219" s="8">
        <v>831171</v>
      </c>
      <c r="I219" s="8">
        <v>1130481</v>
      </c>
      <c r="K219" s="8">
        <v>11180</v>
      </c>
      <c r="M219" s="8">
        <f t="shared" si="12"/>
        <v>1972832</v>
      </c>
      <c r="O219" s="8">
        <v>2417819</v>
      </c>
      <c r="Q219" s="8">
        <v>0</v>
      </c>
      <c r="S219" s="8">
        <v>5511442</v>
      </c>
      <c r="U219" s="8">
        <v>79130</v>
      </c>
      <c r="W219" s="8">
        <v>0</v>
      </c>
      <c r="Y219" s="8">
        <v>0</v>
      </c>
      <c r="AA219" s="8">
        <v>5560</v>
      </c>
      <c r="AB219" s="39"/>
      <c r="AC219" s="8">
        <v>0</v>
      </c>
      <c r="AE219" s="8">
        <v>0</v>
      </c>
      <c r="AG219" s="8">
        <f t="shared" si="13"/>
        <v>8013951</v>
      </c>
      <c r="AH219" s="8"/>
      <c r="AI219" s="8">
        <f t="shared" si="14"/>
        <v>9986783</v>
      </c>
    </row>
    <row r="220" spans="1:37" ht="12" customHeight="1">
      <c r="A220" s="12" t="s">
        <v>679</v>
      </c>
      <c r="B220" s="12"/>
      <c r="C220" s="12" t="s">
        <v>64</v>
      </c>
      <c r="D220" s="12"/>
      <c r="E220" s="32">
        <v>44065</v>
      </c>
      <c r="G220" s="8">
        <v>964598</v>
      </c>
      <c r="I220" s="8">
        <v>3016960</v>
      </c>
      <c r="K220" s="8">
        <v>15464</v>
      </c>
      <c r="M220" s="8">
        <f t="shared" si="12"/>
        <v>3997022</v>
      </c>
      <c r="O220" s="8">
        <v>4901494</v>
      </c>
      <c r="Q220" s="8">
        <v>0</v>
      </c>
      <c r="S220" s="8">
        <v>8142072</v>
      </c>
      <c r="U220" s="8">
        <v>420893</v>
      </c>
      <c r="W220" s="8">
        <v>0</v>
      </c>
      <c r="Y220" s="8">
        <v>0</v>
      </c>
      <c r="AA220" s="8">
        <v>86188</v>
      </c>
      <c r="AB220" s="39"/>
      <c r="AC220" s="8">
        <v>0</v>
      </c>
      <c r="AE220" s="8">
        <v>0</v>
      </c>
      <c r="AG220" s="8">
        <f t="shared" si="13"/>
        <v>13550647</v>
      </c>
      <c r="AH220" s="8"/>
      <c r="AI220" s="8">
        <f t="shared" si="14"/>
        <v>17547669</v>
      </c>
    </row>
    <row r="221" spans="1:37" ht="12" hidden="1" customHeight="1">
      <c r="A221" s="12" t="s">
        <v>1030</v>
      </c>
      <c r="B221" s="12"/>
      <c r="C221" s="12" t="s">
        <v>28</v>
      </c>
      <c r="D221" s="12"/>
      <c r="E221" s="32">
        <v>47068</v>
      </c>
      <c r="M221" s="8">
        <f t="shared" si="12"/>
        <v>0</v>
      </c>
      <c r="AB221" s="39"/>
      <c r="AC221" s="8">
        <v>0</v>
      </c>
      <c r="AG221" s="8">
        <f t="shared" si="13"/>
        <v>0</v>
      </c>
      <c r="AH221" s="8"/>
      <c r="AI221" s="8">
        <f t="shared" si="14"/>
        <v>0</v>
      </c>
      <c r="AK221" s="15" t="s">
        <v>973</v>
      </c>
    </row>
    <row r="222" spans="1:37" ht="12" customHeight="1">
      <c r="A222" s="12" t="s">
        <v>269</v>
      </c>
      <c r="B222" s="12"/>
      <c r="C222" s="12" t="s">
        <v>115</v>
      </c>
      <c r="D222" s="12"/>
      <c r="E222" s="32">
        <v>46342</v>
      </c>
      <c r="F222" s="7"/>
      <c r="G222" s="8">
        <v>1492383</v>
      </c>
      <c r="I222" s="8">
        <v>3181913</v>
      </c>
      <c r="K222" s="8">
        <v>0</v>
      </c>
      <c r="M222" s="8">
        <f t="shared" si="12"/>
        <v>4674296</v>
      </c>
      <c r="O222" s="8">
        <v>6073494</v>
      </c>
      <c r="Q222" s="8">
        <v>2749781</v>
      </c>
      <c r="S222" s="8">
        <v>12057674</v>
      </c>
      <c r="U222" s="8">
        <v>193010</v>
      </c>
      <c r="W222" s="8">
        <v>0</v>
      </c>
      <c r="Y222" s="8">
        <v>0</v>
      </c>
      <c r="AA222" s="8">
        <f>264832+7488</f>
        <v>272320</v>
      </c>
      <c r="AB222" s="39"/>
      <c r="AC222" s="8">
        <v>0</v>
      </c>
      <c r="AE222" s="8">
        <v>0</v>
      </c>
      <c r="AG222" s="8">
        <f>SUM(O222:AE222)</f>
        <v>21346279</v>
      </c>
      <c r="AH222" s="8"/>
      <c r="AI222" s="8">
        <f t="shared" si="14"/>
        <v>26020575</v>
      </c>
    </row>
    <row r="223" spans="1:37" ht="12" customHeight="1">
      <c r="A223" s="12" t="s">
        <v>254</v>
      </c>
      <c r="B223" s="12"/>
      <c r="C223" s="12" t="s">
        <v>255</v>
      </c>
      <c r="D223" s="12"/>
      <c r="E223" s="32">
        <v>46193</v>
      </c>
      <c r="F223" s="7"/>
      <c r="G223" s="8">
        <v>1671046</v>
      </c>
      <c r="I223" s="8">
        <v>1047301</v>
      </c>
      <c r="K223" s="8">
        <v>20454074</v>
      </c>
      <c r="M223" s="8">
        <f t="shared" si="12"/>
        <v>23172421</v>
      </c>
      <c r="O223" s="8">
        <v>5613359</v>
      </c>
      <c r="Q223" s="8">
        <v>0</v>
      </c>
      <c r="S223" s="8">
        <v>12333788</v>
      </c>
      <c r="U223" s="8">
        <v>67704</v>
      </c>
      <c r="W223" s="8">
        <v>0</v>
      </c>
      <c r="Y223" s="8">
        <v>0</v>
      </c>
      <c r="AA223" s="8">
        <v>268801</v>
      </c>
      <c r="AB223" s="39"/>
      <c r="AC223" s="8">
        <v>0</v>
      </c>
      <c r="AE223" s="8">
        <v>0</v>
      </c>
      <c r="AG223" s="8">
        <f t="shared" si="13"/>
        <v>18283652</v>
      </c>
      <c r="AH223" s="8"/>
      <c r="AI223" s="8">
        <f t="shared" si="14"/>
        <v>41456073</v>
      </c>
    </row>
    <row r="224" spans="1:37" ht="12" customHeight="1">
      <c r="A224" s="12" t="s">
        <v>220</v>
      </c>
      <c r="B224" s="12"/>
      <c r="C224" s="12" t="s">
        <v>12</v>
      </c>
      <c r="D224" s="12"/>
      <c r="E224" s="32">
        <v>45864</v>
      </c>
      <c r="F224" s="7"/>
      <c r="G224" s="8">
        <v>985039</v>
      </c>
      <c r="I224" s="8">
        <v>824461</v>
      </c>
      <c r="K224" s="8">
        <v>15333</v>
      </c>
      <c r="M224" s="8">
        <f t="shared" si="12"/>
        <v>1824833</v>
      </c>
      <c r="O224" s="8">
        <v>4815439</v>
      </c>
      <c r="Q224" s="8">
        <v>0</v>
      </c>
      <c r="S224" s="8">
        <v>7048437</v>
      </c>
      <c r="U224" s="8">
        <v>252349</v>
      </c>
      <c r="W224" s="8">
        <v>0</v>
      </c>
      <c r="Y224" s="8">
        <v>0</v>
      </c>
      <c r="AA224" s="8">
        <v>208205</v>
      </c>
      <c r="AB224" s="39"/>
      <c r="AC224" s="8">
        <v>0</v>
      </c>
      <c r="AE224" s="8">
        <v>0</v>
      </c>
      <c r="AG224" s="8">
        <f t="shared" si="13"/>
        <v>12324430</v>
      </c>
      <c r="AH224" s="8"/>
      <c r="AI224" s="8">
        <f t="shared" si="14"/>
        <v>14149263</v>
      </c>
    </row>
    <row r="225" spans="1:37" ht="12" customHeight="1">
      <c r="A225" s="12" t="s">
        <v>357</v>
      </c>
      <c r="B225" s="12"/>
      <c r="C225" s="12" t="s">
        <v>27</v>
      </c>
      <c r="D225" s="12"/>
      <c r="E225" s="32">
        <v>44073</v>
      </c>
      <c r="G225" s="8">
        <v>962678</v>
      </c>
      <c r="I225" s="8">
        <v>599058</v>
      </c>
      <c r="K225" s="8">
        <v>0</v>
      </c>
      <c r="M225" s="8">
        <f t="shared" si="12"/>
        <v>1561736</v>
      </c>
      <c r="O225" s="8">
        <v>13024407</v>
      </c>
      <c r="Q225" s="8">
        <v>0</v>
      </c>
      <c r="S225" s="8">
        <v>4223381</v>
      </c>
      <c r="U225" s="8">
        <v>0</v>
      </c>
      <c r="W225" s="8">
        <v>0</v>
      </c>
      <c r="Y225" s="8">
        <v>0</v>
      </c>
      <c r="AA225" s="8">
        <v>243156</v>
      </c>
      <c r="AB225" s="39"/>
      <c r="AC225" s="8">
        <v>0</v>
      </c>
      <c r="AE225" s="8">
        <v>0</v>
      </c>
      <c r="AG225" s="8">
        <f t="shared" si="13"/>
        <v>17490944</v>
      </c>
      <c r="AH225" s="8"/>
      <c r="AI225" s="8">
        <f t="shared" si="14"/>
        <v>19052680</v>
      </c>
    </row>
    <row r="226" spans="1:37" ht="12" customHeight="1">
      <c r="A226" s="12" t="s">
        <v>942</v>
      </c>
      <c r="B226" s="12"/>
      <c r="C226" s="12" t="s">
        <v>42</v>
      </c>
      <c r="D226" s="12"/>
      <c r="E226" s="32">
        <v>45393</v>
      </c>
      <c r="G226" s="8">
        <v>716875</v>
      </c>
      <c r="I226" s="8">
        <v>1173427</v>
      </c>
      <c r="K226" s="8">
        <v>13283</v>
      </c>
      <c r="M226" s="8">
        <f t="shared" ref="M226:M230" si="17">SUM(G226:L226)</f>
        <v>1903585</v>
      </c>
      <c r="O226" s="8">
        <v>16327555</v>
      </c>
      <c r="Q226" s="8">
        <v>0</v>
      </c>
      <c r="S226" s="8">
        <v>8282327</v>
      </c>
      <c r="U226" s="8">
        <v>215174</v>
      </c>
      <c r="W226" s="8">
        <v>0</v>
      </c>
      <c r="Y226" s="8">
        <v>0</v>
      </c>
      <c r="AA226" s="8">
        <f>53320</f>
        <v>53320</v>
      </c>
      <c r="AB226" s="39"/>
      <c r="AC226" s="8">
        <v>0</v>
      </c>
      <c r="AE226" s="8">
        <v>-7940</v>
      </c>
      <c r="AG226" s="8">
        <f>SUM(O226:AE226)</f>
        <v>24870436</v>
      </c>
      <c r="AH226" s="8"/>
      <c r="AI226" s="8">
        <f>+AG226+M226</f>
        <v>26774021</v>
      </c>
    </row>
    <row r="227" spans="1:37" ht="12" customHeight="1">
      <c r="A227" s="12" t="s">
        <v>628</v>
      </c>
      <c r="B227" s="12"/>
      <c r="C227" s="12" t="s">
        <v>59</v>
      </c>
      <c r="D227" s="12"/>
      <c r="E227" s="32">
        <v>49619</v>
      </c>
      <c r="G227" s="8">
        <v>532598</v>
      </c>
      <c r="I227" s="8">
        <v>1734807</v>
      </c>
      <c r="K227" s="8">
        <v>0</v>
      </c>
      <c r="M227" s="8">
        <f t="shared" si="17"/>
        <v>2267405</v>
      </c>
      <c r="O227" s="8">
        <v>1422721</v>
      </c>
      <c r="Q227" s="8">
        <v>0</v>
      </c>
      <c r="S227" s="8">
        <v>2969576</v>
      </c>
      <c r="U227" s="8">
        <v>10850</v>
      </c>
      <c r="W227" s="8">
        <v>263834</v>
      </c>
      <c r="Y227" s="8">
        <v>2500</v>
      </c>
      <c r="AA227" s="8">
        <v>223636</v>
      </c>
      <c r="AB227" s="39"/>
      <c r="AC227" s="8">
        <v>0</v>
      </c>
      <c r="AE227" s="8">
        <v>0</v>
      </c>
      <c r="AG227" s="8">
        <f>SUM(O227:AE227)</f>
        <v>4893117</v>
      </c>
      <c r="AH227" s="8"/>
      <c r="AI227" s="8">
        <f>+AG227+M227</f>
        <v>7160522</v>
      </c>
    </row>
    <row r="228" spans="1:37" ht="12" customHeight="1">
      <c r="A228" s="12" t="s">
        <v>628</v>
      </c>
      <c r="B228" s="12"/>
      <c r="C228" s="12" t="s">
        <v>63</v>
      </c>
      <c r="D228" s="12"/>
      <c r="E228" s="32">
        <v>50013</v>
      </c>
      <c r="G228" s="8">
        <v>2278984</v>
      </c>
      <c r="I228" s="8">
        <v>2755833</v>
      </c>
      <c r="K228" s="8">
        <v>366905</v>
      </c>
      <c r="M228" s="8">
        <f t="shared" si="17"/>
        <v>5401722</v>
      </c>
      <c r="O228" s="8">
        <v>21995232</v>
      </c>
      <c r="Q228" s="8">
        <v>0</v>
      </c>
      <c r="S228" s="8">
        <v>14112125</v>
      </c>
      <c r="U228" s="8">
        <v>0</v>
      </c>
      <c r="W228" s="8">
        <v>0</v>
      </c>
      <c r="Y228" s="8">
        <v>0</v>
      </c>
      <c r="AA228" s="8">
        <v>246364</v>
      </c>
      <c r="AB228" s="39"/>
      <c r="AC228" s="8">
        <v>0</v>
      </c>
      <c r="AE228" s="8">
        <v>0</v>
      </c>
      <c r="AG228" s="8">
        <f>SUM(O228:AE228)</f>
        <v>36353721</v>
      </c>
      <c r="AH228" s="8"/>
      <c r="AI228" s="8">
        <f>+AG228+M228</f>
        <v>41755443</v>
      </c>
    </row>
    <row r="229" spans="1:37" ht="12" customHeight="1">
      <c r="A229" s="12" t="s">
        <v>628</v>
      </c>
      <c r="B229" s="12"/>
      <c r="C229" s="12" t="s">
        <v>71</v>
      </c>
      <c r="D229" s="12"/>
      <c r="E229" s="32">
        <v>50559</v>
      </c>
      <c r="G229" s="8">
        <v>1060347</v>
      </c>
      <c r="I229" s="8">
        <v>587403</v>
      </c>
      <c r="K229" s="8">
        <v>0</v>
      </c>
      <c r="M229" s="8">
        <f t="shared" si="17"/>
        <v>1647750</v>
      </c>
      <c r="O229" s="8">
        <v>3746754</v>
      </c>
      <c r="Q229" s="8">
        <v>0</v>
      </c>
      <c r="S229" s="8">
        <v>6191417</v>
      </c>
      <c r="U229" s="8">
        <v>0</v>
      </c>
      <c r="W229" s="8">
        <v>0</v>
      </c>
      <c r="Y229" s="8">
        <v>0</v>
      </c>
      <c r="AA229" s="8">
        <v>190897</v>
      </c>
      <c r="AB229" s="39"/>
      <c r="AC229" s="8">
        <v>0</v>
      </c>
      <c r="AE229" s="8">
        <v>0</v>
      </c>
      <c r="AG229" s="8">
        <f>SUM(O229:AE229)</f>
        <v>10129068</v>
      </c>
      <c r="AH229" s="8"/>
      <c r="AI229" s="8">
        <f>+AG229+M229</f>
        <v>11776818</v>
      </c>
    </row>
    <row r="230" spans="1:37" ht="12" customHeight="1">
      <c r="A230" s="12" t="s">
        <v>386</v>
      </c>
      <c r="B230" s="12"/>
      <c r="C230" s="12" t="s">
        <v>116</v>
      </c>
      <c r="D230" s="12"/>
      <c r="E230" s="32">
        <v>47266</v>
      </c>
      <c r="G230" s="8">
        <v>1083269</v>
      </c>
      <c r="I230" s="8">
        <v>713679</v>
      </c>
      <c r="K230" s="8">
        <v>0</v>
      </c>
      <c r="M230" s="8">
        <f t="shared" si="17"/>
        <v>1796948</v>
      </c>
      <c r="O230" s="8">
        <v>4222277</v>
      </c>
      <c r="Q230" s="8">
        <v>1674170</v>
      </c>
      <c r="S230" s="8">
        <v>6397519</v>
      </c>
      <c r="U230" s="8">
        <v>82561</v>
      </c>
      <c r="W230" s="8">
        <v>0</v>
      </c>
      <c r="Y230" s="8">
        <v>310707</v>
      </c>
      <c r="AA230" s="8">
        <v>76186</v>
      </c>
      <c r="AB230" s="39"/>
      <c r="AC230" s="8">
        <v>0</v>
      </c>
      <c r="AE230" s="8">
        <v>0</v>
      </c>
      <c r="AG230" s="8">
        <f t="shared" ref="AG230:AG231" si="18">SUM(O230:AE230)</f>
        <v>12763420</v>
      </c>
      <c r="AH230" s="8"/>
      <c r="AI230" s="8">
        <f t="shared" ref="AI230:AI231" si="19">+AG230+M230</f>
        <v>14560368</v>
      </c>
    </row>
    <row r="231" spans="1:37" ht="12" customHeight="1">
      <c r="A231" s="12" t="s">
        <v>437</v>
      </c>
      <c r="B231" s="12"/>
      <c r="C231" s="12" t="s">
        <v>435</v>
      </c>
      <c r="D231" s="12"/>
      <c r="E231" s="32">
        <v>45401</v>
      </c>
      <c r="G231" s="8">
        <v>942584</v>
      </c>
      <c r="I231" s="8">
        <v>2539779</v>
      </c>
      <c r="K231" s="8">
        <v>0</v>
      </c>
      <c r="M231" s="8">
        <f t="shared" ref="M231:M299" si="20">SUM(G231:L231)</f>
        <v>3482363</v>
      </c>
      <c r="O231" s="8">
        <v>3352766</v>
      </c>
      <c r="Q231" s="8">
        <v>1839750</v>
      </c>
      <c r="S231" s="8">
        <v>11968708</v>
      </c>
      <c r="U231" s="8">
        <v>105288</v>
      </c>
      <c r="W231" s="8">
        <v>0</v>
      </c>
      <c r="Y231" s="8">
        <v>0</v>
      </c>
      <c r="AA231" s="8">
        <v>183912</v>
      </c>
      <c r="AB231" s="39"/>
      <c r="AC231" s="8">
        <v>0</v>
      </c>
      <c r="AE231" s="8">
        <v>0</v>
      </c>
      <c r="AG231" s="8">
        <f t="shared" si="18"/>
        <v>17450424</v>
      </c>
      <c r="AH231" s="8"/>
      <c r="AI231" s="8">
        <f t="shared" si="19"/>
        <v>20932787</v>
      </c>
    </row>
    <row r="232" spans="1:37" s="8" customFormat="1" ht="12" customHeight="1">
      <c r="A232" s="13" t="s">
        <v>261</v>
      </c>
      <c r="B232" s="13"/>
      <c r="C232" s="13" t="s">
        <v>17</v>
      </c>
      <c r="D232" s="13"/>
      <c r="E232" s="13">
        <v>46235</v>
      </c>
      <c r="F232" s="11"/>
      <c r="G232" s="8">
        <v>1290000</v>
      </c>
      <c r="I232" s="8">
        <v>940000</v>
      </c>
      <c r="K232" s="8">
        <v>0</v>
      </c>
      <c r="M232" s="8">
        <f t="shared" si="20"/>
        <v>2230000</v>
      </c>
      <c r="O232" s="8">
        <v>6690000</v>
      </c>
      <c r="Q232" s="8">
        <v>0</v>
      </c>
      <c r="S232" s="8">
        <v>8500000</v>
      </c>
      <c r="U232" s="8">
        <v>80000</v>
      </c>
      <c r="W232" s="8">
        <v>0</v>
      </c>
      <c r="Y232" s="8">
        <v>0</v>
      </c>
      <c r="AA232" s="8">
        <v>80000</v>
      </c>
      <c r="AB232" s="39"/>
      <c r="AC232" s="8">
        <v>0</v>
      </c>
      <c r="AE232" s="8">
        <v>0</v>
      </c>
      <c r="AG232" s="8">
        <f t="shared" ref="AG232:AG300" si="21">SUM(O232:AE232)</f>
        <v>15350000</v>
      </c>
      <c r="AI232" s="8">
        <f t="shared" ref="AI232:AI299" si="22">+AG232+M232</f>
        <v>17580000</v>
      </c>
      <c r="AK232" s="15" t="s">
        <v>927</v>
      </c>
    </row>
    <row r="233" spans="1:37" s="8" customFormat="1" ht="12" customHeight="1">
      <c r="A233" s="13"/>
      <c r="B233" s="13"/>
      <c r="C233" s="13"/>
      <c r="D233" s="13"/>
      <c r="E233" s="13"/>
      <c r="F233" s="11"/>
      <c r="AB233" s="39"/>
      <c r="AK233" s="15"/>
    </row>
    <row r="234" spans="1:37" s="8" customFormat="1" ht="12" customHeight="1">
      <c r="A234" s="13"/>
      <c r="B234" s="13"/>
      <c r="C234" s="13"/>
      <c r="D234" s="13"/>
      <c r="E234" s="13"/>
      <c r="F234" s="11"/>
      <c r="AB234" s="39"/>
      <c r="AI234" s="8" t="s">
        <v>805</v>
      </c>
      <c r="AK234" s="15"/>
    </row>
    <row r="235" spans="1:37" s="8" customFormat="1" ht="12" customHeight="1">
      <c r="A235" s="13"/>
      <c r="B235" s="13"/>
      <c r="C235" s="13"/>
      <c r="D235" s="13"/>
      <c r="E235" s="13"/>
      <c r="F235" s="11"/>
      <c r="AB235" s="39"/>
      <c r="AK235" s="15"/>
    </row>
    <row r="236" spans="1:37" ht="12" customHeight="1">
      <c r="A236" s="12" t="s">
        <v>327</v>
      </c>
      <c r="B236" s="12"/>
      <c r="C236" s="12" t="s">
        <v>21</v>
      </c>
      <c r="D236" s="12"/>
      <c r="E236" s="32">
        <v>44099</v>
      </c>
      <c r="G236" s="35">
        <v>1349310</v>
      </c>
      <c r="H236" s="35"/>
      <c r="I236" s="35">
        <v>3292468</v>
      </c>
      <c r="J236" s="35"/>
      <c r="K236" s="35">
        <v>183418</v>
      </c>
      <c r="L236" s="35"/>
      <c r="M236" s="35">
        <f t="shared" si="20"/>
        <v>4825196</v>
      </c>
      <c r="N236" s="35"/>
      <c r="O236" s="35">
        <v>8357924</v>
      </c>
      <c r="P236" s="35"/>
      <c r="Q236" s="35">
        <v>1783724</v>
      </c>
      <c r="R236" s="35"/>
      <c r="S236" s="35">
        <v>12261496</v>
      </c>
      <c r="T236" s="35"/>
      <c r="U236" s="35">
        <v>0</v>
      </c>
      <c r="V236" s="35"/>
      <c r="W236" s="35">
        <v>0</v>
      </c>
      <c r="X236" s="35"/>
      <c r="Y236" s="35">
        <v>0</v>
      </c>
      <c r="Z236" s="35"/>
      <c r="AA236" s="35">
        <v>402499</v>
      </c>
      <c r="AB236" s="45"/>
      <c r="AC236" s="35">
        <v>0</v>
      </c>
      <c r="AD236" s="35"/>
      <c r="AE236" s="35">
        <v>0</v>
      </c>
      <c r="AF236" s="35"/>
      <c r="AG236" s="35">
        <f t="shared" si="21"/>
        <v>22805643</v>
      </c>
      <c r="AH236" s="35"/>
      <c r="AI236" s="35">
        <f t="shared" si="22"/>
        <v>27630839</v>
      </c>
    </row>
    <row r="237" spans="1:37" ht="12" customHeight="1">
      <c r="A237" s="12" t="s">
        <v>358</v>
      </c>
      <c r="B237" s="12"/>
      <c r="C237" s="12" t="s">
        <v>27</v>
      </c>
      <c r="D237" s="12"/>
      <c r="E237" s="32">
        <v>46979</v>
      </c>
      <c r="G237" s="8">
        <v>1728122</v>
      </c>
      <c r="I237" s="8">
        <v>14659973</v>
      </c>
      <c r="K237" s="8">
        <v>0</v>
      </c>
      <c r="M237" s="8">
        <f t="shared" si="20"/>
        <v>16388095</v>
      </c>
      <c r="O237" s="8">
        <v>25522066</v>
      </c>
      <c r="Q237" s="8">
        <v>0</v>
      </c>
      <c r="S237" s="8">
        <v>26360057</v>
      </c>
      <c r="U237" s="8">
        <v>97442</v>
      </c>
      <c r="W237" s="8">
        <v>1327296</v>
      </c>
      <c r="Y237" s="8">
        <v>0</v>
      </c>
      <c r="AA237" s="8">
        <v>241502</v>
      </c>
      <c r="AB237" s="39"/>
      <c r="AC237" s="8">
        <v>0</v>
      </c>
      <c r="AE237" s="8">
        <v>0</v>
      </c>
      <c r="AG237" s="8">
        <f t="shared" si="21"/>
        <v>53548363</v>
      </c>
      <c r="AH237" s="8"/>
      <c r="AI237" s="8">
        <f t="shared" si="22"/>
        <v>69936458</v>
      </c>
      <c r="AK237" s="15" t="s">
        <v>905</v>
      </c>
    </row>
    <row r="238" spans="1:37" ht="12" customHeight="1">
      <c r="A238" s="12" t="s">
        <v>244</v>
      </c>
      <c r="B238" s="12"/>
      <c r="C238" s="12" t="s">
        <v>242</v>
      </c>
      <c r="D238" s="12"/>
      <c r="E238" s="32">
        <v>44107</v>
      </c>
      <c r="F238" s="7"/>
      <c r="G238" s="8">
        <v>1003260</v>
      </c>
      <c r="I238" s="8">
        <v>18062963</v>
      </c>
      <c r="K238" s="8">
        <v>82343</v>
      </c>
      <c r="M238" s="8">
        <f>SUM(G238:L238)</f>
        <v>19148566</v>
      </c>
      <c r="O238" s="8">
        <v>29094530</v>
      </c>
      <c r="Q238" s="8">
        <v>0</v>
      </c>
      <c r="S238" s="8">
        <v>49320131</v>
      </c>
      <c r="U238" s="8">
        <v>4584294</v>
      </c>
      <c r="W238" s="8">
        <v>0</v>
      </c>
      <c r="Y238" s="8">
        <v>0</v>
      </c>
      <c r="AA238" s="8">
        <v>1661846</v>
      </c>
      <c r="AB238" s="39"/>
      <c r="AC238" s="8">
        <v>0</v>
      </c>
      <c r="AE238" s="8">
        <v>0</v>
      </c>
      <c r="AG238" s="8">
        <f>SUM(O238:AE238)</f>
        <v>84660801</v>
      </c>
      <c r="AH238" s="8"/>
      <c r="AI238" s="8">
        <f t="shared" si="22"/>
        <v>103809367</v>
      </c>
    </row>
    <row r="239" spans="1:37" ht="12" customHeight="1">
      <c r="A239" s="12" t="s">
        <v>981</v>
      </c>
      <c r="B239" s="12"/>
      <c r="C239" s="12" t="s">
        <v>27</v>
      </c>
      <c r="D239" s="12"/>
      <c r="E239" s="32">
        <v>46953</v>
      </c>
      <c r="G239" s="8">
        <v>758664</v>
      </c>
      <c r="I239" s="8">
        <v>3941134</v>
      </c>
      <c r="K239" s="8">
        <v>0</v>
      </c>
      <c r="M239" s="8">
        <f t="shared" ref="M239:M240" si="23">SUM(G239:L239)</f>
        <v>4699798</v>
      </c>
      <c r="O239" s="8">
        <v>7872560</v>
      </c>
      <c r="Q239" s="8">
        <v>0</v>
      </c>
      <c r="S239" s="8">
        <f>15411413+1035502</f>
        <v>16446915</v>
      </c>
      <c r="U239" s="8">
        <v>221778</v>
      </c>
      <c r="W239" s="8">
        <v>1928255</v>
      </c>
      <c r="Y239" s="8">
        <v>17706</v>
      </c>
      <c r="AA239" s="8">
        <f>795183+132780</f>
        <v>927963</v>
      </c>
      <c r="AB239" s="39"/>
      <c r="AC239" s="8">
        <v>0</v>
      </c>
      <c r="AE239" s="8">
        <v>0</v>
      </c>
      <c r="AG239" s="8">
        <f t="shared" ref="AG239" si="24">SUM(O239:AE239)</f>
        <v>27415177</v>
      </c>
      <c r="AH239" s="8"/>
      <c r="AI239" s="8">
        <f t="shared" si="22"/>
        <v>32114975</v>
      </c>
      <c r="AK239" s="8"/>
    </row>
    <row r="240" spans="1:37" ht="12" customHeight="1">
      <c r="A240" s="12" t="s">
        <v>422</v>
      </c>
      <c r="B240" s="12"/>
      <c r="C240" s="12" t="s">
        <v>421</v>
      </c>
      <c r="D240" s="12"/>
      <c r="E240" s="32">
        <v>47498</v>
      </c>
      <c r="G240" s="8">
        <v>482908</v>
      </c>
      <c r="I240" s="8">
        <v>312998</v>
      </c>
      <c r="K240" s="8">
        <v>4802858</v>
      </c>
      <c r="M240" s="8">
        <f t="shared" si="23"/>
        <v>5598764</v>
      </c>
      <c r="O240" s="8">
        <v>1266420</v>
      </c>
      <c r="Q240" s="8">
        <v>774118</v>
      </c>
      <c r="S240" s="8">
        <v>2496127</v>
      </c>
      <c r="U240" s="8">
        <v>144179</v>
      </c>
      <c r="W240" s="8">
        <v>0</v>
      </c>
      <c r="Y240" s="8">
        <v>0</v>
      </c>
      <c r="AA240" s="8">
        <f>1000+27666</f>
        <v>28666</v>
      </c>
      <c r="AB240" s="39"/>
      <c r="AC240" s="8">
        <v>0</v>
      </c>
      <c r="AE240" s="8">
        <v>0</v>
      </c>
      <c r="AG240" s="8">
        <f t="shared" si="21"/>
        <v>4709510</v>
      </c>
      <c r="AH240" s="8"/>
      <c r="AI240" s="8">
        <f t="shared" si="22"/>
        <v>10308274</v>
      </c>
      <c r="AK240" s="15" t="s">
        <v>905</v>
      </c>
    </row>
    <row r="241" spans="1:35" ht="12" customHeight="1">
      <c r="A241" s="12" t="s">
        <v>645</v>
      </c>
      <c r="B241" s="12"/>
      <c r="C241" s="12" t="s">
        <v>61</v>
      </c>
      <c r="D241" s="12"/>
      <c r="E241" s="32">
        <v>49791</v>
      </c>
      <c r="G241" s="8">
        <v>1002686</v>
      </c>
      <c r="I241" s="8">
        <v>845745</v>
      </c>
      <c r="K241" s="8">
        <v>12814</v>
      </c>
      <c r="M241" s="8">
        <f t="shared" si="20"/>
        <v>1861245</v>
      </c>
      <c r="O241" s="8">
        <v>2070732</v>
      </c>
      <c r="Q241" s="8">
        <v>650532</v>
      </c>
      <c r="S241" s="8">
        <f>4209052+3556944</f>
        <v>7765996</v>
      </c>
      <c r="U241" s="8">
        <v>0</v>
      </c>
      <c r="W241" s="8">
        <v>0</v>
      </c>
      <c r="Y241" s="8">
        <v>0</v>
      </c>
      <c r="AA241" s="8">
        <v>384178</v>
      </c>
      <c r="AB241" s="39"/>
      <c r="AC241" s="8">
        <v>0</v>
      </c>
      <c r="AE241" s="8">
        <v>0</v>
      </c>
      <c r="AG241" s="8">
        <f t="shared" si="21"/>
        <v>10871438</v>
      </c>
      <c r="AH241" s="8"/>
      <c r="AI241" s="8">
        <f t="shared" si="22"/>
        <v>12732683</v>
      </c>
    </row>
    <row r="242" spans="1:35" ht="12" customHeight="1">
      <c r="A242" s="12" t="s">
        <v>429</v>
      </c>
      <c r="B242" s="12"/>
      <c r="C242" s="12" t="s">
        <v>428</v>
      </c>
      <c r="D242" s="12"/>
      <c r="E242" s="32">
        <v>45245</v>
      </c>
      <c r="G242" s="8">
        <v>643119</v>
      </c>
      <c r="I242" s="8">
        <v>3507221</v>
      </c>
      <c r="K242" s="8">
        <v>44284</v>
      </c>
      <c r="M242" s="8">
        <f t="shared" si="20"/>
        <v>4194624</v>
      </c>
      <c r="O242" s="8">
        <v>4573337</v>
      </c>
      <c r="Q242" s="8">
        <v>0</v>
      </c>
      <c r="S242" s="8">
        <v>10739356</v>
      </c>
      <c r="U242" s="8">
        <v>165594</v>
      </c>
      <c r="W242" s="8">
        <v>0</v>
      </c>
      <c r="Y242" s="8">
        <v>0</v>
      </c>
      <c r="AA242" s="8">
        <v>17843</v>
      </c>
      <c r="AB242" s="39"/>
      <c r="AC242" s="8">
        <v>0</v>
      </c>
      <c r="AE242" s="8">
        <v>0</v>
      </c>
      <c r="AG242" s="8">
        <f t="shared" si="21"/>
        <v>15496130</v>
      </c>
      <c r="AH242" s="8"/>
      <c r="AI242" s="8">
        <f t="shared" si="22"/>
        <v>19690754</v>
      </c>
    </row>
    <row r="243" spans="1:35" ht="12" customHeight="1">
      <c r="A243" s="12" t="s">
        <v>473</v>
      </c>
      <c r="B243" s="12"/>
      <c r="C243" s="12" t="s">
        <v>42</v>
      </c>
      <c r="D243" s="12"/>
      <c r="E243" s="32">
        <v>44115</v>
      </c>
      <c r="G243" s="8">
        <v>593181</v>
      </c>
      <c r="I243" s="8">
        <v>922259</v>
      </c>
      <c r="K243" s="8">
        <v>12068</v>
      </c>
      <c r="M243" s="8">
        <f t="shared" si="20"/>
        <v>1527508</v>
      </c>
      <c r="O243" s="8">
        <v>9563856</v>
      </c>
      <c r="Q243" s="8">
        <v>0</v>
      </c>
      <c r="S243" s="8">
        <v>6331894</v>
      </c>
      <c r="U243" s="8">
        <v>0</v>
      </c>
      <c r="W243" s="8">
        <v>0</v>
      </c>
      <c r="Y243" s="8">
        <v>0</v>
      </c>
      <c r="AA243" s="8">
        <v>606569</v>
      </c>
      <c r="AB243" s="39"/>
      <c r="AC243" s="8">
        <v>0</v>
      </c>
      <c r="AE243" s="8">
        <v>0</v>
      </c>
      <c r="AG243" s="8">
        <f t="shared" si="21"/>
        <v>16502319</v>
      </c>
      <c r="AH243" s="8"/>
      <c r="AI243" s="8">
        <f t="shared" si="22"/>
        <v>18029827</v>
      </c>
    </row>
    <row r="244" spans="1:35" ht="12" hidden="1" customHeight="1">
      <c r="A244" s="12" t="s">
        <v>945</v>
      </c>
      <c r="B244" s="12"/>
      <c r="C244" s="12" t="s">
        <v>22</v>
      </c>
      <c r="D244" s="12"/>
      <c r="E244" s="32">
        <v>45419</v>
      </c>
      <c r="G244" s="8">
        <v>727687</v>
      </c>
      <c r="I244" s="8">
        <v>886758</v>
      </c>
      <c r="K244" s="8">
        <v>1294581</v>
      </c>
      <c r="M244" s="8">
        <f t="shared" si="20"/>
        <v>2909026</v>
      </c>
      <c r="O244" s="8">
        <v>2262800</v>
      </c>
      <c r="Q244" s="8">
        <v>1366355</v>
      </c>
      <c r="S244" s="8">
        <v>4465608</v>
      </c>
      <c r="U244" s="8">
        <v>288786</v>
      </c>
      <c r="Y244" s="8">
        <v>80172</v>
      </c>
      <c r="AA244" s="8">
        <f>18190+113128+6180</f>
        <v>137498</v>
      </c>
      <c r="AB244" s="39"/>
      <c r="AC244" s="8">
        <v>0</v>
      </c>
      <c r="AG244" s="8">
        <f t="shared" si="21"/>
        <v>8601219</v>
      </c>
      <c r="AH244" s="8"/>
      <c r="AI244" s="8">
        <f t="shared" si="22"/>
        <v>11510245</v>
      </c>
    </row>
    <row r="245" spans="1:35" ht="12" customHeight="1">
      <c r="A245" s="12" t="s">
        <v>528</v>
      </c>
      <c r="B245" s="12"/>
      <c r="C245" s="12" t="s">
        <v>47</v>
      </c>
      <c r="D245" s="12"/>
      <c r="E245" s="32">
        <v>48496</v>
      </c>
      <c r="G245" s="8">
        <v>1705332</v>
      </c>
      <c r="I245" s="8">
        <v>927865</v>
      </c>
      <c r="K245" s="8">
        <v>28775</v>
      </c>
      <c r="M245" s="8">
        <f t="shared" si="20"/>
        <v>2661972</v>
      </c>
      <c r="O245" s="8">
        <v>19245900</v>
      </c>
      <c r="Q245" s="8">
        <v>0</v>
      </c>
      <c r="S245" s="8">
        <v>8043456</v>
      </c>
      <c r="U245" s="8">
        <v>402579</v>
      </c>
      <c r="W245" s="8">
        <v>0</v>
      </c>
      <c r="Y245" s="8">
        <v>0</v>
      </c>
      <c r="AA245" s="8">
        <f>267796+988270</f>
        <v>1256066</v>
      </c>
      <c r="AB245" s="39"/>
      <c r="AC245" s="8">
        <v>0</v>
      </c>
      <c r="AE245" s="8">
        <v>40258</v>
      </c>
      <c r="AG245" s="8">
        <f t="shared" si="21"/>
        <v>28988259</v>
      </c>
      <c r="AH245" s="8"/>
      <c r="AI245" s="8">
        <f t="shared" si="22"/>
        <v>31650231</v>
      </c>
    </row>
    <row r="246" spans="1:35" ht="12" customHeight="1">
      <c r="A246" s="12" t="s">
        <v>528</v>
      </c>
      <c r="B246" s="12"/>
      <c r="C246" s="12" t="s">
        <v>78</v>
      </c>
      <c r="D246" s="12"/>
      <c r="E246" s="32">
        <v>48801</v>
      </c>
      <c r="G246" s="8">
        <v>490532</v>
      </c>
      <c r="I246" s="8">
        <v>2415566</v>
      </c>
      <c r="K246" s="8">
        <v>24064</v>
      </c>
      <c r="M246" s="8">
        <f t="shared" si="20"/>
        <v>2930162</v>
      </c>
      <c r="O246" s="8">
        <f>579572+676041+60828+2574781</f>
        <v>3891222</v>
      </c>
      <c r="Q246" s="8">
        <v>923220</v>
      </c>
      <c r="S246" s="8">
        <v>44774119</v>
      </c>
      <c r="U246" s="8">
        <v>721702</v>
      </c>
      <c r="W246" s="8">
        <v>0</v>
      </c>
      <c r="Y246" s="8">
        <v>9014</v>
      </c>
      <c r="AA246" s="8">
        <v>288537</v>
      </c>
      <c r="AB246" s="39"/>
      <c r="AC246" s="8">
        <v>0</v>
      </c>
      <c r="AE246" s="8">
        <v>0</v>
      </c>
      <c r="AG246" s="8">
        <f t="shared" si="21"/>
        <v>50607814</v>
      </c>
      <c r="AH246" s="8"/>
      <c r="AI246" s="8">
        <f t="shared" si="22"/>
        <v>53537976</v>
      </c>
    </row>
    <row r="247" spans="1:35" ht="12" customHeight="1">
      <c r="A247" s="12" t="s">
        <v>360</v>
      </c>
      <c r="B247" s="12"/>
      <c r="C247" s="12" t="s">
        <v>27</v>
      </c>
      <c r="D247" s="12"/>
      <c r="E247" s="32">
        <v>47019</v>
      </c>
      <c r="G247" s="8">
        <v>7938049</v>
      </c>
      <c r="I247" s="8">
        <f>6353334+893464+213591</f>
        <v>7460389</v>
      </c>
      <c r="K247" s="8">
        <v>0</v>
      </c>
      <c r="M247" s="8">
        <f t="shared" si="20"/>
        <v>15398438</v>
      </c>
      <c r="O247" s="8">
        <v>123318799</v>
      </c>
      <c r="Q247" s="8">
        <v>0</v>
      </c>
      <c r="S247" s="8">
        <v>58265356</v>
      </c>
      <c r="U247" s="8">
        <v>1584812</v>
      </c>
      <c r="W247" s="8">
        <v>0</v>
      </c>
      <c r="Y247" s="8">
        <v>0</v>
      </c>
      <c r="AA247" s="8">
        <v>2543682</v>
      </c>
      <c r="AB247" s="39"/>
      <c r="AC247" s="8">
        <v>0</v>
      </c>
      <c r="AE247" s="8">
        <v>0</v>
      </c>
      <c r="AG247" s="8">
        <f t="shared" si="21"/>
        <v>185712649</v>
      </c>
      <c r="AH247" s="8"/>
      <c r="AI247" s="8">
        <f t="shared" si="22"/>
        <v>201111087</v>
      </c>
    </row>
    <row r="248" spans="1:35" ht="12" customHeight="1">
      <c r="A248" s="12" t="s">
        <v>438</v>
      </c>
      <c r="B248" s="12"/>
      <c r="C248" s="12" t="s">
        <v>435</v>
      </c>
      <c r="D248" s="12"/>
      <c r="E248" s="32">
        <v>44123</v>
      </c>
      <c r="G248" s="8">
        <v>1553737</v>
      </c>
      <c r="I248" s="8">
        <v>4132635</v>
      </c>
      <c r="K248" s="8">
        <v>31043</v>
      </c>
      <c r="M248" s="8">
        <f t="shared" si="20"/>
        <v>5717415</v>
      </c>
      <c r="O248" s="8">
        <v>6430216</v>
      </c>
      <c r="Q248" s="8">
        <v>2512448</v>
      </c>
      <c r="S248" s="8">
        <v>13283767</v>
      </c>
      <c r="U248" s="8">
        <v>0</v>
      </c>
      <c r="W248" s="8">
        <v>0</v>
      </c>
      <c r="Y248" s="8">
        <v>0</v>
      </c>
      <c r="AA248" s="8">
        <v>748206</v>
      </c>
      <c r="AB248" s="39"/>
      <c r="AC248" s="8">
        <v>0</v>
      </c>
      <c r="AE248" s="8">
        <v>0</v>
      </c>
      <c r="AG248" s="8">
        <f t="shared" si="21"/>
        <v>22974637</v>
      </c>
      <c r="AH248" s="8"/>
      <c r="AI248" s="8">
        <f t="shared" si="22"/>
        <v>28692052</v>
      </c>
    </row>
    <row r="249" spans="1:35" ht="12" customHeight="1">
      <c r="A249" s="12" t="s">
        <v>214</v>
      </c>
      <c r="B249" s="12"/>
      <c r="C249" s="12" t="s">
        <v>11</v>
      </c>
      <c r="D249" s="12"/>
      <c r="E249" s="32">
        <v>45823</v>
      </c>
      <c r="F249" s="7"/>
      <c r="G249" s="8">
        <v>860717</v>
      </c>
      <c r="I249" s="8">
        <v>939197</v>
      </c>
      <c r="K249" s="8">
        <v>13922</v>
      </c>
      <c r="M249" s="8">
        <f t="shared" si="20"/>
        <v>1813836</v>
      </c>
      <c r="O249" s="8">
        <v>4476065</v>
      </c>
      <c r="Q249" s="8">
        <v>0</v>
      </c>
      <c r="S249" s="8">
        <v>4432640</v>
      </c>
      <c r="U249" s="8">
        <v>64550</v>
      </c>
      <c r="W249" s="8">
        <v>0</v>
      </c>
      <c r="Y249" s="8">
        <v>0</v>
      </c>
      <c r="AA249" s="8">
        <v>56767</v>
      </c>
      <c r="AB249" s="39"/>
      <c r="AC249" s="8">
        <v>0</v>
      </c>
      <c r="AE249" s="8">
        <v>0</v>
      </c>
      <c r="AG249" s="8">
        <f t="shared" si="21"/>
        <v>9030022</v>
      </c>
      <c r="AH249" s="8"/>
      <c r="AI249" s="8">
        <f t="shared" si="22"/>
        <v>10843858</v>
      </c>
    </row>
    <row r="250" spans="1:35" ht="12" customHeight="1">
      <c r="A250" s="12" t="s">
        <v>430</v>
      </c>
      <c r="B250" s="12"/>
      <c r="C250" s="12" t="s">
        <v>34</v>
      </c>
      <c r="D250" s="12"/>
      <c r="E250" s="32">
        <v>47571</v>
      </c>
      <c r="G250" s="8">
        <v>649730</v>
      </c>
      <c r="I250" s="8">
        <v>515403</v>
      </c>
      <c r="K250" s="8">
        <v>6502</v>
      </c>
      <c r="M250" s="8">
        <f t="shared" si="20"/>
        <v>1171635</v>
      </c>
      <c r="O250" s="8">
        <f>888602+16596+358530+65713</f>
        <v>1329441</v>
      </c>
      <c r="Q250" s="8">
        <v>665844</v>
      </c>
      <c r="S250" s="8">
        <v>2488228</v>
      </c>
      <c r="U250" s="8">
        <v>71501</v>
      </c>
      <c r="W250" s="8">
        <v>1587</v>
      </c>
      <c r="Y250" s="8">
        <v>1727</v>
      </c>
      <c r="AA250" s="8">
        <v>54810</v>
      </c>
      <c r="AB250" s="39"/>
      <c r="AC250" s="8">
        <v>0</v>
      </c>
      <c r="AE250" s="8">
        <v>0</v>
      </c>
      <c r="AG250" s="8">
        <f t="shared" si="21"/>
        <v>4613138</v>
      </c>
      <c r="AH250" s="8"/>
      <c r="AI250" s="8">
        <f t="shared" si="22"/>
        <v>5784773</v>
      </c>
    </row>
    <row r="251" spans="1:35" ht="12" customHeight="1">
      <c r="A251" s="12" t="s">
        <v>680</v>
      </c>
      <c r="B251" s="12"/>
      <c r="C251" s="12" t="s">
        <v>64</v>
      </c>
      <c r="D251" s="12"/>
      <c r="E251" s="32">
        <v>50161</v>
      </c>
      <c r="G251" s="8">
        <v>2183350</v>
      </c>
      <c r="I251" s="8">
        <v>2118930</v>
      </c>
      <c r="K251" s="8">
        <v>30605</v>
      </c>
      <c r="M251" s="8">
        <f t="shared" si="20"/>
        <v>4332885</v>
      </c>
      <c r="O251" s="8">
        <v>17668300</v>
      </c>
      <c r="Q251" s="8">
        <v>0</v>
      </c>
      <c r="S251" s="8">
        <v>10535212</v>
      </c>
      <c r="U251" s="8">
        <v>98089</v>
      </c>
      <c r="W251" s="8">
        <v>31207</v>
      </c>
      <c r="Y251" s="8">
        <v>0</v>
      </c>
      <c r="AA251" s="8">
        <v>73791</v>
      </c>
      <c r="AB251" s="39"/>
      <c r="AC251" s="8">
        <v>0</v>
      </c>
      <c r="AE251" s="8">
        <v>0</v>
      </c>
      <c r="AG251" s="8">
        <f t="shared" si="21"/>
        <v>28406599</v>
      </c>
      <c r="AH251" s="8"/>
      <c r="AI251" s="8">
        <f t="shared" si="22"/>
        <v>32739484</v>
      </c>
    </row>
    <row r="252" spans="1:35" ht="12" customHeight="1">
      <c r="A252" s="12" t="s">
        <v>681</v>
      </c>
      <c r="B252" s="12"/>
      <c r="C252" s="12" t="s">
        <v>64</v>
      </c>
      <c r="D252" s="12"/>
      <c r="E252" s="32">
        <v>45427</v>
      </c>
      <c r="G252" s="8">
        <v>1464200</v>
      </c>
      <c r="I252" s="8">
        <v>1511585</v>
      </c>
      <c r="K252" s="8">
        <v>120660</v>
      </c>
      <c r="M252" s="8">
        <f t="shared" si="20"/>
        <v>3096445</v>
      </c>
      <c r="O252" s="8">
        <v>7432728</v>
      </c>
      <c r="Q252" s="8">
        <v>0</v>
      </c>
      <c r="S252" s="8">
        <v>6533614</v>
      </c>
      <c r="U252" s="8">
        <v>1643320</v>
      </c>
      <c r="W252" s="8">
        <v>0</v>
      </c>
      <c r="Y252" s="8">
        <v>0</v>
      </c>
      <c r="AA252" s="8">
        <v>433730</v>
      </c>
      <c r="AB252" s="39"/>
      <c r="AC252" s="8">
        <v>0</v>
      </c>
      <c r="AE252" s="8">
        <v>0</v>
      </c>
      <c r="AG252" s="8">
        <f t="shared" si="21"/>
        <v>16043392</v>
      </c>
      <c r="AH252" s="8"/>
      <c r="AI252" s="8">
        <f t="shared" si="22"/>
        <v>19139837</v>
      </c>
    </row>
    <row r="253" spans="1:35" ht="12" customHeight="1">
      <c r="A253" s="12" t="s">
        <v>547</v>
      </c>
      <c r="B253" s="12"/>
      <c r="C253" s="12" t="s">
        <v>50</v>
      </c>
      <c r="D253" s="12"/>
      <c r="E253" s="32">
        <v>48751</v>
      </c>
      <c r="G253" s="8">
        <v>3033773</v>
      </c>
      <c r="I253" s="8">
        <v>4611131</v>
      </c>
      <c r="K253" s="8">
        <v>84837045</v>
      </c>
      <c r="M253" s="8">
        <f t="shared" si="20"/>
        <v>92481949</v>
      </c>
      <c r="O253" s="8">
        <v>30575633</v>
      </c>
      <c r="Q253" s="8">
        <v>0</v>
      </c>
      <c r="S253" s="8">
        <v>33617650</v>
      </c>
      <c r="U253" s="8">
        <v>0</v>
      </c>
      <c r="W253" s="8">
        <v>0</v>
      </c>
      <c r="Y253" s="8">
        <v>0</v>
      </c>
      <c r="AA253" s="8">
        <v>1280462</v>
      </c>
      <c r="AB253" s="39"/>
      <c r="AC253" s="8">
        <v>0</v>
      </c>
      <c r="AE253" s="8">
        <v>0</v>
      </c>
      <c r="AG253" s="8">
        <f t="shared" si="21"/>
        <v>65473745</v>
      </c>
      <c r="AH253" s="8"/>
      <c r="AI253" s="8">
        <f t="shared" si="22"/>
        <v>157955694</v>
      </c>
    </row>
    <row r="254" spans="1:35" ht="12" customHeight="1">
      <c r="A254" s="12" t="s">
        <v>666</v>
      </c>
      <c r="B254" s="12"/>
      <c r="C254" s="12" t="s">
        <v>63</v>
      </c>
      <c r="D254" s="12"/>
      <c r="E254" s="32">
        <v>50021</v>
      </c>
      <c r="G254" s="8">
        <v>4155645</v>
      </c>
      <c r="I254" s="8">
        <v>4504627</v>
      </c>
      <c r="K254" s="8">
        <v>115953</v>
      </c>
      <c r="M254" s="8">
        <f t="shared" si="20"/>
        <v>8776225</v>
      </c>
      <c r="O254" s="8">
        <v>43735379</v>
      </c>
      <c r="Q254" s="8">
        <v>0</v>
      </c>
      <c r="S254" s="8">
        <v>18921561</v>
      </c>
      <c r="U254" s="8">
        <v>719784</v>
      </c>
      <c r="W254" s="8">
        <v>0</v>
      </c>
      <c r="Y254" s="8">
        <v>0</v>
      </c>
      <c r="AA254" s="8">
        <v>112913</v>
      </c>
      <c r="AB254" s="39"/>
      <c r="AC254" s="8">
        <v>0</v>
      </c>
      <c r="AE254" s="8">
        <v>0</v>
      </c>
      <c r="AG254" s="8">
        <f t="shared" si="21"/>
        <v>63489637</v>
      </c>
      <c r="AH254" s="8"/>
      <c r="AI254" s="8">
        <f t="shared" si="22"/>
        <v>72265862</v>
      </c>
    </row>
    <row r="255" spans="1:35" ht="12" customHeight="1">
      <c r="A255" s="12" t="s">
        <v>618</v>
      </c>
      <c r="B255" s="12"/>
      <c r="C255" s="12" t="s">
        <v>58</v>
      </c>
      <c r="D255" s="12"/>
      <c r="E255" s="32">
        <v>49502</v>
      </c>
      <c r="G255" s="8">
        <v>336164</v>
      </c>
      <c r="I255" s="8">
        <v>3033875</v>
      </c>
      <c r="K255" s="8">
        <v>0</v>
      </c>
      <c r="M255" s="8">
        <f t="shared" si="20"/>
        <v>3370039</v>
      </c>
      <c r="O255" s="8">
        <v>1182634</v>
      </c>
      <c r="Q255" s="8">
        <v>0</v>
      </c>
      <c r="S255" s="8">
        <v>7618708</v>
      </c>
      <c r="U255" s="8">
        <v>37889</v>
      </c>
      <c r="W255" s="8">
        <v>0</v>
      </c>
      <c r="Y255" s="8">
        <v>0</v>
      </c>
      <c r="AA255" s="8">
        <v>161593</v>
      </c>
      <c r="AB255" s="39"/>
      <c r="AC255" s="8">
        <v>0</v>
      </c>
      <c r="AE255" s="8">
        <v>0</v>
      </c>
      <c r="AG255" s="8">
        <f t="shared" si="21"/>
        <v>9000824</v>
      </c>
      <c r="AH255" s="8"/>
      <c r="AI255" s="8">
        <f t="shared" si="22"/>
        <v>12370863</v>
      </c>
    </row>
    <row r="256" spans="1:35" ht="12" customHeight="1">
      <c r="A256" s="12" t="s">
        <v>337</v>
      </c>
      <c r="B256" s="12"/>
      <c r="C256" s="12" t="s">
        <v>24</v>
      </c>
      <c r="D256" s="12"/>
      <c r="E256" s="32">
        <v>44131</v>
      </c>
      <c r="G256" s="8">
        <v>811456</v>
      </c>
      <c r="I256" s="8">
        <v>1135749</v>
      </c>
      <c r="K256" s="8">
        <v>117969</v>
      </c>
      <c r="M256" s="8">
        <f t="shared" si="20"/>
        <v>2065174</v>
      </c>
      <c r="O256" s="8">
        <v>10996983</v>
      </c>
      <c r="Q256" s="8">
        <v>0</v>
      </c>
      <c r="S256" s="8">
        <v>5266099</v>
      </c>
      <c r="U256" s="8">
        <v>118676</v>
      </c>
      <c r="W256" s="8">
        <v>0</v>
      </c>
      <c r="Y256" s="8">
        <v>0</v>
      </c>
      <c r="AA256" s="8">
        <v>26426</v>
      </c>
      <c r="AB256" s="39"/>
      <c r="AC256" s="8">
        <v>0</v>
      </c>
      <c r="AE256" s="8">
        <v>0</v>
      </c>
      <c r="AG256" s="8">
        <f t="shared" si="21"/>
        <v>16408184</v>
      </c>
      <c r="AH256" s="8"/>
      <c r="AI256" s="8">
        <f t="shared" si="22"/>
        <v>18473358</v>
      </c>
    </row>
    <row r="257" spans="1:37" ht="12" customHeight="1">
      <c r="A257" s="12" t="s">
        <v>309</v>
      </c>
      <c r="B257" s="12"/>
      <c r="C257" s="12" t="s">
        <v>20</v>
      </c>
      <c r="D257" s="12"/>
      <c r="E257" s="32">
        <v>46565</v>
      </c>
      <c r="G257" s="8">
        <v>481549</v>
      </c>
      <c r="I257" s="8">
        <v>358074</v>
      </c>
      <c r="K257" s="8">
        <v>0</v>
      </c>
      <c r="M257" s="8">
        <f t="shared" si="20"/>
        <v>839623</v>
      </c>
      <c r="O257" s="8">
        <v>15980244</v>
      </c>
      <c r="Q257" s="8">
        <v>0</v>
      </c>
      <c r="S257" s="8">
        <v>2770175</v>
      </c>
      <c r="U257" s="8">
        <v>46753</v>
      </c>
      <c r="W257" s="8">
        <v>0</v>
      </c>
      <c r="Y257" s="8">
        <v>0</v>
      </c>
      <c r="AA257" s="8">
        <v>225992</v>
      </c>
      <c r="AB257" s="39"/>
      <c r="AC257" s="8">
        <v>0</v>
      </c>
      <c r="AE257" s="8">
        <v>0</v>
      </c>
      <c r="AG257" s="8">
        <f t="shared" si="21"/>
        <v>19023164</v>
      </c>
      <c r="AH257" s="8"/>
      <c r="AI257" s="8">
        <f t="shared" si="22"/>
        <v>19862787</v>
      </c>
    </row>
    <row r="258" spans="1:37" ht="12" customHeight="1">
      <c r="A258" s="12" t="s">
        <v>451</v>
      </c>
      <c r="B258" s="12"/>
      <c r="C258" s="12" t="s">
        <v>39</v>
      </c>
      <c r="D258" s="12"/>
      <c r="E258" s="32">
        <v>47803</v>
      </c>
      <c r="G258" s="8">
        <v>2118833</v>
      </c>
      <c r="I258" s="8">
        <v>3516738</v>
      </c>
      <c r="K258" s="8">
        <v>673685</v>
      </c>
      <c r="M258" s="8">
        <f t="shared" si="20"/>
        <v>6309256</v>
      </c>
      <c r="O258" s="8">
        <v>8525458</v>
      </c>
      <c r="Q258" s="8">
        <v>0</v>
      </c>
      <c r="S258" s="8">
        <v>8718818</v>
      </c>
      <c r="U258" s="8">
        <v>133877</v>
      </c>
      <c r="W258" s="8">
        <v>0</v>
      </c>
      <c r="Y258" s="8">
        <v>0</v>
      </c>
      <c r="AA258" s="8">
        <v>34581</v>
      </c>
      <c r="AB258" s="39"/>
      <c r="AC258" s="8">
        <v>0</v>
      </c>
      <c r="AE258" s="8">
        <v>0</v>
      </c>
      <c r="AG258" s="8">
        <f t="shared" si="21"/>
        <v>17412734</v>
      </c>
      <c r="AH258" s="8"/>
      <c r="AI258" s="8">
        <f t="shared" si="22"/>
        <v>23721990</v>
      </c>
    </row>
    <row r="259" spans="1:37" ht="12" customHeight="1">
      <c r="A259" s="12" t="s">
        <v>395</v>
      </c>
      <c r="B259" s="12"/>
      <c r="C259" s="12" t="s">
        <v>32</v>
      </c>
      <c r="D259" s="12"/>
      <c r="E259" s="32">
        <v>45435</v>
      </c>
      <c r="G259" s="8">
        <v>878932</v>
      </c>
      <c r="I259" s="8">
        <v>1777251</v>
      </c>
      <c r="K259" s="8">
        <v>18360</v>
      </c>
      <c r="M259" s="8">
        <f t="shared" si="20"/>
        <v>2674543</v>
      </c>
      <c r="O259" s="8">
        <v>28408312</v>
      </c>
      <c r="Q259" s="8">
        <v>0</v>
      </c>
      <c r="S259" s="8">
        <v>8392363</v>
      </c>
      <c r="U259" s="8">
        <v>472169</v>
      </c>
      <c r="W259" s="8">
        <v>0</v>
      </c>
      <c r="Y259" s="8">
        <v>0</v>
      </c>
      <c r="AA259" s="8">
        <v>21200</v>
      </c>
      <c r="AB259" s="39"/>
      <c r="AC259" s="8">
        <v>0</v>
      </c>
      <c r="AE259" s="8">
        <v>0</v>
      </c>
      <c r="AG259" s="8">
        <f t="shared" si="21"/>
        <v>37294044</v>
      </c>
      <c r="AH259" s="8"/>
      <c r="AI259" s="8">
        <f t="shared" si="22"/>
        <v>39968587</v>
      </c>
    </row>
    <row r="260" spans="1:37" ht="12" hidden="1" customHeight="1">
      <c r="A260" s="12" t="s">
        <v>947</v>
      </c>
      <c r="B260" s="12"/>
      <c r="C260" s="12" t="s">
        <v>43</v>
      </c>
      <c r="D260" s="12"/>
      <c r="E260" s="32"/>
      <c r="G260" s="8">
        <v>1300530</v>
      </c>
      <c r="I260" s="8">
        <v>1759105</v>
      </c>
      <c r="K260" s="8">
        <v>21877</v>
      </c>
      <c r="M260" s="8">
        <f t="shared" si="20"/>
        <v>3081512</v>
      </c>
      <c r="O260" s="8">
        <v>10643152</v>
      </c>
      <c r="S260" s="8">
        <v>6935082</v>
      </c>
      <c r="U260" s="8">
        <v>439475</v>
      </c>
      <c r="AA260" s="8">
        <f>274194+151705+3124999</f>
        <v>3550898</v>
      </c>
      <c r="AB260" s="39"/>
      <c r="AC260" s="8">
        <v>0</v>
      </c>
      <c r="AG260" s="8">
        <f t="shared" si="21"/>
        <v>21568607</v>
      </c>
      <c r="AH260" s="8"/>
      <c r="AI260" s="8">
        <f t="shared" si="22"/>
        <v>24650119</v>
      </c>
    </row>
    <row r="261" spans="1:37" ht="12" customHeight="1">
      <c r="A261" s="12" t="s">
        <v>697</v>
      </c>
      <c r="B261" s="12"/>
      <c r="C261" s="12" t="s">
        <v>65</v>
      </c>
      <c r="D261" s="12"/>
      <c r="E261" s="32">
        <v>50286</v>
      </c>
      <c r="G261" s="8">
        <v>2003197</v>
      </c>
      <c r="I261" s="8">
        <v>2196783</v>
      </c>
      <c r="K261" s="8">
        <v>7609</v>
      </c>
      <c r="M261" s="8">
        <f t="shared" si="20"/>
        <v>4207589</v>
      </c>
      <c r="O261" s="8">
        <v>4855698</v>
      </c>
      <c r="Q261" s="8">
        <v>0</v>
      </c>
      <c r="S261" s="8">
        <v>8802557</v>
      </c>
      <c r="U261" s="8">
        <v>0</v>
      </c>
      <c r="W261" s="8">
        <v>0</v>
      </c>
      <c r="Y261" s="8">
        <v>0</v>
      </c>
      <c r="AA261" s="8">
        <v>84827</v>
      </c>
      <c r="AB261" s="39"/>
      <c r="AC261" s="8">
        <v>0</v>
      </c>
      <c r="AE261" s="8">
        <v>0</v>
      </c>
      <c r="AG261" s="8">
        <f t="shared" si="21"/>
        <v>13743082</v>
      </c>
      <c r="AH261" s="8"/>
      <c r="AI261" s="8">
        <f t="shared" si="22"/>
        <v>17950671</v>
      </c>
    </row>
    <row r="262" spans="1:37" ht="12" customHeight="1">
      <c r="A262" s="12" t="s">
        <v>469</v>
      </c>
      <c r="B262" s="12"/>
      <c r="C262" s="12" t="s">
        <v>466</v>
      </c>
      <c r="D262" s="12"/>
      <c r="E262" s="32">
        <v>44149</v>
      </c>
      <c r="G262" s="8">
        <v>1282946</v>
      </c>
      <c r="I262" s="8">
        <v>2827925</v>
      </c>
      <c r="K262" s="8">
        <v>23724</v>
      </c>
      <c r="M262" s="8">
        <f t="shared" si="20"/>
        <v>4134595</v>
      </c>
      <c r="O262" s="8">
        <v>3562658</v>
      </c>
      <c r="Q262" s="8">
        <v>0</v>
      </c>
      <c r="S262" s="8">
        <v>10287309</v>
      </c>
      <c r="U262" s="8">
        <v>419047</v>
      </c>
      <c r="W262" s="8">
        <v>0</v>
      </c>
      <c r="Y262" s="8">
        <v>0</v>
      </c>
      <c r="AA262" s="8">
        <v>85540</v>
      </c>
      <c r="AB262" s="39"/>
      <c r="AC262" s="8">
        <v>0</v>
      </c>
      <c r="AE262" s="8">
        <v>0</v>
      </c>
      <c r="AG262" s="8">
        <f t="shared" si="21"/>
        <v>14354554</v>
      </c>
      <c r="AH262" s="8"/>
      <c r="AI262" s="8">
        <f t="shared" si="22"/>
        <v>18489149</v>
      </c>
    </row>
    <row r="263" spans="1:37" ht="12" hidden="1" customHeight="1">
      <c r="A263" s="12" t="s">
        <v>948</v>
      </c>
      <c r="B263" s="12"/>
      <c r="C263" s="12" t="s">
        <v>61</v>
      </c>
      <c r="D263" s="12"/>
      <c r="E263" s="32">
        <v>49809</v>
      </c>
      <c r="G263" s="8">
        <v>749856</v>
      </c>
      <c r="I263" s="8">
        <v>392435</v>
      </c>
      <c r="K263" s="8">
        <v>4721</v>
      </c>
      <c r="M263" s="8">
        <f t="shared" si="20"/>
        <v>1147012</v>
      </c>
      <c r="O263" s="8">
        <v>1960398</v>
      </c>
      <c r="S263" s="8">
        <v>2220371</v>
      </c>
      <c r="U263" s="8">
        <v>8472</v>
      </c>
      <c r="AA263" s="8">
        <v>93137</v>
      </c>
      <c r="AB263" s="39"/>
      <c r="AC263" s="8">
        <v>0</v>
      </c>
      <c r="AG263" s="8">
        <f t="shared" si="21"/>
        <v>4282378</v>
      </c>
      <c r="AH263" s="8"/>
      <c r="AI263" s="8">
        <f t="shared" si="22"/>
        <v>5429390</v>
      </c>
    </row>
    <row r="264" spans="1:37" ht="12" hidden="1" customHeight="1">
      <c r="A264" s="12" t="s">
        <v>982</v>
      </c>
      <c r="B264" s="12"/>
      <c r="C264" s="12" t="s">
        <v>38</v>
      </c>
      <c r="D264" s="12"/>
      <c r="E264" s="32"/>
      <c r="G264" s="8">
        <v>1854114</v>
      </c>
      <c r="I264" s="8">
        <v>4007770</v>
      </c>
      <c r="K264" s="8">
        <v>187479</v>
      </c>
      <c r="M264" s="8">
        <f>SUM(G264:L264)</f>
        <v>6049363</v>
      </c>
      <c r="O264" s="8">
        <v>6546223</v>
      </c>
      <c r="S264" s="8">
        <v>14090524</v>
      </c>
      <c r="U264" s="8">
        <v>83410</v>
      </c>
      <c r="Y264" s="8">
        <v>350</v>
      </c>
      <c r="AA264" s="8">
        <f>19113+6916+51359+60001</f>
        <v>137389</v>
      </c>
      <c r="AB264" s="39"/>
      <c r="AC264" s="8">
        <v>0</v>
      </c>
      <c r="AG264" s="8">
        <f t="shared" si="21"/>
        <v>20857896</v>
      </c>
      <c r="AH264" s="8"/>
      <c r="AI264" s="8">
        <f t="shared" si="22"/>
        <v>26907259</v>
      </c>
      <c r="AK264" s="8" t="s">
        <v>956</v>
      </c>
    </row>
    <row r="265" spans="1:37" ht="12" customHeight="1">
      <c r="A265" s="12" t="s">
        <v>652</v>
      </c>
      <c r="B265" s="12"/>
      <c r="C265" s="12" t="s">
        <v>62</v>
      </c>
      <c r="D265" s="12"/>
      <c r="E265" s="32">
        <v>49858</v>
      </c>
      <c r="G265" s="8">
        <v>3201653</v>
      </c>
      <c r="I265" s="8">
        <v>2824396</v>
      </c>
      <c r="K265" s="8">
        <v>48473</v>
      </c>
      <c r="M265" s="8">
        <f t="shared" si="20"/>
        <v>6074522</v>
      </c>
      <c r="O265" s="8">
        <v>39927385</v>
      </c>
      <c r="Q265" s="8">
        <v>0</v>
      </c>
      <c r="S265" s="8">
        <v>13316608</v>
      </c>
      <c r="U265" s="8">
        <v>397139</v>
      </c>
      <c r="W265" s="8">
        <v>0</v>
      </c>
      <c r="Y265" s="8">
        <v>0</v>
      </c>
      <c r="AA265" s="8">
        <v>100263</v>
      </c>
      <c r="AB265" s="39"/>
      <c r="AC265" s="8">
        <v>0</v>
      </c>
      <c r="AE265" s="8">
        <v>0</v>
      </c>
      <c r="AG265" s="8">
        <f t="shared" si="21"/>
        <v>53741395</v>
      </c>
      <c r="AH265" s="8"/>
      <c r="AI265" s="8">
        <f t="shared" si="22"/>
        <v>59815917</v>
      </c>
    </row>
    <row r="266" spans="1:37" ht="12" customHeight="1">
      <c r="A266" s="12" t="s">
        <v>512</v>
      </c>
      <c r="B266" s="12"/>
      <c r="C266" s="12" t="s">
        <v>45</v>
      </c>
      <c r="D266" s="12"/>
      <c r="E266" s="32">
        <v>48322</v>
      </c>
      <c r="G266" s="8">
        <v>663405</v>
      </c>
      <c r="I266" s="8">
        <v>958716</v>
      </c>
      <c r="K266" s="8">
        <v>547052</v>
      </c>
      <c r="M266" s="8">
        <f t="shared" si="20"/>
        <v>2169173</v>
      </c>
      <c r="O266" s="8">
        <v>5314011</v>
      </c>
      <c r="Q266" s="8">
        <v>0</v>
      </c>
      <c r="S266" s="8">
        <v>3402938</v>
      </c>
      <c r="U266" s="8">
        <v>15652</v>
      </c>
      <c r="W266" s="8">
        <v>0</v>
      </c>
      <c r="Y266" s="8">
        <v>0</v>
      </c>
      <c r="AA266" s="8">
        <v>75388</v>
      </c>
      <c r="AB266" s="39"/>
      <c r="AC266" s="8">
        <v>0</v>
      </c>
      <c r="AE266" s="8">
        <v>0</v>
      </c>
      <c r="AG266" s="8">
        <f t="shared" si="21"/>
        <v>8807989</v>
      </c>
      <c r="AH266" s="8"/>
      <c r="AI266" s="8">
        <f t="shared" si="22"/>
        <v>10977162</v>
      </c>
    </row>
    <row r="267" spans="1:37" ht="12" customHeight="1">
      <c r="A267" s="12" t="s">
        <v>591</v>
      </c>
      <c r="B267" s="12"/>
      <c r="C267" s="12" t="s">
        <v>56</v>
      </c>
      <c r="D267" s="12"/>
      <c r="E267" s="32">
        <v>49205</v>
      </c>
      <c r="G267" s="8">
        <v>1671861</v>
      </c>
      <c r="I267" s="8">
        <v>1200555</v>
      </c>
      <c r="K267" s="8">
        <v>14743</v>
      </c>
      <c r="M267" s="8">
        <f t="shared" si="20"/>
        <v>2887159</v>
      </c>
      <c r="O267" s="8">
        <v>4854356</v>
      </c>
      <c r="Q267" s="8">
        <v>0</v>
      </c>
      <c r="S267" s="8">
        <v>6504959</v>
      </c>
      <c r="U267" s="8">
        <v>43291</v>
      </c>
      <c r="W267" s="8">
        <v>0</v>
      </c>
      <c r="Y267" s="8">
        <v>0</v>
      </c>
      <c r="AA267" s="8">
        <v>24195</v>
      </c>
      <c r="AB267" s="39"/>
      <c r="AC267" s="8">
        <v>0</v>
      </c>
      <c r="AE267" s="8">
        <v>0</v>
      </c>
      <c r="AG267" s="8">
        <f t="shared" si="21"/>
        <v>11426801</v>
      </c>
      <c r="AH267" s="8"/>
      <c r="AI267" s="8">
        <f t="shared" si="22"/>
        <v>14313960</v>
      </c>
    </row>
    <row r="268" spans="1:37" ht="12" customHeight="1">
      <c r="A268" s="12" t="s">
        <v>221</v>
      </c>
      <c r="B268" s="12"/>
      <c r="C268" s="12" t="s">
        <v>12</v>
      </c>
      <c r="D268" s="12"/>
      <c r="E268" s="32">
        <v>45872</v>
      </c>
      <c r="F268" s="7"/>
      <c r="G268" s="8">
        <v>1033846</v>
      </c>
      <c r="I268" s="8">
        <v>775763</v>
      </c>
      <c r="K268" s="8">
        <v>25511</v>
      </c>
      <c r="M268" s="8">
        <f t="shared" si="20"/>
        <v>1835120</v>
      </c>
      <c r="O268" s="8">
        <v>7057312</v>
      </c>
      <c r="Q268" s="8">
        <v>0</v>
      </c>
      <c r="S268" s="8">
        <v>9840405</v>
      </c>
      <c r="U268" s="8">
        <v>455382</v>
      </c>
      <c r="W268" s="8">
        <v>0</v>
      </c>
      <c r="Y268" s="8">
        <v>0</v>
      </c>
      <c r="AA268" s="8">
        <v>241466</v>
      </c>
      <c r="AB268" s="39"/>
      <c r="AC268" s="8">
        <v>0</v>
      </c>
      <c r="AE268" s="8">
        <v>0</v>
      </c>
      <c r="AG268" s="8">
        <f t="shared" si="21"/>
        <v>17594565</v>
      </c>
      <c r="AH268" s="8"/>
      <c r="AI268" s="8">
        <f t="shared" si="22"/>
        <v>19429685</v>
      </c>
      <c r="AK268" s="8" t="s">
        <v>956</v>
      </c>
    </row>
    <row r="269" spans="1:37" ht="12" customHeight="1">
      <c r="A269" s="12" t="s">
        <v>504</v>
      </c>
      <c r="B269" s="12"/>
      <c r="C269" s="12" t="s">
        <v>505</v>
      </c>
      <c r="D269" s="12"/>
      <c r="E269" s="32">
        <v>48256</v>
      </c>
      <c r="G269" s="8">
        <v>1077933</v>
      </c>
      <c r="I269" s="8">
        <v>958925</v>
      </c>
      <c r="K269" s="8">
        <v>16576</v>
      </c>
      <c r="M269" s="8">
        <f t="shared" si="20"/>
        <v>2053434</v>
      </c>
      <c r="O269" s="8">
        <v>5280194</v>
      </c>
      <c r="Q269" s="8">
        <v>718846</v>
      </c>
      <c r="S269" s="8">
        <v>4757253</v>
      </c>
      <c r="U269" s="8">
        <v>82136</v>
      </c>
      <c r="W269" s="8">
        <v>383856</v>
      </c>
      <c r="Y269" s="8">
        <v>0</v>
      </c>
      <c r="AA269" s="8">
        <v>448</v>
      </c>
      <c r="AB269" s="39"/>
      <c r="AC269" s="8">
        <v>0</v>
      </c>
      <c r="AE269" s="8">
        <v>0</v>
      </c>
      <c r="AG269" s="8">
        <f t="shared" si="21"/>
        <v>11222733</v>
      </c>
      <c r="AH269" s="8"/>
      <c r="AI269" s="8">
        <f t="shared" si="22"/>
        <v>13276167</v>
      </c>
    </row>
    <row r="270" spans="1:37" ht="12" customHeight="1">
      <c r="A270" s="12" t="s">
        <v>548</v>
      </c>
      <c r="B270" s="12"/>
      <c r="C270" s="12" t="s">
        <v>50</v>
      </c>
      <c r="D270" s="12"/>
      <c r="E270" s="32">
        <v>48686</v>
      </c>
      <c r="G270" s="8">
        <v>657080</v>
      </c>
      <c r="I270" s="8">
        <v>2375707</v>
      </c>
      <c r="K270" s="8">
        <v>0</v>
      </c>
      <c r="M270" s="8">
        <f t="shared" si="20"/>
        <v>3032787</v>
      </c>
      <c r="O270" s="8">
        <v>2861844</v>
      </c>
      <c r="Q270" s="8">
        <v>0</v>
      </c>
      <c r="S270" s="8">
        <v>3848094</v>
      </c>
      <c r="U270" s="8">
        <v>12241</v>
      </c>
      <c r="W270" s="8">
        <v>0</v>
      </c>
      <c r="Y270" s="8">
        <v>0</v>
      </c>
      <c r="AA270" s="8">
        <f>14013+30739</f>
        <v>44752</v>
      </c>
      <c r="AB270" s="39"/>
      <c r="AC270" s="8">
        <v>0</v>
      </c>
      <c r="AE270" s="8">
        <v>0</v>
      </c>
      <c r="AG270" s="8">
        <f t="shared" si="21"/>
        <v>6766931</v>
      </c>
      <c r="AH270" s="8"/>
      <c r="AI270" s="8">
        <f t="shared" si="22"/>
        <v>9799718</v>
      </c>
      <c r="AK270" s="8" t="s">
        <v>956</v>
      </c>
    </row>
    <row r="271" spans="1:37" ht="12" hidden="1" customHeight="1">
      <c r="A271" s="12" t="s">
        <v>949</v>
      </c>
      <c r="B271" s="12"/>
      <c r="C271" s="12" t="s">
        <v>603</v>
      </c>
      <c r="D271" s="12"/>
      <c r="E271" s="32"/>
      <c r="G271" s="8">
        <v>620793</v>
      </c>
      <c r="I271" s="8">
        <v>140898</v>
      </c>
      <c r="K271" s="8">
        <v>5260</v>
      </c>
      <c r="M271" s="8">
        <f t="shared" si="20"/>
        <v>766951</v>
      </c>
      <c r="O271" s="8">
        <f>690873+13750+248536</f>
        <v>953159</v>
      </c>
      <c r="Q271" s="8">
        <v>328249</v>
      </c>
      <c r="S271" s="8">
        <v>2097064</v>
      </c>
      <c r="U271" s="8">
        <v>20253</v>
      </c>
      <c r="AA271" s="8">
        <f>48346+700</f>
        <v>49046</v>
      </c>
      <c r="AB271" s="39"/>
      <c r="AC271" s="8">
        <v>0</v>
      </c>
      <c r="AG271" s="8">
        <f t="shared" si="21"/>
        <v>3447771</v>
      </c>
      <c r="AH271" s="8"/>
      <c r="AI271" s="8">
        <f t="shared" si="22"/>
        <v>4214722</v>
      </c>
    </row>
    <row r="272" spans="1:37" ht="12" customHeight="1">
      <c r="A272" s="12" t="s">
        <v>474</v>
      </c>
      <c r="B272" s="12"/>
      <c r="C272" s="12" t="s">
        <v>42</v>
      </c>
      <c r="D272" s="12"/>
      <c r="E272" s="32">
        <v>47985</v>
      </c>
      <c r="G272" s="8">
        <v>795247</v>
      </c>
      <c r="I272" s="8">
        <v>985068</v>
      </c>
      <c r="K272" s="8">
        <v>11327</v>
      </c>
      <c r="M272" s="8">
        <f t="shared" si="20"/>
        <v>1791642</v>
      </c>
      <c r="O272" s="8">
        <v>4219049</v>
      </c>
      <c r="Q272" s="8">
        <v>2064155</v>
      </c>
      <c r="S272" s="8">
        <v>5350432</v>
      </c>
      <c r="U272" s="8">
        <v>67777</v>
      </c>
      <c r="W272" s="8">
        <v>0</v>
      </c>
      <c r="Y272" s="8">
        <v>400</v>
      </c>
      <c r="AA272" s="8">
        <v>23814</v>
      </c>
      <c r="AB272" s="39"/>
      <c r="AC272" s="8">
        <v>0</v>
      </c>
      <c r="AE272" s="8">
        <v>0</v>
      </c>
      <c r="AG272" s="8">
        <f t="shared" si="21"/>
        <v>11725627</v>
      </c>
      <c r="AH272" s="8"/>
      <c r="AI272" s="8">
        <f t="shared" si="22"/>
        <v>13517269</v>
      </c>
    </row>
    <row r="273" spans="1:37" ht="12" customHeight="1">
      <c r="A273" s="12" t="s">
        <v>506</v>
      </c>
      <c r="B273" s="12"/>
      <c r="C273" s="12" t="s">
        <v>505</v>
      </c>
      <c r="D273" s="12"/>
      <c r="E273" s="32">
        <v>48264</v>
      </c>
      <c r="G273" s="8">
        <v>1770852</v>
      </c>
      <c r="I273" s="8">
        <v>1362961</v>
      </c>
      <c r="K273" s="8">
        <v>23367</v>
      </c>
      <c r="M273" s="8">
        <f t="shared" si="20"/>
        <v>3157180</v>
      </c>
      <c r="O273" s="8">
        <v>7163866</v>
      </c>
      <c r="Q273" s="8">
        <v>1730290</v>
      </c>
      <c r="S273" s="8">
        <f>7724896+27220507</f>
        <v>34945403</v>
      </c>
      <c r="U273" s="8">
        <v>16754</v>
      </c>
      <c r="W273" s="8">
        <v>0</v>
      </c>
      <c r="Y273" s="8">
        <v>0</v>
      </c>
      <c r="AA273" s="8">
        <v>18128</v>
      </c>
      <c r="AB273" s="39"/>
      <c r="AC273" s="8">
        <v>0</v>
      </c>
      <c r="AE273" s="8">
        <v>0</v>
      </c>
      <c r="AG273" s="8">
        <f t="shared" si="21"/>
        <v>43874441</v>
      </c>
      <c r="AH273" s="8"/>
      <c r="AI273" s="8">
        <f t="shared" si="22"/>
        <v>47031621</v>
      </c>
    </row>
    <row r="274" spans="1:37" ht="12" customHeight="1">
      <c r="A274" s="12" t="s">
        <v>682</v>
      </c>
      <c r="B274" s="12"/>
      <c r="C274" s="12" t="s">
        <v>64</v>
      </c>
      <c r="D274" s="12"/>
      <c r="E274" s="32">
        <v>50179</v>
      </c>
      <c r="G274" s="8">
        <v>494186</v>
      </c>
      <c r="I274" s="8">
        <v>608334</v>
      </c>
      <c r="K274" s="8">
        <v>17941</v>
      </c>
      <c r="M274" s="8">
        <f t="shared" si="20"/>
        <v>1120461</v>
      </c>
      <c r="O274" s="8">
        <v>3389034</v>
      </c>
      <c r="Q274" s="8">
        <v>0</v>
      </c>
      <c r="S274" s="8">
        <v>5022307</v>
      </c>
      <c r="U274" s="8">
        <v>45865</v>
      </c>
      <c r="W274" s="8">
        <v>0</v>
      </c>
      <c r="Y274" s="8">
        <v>0</v>
      </c>
      <c r="AA274" s="8">
        <f>22550+37317</f>
        <v>59867</v>
      </c>
      <c r="AB274" s="39"/>
      <c r="AC274" s="8">
        <v>0</v>
      </c>
      <c r="AE274" s="8">
        <v>0</v>
      </c>
      <c r="AG274" s="8">
        <f t="shared" si="21"/>
        <v>8517073</v>
      </c>
      <c r="AH274" s="8"/>
      <c r="AI274" s="8">
        <f t="shared" si="22"/>
        <v>9637534</v>
      </c>
    </row>
    <row r="275" spans="1:37" ht="12" customHeight="1">
      <c r="A275" s="12" t="s">
        <v>338</v>
      </c>
      <c r="B275" s="12"/>
      <c r="C275" s="12" t="s">
        <v>24</v>
      </c>
      <c r="D275" s="12"/>
      <c r="E275" s="32">
        <v>46797</v>
      </c>
      <c r="G275" s="8">
        <v>105</v>
      </c>
      <c r="I275" s="8">
        <v>23391</v>
      </c>
      <c r="K275" s="8">
        <v>0</v>
      </c>
      <c r="M275" s="8">
        <f t="shared" si="20"/>
        <v>23496</v>
      </c>
      <c r="O275" s="8">
        <v>1089122</v>
      </c>
      <c r="Q275" s="8">
        <v>0</v>
      </c>
      <c r="S275" s="8">
        <v>135140</v>
      </c>
      <c r="U275" s="8">
        <v>7822</v>
      </c>
      <c r="W275" s="8">
        <v>0</v>
      </c>
      <c r="Y275" s="8">
        <v>0</v>
      </c>
      <c r="AA275" s="8">
        <v>181</v>
      </c>
      <c r="AB275" s="39"/>
      <c r="AC275" s="8">
        <v>0</v>
      </c>
      <c r="AE275" s="8">
        <v>0</v>
      </c>
      <c r="AG275" s="8">
        <f t="shared" si="21"/>
        <v>1232265</v>
      </c>
      <c r="AH275" s="8"/>
      <c r="AI275" s="8">
        <f t="shared" si="22"/>
        <v>1255761</v>
      </c>
    </row>
    <row r="276" spans="1:37" ht="12" customHeight="1">
      <c r="A276" s="12" t="s">
        <v>380</v>
      </c>
      <c r="B276" s="12"/>
      <c r="C276" s="12" t="s">
        <v>30</v>
      </c>
      <c r="D276" s="12"/>
      <c r="E276" s="32">
        <v>47191</v>
      </c>
      <c r="G276" s="8">
        <v>2113057</v>
      </c>
      <c r="I276" s="8">
        <v>1428602</v>
      </c>
      <c r="K276" s="8">
        <v>448655</v>
      </c>
      <c r="M276" s="8">
        <f t="shared" si="20"/>
        <v>3990314</v>
      </c>
      <c r="O276" s="8">
        <v>26412958</v>
      </c>
      <c r="Q276" s="8">
        <v>0</v>
      </c>
      <c r="S276" s="8">
        <v>9932505</v>
      </c>
      <c r="U276" s="8">
        <v>218879</v>
      </c>
      <c r="W276" s="8">
        <v>0</v>
      </c>
      <c r="Y276" s="8">
        <v>0</v>
      </c>
      <c r="AA276" s="8">
        <v>103080</v>
      </c>
      <c r="AB276" s="39"/>
      <c r="AC276" s="8">
        <v>0</v>
      </c>
      <c r="AE276" s="8">
        <v>0</v>
      </c>
      <c r="AG276" s="8">
        <f t="shared" si="21"/>
        <v>36667422</v>
      </c>
      <c r="AH276" s="8"/>
      <c r="AI276" s="8">
        <f t="shared" si="22"/>
        <v>40657736</v>
      </c>
    </row>
    <row r="277" spans="1:37" ht="12" customHeight="1">
      <c r="A277" s="12" t="s">
        <v>592</v>
      </c>
      <c r="B277" s="12"/>
      <c r="C277" s="12" t="s">
        <v>56</v>
      </c>
      <c r="D277" s="12"/>
      <c r="E277" s="32">
        <v>44164</v>
      </c>
      <c r="G277" s="8">
        <v>4286488</v>
      </c>
      <c r="I277" s="8">
        <v>3379733</v>
      </c>
      <c r="K277" s="8">
        <v>27314</v>
      </c>
      <c r="M277" s="8">
        <f t="shared" si="20"/>
        <v>7693535</v>
      </c>
      <c r="O277" s="8">
        <v>24200754</v>
      </c>
      <c r="Q277" s="8">
        <v>0</v>
      </c>
      <c r="S277" s="8">
        <v>18298759</v>
      </c>
      <c r="U277" s="8">
        <v>443363</v>
      </c>
      <c r="W277" s="8">
        <v>0</v>
      </c>
      <c r="Y277" s="8">
        <v>0</v>
      </c>
      <c r="AA277" s="8">
        <v>69680</v>
      </c>
      <c r="AB277" s="39"/>
      <c r="AC277" s="8">
        <v>0</v>
      </c>
      <c r="AE277" s="8">
        <v>0</v>
      </c>
      <c r="AG277" s="8">
        <f t="shared" si="21"/>
        <v>43012556</v>
      </c>
      <c r="AH277" s="8"/>
      <c r="AI277" s="8">
        <f t="shared" si="22"/>
        <v>50706091</v>
      </c>
    </row>
    <row r="278" spans="1:37" ht="12" customHeight="1">
      <c r="A278" s="12" t="s">
        <v>423</v>
      </c>
      <c r="B278" s="12"/>
      <c r="C278" s="12" t="s">
        <v>421</v>
      </c>
      <c r="D278" s="12"/>
      <c r="E278" s="32">
        <v>44172</v>
      </c>
      <c r="G278" s="8">
        <v>1336601</v>
      </c>
      <c r="I278" s="8">
        <v>2342417</v>
      </c>
      <c r="K278" s="8">
        <v>32009</v>
      </c>
      <c r="M278" s="8">
        <f t="shared" si="20"/>
        <v>3711027</v>
      </c>
      <c r="O278" s="8">
        <v>3817702</v>
      </c>
      <c r="Q278" s="8">
        <v>1744841</v>
      </c>
      <c r="S278" s="8">
        <v>9266727</v>
      </c>
      <c r="U278" s="8">
        <v>60526</v>
      </c>
      <c r="W278" s="8">
        <v>0</v>
      </c>
      <c r="Y278" s="8">
        <v>0</v>
      </c>
      <c r="AA278" s="8">
        <v>53777</v>
      </c>
      <c r="AB278" s="39"/>
      <c r="AC278" s="8">
        <v>0</v>
      </c>
      <c r="AE278" s="8">
        <v>0</v>
      </c>
      <c r="AG278" s="8">
        <f t="shared" si="21"/>
        <v>14943573</v>
      </c>
      <c r="AH278" s="8"/>
      <c r="AI278" s="8">
        <f t="shared" si="22"/>
        <v>18654600</v>
      </c>
    </row>
    <row r="279" spans="1:37" ht="12" customHeight="1">
      <c r="A279" s="12" t="s">
        <v>549</v>
      </c>
      <c r="B279" s="12"/>
      <c r="C279" s="12" t="s">
        <v>50</v>
      </c>
      <c r="D279" s="12"/>
      <c r="E279" s="32">
        <v>44180</v>
      </c>
      <c r="G279" s="8">
        <v>3403834</v>
      </c>
      <c r="I279" s="8">
        <v>9363594</v>
      </c>
      <c r="K279" s="8">
        <v>72312</v>
      </c>
      <c r="M279" s="8">
        <f t="shared" si="20"/>
        <v>12839740</v>
      </c>
      <c r="O279" s="8">
        <v>57874816</v>
      </c>
      <c r="Q279" s="8">
        <v>0</v>
      </c>
      <c r="S279" s="8">
        <v>24253458</v>
      </c>
      <c r="U279" s="8">
        <v>654210</v>
      </c>
      <c r="W279" s="8">
        <v>0</v>
      </c>
      <c r="Y279" s="8">
        <v>0</v>
      </c>
      <c r="AA279" s="8">
        <v>1143265</v>
      </c>
      <c r="AB279" s="39"/>
      <c r="AC279" s="8">
        <v>0</v>
      </c>
      <c r="AE279" s="8">
        <v>0</v>
      </c>
      <c r="AG279" s="8">
        <f t="shared" si="21"/>
        <v>83925749</v>
      </c>
      <c r="AH279" s="8"/>
      <c r="AI279" s="8">
        <f t="shared" si="22"/>
        <v>96765489</v>
      </c>
    </row>
    <row r="280" spans="1:37" ht="12" customHeight="1">
      <c r="A280" s="12" t="s">
        <v>489</v>
      </c>
      <c r="B280" s="12"/>
      <c r="C280" s="12" t="s">
        <v>44</v>
      </c>
      <c r="D280" s="12"/>
      <c r="E280" s="32">
        <v>48165</v>
      </c>
      <c r="G280" s="8">
        <v>1044963</v>
      </c>
      <c r="I280" s="8">
        <v>1247628</v>
      </c>
      <c r="K280" s="8">
        <v>155339</v>
      </c>
      <c r="M280" s="8">
        <f t="shared" si="20"/>
        <v>2447930</v>
      </c>
      <c r="O280" s="8">
        <v>5500134</v>
      </c>
      <c r="Q280" s="8">
        <v>0</v>
      </c>
      <c r="S280" s="8">
        <v>7695009</v>
      </c>
      <c r="U280" s="8">
        <v>150664</v>
      </c>
      <c r="W280" s="8">
        <v>0</v>
      </c>
      <c r="Y280" s="8">
        <v>0</v>
      </c>
      <c r="AA280" s="8">
        <v>394083</v>
      </c>
      <c r="AB280" s="39"/>
      <c r="AC280" s="8">
        <v>0</v>
      </c>
      <c r="AE280" s="8">
        <v>0</v>
      </c>
      <c r="AG280" s="8">
        <f t="shared" si="21"/>
        <v>13739890</v>
      </c>
      <c r="AH280" s="8"/>
      <c r="AI280" s="8">
        <f t="shared" si="22"/>
        <v>16187820</v>
      </c>
    </row>
    <row r="281" spans="1:37" ht="12" customHeight="1">
      <c r="A281" s="12" t="s">
        <v>710</v>
      </c>
      <c r="B281" s="12"/>
      <c r="C281" s="12" t="s">
        <v>69</v>
      </c>
      <c r="D281" s="12"/>
      <c r="E281" s="32">
        <v>50435</v>
      </c>
      <c r="G281" s="8">
        <v>2373087</v>
      </c>
      <c r="I281" s="8">
        <v>1801564</v>
      </c>
      <c r="K281" s="8">
        <v>28515</v>
      </c>
      <c r="M281" s="8">
        <f t="shared" si="20"/>
        <v>4203166</v>
      </c>
      <c r="O281" s="8">
        <v>26480254</v>
      </c>
      <c r="Q281" s="8">
        <v>0</v>
      </c>
      <c r="S281" s="8">
        <v>13654282</v>
      </c>
      <c r="U281" s="8">
        <v>0</v>
      </c>
      <c r="W281" s="8">
        <v>0</v>
      </c>
      <c r="Y281" s="8">
        <v>0</v>
      </c>
      <c r="AA281" s="8">
        <v>3185494</v>
      </c>
      <c r="AB281" s="39"/>
      <c r="AC281" s="8">
        <v>0</v>
      </c>
      <c r="AE281" s="8">
        <v>0</v>
      </c>
      <c r="AG281" s="8">
        <f t="shared" si="21"/>
        <v>43320030</v>
      </c>
      <c r="AH281" s="8"/>
      <c r="AI281" s="8">
        <f t="shared" si="22"/>
        <v>47523196</v>
      </c>
    </row>
    <row r="282" spans="1:37" ht="12" hidden="1" customHeight="1">
      <c r="A282" s="12" t="s">
        <v>1021</v>
      </c>
      <c r="B282" s="12"/>
      <c r="C282" s="12" t="s">
        <v>41</v>
      </c>
      <c r="D282" s="12"/>
      <c r="E282" s="32">
        <v>47878</v>
      </c>
      <c r="G282" s="8">
        <v>1137021</v>
      </c>
      <c r="I282" s="8">
        <v>752375</v>
      </c>
      <c r="K282" s="8">
        <v>68463</v>
      </c>
      <c r="M282" s="8">
        <f t="shared" si="20"/>
        <v>1957859</v>
      </c>
      <c r="O282" s="8">
        <v>11318530</v>
      </c>
      <c r="S282" s="8">
        <f>2515022+32</f>
        <v>2515054</v>
      </c>
      <c r="U282" s="8">
        <v>236113</v>
      </c>
      <c r="AA282" s="8">
        <f>64397+50000</f>
        <v>114397</v>
      </c>
      <c r="AB282" s="39"/>
      <c r="AC282" s="8">
        <v>0</v>
      </c>
      <c r="AG282" s="8">
        <f t="shared" si="21"/>
        <v>14184094</v>
      </c>
      <c r="AH282" s="8"/>
      <c r="AI282" s="8">
        <f t="shared" si="22"/>
        <v>16141953</v>
      </c>
      <c r="AK282" s="15"/>
    </row>
    <row r="283" spans="1:37" ht="12" customHeight="1">
      <c r="A283" s="12" t="s">
        <v>683</v>
      </c>
      <c r="B283" s="12"/>
      <c r="C283" s="12" t="s">
        <v>64</v>
      </c>
      <c r="D283" s="12"/>
      <c r="E283" s="32">
        <v>50245</v>
      </c>
      <c r="G283" s="8">
        <v>1513051</v>
      </c>
      <c r="I283" s="8">
        <v>1999114</v>
      </c>
      <c r="K283" s="8">
        <v>13729</v>
      </c>
      <c r="M283" s="8">
        <f t="shared" si="20"/>
        <v>3525894</v>
      </c>
      <c r="O283" s="8">
        <v>3326551</v>
      </c>
      <c r="Q283" s="8">
        <v>0</v>
      </c>
      <c r="S283" s="8">
        <v>7729237</v>
      </c>
      <c r="U283" s="8">
        <v>107338</v>
      </c>
      <c r="W283" s="8">
        <v>0</v>
      </c>
      <c r="Y283" s="8">
        <v>0</v>
      </c>
      <c r="AA283" s="8">
        <v>121512</v>
      </c>
      <c r="AB283" s="39"/>
      <c r="AC283" s="8">
        <v>0</v>
      </c>
      <c r="AE283" s="8">
        <v>0</v>
      </c>
      <c r="AG283" s="8">
        <f t="shared" si="21"/>
        <v>11284638</v>
      </c>
      <c r="AH283" s="8"/>
      <c r="AI283" s="8">
        <f t="shared" si="22"/>
        <v>14810532</v>
      </c>
    </row>
    <row r="284" spans="1:37" ht="12" customHeight="1">
      <c r="A284" s="12" t="s">
        <v>653</v>
      </c>
      <c r="B284" s="12"/>
      <c r="C284" s="12" t="s">
        <v>62</v>
      </c>
      <c r="D284" s="12"/>
      <c r="E284" s="32">
        <v>49866</v>
      </c>
      <c r="G284" s="8">
        <v>1746982</v>
      </c>
      <c r="I284" s="8">
        <v>2833117</v>
      </c>
      <c r="K284" s="8">
        <v>168</v>
      </c>
      <c r="M284" s="8">
        <f t="shared" si="20"/>
        <v>4580267</v>
      </c>
      <c r="O284" s="8">
        <v>14793098</v>
      </c>
      <c r="Q284" s="8">
        <v>0</v>
      </c>
      <c r="S284" s="8">
        <v>16625546</v>
      </c>
      <c r="U284" s="8">
        <v>0</v>
      </c>
      <c r="W284" s="8">
        <v>0</v>
      </c>
      <c r="Y284" s="8">
        <v>0</v>
      </c>
      <c r="AA284" s="8">
        <v>160216</v>
      </c>
      <c r="AB284" s="39"/>
      <c r="AC284" s="8">
        <v>0</v>
      </c>
      <c r="AE284" s="8">
        <v>0</v>
      </c>
      <c r="AG284" s="8">
        <f t="shared" si="21"/>
        <v>31578860</v>
      </c>
      <c r="AH284" s="8"/>
      <c r="AI284" s="8">
        <f t="shared" si="22"/>
        <v>36159127</v>
      </c>
    </row>
    <row r="285" spans="1:37" ht="12" customHeight="1">
      <c r="A285" s="12" t="s">
        <v>653</v>
      </c>
      <c r="B285" s="12"/>
      <c r="C285" s="12" t="s">
        <v>72</v>
      </c>
      <c r="D285" s="12"/>
      <c r="E285" s="32">
        <v>50690</v>
      </c>
      <c r="G285" s="8">
        <v>1209000</v>
      </c>
      <c r="I285" s="8">
        <v>1141000</v>
      </c>
      <c r="K285" s="8">
        <v>19000</v>
      </c>
      <c r="M285" s="8">
        <f t="shared" si="20"/>
        <v>2369000</v>
      </c>
      <c r="O285" s="8">
        <v>7614000</v>
      </c>
      <c r="Q285" s="8">
        <v>0</v>
      </c>
      <c r="S285" s="8">
        <v>6559000</v>
      </c>
      <c r="U285" s="8">
        <v>106000</v>
      </c>
      <c r="W285" s="8">
        <v>46000</v>
      </c>
      <c r="Y285" s="8">
        <v>0</v>
      </c>
      <c r="AA285" s="8">
        <v>1000</v>
      </c>
      <c r="AB285" s="39"/>
      <c r="AC285" s="8">
        <v>0</v>
      </c>
      <c r="AE285" s="8">
        <v>0</v>
      </c>
      <c r="AG285" s="8">
        <f t="shared" si="21"/>
        <v>14326000</v>
      </c>
      <c r="AH285" s="8"/>
      <c r="AI285" s="8">
        <f t="shared" si="22"/>
        <v>16695000</v>
      </c>
      <c r="AK285" s="10" t="s">
        <v>952</v>
      </c>
    </row>
    <row r="286" spans="1:37" ht="12" customHeight="1">
      <c r="A286" s="12" t="s">
        <v>684</v>
      </c>
      <c r="B286" s="12"/>
      <c r="C286" s="12" t="s">
        <v>64</v>
      </c>
      <c r="D286" s="12"/>
      <c r="E286" s="32">
        <v>50187</v>
      </c>
      <c r="G286" s="8">
        <v>1274123</v>
      </c>
      <c r="I286" s="8">
        <v>1879353</v>
      </c>
      <c r="K286" s="8">
        <v>14380</v>
      </c>
      <c r="M286" s="8">
        <f t="shared" si="20"/>
        <v>3167856</v>
      </c>
      <c r="O286" s="8">
        <v>7617670</v>
      </c>
      <c r="Q286" s="8">
        <v>0</v>
      </c>
      <c r="S286" s="8">
        <v>8067896</v>
      </c>
      <c r="U286" s="8">
        <v>32364</v>
      </c>
      <c r="W286" s="8">
        <v>0</v>
      </c>
      <c r="Y286" s="8">
        <v>0</v>
      </c>
      <c r="AA286" s="8">
        <v>83385</v>
      </c>
      <c r="AB286" s="39"/>
      <c r="AC286" s="8">
        <v>0</v>
      </c>
      <c r="AE286" s="8">
        <v>0</v>
      </c>
      <c r="AG286" s="8">
        <f t="shared" si="21"/>
        <v>15801315</v>
      </c>
      <c r="AH286" s="8"/>
      <c r="AI286" s="8">
        <f t="shared" si="22"/>
        <v>18969171</v>
      </c>
    </row>
    <row r="287" spans="1:37" ht="12" customHeight="1">
      <c r="A287" s="12" t="s">
        <v>310</v>
      </c>
      <c r="B287" s="12"/>
      <c r="C287" s="12" t="s">
        <v>20</v>
      </c>
      <c r="D287" s="12"/>
      <c r="E287" s="32">
        <v>44198</v>
      </c>
      <c r="G287" s="8">
        <v>5706122</v>
      </c>
      <c r="I287" s="8">
        <v>8367743</v>
      </c>
      <c r="K287" s="8">
        <v>0</v>
      </c>
      <c r="M287" s="8">
        <f t="shared" si="20"/>
        <v>14073865</v>
      </c>
      <c r="O287" s="8">
        <v>43900918</v>
      </c>
      <c r="Q287" s="8">
        <v>0</v>
      </c>
      <c r="S287" s="8">
        <v>24971577</v>
      </c>
      <c r="U287" s="8">
        <v>1271682</v>
      </c>
      <c r="W287" s="8">
        <v>0</v>
      </c>
      <c r="Y287" s="8">
        <v>0</v>
      </c>
      <c r="AA287" s="8">
        <v>190290</v>
      </c>
      <c r="AB287" s="39"/>
      <c r="AC287" s="8">
        <v>0</v>
      </c>
      <c r="AE287" s="8">
        <v>0</v>
      </c>
      <c r="AG287" s="8">
        <f t="shared" si="21"/>
        <v>70334467</v>
      </c>
      <c r="AH287" s="8"/>
      <c r="AI287" s="8">
        <f t="shared" si="22"/>
        <v>84408332</v>
      </c>
    </row>
    <row r="288" spans="1:37" ht="12" customHeight="1">
      <c r="A288" s="12" t="s">
        <v>863</v>
      </c>
      <c r="B288" s="12"/>
      <c r="C288" s="12" t="s">
        <v>42</v>
      </c>
      <c r="D288" s="12"/>
      <c r="E288" s="32">
        <v>47993</v>
      </c>
      <c r="G288" s="8">
        <v>1065789</v>
      </c>
      <c r="I288" s="8">
        <v>1538359</v>
      </c>
      <c r="K288" s="8">
        <v>0</v>
      </c>
      <c r="M288" s="8">
        <f t="shared" si="20"/>
        <v>2604148</v>
      </c>
      <c r="O288" s="8">
        <v>10759677</v>
      </c>
      <c r="Q288" s="8">
        <v>0</v>
      </c>
      <c r="S288" s="8">
        <v>8487771</v>
      </c>
      <c r="U288" s="8">
        <v>0</v>
      </c>
      <c r="W288" s="8">
        <v>0</v>
      </c>
      <c r="Y288" s="8">
        <v>0</v>
      </c>
      <c r="AA288" s="8">
        <v>269474</v>
      </c>
      <c r="AB288" s="39"/>
      <c r="AC288" s="8">
        <v>0</v>
      </c>
      <c r="AE288" s="8">
        <v>0</v>
      </c>
      <c r="AG288" s="8">
        <f t="shared" si="21"/>
        <v>19516922</v>
      </c>
      <c r="AH288" s="8"/>
      <c r="AI288" s="8">
        <f t="shared" si="22"/>
        <v>22121070</v>
      </c>
    </row>
    <row r="289" spans="1:37" ht="12" customHeight="1">
      <c r="A289" s="12" t="s">
        <v>245</v>
      </c>
      <c r="B289" s="12"/>
      <c r="C289" s="12" t="s">
        <v>242</v>
      </c>
      <c r="D289" s="12"/>
      <c r="E289" s="32">
        <v>46110</v>
      </c>
      <c r="F289" s="7"/>
      <c r="G289" s="8">
        <v>8468788</v>
      </c>
      <c r="I289" s="8">
        <v>9665836</v>
      </c>
      <c r="K289" s="8">
        <v>271848</v>
      </c>
      <c r="M289" s="8">
        <f t="shared" si="20"/>
        <v>18406472</v>
      </c>
      <c r="O289" s="8">
        <v>92785881</v>
      </c>
      <c r="Q289" s="8">
        <v>0</v>
      </c>
      <c r="S289" s="8">
        <v>59350755</v>
      </c>
      <c r="U289" s="8">
        <v>0</v>
      </c>
      <c r="W289" s="8">
        <v>0</v>
      </c>
      <c r="Y289" s="8">
        <v>0</v>
      </c>
      <c r="AA289" s="8">
        <v>11858082</v>
      </c>
      <c r="AB289" s="39"/>
      <c r="AC289" s="8">
        <v>0</v>
      </c>
      <c r="AE289" s="8">
        <v>0</v>
      </c>
      <c r="AG289" s="8">
        <f t="shared" si="21"/>
        <v>163994718</v>
      </c>
      <c r="AH289" s="8"/>
      <c r="AI289" s="8">
        <f t="shared" si="22"/>
        <v>182401190</v>
      </c>
    </row>
    <row r="290" spans="1:37" s="35" customFormat="1" ht="12" customHeight="1">
      <c r="A290" s="12" t="s">
        <v>245</v>
      </c>
      <c r="B290" s="34"/>
      <c r="C290" s="34" t="s">
        <v>79</v>
      </c>
      <c r="D290" s="34"/>
      <c r="E290" s="34">
        <v>49569</v>
      </c>
      <c r="G290" s="8">
        <v>587973</v>
      </c>
      <c r="H290" s="8"/>
      <c r="I290" s="8">
        <v>1485228</v>
      </c>
      <c r="J290" s="8"/>
      <c r="K290" s="8">
        <v>22251</v>
      </c>
      <c r="L290" s="8"/>
      <c r="M290" s="8">
        <f t="shared" si="20"/>
        <v>2095452</v>
      </c>
      <c r="N290" s="8"/>
      <c r="O290" s="8">
        <v>2797839</v>
      </c>
      <c r="P290" s="8"/>
      <c r="Q290" s="8">
        <v>1962627</v>
      </c>
      <c r="R290" s="8"/>
      <c r="S290" s="8">
        <v>5387414</v>
      </c>
      <c r="T290" s="8"/>
      <c r="U290" s="8">
        <v>441528</v>
      </c>
      <c r="V290" s="8"/>
      <c r="W290" s="8">
        <v>0</v>
      </c>
      <c r="X290" s="8"/>
      <c r="Y290" s="8">
        <v>0</v>
      </c>
      <c r="Z290" s="8"/>
      <c r="AA290" s="8">
        <v>43678</v>
      </c>
      <c r="AB290" s="39"/>
      <c r="AC290" s="8">
        <v>0</v>
      </c>
      <c r="AD290" s="8"/>
      <c r="AE290" s="8">
        <v>0</v>
      </c>
      <c r="AF290" s="8"/>
      <c r="AG290" s="8">
        <f t="shared" si="21"/>
        <v>10633086</v>
      </c>
      <c r="AH290" s="8"/>
      <c r="AI290" s="8">
        <f t="shared" si="22"/>
        <v>12728538</v>
      </c>
      <c r="AK290" s="8" t="s">
        <v>956</v>
      </c>
    </row>
    <row r="291" spans="1:37" ht="12" customHeight="1">
      <c r="A291" s="12" t="s">
        <v>347</v>
      </c>
      <c r="B291" s="12"/>
      <c r="C291" s="12" t="s">
        <v>25</v>
      </c>
      <c r="D291" s="12"/>
      <c r="E291" s="32">
        <v>44206</v>
      </c>
      <c r="G291" s="8">
        <v>2583929</v>
      </c>
      <c r="I291" s="8">
        <v>8704176</v>
      </c>
      <c r="K291" s="8">
        <v>28433</v>
      </c>
      <c r="M291" s="8">
        <f t="shared" si="20"/>
        <v>11316538</v>
      </c>
      <c r="O291" s="8">
        <v>19160191</v>
      </c>
      <c r="Q291" s="8">
        <v>9623513</v>
      </c>
      <c r="S291" s="8">
        <v>23121048</v>
      </c>
      <c r="U291" s="8">
        <v>454476</v>
      </c>
      <c r="W291" s="8">
        <v>0</v>
      </c>
      <c r="Y291" s="8">
        <v>1000</v>
      </c>
      <c r="AA291" s="8">
        <f>55433+6300</f>
        <v>61733</v>
      </c>
      <c r="AB291" s="39"/>
      <c r="AC291" s="8">
        <v>0</v>
      </c>
      <c r="AE291" s="8">
        <v>0</v>
      </c>
      <c r="AG291" s="8">
        <f t="shared" si="21"/>
        <v>52421961</v>
      </c>
      <c r="AH291" s="8"/>
      <c r="AI291" s="8">
        <f t="shared" si="22"/>
        <v>63738499</v>
      </c>
    </row>
    <row r="292" spans="1:37" ht="12" hidden="1" customHeight="1">
      <c r="A292" s="12" t="s">
        <v>831</v>
      </c>
      <c r="B292" s="12"/>
      <c r="C292" s="12" t="s">
        <v>69</v>
      </c>
      <c r="D292" s="12"/>
      <c r="E292" s="32">
        <v>44214</v>
      </c>
      <c r="G292" s="8">
        <v>2126066</v>
      </c>
      <c r="I292" s="8">
        <v>2539586</v>
      </c>
      <c r="M292" s="8">
        <f t="shared" si="20"/>
        <v>4665652</v>
      </c>
      <c r="O292" s="8">
        <f>19466282+3703241+988095</f>
        <v>24157618</v>
      </c>
      <c r="S292" s="8">
        <v>21914747</v>
      </c>
      <c r="U292" s="8">
        <v>215569</v>
      </c>
      <c r="W292" s="8">
        <v>119872</v>
      </c>
      <c r="Y292" s="8">
        <v>25177</v>
      </c>
      <c r="AA292" s="8">
        <v>215389</v>
      </c>
      <c r="AB292" s="39"/>
      <c r="AC292" s="8">
        <v>0</v>
      </c>
      <c r="AG292" s="8">
        <f t="shared" si="21"/>
        <v>46648372</v>
      </c>
      <c r="AH292" s="8"/>
      <c r="AI292" s="8">
        <f t="shared" si="22"/>
        <v>51314024</v>
      </c>
    </row>
    <row r="293" spans="1:37" ht="12" customHeight="1">
      <c r="A293" s="12" t="s">
        <v>381</v>
      </c>
      <c r="B293" s="12"/>
      <c r="C293" s="12" t="s">
        <v>30</v>
      </c>
      <c r="D293" s="12"/>
      <c r="E293" s="32">
        <v>47209</v>
      </c>
      <c r="G293" s="8">
        <v>382431</v>
      </c>
      <c r="I293" s="8">
        <v>463899</v>
      </c>
      <c r="K293" s="8">
        <v>14956</v>
      </c>
      <c r="M293" s="8">
        <f t="shared" si="20"/>
        <v>861286</v>
      </c>
      <c r="O293" s="8">
        <v>1965919</v>
      </c>
      <c r="Q293" s="8">
        <v>554316</v>
      </c>
      <c r="S293" s="8">
        <v>2747694</v>
      </c>
      <c r="U293" s="8">
        <v>13505</v>
      </c>
      <c r="W293" s="8">
        <v>0</v>
      </c>
      <c r="Y293" s="8">
        <v>0</v>
      </c>
      <c r="AA293" s="8">
        <f>1600+945</f>
        <v>2545</v>
      </c>
      <c r="AB293" s="39"/>
      <c r="AC293" s="8">
        <v>0</v>
      </c>
      <c r="AE293" s="8">
        <v>0</v>
      </c>
      <c r="AG293" s="8">
        <f t="shared" si="21"/>
        <v>5283979</v>
      </c>
      <c r="AH293" s="8"/>
      <c r="AI293" s="8">
        <f t="shared" si="22"/>
        <v>6145265</v>
      </c>
    </row>
    <row r="294" spans="1:37" ht="12" hidden="1" customHeight="1">
      <c r="A294" s="12" t="s">
        <v>987</v>
      </c>
      <c r="B294" s="12"/>
      <c r="C294" s="12" t="s">
        <v>603</v>
      </c>
      <c r="D294" s="12"/>
      <c r="E294" s="32">
        <v>49353</v>
      </c>
      <c r="G294" s="8">
        <f>162227+179432</f>
        <v>341659</v>
      </c>
      <c r="I294" s="8">
        <f>1443335+171433</f>
        <v>1614768</v>
      </c>
      <c r="M294" s="8">
        <f t="shared" si="20"/>
        <v>1956427</v>
      </c>
      <c r="O294" s="8">
        <f>1488260+194716</f>
        <v>1682976</v>
      </c>
      <c r="Q294" s="8">
        <f>329108+164554</f>
        <v>493662</v>
      </c>
      <c r="S294" s="8">
        <v>3794452</v>
      </c>
      <c r="U294" s="8">
        <f>72235+747</f>
        <v>72982</v>
      </c>
      <c r="W294" s="8">
        <v>51908</v>
      </c>
      <c r="Y294" s="8">
        <v>84300</v>
      </c>
      <c r="AA294" s="8">
        <f>2039000+8860</f>
        <v>2047860</v>
      </c>
      <c r="AB294" s="39"/>
      <c r="AC294" s="8">
        <v>0</v>
      </c>
      <c r="AG294" s="8">
        <f t="shared" si="21"/>
        <v>8228140</v>
      </c>
      <c r="AH294" s="8"/>
      <c r="AI294" s="8">
        <f t="shared" si="22"/>
        <v>10184567</v>
      </c>
      <c r="AK294" s="8"/>
    </row>
    <row r="295" spans="1:37" ht="12" customHeight="1">
      <c r="A295" s="12" t="s">
        <v>610</v>
      </c>
      <c r="B295" s="12"/>
      <c r="C295" s="12" t="s">
        <v>112</v>
      </c>
      <c r="D295" s="12"/>
      <c r="E295" s="32">
        <v>49437</v>
      </c>
      <c r="G295" s="8">
        <v>1173508</v>
      </c>
      <c r="I295" s="8">
        <v>1783190</v>
      </c>
      <c r="K295" s="8">
        <v>14175</v>
      </c>
      <c r="M295" s="8">
        <f t="shared" si="20"/>
        <v>2970873</v>
      </c>
      <c r="O295" s="8">
        <v>9287442</v>
      </c>
      <c r="Q295" s="8">
        <v>0</v>
      </c>
      <c r="S295" s="8">
        <v>10263547</v>
      </c>
      <c r="U295" s="8">
        <v>102335</v>
      </c>
      <c r="W295" s="8">
        <v>0</v>
      </c>
      <c r="Y295" s="8">
        <v>0</v>
      </c>
      <c r="AA295" s="8">
        <v>82075</v>
      </c>
      <c r="AB295" s="39"/>
      <c r="AC295" s="8">
        <v>0</v>
      </c>
      <c r="AE295" s="8">
        <v>0</v>
      </c>
      <c r="AG295" s="8">
        <f t="shared" si="21"/>
        <v>19735399</v>
      </c>
      <c r="AH295" s="8"/>
      <c r="AI295" s="8">
        <f t="shared" si="22"/>
        <v>22706272</v>
      </c>
    </row>
    <row r="296" spans="1:37" ht="12" customHeight="1">
      <c r="A296" s="12" t="s">
        <v>431</v>
      </c>
      <c r="B296" s="12"/>
      <c r="C296" s="12" t="s">
        <v>34</v>
      </c>
      <c r="D296" s="12"/>
      <c r="E296" s="32">
        <v>47589</v>
      </c>
      <c r="G296" s="8">
        <v>1593726</v>
      </c>
      <c r="I296" s="8">
        <v>1417825</v>
      </c>
      <c r="K296" s="8">
        <v>0</v>
      </c>
      <c r="M296" s="8">
        <f t="shared" si="20"/>
        <v>3011551</v>
      </c>
      <c r="O296" s="8">
        <v>2741999</v>
      </c>
      <c r="Q296" s="8">
        <v>1920291</v>
      </c>
      <c r="S296" s="8">
        <v>5418140</v>
      </c>
      <c r="U296" s="8">
        <v>87763</v>
      </c>
      <c r="W296" s="8">
        <v>0</v>
      </c>
      <c r="Y296" s="8">
        <v>35248</v>
      </c>
      <c r="AA296" s="8">
        <v>123448</v>
      </c>
      <c r="AB296" s="39"/>
      <c r="AC296" s="8">
        <v>0</v>
      </c>
      <c r="AE296" s="8">
        <v>0</v>
      </c>
      <c r="AG296" s="8">
        <f t="shared" si="21"/>
        <v>10326889</v>
      </c>
      <c r="AH296" s="8"/>
      <c r="AI296" s="8">
        <f t="shared" si="22"/>
        <v>13338440</v>
      </c>
    </row>
    <row r="297" spans="1:37" ht="12" customHeight="1">
      <c r="A297" s="12" t="s">
        <v>988</v>
      </c>
      <c r="B297" s="12"/>
      <c r="C297" s="12" t="s">
        <v>64</v>
      </c>
      <c r="D297" s="12"/>
      <c r="E297" s="32">
        <v>50195</v>
      </c>
      <c r="G297" s="8">
        <v>1495866</v>
      </c>
      <c r="I297" s="8">
        <v>2181622</v>
      </c>
      <c r="K297" s="8">
        <v>20152</v>
      </c>
      <c r="M297" s="8">
        <f t="shared" si="20"/>
        <v>3697640</v>
      </c>
      <c r="O297" s="8">
        <v>8580580</v>
      </c>
      <c r="Q297" s="8">
        <v>0</v>
      </c>
      <c r="S297" s="8">
        <v>6618896</v>
      </c>
      <c r="U297" s="8">
        <v>28974</v>
      </c>
      <c r="W297" s="8">
        <v>0</v>
      </c>
      <c r="Y297" s="8">
        <v>0</v>
      </c>
      <c r="AA297" s="8">
        <v>184723</v>
      </c>
      <c r="AB297" s="39"/>
      <c r="AC297" s="8">
        <v>0</v>
      </c>
      <c r="AE297" s="8">
        <v>0</v>
      </c>
      <c r="AG297" s="8">
        <f t="shared" si="21"/>
        <v>15413173</v>
      </c>
      <c r="AH297" s="8"/>
      <c r="AI297" s="8">
        <f t="shared" si="22"/>
        <v>19110813</v>
      </c>
      <c r="AK297" s="8"/>
    </row>
    <row r="298" spans="1:37" ht="12" customHeight="1">
      <c r="A298" s="12" t="s">
        <v>869</v>
      </c>
      <c r="B298" s="12"/>
      <c r="C298" s="12" t="s">
        <v>25</v>
      </c>
      <c r="D298" s="12"/>
      <c r="E298" s="32">
        <v>46888</v>
      </c>
      <c r="G298" s="8">
        <v>613970</v>
      </c>
      <c r="I298" s="8">
        <v>878645</v>
      </c>
      <c r="K298" s="8">
        <v>0</v>
      </c>
      <c r="M298" s="8">
        <f t="shared" si="20"/>
        <v>1492615</v>
      </c>
      <c r="O298" s="8">
        <v>4017141</v>
      </c>
      <c r="Q298" s="8">
        <v>2839770</v>
      </c>
      <c r="S298" s="8">
        <f>6341293+17149100+377973</f>
        <v>23868366</v>
      </c>
      <c r="U298" s="8">
        <v>284255</v>
      </c>
      <c r="W298" s="8">
        <v>0</v>
      </c>
      <c r="Y298" s="8">
        <v>0</v>
      </c>
      <c r="AA298" s="8">
        <v>101082</v>
      </c>
      <c r="AB298" s="39"/>
      <c r="AC298" s="8">
        <v>0</v>
      </c>
      <c r="AE298" s="8">
        <v>0</v>
      </c>
      <c r="AG298" s="8">
        <f t="shared" si="21"/>
        <v>31110614</v>
      </c>
      <c r="AH298" s="8"/>
      <c r="AI298" s="8">
        <f t="shared" si="22"/>
        <v>32603229</v>
      </c>
    </row>
    <row r="299" spans="1:37" ht="12" customHeight="1">
      <c r="A299" s="12" t="s">
        <v>417</v>
      </c>
      <c r="B299" s="12"/>
      <c r="C299" s="12" t="s">
        <v>33</v>
      </c>
      <c r="D299" s="12"/>
      <c r="E299" s="32">
        <v>47449</v>
      </c>
      <c r="G299" s="8">
        <v>570090</v>
      </c>
      <c r="I299" s="8">
        <v>1024139</v>
      </c>
      <c r="K299" s="8">
        <v>16640</v>
      </c>
      <c r="M299" s="8">
        <f t="shared" si="20"/>
        <v>1610869</v>
      </c>
      <c r="O299" s="8">
        <v>4356436</v>
      </c>
      <c r="Q299" s="8">
        <v>1307708</v>
      </c>
      <c r="S299" s="8">
        <v>5652124</v>
      </c>
      <c r="U299" s="8">
        <v>152498</v>
      </c>
      <c r="W299" s="8">
        <v>0</v>
      </c>
      <c r="Y299" s="8">
        <v>2544</v>
      </c>
      <c r="AA299" s="8">
        <v>124673</v>
      </c>
      <c r="AB299" s="39"/>
      <c r="AC299" s="8">
        <v>0</v>
      </c>
      <c r="AE299" s="8">
        <v>0</v>
      </c>
      <c r="AG299" s="8">
        <f t="shared" si="21"/>
        <v>11595983</v>
      </c>
      <c r="AH299" s="8"/>
      <c r="AI299" s="8">
        <f t="shared" si="22"/>
        <v>13206852</v>
      </c>
    </row>
    <row r="300" spans="1:37" ht="12" customHeight="1">
      <c r="A300" s="12" t="s">
        <v>476</v>
      </c>
      <c r="B300" s="12"/>
      <c r="C300" s="12" t="s">
        <v>42</v>
      </c>
      <c r="D300" s="12"/>
      <c r="E300" s="32">
        <v>48009</v>
      </c>
      <c r="G300" s="8">
        <v>1232146</v>
      </c>
      <c r="I300" s="8">
        <v>1763761</v>
      </c>
      <c r="K300" s="8">
        <v>0</v>
      </c>
      <c r="M300" s="8">
        <f>SUM(G300:L300)</f>
        <v>2995907</v>
      </c>
      <c r="O300" s="8">
        <v>18135645</v>
      </c>
      <c r="Q300" s="8">
        <v>0</v>
      </c>
      <c r="S300" s="8">
        <v>10430939</v>
      </c>
      <c r="U300" s="8">
        <v>836497</v>
      </c>
      <c r="W300" s="8">
        <v>0</v>
      </c>
      <c r="Y300" s="8">
        <v>0</v>
      </c>
      <c r="AA300" s="8">
        <v>127963</v>
      </c>
      <c r="AB300" s="39"/>
      <c r="AC300" s="8">
        <v>0</v>
      </c>
      <c r="AE300" s="8">
        <v>0</v>
      </c>
      <c r="AG300" s="8">
        <f t="shared" si="21"/>
        <v>29531044</v>
      </c>
      <c r="AH300" s="8"/>
      <c r="AI300" s="8">
        <f>+AG300+M300</f>
        <v>32526951</v>
      </c>
    </row>
    <row r="301" spans="1:37" ht="12" customHeight="1">
      <c r="A301" s="12" t="s">
        <v>477</v>
      </c>
      <c r="B301" s="12"/>
      <c r="C301" s="12" t="s">
        <v>42</v>
      </c>
      <c r="D301" s="12"/>
      <c r="E301" s="32">
        <v>48017</v>
      </c>
      <c r="G301" s="8">
        <v>1279984</v>
      </c>
      <c r="I301" s="8">
        <v>1171318</v>
      </c>
      <c r="K301" s="8">
        <v>0</v>
      </c>
      <c r="M301" s="8">
        <f>SUM(G301:L301)</f>
        <v>2451302</v>
      </c>
      <c r="O301" s="8">
        <v>4778066</v>
      </c>
      <c r="Q301" s="8">
        <v>1852075</v>
      </c>
      <c r="S301" s="8">
        <v>10192540</v>
      </c>
      <c r="U301" s="8">
        <v>81147</v>
      </c>
      <c r="W301" s="8">
        <v>0</v>
      </c>
      <c r="Y301" s="8">
        <v>0</v>
      </c>
      <c r="AA301" s="8">
        <f>239594</f>
        <v>239594</v>
      </c>
      <c r="AB301" s="39"/>
      <c r="AC301" s="8">
        <v>0</v>
      </c>
      <c r="AE301" s="8">
        <v>-29886</v>
      </c>
      <c r="AG301" s="8">
        <f>SUM(O301:AE301)</f>
        <v>17113536</v>
      </c>
      <c r="AH301" s="8"/>
      <c r="AI301" s="8">
        <f>+AG301+M301</f>
        <v>19564838</v>
      </c>
    </row>
    <row r="302" spans="1:37" ht="12" hidden="1" customHeight="1">
      <c r="A302" s="13" t="s">
        <v>989</v>
      </c>
      <c r="B302" s="13"/>
      <c r="C302" s="13" t="s">
        <v>10</v>
      </c>
      <c r="D302" s="12"/>
      <c r="E302" s="32"/>
      <c r="G302" s="8">
        <v>2224475</v>
      </c>
      <c r="I302" s="8">
        <v>17401064</v>
      </c>
      <c r="K302" s="8">
        <v>12266</v>
      </c>
      <c r="M302" s="8">
        <f>SUM(G302:L302)</f>
        <v>19637805</v>
      </c>
      <c r="O302" s="8">
        <v>9574667</v>
      </c>
      <c r="S302" s="8">
        <v>28634743</v>
      </c>
      <c r="U302" s="8">
        <v>213635</v>
      </c>
      <c r="Y302" s="8">
        <v>33862</v>
      </c>
      <c r="AA302" s="8">
        <f>24420+30842+53674+394632</f>
        <v>503568</v>
      </c>
      <c r="AB302" s="39"/>
      <c r="AC302" s="8">
        <v>0</v>
      </c>
      <c r="AG302" s="8">
        <f t="shared" ref="AG302:AG304" si="25">SUM(O302:AE302)</f>
        <v>38960475</v>
      </c>
      <c r="AH302" s="8"/>
      <c r="AI302" s="8">
        <f t="shared" ref="AI302:AI304" si="26">+AG302+M302</f>
        <v>58598280</v>
      </c>
    </row>
    <row r="303" spans="1:37" ht="12" customHeight="1">
      <c r="A303" s="12" t="s">
        <v>705</v>
      </c>
      <c r="B303" s="12"/>
      <c r="C303" s="12" t="s">
        <v>67</v>
      </c>
      <c r="D303" s="12"/>
      <c r="E303" s="32">
        <v>50369</v>
      </c>
      <c r="G303" s="8">
        <v>2258614</v>
      </c>
      <c r="I303" s="8">
        <v>990277</v>
      </c>
      <c r="K303" s="8">
        <v>11522</v>
      </c>
      <c r="M303" s="8">
        <f>SUM(G303:L303)</f>
        <v>3260413</v>
      </c>
      <c r="O303" s="8">
        <v>3029531</v>
      </c>
      <c r="Q303" s="8">
        <v>0</v>
      </c>
      <c r="S303" s="8">
        <v>4252306</v>
      </c>
      <c r="U303" s="8">
        <v>319664</v>
      </c>
      <c r="W303" s="8">
        <v>0</v>
      </c>
      <c r="Y303" s="8">
        <v>0</v>
      </c>
      <c r="AA303" s="8">
        <v>149744</v>
      </c>
      <c r="AB303" s="39"/>
      <c r="AC303" s="8">
        <v>0</v>
      </c>
      <c r="AE303" s="8">
        <v>0</v>
      </c>
      <c r="AG303" s="8">
        <f t="shared" si="25"/>
        <v>7751245</v>
      </c>
      <c r="AH303" s="8"/>
      <c r="AI303" s="8">
        <f t="shared" si="26"/>
        <v>11011658</v>
      </c>
    </row>
    <row r="304" spans="1:37" ht="12" customHeight="1">
      <c r="A304" s="12" t="s">
        <v>283</v>
      </c>
      <c r="B304" s="12"/>
      <c r="C304" s="12" t="s">
        <v>114</v>
      </c>
      <c r="D304" s="12"/>
      <c r="E304" s="32">
        <v>45450</v>
      </c>
      <c r="F304" s="47"/>
      <c r="G304" s="8">
        <v>1677468</v>
      </c>
      <c r="I304" s="8">
        <v>2206218</v>
      </c>
      <c r="K304" s="8">
        <v>0</v>
      </c>
      <c r="M304" s="8">
        <f>SUM(G304:L304)</f>
        <v>3883686</v>
      </c>
      <c r="O304" s="8">
        <v>2098599</v>
      </c>
      <c r="Q304" s="8">
        <v>0</v>
      </c>
      <c r="S304" s="8">
        <v>4671454</v>
      </c>
      <c r="U304" s="8">
        <v>156947</v>
      </c>
      <c r="W304" s="8">
        <v>0</v>
      </c>
      <c r="Y304" s="8">
        <v>0</v>
      </c>
      <c r="AA304" s="8">
        <v>0</v>
      </c>
      <c r="AB304" s="39"/>
      <c r="AC304" s="8">
        <v>0</v>
      </c>
      <c r="AE304" s="8">
        <v>0</v>
      </c>
      <c r="AG304" s="8">
        <f t="shared" si="25"/>
        <v>6927000</v>
      </c>
      <c r="AH304" s="8"/>
      <c r="AI304" s="8">
        <f t="shared" si="26"/>
        <v>10810686</v>
      </c>
    </row>
    <row r="305" spans="1:37" s="8" customFormat="1" ht="12" customHeight="1">
      <c r="A305" s="13" t="s">
        <v>711</v>
      </c>
      <c r="B305" s="13"/>
      <c r="C305" s="13" t="s">
        <v>69</v>
      </c>
      <c r="D305" s="13"/>
      <c r="E305" s="13">
        <v>50443</v>
      </c>
      <c r="G305" s="8">
        <v>1927683</v>
      </c>
      <c r="I305" s="8">
        <v>1861606</v>
      </c>
      <c r="K305" s="8">
        <v>66281</v>
      </c>
      <c r="M305" s="8">
        <f t="shared" ref="M305:M320" si="27">SUM(G305:L305)</f>
        <v>3855570</v>
      </c>
      <c r="O305" s="8">
        <v>21827267</v>
      </c>
      <c r="Q305" s="8">
        <v>0</v>
      </c>
      <c r="S305" s="8">
        <v>13194622</v>
      </c>
      <c r="U305" s="8">
        <v>0</v>
      </c>
      <c r="W305" s="8">
        <v>0</v>
      </c>
      <c r="Y305" s="8">
        <v>0</v>
      </c>
      <c r="AA305" s="8">
        <v>742357</v>
      </c>
      <c r="AB305" s="39"/>
      <c r="AC305" s="8">
        <v>0</v>
      </c>
      <c r="AE305" s="8">
        <v>0</v>
      </c>
      <c r="AG305" s="8">
        <f t="shared" ref="AG305:AG320" si="28">SUM(O305:AE305)</f>
        <v>35764246</v>
      </c>
      <c r="AI305" s="8">
        <f t="shared" ref="AI305:AI320" si="29">+AG305+M305</f>
        <v>39619816</v>
      </c>
    </row>
    <row r="306" spans="1:37" ht="12" hidden="1" customHeight="1">
      <c r="A306" s="77" t="s">
        <v>990</v>
      </c>
      <c r="B306" s="12"/>
      <c r="C306" s="12" t="s">
        <v>32</v>
      </c>
      <c r="D306" s="12"/>
      <c r="E306" s="32">
        <v>44230</v>
      </c>
      <c r="G306" s="8">
        <v>998132</v>
      </c>
      <c r="I306" s="8">
        <v>1434636</v>
      </c>
      <c r="M306" s="8">
        <f t="shared" si="27"/>
        <v>2432768</v>
      </c>
      <c r="O306" s="8">
        <v>2979184</v>
      </c>
      <c r="S306" s="8">
        <v>2889832</v>
      </c>
      <c r="U306" s="8">
        <v>64202</v>
      </c>
      <c r="AA306" s="8">
        <v>379348</v>
      </c>
      <c r="AB306" s="39"/>
      <c r="AC306" s="8">
        <v>0</v>
      </c>
      <c r="AG306" s="8">
        <f t="shared" si="28"/>
        <v>6312566</v>
      </c>
      <c r="AH306" s="8"/>
      <c r="AI306" s="8">
        <f t="shared" si="29"/>
        <v>8745334</v>
      </c>
      <c r="AK306" s="15" t="s">
        <v>955</v>
      </c>
    </row>
    <row r="307" spans="1:37" ht="12" customHeight="1">
      <c r="A307" s="77"/>
      <c r="B307" s="12"/>
      <c r="C307" s="12"/>
      <c r="D307" s="12"/>
      <c r="E307" s="32"/>
      <c r="AB307" s="39"/>
      <c r="AH307" s="8"/>
      <c r="AK307" s="15"/>
    </row>
    <row r="308" spans="1:37" ht="12" customHeight="1">
      <c r="A308" s="77"/>
      <c r="B308" s="12"/>
      <c r="C308" s="12"/>
      <c r="D308" s="12"/>
      <c r="E308" s="32"/>
      <c r="AB308" s="39"/>
      <c r="AH308" s="8"/>
      <c r="AI308" s="8" t="s">
        <v>805</v>
      </c>
      <c r="AK308" s="15"/>
    </row>
    <row r="309" spans="1:37" ht="12" customHeight="1">
      <c r="A309" s="77"/>
      <c r="B309" s="12"/>
      <c r="C309" s="12"/>
      <c r="D309" s="12"/>
      <c r="E309" s="32"/>
      <c r="AB309" s="39"/>
      <c r="AH309" s="8"/>
      <c r="AK309" s="15"/>
    </row>
    <row r="310" spans="1:37" ht="12" customHeight="1">
      <c r="A310" s="12" t="s">
        <v>582</v>
      </c>
      <c r="B310" s="12"/>
      <c r="C310" s="12" t="s">
        <v>54</v>
      </c>
      <c r="D310" s="12"/>
      <c r="E310" s="32">
        <v>49080</v>
      </c>
      <c r="G310" s="35">
        <v>1368607</v>
      </c>
      <c r="H310" s="35"/>
      <c r="I310" s="35">
        <v>2115437</v>
      </c>
      <c r="J310" s="35"/>
      <c r="K310" s="35">
        <v>0</v>
      </c>
      <c r="L310" s="35"/>
      <c r="M310" s="35">
        <f t="shared" si="27"/>
        <v>3484044</v>
      </c>
      <c r="N310" s="35"/>
      <c r="O310" s="35">
        <v>7253768</v>
      </c>
      <c r="P310" s="35"/>
      <c r="Q310" s="35">
        <v>2601080</v>
      </c>
      <c r="R310" s="35"/>
      <c r="S310" s="35">
        <v>8941855</v>
      </c>
      <c r="T310" s="35"/>
      <c r="U310" s="35">
        <v>134636</v>
      </c>
      <c r="V310" s="35"/>
      <c r="W310" s="35">
        <v>0</v>
      </c>
      <c r="X310" s="35"/>
      <c r="Y310" s="35">
        <v>0</v>
      </c>
      <c r="Z310" s="35"/>
      <c r="AA310" s="35">
        <v>6764</v>
      </c>
      <c r="AB310" s="45"/>
      <c r="AC310" s="35">
        <v>0</v>
      </c>
      <c r="AD310" s="35"/>
      <c r="AE310" s="35">
        <v>0</v>
      </c>
      <c r="AF310" s="35"/>
      <c r="AG310" s="35">
        <f t="shared" si="28"/>
        <v>18938103</v>
      </c>
      <c r="AH310" s="35"/>
      <c r="AI310" s="35">
        <f t="shared" si="29"/>
        <v>22422147</v>
      </c>
    </row>
    <row r="311" spans="1:37" ht="12" customHeight="1">
      <c r="A311" s="12" t="s">
        <v>440</v>
      </c>
      <c r="B311" s="12"/>
      <c r="C311" s="12" t="s">
        <v>35</v>
      </c>
      <c r="D311" s="12"/>
      <c r="E311" s="32">
        <v>44248</v>
      </c>
      <c r="G311" s="8">
        <v>2030425</v>
      </c>
      <c r="I311" s="8">
        <v>4331233</v>
      </c>
      <c r="K311" s="8">
        <v>0</v>
      </c>
      <c r="M311" s="8">
        <f t="shared" si="27"/>
        <v>6361658</v>
      </c>
      <c r="O311" s="8">
        <v>11937929</v>
      </c>
      <c r="Q311" s="8">
        <v>0</v>
      </c>
      <c r="S311" s="8">
        <v>22606003</v>
      </c>
      <c r="U311" s="8">
        <v>0</v>
      </c>
      <c r="W311" s="8">
        <v>0</v>
      </c>
      <c r="Y311" s="8">
        <v>0</v>
      </c>
      <c r="AA311" s="8">
        <v>1716667</v>
      </c>
      <c r="AB311" s="39"/>
      <c r="AC311" s="8">
        <v>0</v>
      </c>
      <c r="AE311" s="8">
        <v>0</v>
      </c>
      <c r="AG311" s="8">
        <f t="shared" si="28"/>
        <v>36260599</v>
      </c>
      <c r="AH311" s="8"/>
      <c r="AI311" s="8">
        <f t="shared" si="29"/>
        <v>42622257</v>
      </c>
      <c r="AK311" s="8"/>
    </row>
    <row r="312" spans="1:37" s="8" customFormat="1" ht="12" customHeight="1">
      <c r="A312" s="13" t="s">
        <v>507</v>
      </c>
      <c r="B312" s="13"/>
      <c r="C312" s="13" t="s">
        <v>505</v>
      </c>
      <c r="D312" s="13"/>
      <c r="E312" s="32">
        <v>44255</v>
      </c>
      <c r="G312" s="8">
        <v>2897122</v>
      </c>
      <c r="I312" s="8">
        <v>2383537</v>
      </c>
      <c r="K312" s="8">
        <v>16990</v>
      </c>
      <c r="M312" s="8">
        <f t="shared" si="27"/>
        <v>5297649</v>
      </c>
      <c r="O312" s="8">
        <v>7482918</v>
      </c>
      <c r="Q312" s="8">
        <v>2930638</v>
      </c>
      <c r="S312" s="8">
        <v>31926050</v>
      </c>
      <c r="U312" s="8">
        <v>12509</v>
      </c>
      <c r="W312" s="8">
        <v>301464</v>
      </c>
      <c r="Y312" s="8">
        <v>31697</v>
      </c>
      <c r="AA312" s="8">
        <v>83054</v>
      </c>
      <c r="AB312" s="39"/>
      <c r="AC312" s="8">
        <v>0</v>
      </c>
      <c r="AE312" s="8">
        <v>0</v>
      </c>
      <c r="AG312" s="8">
        <f t="shared" si="28"/>
        <v>42768330</v>
      </c>
      <c r="AI312" s="8">
        <f t="shared" si="29"/>
        <v>48065979</v>
      </c>
    </row>
    <row r="313" spans="1:37" ht="12" customHeight="1">
      <c r="A313" s="12" t="s">
        <v>490</v>
      </c>
      <c r="B313" s="12"/>
      <c r="C313" s="12" t="s">
        <v>44</v>
      </c>
      <c r="D313" s="12"/>
      <c r="E313" s="32">
        <v>44263</v>
      </c>
      <c r="G313" s="8">
        <v>2161104</v>
      </c>
      <c r="I313" s="8">
        <v>35409839</v>
      </c>
      <c r="K313" s="8">
        <v>1078792</v>
      </c>
      <c r="M313" s="8">
        <f t="shared" si="27"/>
        <v>38649735</v>
      </c>
      <c r="O313" s="8">
        <v>19395770</v>
      </c>
      <c r="Q313" s="8">
        <v>0</v>
      </c>
      <c r="S313" s="8">
        <v>56193166</v>
      </c>
      <c r="U313" s="8">
        <v>0</v>
      </c>
      <c r="W313" s="8">
        <v>0</v>
      </c>
      <c r="Y313" s="8">
        <v>0</v>
      </c>
      <c r="AA313" s="8">
        <v>681893</v>
      </c>
      <c r="AB313" s="39"/>
      <c r="AC313" s="8">
        <v>0</v>
      </c>
      <c r="AE313" s="8">
        <v>0</v>
      </c>
      <c r="AG313" s="8">
        <f t="shared" si="28"/>
        <v>76270829</v>
      </c>
      <c r="AH313" s="8"/>
      <c r="AI313" s="8">
        <f t="shared" si="29"/>
        <v>114920564</v>
      </c>
    </row>
    <row r="314" spans="1:37" ht="12" customHeight="1">
      <c r="A314" s="12" t="s">
        <v>686</v>
      </c>
      <c r="B314" s="12"/>
      <c r="C314" s="12" t="s">
        <v>64</v>
      </c>
      <c r="D314" s="12"/>
      <c r="E314" s="32">
        <v>50203</v>
      </c>
      <c r="G314" s="8">
        <v>528762</v>
      </c>
      <c r="I314" s="8">
        <v>259364</v>
      </c>
      <c r="K314" s="8">
        <v>15235</v>
      </c>
      <c r="M314" s="8">
        <f t="shared" si="27"/>
        <v>803361</v>
      </c>
      <c r="O314" s="8">
        <v>3683568</v>
      </c>
      <c r="Q314" s="8">
        <v>67744</v>
      </c>
      <c r="S314" s="8">
        <v>2416824</v>
      </c>
      <c r="U314" s="8">
        <v>14102</v>
      </c>
      <c r="W314" s="8">
        <v>432848</v>
      </c>
      <c r="Y314" s="8">
        <v>0</v>
      </c>
      <c r="AA314" s="8">
        <v>300379</v>
      </c>
      <c r="AB314" s="39"/>
      <c r="AC314" s="8">
        <v>0</v>
      </c>
      <c r="AE314" s="8">
        <v>0</v>
      </c>
      <c r="AG314" s="8">
        <f t="shared" si="28"/>
        <v>6915465</v>
      </c>
      <c r="AH314" s="8"/>
      <c r="AI314" s="8">
        <f t="shared" si="29"/>
        <v>7718826</v>
      </c>
    </row>
    <row r="315" spans="1:37" ht="12" customHeight="1">
      <c r="A315" s="12" t="s">
        <v>991</v>
      </c>
      <c r="B315" s="12"/>
      <c r="C315" s="12" t="s">
        <v>11</v>
      </c>
      <c r="D315" s="12"/>
      <c r="E315" s="32">
        <v>45468</v>
      </c>
      <c r="F315" s="7"/>
      <c r="G315" s="8">
        <v>881563</v>
      </c>
      <c r="I315" s="8">
        <v>1333291</v>
      </c>
      <c r="K315" s="8">
        <v>12035</v>
      </c>
      <c r="M315" s="8">
        <f t="shared" si="27"/>
        <v>2226889</v>
      </c>
      <c r="O315" s="8">
        <v>5202675</v>
      </c>
      <c r="Q315" s="8">
        <v>1551652</v>
      </c>
      <c r="S315" s="8">
        <v>4974632</v>
      </c>
      <c r="U315" s="8">
        <v>86734</v>
      </c>
      <c r="W315" s="8">
        <v>0</v>
      </c>
      <c r="Y315" s="8">
        <v>0</v>
      </c>
      <c r="AA315" s="8">
        <v>33551</v>
      </c>
      <c r="AB315" s="39"/>
      <c r="AC315" s="8">
        <v>0</v>
      </c>
      <c r="AE315" s="8">
        <v>0</v>
      </c>
      <c r="AG315" s="8">
        <f t="shared" si="28"/>
        <v>11849244</v>
      </c>
      <c r="AH315" s="8"/>
      <c r="AI315" s="8">
        <f t="shared" si="29"/>
        <v>14076133</v>
      </c>
      <c r="AK315" s="8" t="s">
        <v>956</v>
      </c>
    </row>
    <row r="316" spans="1:37" ht="12" customHeight="1">
      <c r="A316" s="12" t="s">
        <v>654</v>
      </c>
      <c r="B316" s="12"/>
      <c r="C316" s="12" t="s">
        <v>62</v>
      </c>
      <c r="D316" s="12"/>
      <c r="E316" s="32">
        <v>49874</v>
      </c>
      <c r="G316" s="8">
        <v>1696359</v>
      </c>
      <c r="I316" s="8">
        <v>3944103</v>
      </c>
      <c r="K316" s="8">
        <v>130970</v>
      </c>
      <c r="M316" s="8">
        <f t="shared" si="27"/>
        <v>5771432</v>
      </c>
      <c r="O316" s="8">
        <v>8470847</v>
      </c>
      <c r="Q316" s="8">
        <v>0</v>
      </c>
      <c r="S316" s="8">
        <v>52756893</v>
      </c>
      <c r="U316" s="8">
        <v>179033</v>
      </c>
      <c r="W316" s="8">
        <v>81863</v>
      </c>
      <c r="Y316" s="8">
        <v>0</v>
      </c>
      <c r="AA316" s="8">
        <v>99900</v>
      </c>
      <c r="AB316" s="39"/>
      <c r="AC316" s="8">
        <v>0</v>
      </c>
      <c r="AE316" s="8">
        <v>0</v>
      </c>
      <c r="AG316" s="8">
        <f t="shared" si="28"/>
        <v>61588536</v>
      </c>
      <c r="AH316" s="8"/>
      <c r="AI316" s="8">
        <f t="shared" si="29"/>
        <v>67359968</v>
      </c>
    </row>
    <row r="317" spans="1:37" ht="12" customHeight="1">
      <c r="A317" s="12" t="s">
        <v>397</v>
      </c>
      <c r="B317" s="12"/>
      <c r="C317" s="12" t="s">
        <v>32</v>
      </c>
      <c r="D317" s="12"/>
      <c r="E317" s="32">
        <v>44271</v>
      </c>
      <c r="G317" s="8">
        <v>2320723</v>
      </c>
      <c r="I317" s="8">
        <v>3013028</v>
      </c>
      <c r="K317" s="8">
        <v>75371</v>
      </c>
      <c r="M317" s="8">
        <f t="shared" si="27"/>
        <v>5409122</v>
      </c>
      <c r="O317" s="8">
        <v>27529057</v>
      </c>
      <c r="Q317" s="8">
        <v>0</v>
      </c>
      <c r="S317" s="8">
        <v>15095162</v>
      </c>
      <c r="U317" s="8">
        <v>0</v>
      </c>
      <c r="W317" s="8">
        <v>0</v>
      </c>
      <c r="Y317" s="8">
        <v>0</v>
      </c>
      <c r="AA317" s="8">
        <v>527027</v>
      </c>
      <c r="AB317" s="39"/>
      <c r="AC317" s="8">
        <v>0</v>
      </c>
      <c r="AE317" s="8">
        <v>0</v>
      </c>
      <c r="AG317" s="8">
        <f t="shared" si="28"/>
        <v>43151246</v>
      </c>
      <c r="AH317" s="8"/>
      <c r="AI317" s="8">
        <f t="shared" si="29"/>
        <v>48560368</v>
      </c>
    </row>
    <row r="318" spans="1:37" ht="12" customHeight="1">
      <c r="A318" s="12" t="s">
        <v>513</v>
      </c>
      <c r="B318" s="12"/>
      <c r="C318" s="12" t="s">
        <v>45</v>
      </c>
      <c r="D318" s="12"/>
      <c r="E318" s="32">
        <v>48330</v>
      </c>
      <c r="G318" s="8">
        <v>1444531</v>
      </c>
      <c r="I318" s="8">
        <v>485225</v>
      </c>
      <c r="K318" s="8">
        <v>27018</v>
      </c>
      <c r="M318" s="8">
        <f t="shared" si="27"/>
        <v>1956774</v>
      </c>
      <c r="O318" s="8">
        <v>1054126</v>
      </c>
      <c r="Q318" s="8">
        <v>0</v>
      </c>
      <c r="S318" s="8">
        <v>2236341</v>
      </c>
      <c r="U318" s="8">
        <v>35919</v>
      </c>
      <c r="W318" s="8">
        <v>0</v>
      </c>
      <c r="Y318" s="8">
        <v>0</v>
      </c>
      <c r="AA318" s="8">
        <f>13161+22854</f>
        <v>36015</v>
      </c>
      <c r="AB318" s="39"/>
      <c r="AC318" s="8">
        <v>0</v>
      </c>
      <c r="AE318" s="8">
        <v>0</v>
      </c>
      <c r="AG318" s="8">
        <f t="shared" si="28"/>
        <v>3362401</v>
      </c>
      <c r="AH318" s="8"/>
      <c r="AI318" s="8">
        <f t="shared" si="29"/>
        <v>5319175</v>
      </c>
    </row>
    <row r="319" spans="1:37" ht="12" customHeight="1">
      <c r="A319" s="12" t="s">
        <v>611</v>
      </c>
      <c r="B319" s="12"/>
      <c r="C319" s="12" t="s">
        <v>112</v>
      </c>
      <c r="D319" s="12"/>
      <c r="E319" s="32">
        <v>49445</v>
      </c>
      <c r="G319" s="8">
        <v>281815</v>
      </c>
      <c r="I319" s="8">
        <v>462012</v>
      </c>
      <c r="K319" s="8">
        <v>0</v>
      </c>
      <c r="M319" s="8">
        <f t="shared" si="27"/>
        <v>743827</v>
      </c>
      <c r="O319" s="8">
        <v>2429487</v>
      </c>
      <c r="Q319" s="8">
        <v>0</v>
      </c>
      <c r="S319" s="8">
        <v>2437025</v>
      </c>
      <c r="U319" s="8">
        <v>80065</v>
      </c>
      <c r="W319" s="8">
        <v>0</v>
      </c>
      <c r="Y319" s="8">
        <v>0</v>
      </c>
      <c r="AA319" s="8">
        <v>84168</v>
      </c>
      <c r="AB319" s="39"/>
      <c r="AC319" s="8">
        <v>0</v>
      </c>
      <c r="AE319" s="8">
        <v>0</v>
      </c>
      <c r="AG319" s="8">
        <f t="shared" si="28"/>
        <v>5030745</v>
      </c>
      <c r="AH319" s="8"/>
      <c r="AI319" s="8">
        <f t="shared" si="29"/>
        <v>5774572</v>
      </c>
    </row>
    <row r="320" spans="1:37" ht="12" customHeight="1">
      <c r="A320" s="12" t="s">
        <v>439</v>
      </c>
      <c r="B320" s="12"/>
      <c r="C320" s="12" t="s">
        <v>435</v>
      </c>
      <c r="D320" s="12"/>
      <c r="E320" s="32">
        <v>47639</v>
      </c>
      <c r="G320" s="8">
        <v>960399</v>
      </c>
      <c r="I320" s="8">
        <v>1448917</v>
      </c>
      <c r="K320" s="8">
        <v>16000</v>
      </c>
      <c r="M320" s="8">
        <f t="shared" si="27"/>
        <v>2425316</v>
      </c>
      <c r="O320" s="8">
        <v>1944615</v>
      </c>
      <c r="Q320" s="8">
        <v>0</v>
      </c>
      <c r="S320" s="8">
        <v>7865402</v>
      </c>
      <c r="U320" s="8">
        <v>271383</v>
      </c>
      <c r="W320" s="8">
        <v>0</v>
      </c>
      <c r="Y320" s="8">
        <v>3250</v>
      </c>
      <c r="AA320" s="8">
        <v>99160</v>
      </c>
      <c r="AB320" s="39"/>
      <c r="AC320" s="8">
        <v>0</v>
      </c>
      <c r="AE320" s="8">
        <v>0</v>
      </c>
      <c r="AG320" s="8">
        <f t="shared" si="28"/>
        <v>10183810</v>
      </c>
      <c r="AH320" s="8"/>
      <c r="AI320" s="8">
        <f t="shared" si="29"/>
        <v>12609126</v>
      </c>
    </row>
    <row r="321" spans="1:38" ht="12" customHeight="1">
      <c r="A321" s="12" t="s">
        <v>550</v>
      </c>
      <c r="B321" s="12"/>
      <c r="C321" s="12" t="s">
        <v>50</v>
      </c>
      <c r="D321" s="12"/>
      <c r="E321" s="32">
        <v>48702</v>
      </c>
      <c r="G321" s="8">
        <v>1867980</v>
      </c>
      <c r="I321" s="8">
        <v>5353822</v>
      </c>
      <c r="K321" s="8">
        <v>0</v>
      </c>
      <c r="M321" s="8">
        <f t="shared" ref="M321:M374" si="30">SUM(G321:L321)</f>
        <v>7221802</v>
      </c>
      <c r="O321" s="8">
        <v>9887146</v>
      </c>
      <c r="Q321" s="8">
        <v>0</v>
      </c>
      <c r="S321" s="8">
        <v>23936536</v>
      </c>
      <c r="U321" s="8">
        <v>0</v>
      </c>
      <c r="W321" s="8">
        <v>0</v>
      </c>
      <c r="Y321" s="8">
        <v>0</v>
      </c>
      <c r="AA321" s="8">
        <v>832621</v>
      </c>
      <c r="AB321" s="100"/>
      <c r="AC321" s="8">
        <v>0</v>
      </c>
      <c r="AE321" s="8">
        <v>0</v>
      </c>
      <c r="AG321" s="8">
        <f t="shared" ref="AG321:AG374" si="31">SUM(O321:AE321)</f>
        <v>34656303</v>
      </c>
      <c r="AH321" s="8"/>
      <c r="AI321" s="8">
        <f t="shared" ref="AI321:AI374" si="32">+AG321+M321</f>
        <v>41878105</v>
      </c>
      <c r="AK321" s="15" t="s">
        <v>955</v>
      </c>
    </row>
    <row r="322" spans="1:38" ht="12" customHeight="1">
      <c r="A322" s="12" t="s">
        <v>398</v>
      </c>
      <c r="B322" s="12"/>
      <c r="C322" s="12" t="s">
        <v>32</v>
      </c>
      <c r="D322" s="12"/>
      <c r="E322" s="32">
        <v>44289</v>
      </c>
      <c r="G322" s="8">
        <v>1109235</v>
      </c>
      <c r="I322" s="8">
        <v>754313</v>
      </c>
      <c r="K322" s="8">
        <v>16376</v>
      </c>
      <c r="M322" s="8">
        <f t="shared" si="30"/>
        <v>1879924</v>
      </c>
      <c r="O322" s="8">
        <v>12958977</v>
      </c>
      <c r="Q322" s="8">
        <v>0</v>
      </c>
      <c r="S322" s="8">
        <v>5062678</v>
      </c>
      <c r="U322" s="8">
        <v>0</v>
      </c>
      <c r="W322" s="8">
        <v>0</v>
      </c>
      <c r="Y322" s="8">
        <v>0</v>
      </c>
      <c r="AA322" s="8">
        <v>318563</v>
      </c>
      <c r="AB322" s="100"/>
      <c r="AC322" s="8">
        <v>0</v>
      </c>
      <c r="AE322" s="8">
        <v>0</v>
      </c>
      <c r="AG322" s="8">
        <f t="shared" si="31"/>
        <v>18340218</v>
      </c>
      <c r="AH322" s="8"/>
      <c r="AI322" s="8">
        <f t="shared" si="32"/>
        <v>20220142</v>
      </c>
    </row>
    <row r="323" spans="1:38" ht="12" customHeight="1">
      <c r="A323" s="12" t="s">
        <v>246</v>
      </c>
      <c r="B323" s="12"/>
      <c r="C323" s="12" t="s">
        <v>242</v>
      </c>
      <c r="D323" s="12"/>
      <c r="E323" s="32">
        <v>46128</v>
      </c>
      <c r="G323" s="8">
        <v>1437872</v>
      </c>
      <c r="I323" s="8">
        <v>755088</v>
      </c>
      <c r="K323" s="8">
        <v>0</v>
      </c>
      <c r="M323" s="8">
        <f t="shared" si="30"/>
        <v>2192960</v>
      </c>
      <c r="O323" s="8">
        <v>5294613</v>
      </c>
      <c r="Q323" s="8">
        <v>844829</v>
      </c>
      <c r="S323" s="8">
        <v>7102137</v>
      </c>
      <c r="U323" s="8">
        <v>114383</v>
      </c>
      <c r="W323" s="8">
        <v>0</v>
      </c>
      <c r="Y323" s="8">
        <v>0</v>
      </c>
      <c r="AA323" s="8">
        <v>7500</v>
      </c>
      <c r="AB323" s="100"/>
      <c r="AC323" s="8">
        <v>0</v>
      </c>
      <c r="AE323" s="8">
        <v>0</v>
      </c>
      <c r="AG323" s="8">
        <f t="shared" si="31"/>
        <v>13363462</v>
      </c>
      <c r="AH323" s="8"/>
      <c r="AI323" s="8">
        <f t="shared" si="32"/>
        <v>15556422</v>
      </c>
    </row>
    <row r="324" spans="1:38" ht="12" hidden="1" customHeight="1">
      <c r="A324" s="77" t="s">
        <v>993</v>
      </c>
      <c r="B324" s="12"/>
      <c r="C324" s="12" t="s">
        <v>41</v>
      </c>
      <c r="D324" s="12"/>
      <c r="E324" s="32"/>
      <c r="G324" s="8">
        <v>2430697</v>
      </c>
      <c r="I324" s="8">
        <v>1809538</v>
      </c>
      <c r="M324" s="8">
        <f t="shared" si="30"/>
        <v>4240235</v>
      </c>
      <c r="O324" s="8">
        <v>10176665</v>
      </c>
      <c r="S324" s="8">
        <v>16183435</v>
      </c>
      <c r="U324" s="8">
        <v>128994</v>
      </c>
      <c r="AA324" s="8">
        <f>786992+163569+7848+241178</f>
        <v>1199587</v>
      </c>
      <c r="AB324" s="100"/>
      <c r="AC324" s="8">
        <v>0</v>
      </c>
      <c r="AG324" s="8">
        <f t="shared" si="31"/>
        <v>27688681</v>
      </c>
      <c r="AH324" s="8"/>
      <c r="AI324" s="8">
        <f t="shared" si="32"/>
        <v>31928916</v>
      </c>
      <c r="AK324" s="15" t="s">
        <v>994</v>
      </c>
    </row>
    <row r="325" spans="1:38" ht="12" customHeight="1">
      <c r="A325" s="12" t="s">
        <v>246</v>
      </c>
      <c r="B325" s="12"/>
      <c r="C325" s="12" t="s">
        <v>112</v>
      </c>
      <c r="D325" s="12"/>
      <c r="E325" s="32">
        <v>49452</v>
      </c>
      <c r="F325" s="7"/>
      <c r="G325" s="8">
        <v>3421019</v>
      </c>
      <c r="I325" s="8">
        <v>5551319</v>
      </c>
      <c r="K325" s="8">
        <v>27099</v>
      </c>
      <c r="M325" s="8">
        <f t="shared" si="30"/>
        <v>8999437</v>
      </c>
      <c r="O325" s="8">
        <v>9927289</v>
      </c>
      <c r="Q325" s="8">
        <v>0</v>
      </c>
      <c r="S325" s="8">
        <v>15218976</v>
      </c>
      <c r="U325" s="8">
        <v>303592</v>
      </c>
      <c r="W325" s="8">
        <v>185743</v>
      </c>
      <c r="Y325" s="8">
        <v>0</v>
      </c>
      <c r="AA325" s="8">
        <v>94274</v>
      </c>
      <c r="AB325" s="100"/>
      <c r="AC325" s="8">
        <v>0</v>
      </c>
      <c r="AE325" s="8">
        <v>0</v>
      </c>
      <c r="AG325" s="8">
        <f t="shared" si="31"/>
        <v>25729874</v>
      </c>
      <c r="AH325" s="8"/>
      <c r="AI325" s="8">
        <f t="shared" si="32"/>
        <v>34729311</v>
      </c>
    </row>
    <row r="326" spans="1:38" ht="12" customHeight="1">
      <c r="A326" s="12" t="s">
        <v>1023</v>
      </c>
      <c r="B326" s="12"/>
      <c r="C326" s="12" t="s">
        <v>505</v>
      </c>
      <c r="D326" s="12"/>
      <c r="E326" s="32"/>
      <c r="F326" s="7"/>
      <c r="G326" s="8">
        <v>1347076</v>
      </c>
      <c r="I326" s="8">
        <v>795057</v>
      </c>
      <c r="K326" s="8">
        <v>24357</v>
      </c>
      <c r="M326" s="8">
        <f t="shared" si="30"/>
        <v>2166490</v>
      </c>
      <c r="O326" s="8">
        <v>6137570</v>
      </c>
      <c r="Q326" s="8">
        <v>0</v>
      </c>
      <c r="S326" s="8">
        <v>6116344</v>
      </c>
      <c r="U326" s="8">
        <v>0</v>
      </c>
      <c r="W326" s="8">
        <v>5991</v>
      </c>
      <c r="Y326" s="8">
        <v>0</v>
      </c>
      <c r="AA326" s="8">
        <v>1245872</v>
      </c>
      <c r="AB326" s="100"/>
      <c r="AC326" s="8">
        <v>0</v>
      </c>
      <c r="AE326" s="8">
        <v>0</v>
      </c>
      <c r="AG326" s="8">
        <f t="shared" si="31"/>
        <v>13505777</v>
      </c>
      <c r="AH326" s="8"/>
      <c r="AI326" s="8">
        <f t="shared" si="32"/>
        <v>15672267</v>
      </c>
    </row>
    <row r="327" spans="1:38" ht="12" customHeight="1">
      <c r="A327" s="12" t="s">
        <v>819</v>
      </c>
      <c r="B327" s="12"/>
      <c r="C327" s="12" t="s">
        <v>208</v>
      </c>
      <c r="D327" s="12"/>
      <c r="E327" s="32"/>
      <c r="F327" s="7"/>
      <c r="G327" s="8">
        <v>616965</v>
      </c>
      <c r="I327" s="8">
        <v>1530600</v>
      </c>
      <c r="K327" s="8">
        <v>52968</v>
      </c>
      <c r="M327" s="8">
        <f t="shared" si="30"/>
        <v>2200533</v>
      </c>
      <c r="O327" s="8">
        <v>7601008</v>
      </c>
      <c r="Q327" s="8">
        <v>0</v>
      </c>
      <c r="S327" s="8">
        <v>6546498</v>
      </c>
      <c r="U327" s="8">
        <v>128589</v>
      </c>
      <c r="W327" s="8">
        <v>0</v>
      </c>
      <c r="Y327" s="8">
        <v>1723</v>
      </c>
      <c r="AA327" s="8">
        <v>24358</v>
      </c>
      <c r="AB327" s="100"/>
      <c r="AC327" s="8">
        <v>0</v>
      </c>
      <c r="AE327" s="8">
        <v>0</v>
      </c>
      <c r="AG327" s="8">
        <f t="shared" si="31"/>
        <v>14302176</v>
      </c>
      <c r="AH327" s="8"/>
      <c r="AI327" s="8">
        <f t="shared" si="32"/>
        <v>16502709</v>
      </c>
    </row>
    <row r="328" spans="1:38" ht="12" customHeight="1">
      <c r="A328" s="12" t="s">
        <v>612</v>
      </c>
      <c r="B328" s="12"/>
      <c r="C328" s="12" t="s">
        <v>112</v>
      </c>
      <c r="D328" s="12"/>
      <c r="E328" s="32">
        <v>44297</v>
      </c>
      <c r="G328" s="8">
        <v>2670853</v>
      </c>
      <c r="I328" s="8">
        <v>16489764</v>
      </c>
      <c r="K328" s="8">
        <v>57697</v>
      </c>
      <c r="M328" s="8">
        <f t="shared" si="30"/>
        <v>19218314</v>
      </c>
      <c r="O328" s="8">
        <v>20191226</v>
      </c>
      <c r="Q328" s="8">
        <v>0</v>
      </c>
      <c r="S328" s="8">
        <v>27947576</v>
      </c>
      <c r="U328" s="8">
        <v>533509</v>
      </c>
      <c r="W328" s="8">
        <v>0</v>
      </c>
      <c r="Y328" s="8">
        <v>0</v>
      </c>
      <c r="AA328" s="8">
        <v>404211</v>
      </c>
      <c r="AB328" s="100"/>
      <c r="AC328" s="8">
        <v>0</v>
      </c>
      <c r="AE328" s="8">
        <v>0</v>
      </c>
      <c r="AG328" s="8">
        <f t="shared" si="31"/>
        <v>49076522</v>
      </c>
      <c r="AH328" s="8"/>
      <c r="AI328" s="8">
        <f t="shared" si="32"/>
        <v>68294836</v>
      </c>
    </row>
    <row r="329" spans="1:38" ht="12" customHeight="1">
      <c r="A329" s="12" t="s">
        <v>311</v>
      </c>
      <c r="B329" s="12"/>
      <c r="C329" s="12" t="s">
        <v>20</v>
      </c>
      <c r="D329" s="12"/>
      <c r="E329" s="32">
        <v>44305</v>
      </c>
      <c r="G329" s="8">
        <v>1829055</v>
      </c>
      <c r="I329" s="8">
        <v>8556556</v>
      </c>
      <c r="K329" s="8">
        <v>12601</v>
      </c>
      <c r="M329" s="8">
        <f t="shared" si="30"/>
        <v>10398212</v>
      </c>
      <c r="O329" s="8">
        <v>15064071</v>
      </c>
      <c r="Q329" s="8">
        <v>0</v>
      </c>
      <c r="S329" s="8">
        <v>73931119</v>
      </c>
      <c r="U329" s="8">
        <v>625963</v>
      </c>
      <c r="W329" s="8">
        <v>0</v>
      </c>
      <c r="Y329" s="8">
        <v>0</v>
      </c>
      <c r="AA329" s="8">
        <v>344291</v>
      </c>
      <c r="AB329" s="100"/>
      <c r="AC329" s="8">
        <v>0</v>
      </c>
      <c r="AE329" s="8">
        <v>0</v>
      </c>
      <c r="AG329" s="8">
        <f t="shared" si="31"/>
        <v>89965444</v>
      </c>
      <c r="AH329" s="8"/>
      <c r="AI329" s="8">
        <f t="shared" si="32"/>
        <v>100363656</v>
      </c>
      <c r="AK329" s="15" t="s">
        <v>905</v>
      </c>
    </row>
    <row r="330" spans="1:38" ht="12" customHeight="1">
      <c r="A330" s="12" t="s">
        <v>216</v>
      </c>
      <c r="B330" s="12"/>
      <c r="C330" s="12" t="s">
        <v>11</v>
      </c>
      <c r="D330" s="12"/>
      <c r="E330" s="32">
        <v>45831</v>
      </c>
      <c r="F330" s="7"/>
      <c r="G330" s="8">
        <v>821857</v>
      </c>
      <c r="I330" s="8">
        <v>1018426</v>
      </c>
      <c r="K330" s="8">
        <v>11493</v>
      </c>
      <c r="M330" s="8">
        <f t="shared" si="30"/>
        <v>1851776</v>
      </c>
      <c r="O330" s="8">
        <v>3129855</v>
      </c>
      <c r="Q330" s="8">
        <v>0</v>
      </c>
      <c r="S330" s="8">
        <v>4763614</v>
      </c>
      <c r="U330" s="8">
        <v>60203</v>
      </c>
      <c r="W330" s="8">
        <v>0</v>
      </c>
      <c r="Y330" s="8">
        <v>0</v>
      </c>
      <c r="AA330" s="8">
        <v>24365</v>
      </c>
      <c r="AB330" s="100"/>
      <c r="AC330" s="8">
        <v>0</v>
      </c>
      <c r="AE330" s="8">
        <v>0</v>
      </c>
      <c r="AG330" s="8">
        <f t="shared" si="31"/>
        <v>7978037</v>
      </c>
      <c r="AH330" s="8"/>
      <c r="AI330" s="8">
        <f t="shared" si="32"/>
        <v>9829813</v>
      </c>
    </row>
    <row r="331" spans="1:38" ht="12" customHeight="1">
      <c r="A331" s="12" t="s">
        <v>687</v>
      </c>
      <c r="B331" s="12"/>
      <c r="C331" s="12" t="s">
        <v>64</v>
      </c>
      <c r="D331" s="12"/>
      <c r="E331" s="32">
        <v>50211</v>
      </c>
      <c r="G331" s="8">
        <v>582666</v>
      </c>
      <c r="I331" s="8">
        <v>903676</v>
      </c>
      <c r="K331" s="8">
        <v>14338</v>
      </c>
      <c r="M331" s="8">
        <f t="shared" si="30"/>
        <v>1500680</v>
      </c>
      <c r="O331" s="8">
        <v>2663767</v>
      </c>
      <c r="Q331" s="8">
        <v>0</v>
      </c>
      <c r="S331" s="8">
        <v>5625807</v>
      </c>
      <c r="U331" s="8">
        <v>132007</v>
      </c>
      <c r="W331" s="8">
        <v>0</v>
      </c>
      <c r="Y331" s="8">
        <v>0</v>
      </c>
      <c r="AA331" s="8">
        <v>70901</v>
      </c>
      <c r="AB331" s="100"/>
      <c r="AC331" s="8">
        <v>0</v>
      </c>
      <c r="AE331" s="8">
        <v>0</v>
      </c>
      <c r="AG331" s="8">
        <f t="shared" si="31"/>
        <v>8492482</v>
      </c>
      <c r="AH331" s="8"/>
      <c r="AI331" s="8">
        <f t="shared" si="32"/>
        <v>9993162</v>
      </c>
    </row>
    <row r="332" spans="1:38" ht="12" customHeight="1">
      <c r="A332" s="12" t="s">
        <v>339</v>
      </c>
      <c r="B332" s="12"/>
      <c r="C332" s="12" t="s">
        <v>24</v>
      </c>
      <c r="D332" s="12"/>
      <c r="E332" s="32">
        <v>46805</v>
      </c>
      <c r="G332" s="8">
        <v>1301268</v>
      </c>
      <c r="I332" s="8">
        <v>1044240</v>
      </c>
      <c r="K332" s="8">
        <v>13222</v>
      </c>
      <c r="M332" s="8">
        <f t="shared" si="30"/>
        <v>2358730</v>
      </c>
      <c r="O332" s="8">
        <v>5361764</v>
      </c>
      <c r="Q332" s="8">
        <v>0</v>
      </c>
      <c r="S332" s="8">
        <v>6055840</v>
      </c>
      <c r="U332" s="8">
        <v>66768</v>
      </c>
      <c r="W332" s="8">
        <v>0</v>
      </c>
      <c r="Y332" s="8">
        <v>0</v>
      </c>
      <c r="AA332" s="8">
        <v>39993</v>
      </c>
      <c r="AB332" s="100"/>
      <c r="AC332" s="8">
        <v>0</v>
      </c>
      <c r="AE332" s="8">
        <v>0</v>
      </c>
      <c r="AG332" s="8">
        <f t="shared" si="31"/>
        <v>11524365</v>
      </c>
      <c r="AH332" s="8"/>
      <c r="AI332" s="8">
        <f t="shared" si="32"/>
        <v>13883095</v>
      </c>
      <c r="AK332" s="99"/>
    </row>
    <row r="333" spans="1:38" ht="12" customHeight="1">
      <c r="A333" s="12" t="s">
        <v>399</v>
      </c>
      <c r="B333" s="12"/>
      <c r="C333" s="12" t="s">
        <v>32</v>
      </c>
      <c r="D333" s="12"/>
      <c r="E333" s="32">
        <v>44313</v>
      </c>
      <c r="G333" s="8">
        <v>708194</v>
      </c>
      <c r="I333" s="8">
        <v>557625</v>
      </c>
      <c r="K333" s="8">
        <v>5660</v>
      </c>
      <c r="M333" s="8">
        <f t="shared" si="30"/>
        <v>1271479</v>
      </c>
      <c r="O333" s="8">
        <v>15243940</v>
      </c>
      <c r="Q333" s="8">
        <v>0</v>
      </c>
      <c r="S333" s="8">
        <v>5537832</v>
      </c>
      <c r="U333" s="8">
        <v>104837</v>
      </c>
      <c r="W333" s="8">
        <v>0</v>
      </c>
      <c r="Y333" s="8">
        <v>0</v>
      </c>
      <c r="AA333" s="8">
        <v>61037</v>
      </c>
      <c r="AB333" s="100"/>
      <c r="AC333" s="8">
        <v>0</v>
      </c>
      <c r="AE333" s="8">
        <v>0</v>
      </c>
      <c r="AG333" s="8">
        <f t="shared" si="31"/>
        <v>20947646</v>
      </c>
      <c r="AH333" s="8"/>
      <c r="AI333" s="8">
        <f t="shared" si="32"/>
        <v>22219125</v>
      </c>
    </row>
    <row r="334" spans="1:38" ht="12" hidden="1" customHeight="1">
      <c r="A334" s="12" t="s">
        <v>832</v>
      </c>
      <c r="B334" s="12"/>
      <c r="C334" s="12" t="s">
        <v>70</v>
      </c>
      <c r="D334" s="12"/>
      <c r="E334" s="32">
        <v>44321</v>
      </c>
      <c r="G334" s="8">
        <v>1348750</v>
      </c>
      <c r="I334" s="8">
        <v>3392695</v>
      </c>
      <c r="K334" s="8">
        <v>24943</v>
      </c>
      <c r="M334" s="8">
        <f t="shared" si="30"/>
        <v>4766388</v>
      </c>
      <c r="O334" s="8">
        <v>11030666</v>
      </c>
      <c r="S334" s="8">
        <v>10369729</v>
      </c>
      <c r="U334" s="8">
        <v>211545</v>
      </c>
      <c r="W334" s="8">
        <v>71297</v>
      </c>
      <c r="Y334" s="8">
        <v>24361</v>
      </c>
      <c r="AA334" s="8">
        <f>126830+1500</f>
        <v>128330</v>
      </c>
      <c r="AB334" s="100"/>
      <c r="AC334" s="8">
        <v>0</v>
      </c>
      <c r="AG334" s="8">
        <f t="shared" si="31"/>
        <v>21835928</v>
      </c>
      <c r="AH334" s="8"/>
      <c r="AI334" s="8">
        <f t="shared" si="32"/>
        <v>26602316</v>
      </c>
      <c r="AJ334" s="8"/>
      <c r="AK334" s="8" t="s">
        <v>956</v>
      </c>
      <c r="AL334" s="8"/>
    </row>
    <row r="335" spans="1:38" ht="12" customHeight="1">
      <c r="A335" s="12" t="s">
        <v>521</v>
      </c>
      <c r="B335" s="12"/>
      <c r="C335" s="12" t="s">
        <v>46</v>
      </c>
      <c r="D335" s="12"/>
      <c r="E335" s="32">
        <v>44339</v>
      </c>
      <c r="G335" s="8">
        <v>2846647</v>
      </c>
      <c r="I335" s="8">
        <v>11076371</v>
      </c>
      <c r="K335" s="8">
        <v>42951</v>
      </c>
      <c r="M335" s="8">
        <f t="shared" si="30"/>
        <v>13965969</v>
      </c>
      <c r="O335" s="8">
        <f>8816051+126055+1037503</f>
        <v>9979609</v>
      </c>
      <c r="Q335" s="8">
        <v>0</v>
      </c>
      <c r="S335" s="8">
        <v>30587951</v>
      </c>
      <c r="U335" s="8">
        <v>417969</v>
      </c>
      <c r="W335" s="8">
        <v>63812</v>
      </c>
      <c r="Y335" s="8">
        <v>3331</v>
      </c>
      <c r="AA335" s="8">
        <v>521119</v>
      </c>
      <c r="AB335" s="100"/>
      <c r="AC335" s="8">
        <v>0</v>
      </c>
      <c r="AE335" s="8">
        <v>0</v>
      </c>
      <c r="AG335" s="8">
        <f t="shared" si="31"/>
        <v>41573791</v>
      </c>
      <c r="AH335" s="8"/>
      <c r="AI335" s="8">
        <f t="shared" si="32"/>
        <v>55539760</v>
      </c>
    </row>
    <row r="336" spans="1:38" ht="12" hidden="1" customHeight="1">
      <c r="A336" s="12" t="s">
        <v>998</v>
      </c>
      <c r="B336" s="12"/>
      <c r="C336" s="12" t="s">
        <v>534</v>
      </c>
      <c r="D336" s="12"/>
      <c r="E336" s="32"/>
      <c r="G336" s="8">
        <v>741380</v>
      </c>
      <c r="I336" s="8">
        <v>674447</v>
      </c>
      <c r="K336" s="8">
        <v>21509</v>
      </c>
      <c r="M336" s="8">
        <f t="shared" si="30"/>
        <v>1437336</v>
      </c>
      <c r="O336" s="8">
        <v>2487522</v>
      </c>
      <c r="S336" s="8">
        <v>4400736</v>
      </c>
      <c r="U336" s="8">
        <v>82365</v>
      </c>
      <c r="AA336" s="8">
        <f>40194+398830</f>
        <v>439024</v>
      </c>
      <c r="AB336" s="100"/>
      <c r="AC336" s="8">
        <v>0</v>
      </c>
      <c r="AG336" s="8">
        <f t="shared" si="31"/>
        <v>7409647</v>
      </c>
      <c r="AH336" s="8"/>
      <c r="AI336" s="8">
        <f t="shared" si="32"/>
        <v>8846983</v>
      </c>
    </row>
    <row r="337" spans="1:40" ht="12" customHeight="1">
      <c r="A337" s="12" t="s">
        <v>655</v>
      </c>
      <c r="B337" s="12"/>
      <c r="C337" s="12" t="s">
        <v>62</v>
      </c>
      <c r="D337" s="12"/>
      <c r="E337" s="32">
        <v>49882</v>
      </c>
      <c r="G337" s="8">
        <v>1263475</v>
      </c>
      <c r="I337" s="8">
        <v>2694669</v>
      </c>
      <c r="K337" s="8">
        <v>53919</v>
      </c>
      <c r="M337" s="8">
        <f t="shared" si="30"/>
        <v>4012063</v>
      </c>
      <c r="O337" s="8">
        <v>8723351</v>
      </c>
      <c r="Q337" s="8">
        <v>0</v>
      </c>
      <c r="S337" s="8">
        <v>11386933</v>
      </c>
      <c r="U337" s="8">
        <v>58375</v>
      </c>
      <c r="W337" s="8">
        <v>0</v>
      </c>
      <c r="Y337" s="8">
        <v>0</v>
      </c>
      <c r="AA337" s="8">
        <v>75329</v>
      </c>
      <c r="AB337" s="100"/>
      <c r="AC337" s="8">
        <v>0</v>
      </c>
      <c r="AE337" s="8">
        <v>0</v>
      </c>
      <c r="AG337" s="8">
        <f t="shared" si="31"/>
        <v>20243988</v>
      </c>
      <c r="AH337" s="8"/>
      <c r="AI337" s="8">
        <f t="shared" si="32"/>
        <v>24256051</v>
      </c>
    </row>
    <row r="338" spans="1:40" ht="12" customHeight="1">
      <c r="A338" s="12" t="s">
        <v>233</v>
      </c>
      <c r="B338" s="12"/>
      <c r="C338" s="12" t="s">
        <v>15</v>
      </c>
      <c r="D338" s="12"/>
      <c r="E338" s="32">
        <v>44347</v>
      </c>
      <c r="F338" s="7"/>
      <c r="G338" s="8">
        <v>1305498</v>
      </c>
      <c r="I338" s="8">
        <v>3529506</v>
      </c>
      <c r="K338" s="8">
        <v>23778</v>
      </c>
      <c r="M338" s="8">
        <f t="shared" si="30"/>
        <v>4858782</v>
      </c>
      <c r="O338" s="8">
        <v>2975826</v>
      </c>
      <c r="Q338" s="8">
        <v>0</v>
      </c>
      <c r="S338" s="8">
        <v>7797971</v>
      </c>
      <c r="U338" s="8">
        <v>18749</v>
      </c>
      <c r="W338" s="8">
        <v>0</v>
      </c>
      <c r="Y338" s="8">
        <v>2200</v>
      </c>
      <c r="AA338" s="8">
        <v>398</v>
      </c>
      <c r="AB338" s="100"/>
      <c r="AC338" s="8">
        <v>0</v>
      </c>
      <c r="AE338" s="8">
        <v>0</v>
      </c>
      <c r="AG338" s="8">
        <f t="shared" si="31"/>
        <v>10795144</v>
      </c>
      <c r="AH338" s="8"/>
      <c r="AI338" s="8">
        <f t="shared" si="32"/>
        <v>15653926</v>
      </c>
      <c r="AK338" s="99"/>
    </row>
    <row r="339" spans="1:40" ht="12" customHeight="1">
      <c r="A339" s="12" t="s">
        <v>703</v>
      </c>
      <c r="B339" s="12"/>
      <c r="C339" s="12" t="s">
        <v>66</v>
      </c>
      <c r="D339" s="12"/>
      <c r="E339" s="32">
        <v>45476</v>
      </c>
      <c r="G339" s="8">
        <v>2952110</v>
      </c>
      <c r="I339" s="8">
        <v>2559003</v>
      </c>
      <c r="K339" s="8">
        <v>33750</v>
      </c>
      <c r="M339" s="8">
        <f t="shared" si="30"/>
        <v>5544863</v>
      </c>
      <c r="O339" s="8">
        <v>28444792</v>
      </c>
      <c r="Q339" s="8">
        <v>0</v>
      </c>
      <c r="S339" s="8">
        <v>26138791</v>
      </c>
      <c r="U339" s="8">
        <v>0</v>
      </c>
      <c r="W339" s="8">
        <v>0</v>
      </c>
      <c r="Y339" s="8">
        <v>0</v>
      </c>
      <c r="AA339" s="8">
        <v>1031670</v>
      </c>
      <c r="AB339" s="100"/>
      <c r="AC339" s="8">
        <v>0</v>
      </c>
      <c r="AE339" s="8">
        <v>0</v>
      </c>
      <c r="AG339" s="8">
        <f t="shared" si="31"/>
        <v>55615253</v>
      </c>
      <c r="AH339" s="8"/>
      <c r="AI339" s="8">
        <f t="shared" si="32"/>
        <v>61160116</v>
      </c>
    </row>
    <row r="340" spans="1:40" ht="12" customHeight="1">
      <c r="A340" s="12" t="s">
        <v>712</v>
      </c>
      <c r="B340" s="12"/>
      <c r="C340" s="12" t="s">
        <v>69</v>
      </c>
      <c r="D340" s="12"/>
      <c r="E340" s="32">
        <v>50450</v>
      </c>
      <c r="G340" s="8">
        <v>8455148</v>
      </c>
      <c r="I340" s="8">
        <v>5537453</v>
      </c>
      <c r="K340" s="8">
        <v>124305</v>
      </c>
      <c r="M340" s="8">
        <f t="shared" si="30"/>
        <v>14116906</v>
      </c>
      <c r="O340" s="8">
        <v>76008926</v>
      </c>
      <c r="Q340" s="8">
        <v>0</v>
      </c>
      <c r="S340" s="8">
        <v>34790728</v>
      </c>
      <c r="U340" s="8">
        <v>0</v>
      </c>
      <c r="W340" s="8">
        <v>0</v>
      </c>
      <c r="Y340" s="8">
        <v>0</v>
      </c>
      <c r="AA340" s="8">
        <v>5303966</v>
      </c>
      <c r="AB340" s="100"/>
      <c r="AC340" s="8">
        <v>0</v>
      </c>
      <c r="AE340" s="8">
        <v>0</v>
      </c>
      <c r="AG340" s="8">
        <f t="shared" si="31"/>
        <v>116103620</v>
      </c>
      <c r="AH340" s="8"/>
      <c r="AI340" s="8">
        <f t="shared" si="32"/>
        <v>130220526</v>
      </c>
    </row>
    <row r="341" spans="1:40" ht="12" customHeight="1">
      <c r="A341" s="12" t="s">
        <v>656</v>
      </c>
      <c r="B341" s="12"/>
      <c r="C341" s="12" t="s">
        <v>62</v>
      </c>
      <c r="D341" s="12"/>
      <c r="E341" s="32">
        <v>44354</v>
      </c>
      <c r="G341" s="8">
        <v>2830286</v>
      </c>
      <c r="I341" s="8">
        <v>8085312</v>
      </c>
      <c r="K341" s="8">
        <v>3124506</v>
      </c>
      <c r="M341" s="8">
        <f t="shared" si="30"/>
        <v>14040104</v>
      </c>
      <c r="O341" s="8">
        <v>15846054</v>
      </c>
      <c r="Q341" s="8">
        <v>62903</v>
      </c>
      <c r="S341" s="8">
        <v>22305916</v>
      </c>
      <c r="U341" s="8">
        <v>251883</v>
      </c>
      <c r="W341" s="8">
        <v>0</v>
      </c>
      <c r="Y341" s="8">
        <v>0</v>
      </c>
      <c r="AA341" s="8">
        <f>230111+1784</f>
        <v>231895</v>
      </c>
      <c r="AB341" s="100"/>
      <c r="AC341" s="8">
        <v>0</v>
      </c>
      <c r="AE341" s="8">
        <v>0</v>
      </c>
      <c r="AG341" s="8">
        <f t="shared" si="31"/>
        <v>38698651</v>
      </c>
      <c r="AH341" s="8"/>
      <c r="AI341" s="8">
        <f t="shared" si="32"/>
        <v>52738755</v>
      </c>
    </row>
    <row r="342" spans="1:40" ht="12" customHeight="1">
      <c r="A342" s="12" t="s">
        <v>688</v>
      </c>
      <c r="B342" s="12"/>
      <c r="C342" s="12" t="s">
        <v>64</v>
      </c>
      <c r="D342" s="12"/>
      <c r="E342" s="32">
        <v>50153</v>
      </c>
      <c r="G342" s="8">
        <v>729310</v>
      </c>
      <c r="I342" s="8">
        <v>550162</v>
      </c>
      <c r="K342" s="8">
        <v>12093</v>
      </c>
      <c r="M342" s="8">
        <f t="shared" si="30"/>
        <v>1291565</v>
      </c>
      <c r="O342" s="8">
        <v>4267975</v>
      </c>
      <c r="Q342" s="8">
        <v>0</v>
      </c>
      <c r="S342" s="8">
        <v>3706405</v>
      </c>
      <c r="U342" s="8">
        <v>51748</v>
      </c>
      <c r="W342" s="8">
        <v>9721</v>
      </c>
      <c r="Y342" s="8">
        <v>0</v>
      </c>
      <c r="AA342" s="8">
        <v>38314</v>
      </c>
      <c r="AB342" s="100"/>
      <c r="AC342" s="8">
        <v>0</v>
      </c>
      <c r="AE342" s="8">
        <v>0</v>
      </c>
      <c r="AG342" s="8">
        <f t="shared" si="31"/>
        <v>8074163</v>
      </c>
      <c r="AH342" s="8"/>
      <c r="AI342" s="8">
        <f t="shared" si="32"/>
        <v>9365728</v>
      </c>
    </row>
    <row r="343" spans="1:40" ht="12" customHeight="1">
      <c r="A343" s="12" t="s">
        <v>497</v>
      </c>
      <c r="B343" s="12"/>
      <c r="C343" s="12" t="s">
        <v>117</v>
      </c>
      <c r="D343" s="12"/>
      <c r="E343" s="32">
        <v>44362</v>
      </c>
      <c r="G343" s="8">
        <v>1546367</v>
      </c>
      <c r="I343" s="8">
        <v>2535339</v>
      </c>
      <c r="K343" s="8">
        <v>17929</v>
      </c>
      <c r="M343" s="8">
        <f t="shared" si="30"/>
        <v>4099635</v>
      </c>
      <c r="O343" s="8">
        <v>18124932</v>
      </c>
      <c r="Q343" s="8">
        <v>0</v>
      </c>
      <c r="S343" s="8">
        <v>9268697</v>
      </c>
      <c r="U343" s="8">
        <v>160189</v>
      </c>
      <c r="W343" s="8">
        <v>0</v>
      </c>
      <c r="Y343" s="8">
        <v>0</v>
      </c>
      <c r="AA343" s="8">
        <v>154298</v>
      </c>
      <c r="AB343" s="100"/>
      <c r="AC343" s="8">
        <v>0</v>
      </c>
      <c r="AE343" s="8">
        <v>0</v>
      </c>
      <c r="AG343" s="8">
        <f t="shared" si="31"/>
        <v>27708116</v>
      </c>
      <c r="AH343" s="8"/>
      <c r="AI343" s="8">
        <f t="shared" si="32"/>
        <v>31807751</v>
      </c>
    </row>
    <row r="344" spans="1:40" ht="12" customHeight="1">
      <c r="A344" s="12" t="s">
        <v>1056</v>
      </c>
      <c r="B344" s="12"/>
      <c r="C344" s="12" t="s">
        <v>20</v>
      </c>
      <c r="D344" s="12"/>
      <c r="E344" s="32">
        <v>44370</v>
      </c>
      <c r="G344" s="8">
        <v>10909000</v>
      </c>
      <c r="I344" s="8">
        <v>7467015</v>
      </c>
      <c r="K344" s="8">
        <v>311398</v>
      </c>
      <c r="M344" s="8">
        <f t="shared" si="30"/>
        <v>18687413</v>
      </c>
      <c r="O344" s="8">
        <v>48217175</v>
      </c>
      <c r="Q344" s="8">
        <v>0</v>
      </c>
      <c r="S344" s="8">
        <v>11961955</v>
      </c>
      <c r="U344" s="8">
        <v>566056</v>
      </c>
      <c r="W344" s="8">
        <v>2248932</v>
      </c>
      <c r="Y344" s="8">
        <v>0</v>
      </c>
      <c r="AA344" s="8">
        <v>692048</v>
      </c>
      <c r="AB344" s="100"/>
      <c r="AC344" s="8">
        <v>0</v>
      </c>
      <c r="AE344" s="8">
        <v>0</v>
      </c>
      <c r="AG344" s="8">
        <f t="shared" si="31"/>
        <v>63686166</v>
      </c>
      <c r="AH344" s="8"/>
      <c r="AI344" s="8">
        <f t="shared" si="32"/>
        <v>82373579</v>
      </c>
      <c r="AK344" s="15" t="s">
        <v>905</v>
      </c>
    </row>
    <row r="345" spans="1:40" ht="12" customHeight="1">
      <c r="A345" s="12" t="s">
        <v>565</v>
      </c>
      <c r="B345" s="12"/>
      <c r="C345" s="12" t="s">
        <v>51</v>
      </c>
      <c r="D345" s="12"/>
      <c r="E345" s="32">
        <v>48850</v>
      </c>
      <c r="G345" s="8">
        <v>3033677</v>
      </c>
      <c r="I345" s="8">
        <v>3103009</v>
      </c>
      <c r="K345" s="8">
        <v>67130</v>
      </c>
      <c r="M345" s="8">
        <f t="shared" si="30"/>
        <v>6203816</v>
      </c>
      <c r="O345" s="8">
        <v>3616730</v>
      </c>
      <c r="Q345" s="8">
        <v>0</v>
      </c>
      <c r="S345" s="8">
        <v>11169683</v>
      </c>
      <c r="U345" s="8">
        <v>246698</v>
      </c>
      <c r="W345" s="8">
        <v>0</v>
      </c>
      <c r="Y345" s="8">
        <v>0</v>
      </c>
      <c r="AA345" s="8">
        <v>17937</v>
      </c>
      <c r="AB345" s="100"/>
      <c r="AC345" s="8">
        <v>0</v>
      </c>
      <c r="AE345" s="8">
        <v>0</v>
      </c>
      <c r="AG345" s="8">
        <f t="shared" si="31"/>
        <v>15051048</v>
      </c>
      <c r="AH345" s="8"/>
      <c r="AI345" s="8">
        <f t="shared" si="32"/>
        <v>21254864</v>
      </c>
    </row>
    <row r="346" spans="1:40" ht="12" hidden="1" customHeight="1">
      <c r="A346" s="12" t="s">
        <v>885</v>
      </c>
      <c r="B346" s="12"/>
      <c r="C346" s="12" t="s">
        <v>33</v>
      </c>
      <c r="D346" s="12"/>
      <c r="E346" s="32">
        <v>47456</v>
      </c>
      <c r="G346" s="8">
        <v>487867</v>
      </c>
      <c r="I346" s="8">
        <v>841840</v>
      </c>
      <c r="M346" s="8">
        <f t="shared" si="30"/>
        <v>1329707</v>
      </c>
      <c r="O346" s="8">
        <v>1881172</v>
      </c>
      <c r="Q346" s="8">
        <v>1024868</v>
      </c>
      <c r="S346" s="8">
        <v>3811584</v>
      </c>
      <c r="U346" s="8">
        <v>47716</v>
      </c>
      <c r="Y346" s="8">
        <v>47411</v>
      </c>
      <c r="AA346" s="8">
        <f>18998+2000</f>
        <v>20998</v>
      </c>
      <c r="AB346" s="100"/>
      <c r="AC346" s="8">
        <v>0</v>
      </c>
      <c r="AG346" s="8">
        <f t="shared" si="31"/>
        <v>6833749</v>
      </c>
      <c r="AH346" s="8"/>
      <c r="AI346" s="8">
        <f t="shared" si="32"/>
        <v>8163456</v>
      </c>
    </row>
    <row r="347" spans="1:40" ht="12" customHeight="1">
      <c r="A347" s="12" t="s">
        <v>882</v>
      </c>
      <c r="B347" s="12"/>
      <c r="C347" s="12" t="s">
        <v>64</v>
      </c>
      <c r="D347" s="12"/>
      <c r="E347" s="32">
        <v>50229</v>
      </c>
      <c r="G347" s="8">
        <v>1169212</v>
      </c>
      <c r="I347" s="8">
        <v>525839</v>
      </c>
      <c r="K347" s="8">
        <v>0</v>
      </c>
      <c r="M347" s="8">
        <f t="shared" si="30"/>
        <v>1695051</v>
      </c>
      <c r="O347" s="8">
        <v>1467799</v>
      </c>
      <c r="Q347" s="8">
        <v>0</v>
      </c>
      <c r="S347" s="8">
        <v>3866400</v>
      </c>
      <c r="U347" s="8">
        <v>288</v>
      </c>
      <c r="W347" s="8">
        <v>0</v>
      </c>
      <c r="Y347" s="8">
        <v>0</v>
      </c>
      <c r="AA347" s="8">
        <v>13992</v>
      </c>
      <c r="AB347" s="100"/>
      <c r="AC347" s="8">
        <v>0</v>
      </c>
      <c r="AE347" s="8">
        <v>0</v>
      </c>
      <c r="AG347" s="8">
        <f t="shared" si="31"/>
        <v>5348479</v>
      </c>
      <c r="AH347" s="8"/>
      <c r="AI347" s="8">
        <f t="shared" si="32"/>
        <v>7043530</v>
      </c>
      <c r="AK347" s="8"/>
      <c r="AN347" s="99"/>
    </row>
    <row r="348" spans="1:40" ht="12" customHeight="1">
      <c r="A348" s="12" t="s">
        <v>256</v>
      </c>
      <c r="B348" s="12"/>
      <c r="C348" s="12" t="s">
        <v>255</v>
      </c>
      <c r="D348" s="12"/>
      <c r="E348" s="32">
        <v>45484</v>
      </c>
      <c r="F348" s="7"/>
      <c r="G348" s="8">
        <v>1156720</v>
      </c>
      <c r="I348" s="8">
        <v>960766</v>
      </c>
      <c r="K348" s="8">
        <v>10775</v>
      </c>
      <c r="M348" s="8">
        <f t="shared" si="30"/>
        <v>2128261</v>
      </c>
      <c r="O348" s="8">
        <v>2294703</v>
      </c>
      <c r="Q348" s="8">
        <v>1376716</v>
      </c>
      <c r="S348" s="8">
        <v>4386016</v>
      </c>
      <c r="U348" s="8">
        <v>60066</v>
      </c>
      <c r="W348" s="8">
        <v>0</v>
      </c>
      <c r="Y348" s="8">
        <v>0</v>
      </c>
      <c r="AA348" s="8">
        <v>101303</v>
      </c>
      <c r="AB348" s="100"/>
      <c r="AC348" s="8">
        <v>0</v>
      </c>
      <c r="AE348" s="8">
        <v>0</v>
      </c>
      <c r="AG348" s="8">
        <f t="shared" si="31"/>
        <v>8218804</v>
      </c>
      <c r="AH348" s="8"/>
      <c r="AI348" s="8">
        <f t="shared" si="32"/>
        <v>10347065</v>
      </c>
    </row>
    <row r="349" spans="1:40" ht="12" customHeight="1">
      <c r="A349" s="12" t="s">
        <v>529</v>
      </c>
      <c r="B349" s="12"/>
      <c r="C349" s="12" t="s">
        <v>47</v>
      </c>
      <c r="D349" s="12"/>
      <c r="E349" s="32">
        <v>44388</v>
      </c>
      <c r="G349" s="8">
        <v>4053344</v>
      </c>
      <c r="I349" s="8">
        <v>7627377</v>
      </c>
      <c r="K349" s="8">
        <v>204329</v>
      </c>
      <c r="M349" s="8">
        <f t="shared" si="30"/>
        <v>11885050</v>
      </c>
      <c r="O349" s="8">
        <v>52042758</v>
      </c>
      <c r="Q349" s="8">
        <v>0</v>
      </c>
      <c r="S349" s="8">
        <f>23975167+2436132</f>
        <v>26411299</v>
      </c>
      <c r="U349" s="8">
        <v>751130</v>
      </c>
      <c r="W349" s="8">
        <v>0</v>
      </c>
      <c r="Y349" s="8">
        <v>0</v>
      </c>
      <c r="AA349" s="8">
        <v>436038</v>
      </c>
      <c r="AB349" s="100"/>
      <c r="AC349" s="8">
        <v>0</v>
      </c>
      <c r="AE349" s="8">
        <v>0</v>
      </c>
      <c r="AG349" s="8">
        <f t="shared" si="31"/>
        <v>79641225</v>
      </c>
      <c r="AH349" s="8"/>
      <c r="AI349" s="8">
        <f t="shared" si="32"/>
        <v>91526275</v>
      </c>
    </row>
    <row r="350" spans="1:40" ht="12" customHeight="1">
      <c r="A350" s="12" t="s">
        <v>532</v>
      </c>
      <c r="B350" s="12"/>
      <c r="C350" s="12" t="s">
        <v>531</v>
      </c>
      <c r="D350" s="12"/>
      <c r="E350" s="32">
        <v>48520</v>
      </c>
      <c r="G350" s="8">
        <v>1060122</v>
      </c>
      <c r="I350" s="8">
        <v>5877094</v>
      </c>
      <c r="K350" s="8">
        <v>0</v>
      </c>
      <c r="M350" s="8">
        <f t="shared" si="30"/>
        <v>6937216</v>
      </c>
      <c r="O350" s="8">
        <v>4040289</v>
      </c>
      <c r="Q350" s="8">
        <v>0</v>
      </c>
      <c r="S350" s="8">
        <v>12063767</v>
      </c>
      <c r="U350" s="8">
        <v>25592</v>
      </c>
      <c r="W350" s="8">
        <v>0</v>
      </c>
      <c r="Y350" s="8">
        <v>121491</v>
      </c>
      <c r="AA350" s="8">
        <f>115978+90726</f>
        <v>206704</v>
      </c>
      <c r="AB350" s="100"/>
      <c r="AC350" s="8">
        <v>0</v>
      </c>
      <c r="AE350" s="8">
        <v>0</v>
      </c>
      <c r="AG350" s="8">
        <f t="shared" si="31"/>
        <v>16457843</v>
      </c>
      <c r="AH350" s="8"/>
      <c r="AI350" s="8">
        <f t="shared" si="32"/>
        <v>23395059</v>
      </c>
    </row>
    <row r="351" spans="1:40" ht="12" customHeight="1">
      <c r="A351" s="12" t="s">
        <v>460</v>
      </c>
      <c r="B351" s="12"/>
      <c r="C351" s="12" t="s">
        <v>41</v>
      </c>
      <c r="D351" s="12"/>
      <c r="E351" s="32">
        <v>45492</v>
      </c>
      <c r="G351" s="8">
        <v>5969678</v>
      </c>
      <c r="I351" s="8">
        <v>5682667</v>
      </c>
      <c r="K351" s="8">
        <v>212228</v>
      </c>
      <c r="M351" s="8">
        <f t="shared" si="30"/>
        <v>11864573</v>
      </c>
      <c r="O351" s="8">
        <v>70411276</v>
      </c>
      <c r="Q351" s="8">
        <v>0</v>
      </c>
      <c r="S351" s="8">
        <v>33523296</v>
      </c>
      <c r="U351" s="8">
        <v>1466058</v>
      </c>
      <c r="W351" s="8">
        <v>154534</v>
      </c>
      <c r="Y351" s="8">
        <v>0</v>
      </c>
      <c r="AA351" s="8">
        <f>6600+124763</f>
        <v>131363</v>
      </c>
      <c r="AB351" s="100"/>
      <c r="AC351" s="8">
        <v>0</v>
      </c>
      <c r="AE351" s="8">
        <v>0</v>
      </c>
      <c r="AG351" s="8">
        <f t="shared" si="31"/>
        <v>105686527</v>
      </c>
      <c r="AH351" s="8"/>
      <c r="AI351" s="8">
        <f t="shared" si="32"/>
        <v>117551100</v>
      </c>
    </row>
    <row r="352" spans="1:40" ht="12" customHeight="1">
      <c r="A352" s="12" t="s">
        <v>537</v>
      </c>
      <c r="B352" s="12"/>
      <c r="C352" s="12" t="s">
        <v>48</v>
      </c>
      <c r="D352" s="12"/>
      <c r="E352" s="32">
        <v>48629</v>
      </c>
      <c r="G352" s="8">
        <v>969058</v>
      </c>
      <c r="I352" s="8">
        <v>797932</v>
      </c>
      <c r="K352" s="8">
        <v>39934</v>
      </c>
      <c r="M352" s="8">
        <f t="shared" si="30"/>
        <v>1806924</v>
      </c>
      <c r="O352" s="8">
        <v>4530715</v>
      </c>
      <c r="Q352" s="8">
        <v>1587108</v>
      </c>
      <c r="S352" s="8">
        <v>17341879</v>
      </c>
      <c r="U352" s="8">
        <v>67890</v>
      </c>
      <c r="W352" s="8">
        <v>0</v>
      </c>
      <c r="Y352" s="8">
        <v>16161</v>
      </c>
      <c r="AA352" s="8">
        <v>57940</v>
      </c>
      <c r="AB352" s="100"/>
      <c r="AC352" s="8">
        <v>0</v>
      </c>
      <c r="AE352" s="8">
        <v>0</v>
      </c>
      <c r="AG352" s="8">
        <f t="shared" si="31"/>
        <v>23601693</v>
      </c>
      <c r="AH352" s="8"/>
      <c r="AI352" s="8">
        <f t="shared" si="32"/>
        <v>25408617</v>
      </c>
    </row>
    <row r="353" spans="1:37" ht="12" customHeight="1">
      <c r="A353" s="12" t="s">
        <v>350</v>
      </c>
      <c r="B353" s="12"/>
      <c r="C353" s="12" t="s">
        <v>26</v>
      </c>
      <c r="D353" s="12"/>
      <c r="E353" s="32">
        <v>46920</v>
      </c>
      <c r="G353" s="8">
        <v>2056085</v>
      </c>
      <c r="I353" s="8">
        <v>2682574</v>
      </c>
      <c r="K353" s="8">
        <v>7459749</v>
      </c>
      <c r="M353" s="8">
        <f t="shared" si="30"/>
        <v>12198408</v>
      </c>
      <c r="O353" s="8">
        <v>13035558</v>
      </c>
      <c r="Q353" s="8">
        <v>0</v>
      </c>
      <c r="S353" s="8">
        <v>10993743</v>
      </c>
      <c r="U353" s="8">
        <v>0</v>
      </c>
      <c r="W353" s="8">
        <v>0</v>
      </c>
      <c r="Y353" s="8">
        <v>0</v>
      </c>
      <c r="AA353" s="8">
        <v>3707280</v>
      </c>
      <c r="AB353" s="100"/>
      <c r="AC353" s="8">
        <v>0</v>
      </c>
      <c r="AE353" s="8">
        <v>0</v>
      </c>
      <c r="AG353" s="8">
        <f t="shared" si="31"/>
        <v>27736581</v>
      </c>
      <c r="AH353" s="8"/>
      <c r="AI353" s="8">
        <f t="shared" si="32"/>
        <v>39934989</v>
      </c>
    </row>
    <row r="354" spans="1:37" ht="12" customHeight="1">
      <c r="A354" s="12" t="s">
        <v>551</v>
      </c>
      <c r="B354" s="12"/>
      <c r="C354" s="12" t="s">
        <v>50</v>
      </c>
      <c r="D354" s="12"/>
      <c r="E354" s="32">
        <v>44396</v>
      </c>
      <c r="G354" s="8">
        <v>2335557</v>
      </c>
      <c r="I354" s="8">
        <v>6154063</v>
      </c>
      <c r="K354" s="8">
        <v>0</v>
      </c>
      <c r="M354" s="8">
        <f t="shared" si="30"/>
        <v>8489620</v>
      </c>
      <c r="O354" s="8">
        <v>30413393</v>
      </c>
      <c r="Q354" s="8">
        <v>0</v>
      </c>
      <c r="S354" s="8">
        <v>16071913</v>
      </c>
      <c r="U354" s="8">
        <v>2424150</v>
      </c>
      <c r="W354" s="8">
        <v>563298</v>
      </c>
      <c r="Y354" s="8">
        <v>0</v>
      </c>
      <c r="AA354" s="8">
        <v>324693</v>
      </c>
      <c r="AB354" s="100"/>
      <c r="AC354" s="8">
        <v>0</v>
      </c>
      <c r="AE354" s="8">
        <v>0</v>
      </c>
      <c r="AG354" s="8">
        <f t="shared" si="31"/>
        <v>49797447</v>
      </c>
      <c r="AH354" s="8"/>
      <c r="AI354" s="8">
        <f t="shared" si="32"/>
        <v>58287067</v>
      </c>
      <c r="AK354" s="101"/>
    </row>
    <row r="355" spans="1:37" ht="12" customHeight="1">
      <c r="A355" s="12" t="s">
        <v>247</v>
      </c>
      <c r="B355" s="12"/>
      <c r="C355" s="12" t="s">
        <v>242</v>
      </c>
      <c r="D355" s="12"/>
      <c r="E355" s="32">
        <v>44404</v>
      </c>
      <c r="F355" s="7"/>
      <c r="G355" s="8">
        <v>1813142</v>
      </c>
      <c r="I355" s="8">
        <v>17762109</v>
      </c>
      <c r="K355" s="8">
        <v>66437</v>
      </c>
      <c r="M355" s="8">
        <f t="shared" si="30"/>
        <v>19641688</v>
      </c>
      <c r="O355" s="8">
        <v>35177578</v>
      </c>
      <c r="Q355" s="8">
        <v>0</v>
      </c>
      <c r="S355" s="8">
        <v>33102516</v>
      </c>
      <c r="U355" s="8">
        <v>228509</v>
      </c>
      <c r="W355" s="8">
        <v>0</v>
      </c>
      <c r="Y355" s="8">
        <v>0</v>
      </c>
      <c r="AA355" s="8">
        <v>23272</v>
      </c>
      <c r="AB355" s="100"/>
      <c r="AC355" s="8">
        <v>0</v>
      </c>
      <c r="AE355" s="8">
        <v>0</v>
      </c>
      <c r="AG355" s="8">
        <f t="shared" si="31"/>
        <v>68531875</v>
      </c>
      <c r="AH355" s="8"/>
      <c r="AI355" s="8">
        <f t="shared" si="32"/>
        <v>88173563</v>
      </c>
    </row>
    <row r="356" spans="1:37" ht="12" customHeight="1">
      <c r="A356" s="12" t="s">
        <v>491</v>
      </c>
      <c r="B356" s="12"/>
      <c r="C356" s="12" t="s">
        <v>44</v>
      </c>
      <c r="D356" s="12"/>
      <c r="E356" s="32">
        <v>48173</v>
      </c>
      <c r="G356" s="8">
        <v>1172863</v>
      </c>
      <c r="I356" s="8">
        <v>1684721</v>
      </c>
      <c r="K356" s="8">
        <v>0</v>
      </c>
      <c r="M356" s="8">
        <f t="shared" si="30"/>
        <v>2857584</v>
      </c>
      <c r="O356" s="8">
        <v>11617941</v>
      </c>
      <c r="Q356" s="8">
        <v>0</v>
      </c>
      <c r="S356" s="8">
        <v>15511424</v>
      </c>
      <c r="U356" s="8">
        <v>139095</v>
      </c>
      <c r="W356" s="8">
        <v>0</v>
      </c>
      <c r="Y356" s="8">
        <v>0</v>
      </c>
      <c r="AA356" s="8">
        <v>404595</v>
      </c>
      <c r="AB356" s="100"/>
      <c r="AC356" s="8">
        <v>0</v>
      </c>
      <c r="AE356" s="8">
        <v>0</v>
      </c>
      <c r="AG356" s="8">
        <f t="shared" si="31"/>
        <v>27673055</v>
      </c>
      <c r="AH356" s="8"/>
      <c r="AI356" s="8">
        <f t="shared" si="32"/>
        <v>30530639</v>
      </c>
      <c r="AK356" s="8" t="s">
        <v>956</v>
      </c>
    </row>
    <row r="357" spans="1:37" ht="12" customHeight="1">
      <c r="A357" s="12" t="s">
        <v>270</v>
      </c>
      <c r="B357" s="12"/>
      <c r="C357" s="12" t="s">
        <v>115</v>
      </c>
      <c r="D357" s="12"/>
      <c r="E357" s="32">
        <v>45500</v>
      </c>
      <c r="F357" s="7"/>
      <c r="G357" s="8">
        <v>5297558</v>
      </c>
      <c r="I357" s="8">
        <v>4951085</v>
      </c>
      <c r="K357" s="8">
        <v>57674</v>
      </c>
      <c r="M357" s="8">
        <f t="shared" si="30"/>
        <v>10306317</v>
      </c>
      <c r="O357" s="8">
        <v>34436748</v>
      </c>
      <c r="Q357" s="8">
        <v>0</v>
      </c>
      <c r="S357" s="8">
        <v>22253738</v>
      </c>
      <c r="U357" s="8">
        <v>0</v>
      </c>
      <c r="W357" s="8">
        <v>0</v>
      </c>
      <c r="Y357" s="8">
        <v>0</v>
      </c>
      <c r="AA357" s="8">
        <v>2760501</v>
      </c>
      <c r="AB357" s="100"/>
      <c r="AC357" s="8">
        <v>0</v>
      </c>
      <c r="AE357" s="8">
        <v>0</v>
      </c>
      <c r="AG357" s="8">
        <f t="shared" si="31"/>
        <v>59450987</v>
      </c>
      <c r="AH357" s="8"/>
      <c r="AI357" s="8">
        <f t="shared" si="32"/>
        <v>69757304</v>
      </c>
    </row>
    <row r="358" spans="1:37" ht="12" hidden="1" customHeight="1">
      <c r="A358" s="12" t="s">
        <v>833</v>
      </c>
      <c r="B358" s="12"/>
      <c r="C358" s="12" t="s">
        <v>727</v>
      </c>
      <c r="D358" s="12"/>
      <c r="E358" s="32">
        <v>50633</v>
      </c>
      <c r="G358" s="8">
        <v>746486</v>
      </c>
      <c r="I358" s="8">
        <v>643683</v>
      </c>
      <c r="K358" s="8">
        <v>2788413</v>
      </c>
      <c r="M358" s="8">
        <f t="shared" si="30"/>
        <v>4178582</v>
      </c>
      <c r="O358" s="8">
        <v>2020850</v>
      </c>
      <c r="Q358" s="8">
        <v>583374</v>
      </c>
      <c r="S358" s="8">
        <v>3093125</v>
      </c>
      <c r="U358" s="8">
        <v>359563</v>
      </c>
      <c r="Y358" s="8">
        <v>5054</v>
      </c>
      <c r="AA358" s="8">
        <f>34116+60+4546</f>
        <v>38722</v>
      </c>
      <c r="AB358" s="100"/>
      <c r="AC358" s="8">
        <v>0</v>
      </c>
      <c r="AG358" s="8">
        <f t="shared" si="31"/>
        <v>6100688</v>
      </c>
      <c r="AH358" s="8"/>
      <c r="AI358" s="8">
        <f t="shared" si="32"/>
        <v>10279270</v>
      </c>
    </row>
    <row r="359" spans="1:37" ht="12" hidden="1" customHeight="1">
      <c r="A359" s="88" t="s">
        <v>1001</v>
      </c>
      <c r="B359" s="12"/>
      <c r="C359" s="12" t="s">
        <v>603</v>
      </c>
      <c r="D359" s="12"/>
      <c r="E359" s="32">
        <v>49361</v>
      </c>
      <c r="M359" s="8">
        <f t="shared" si="30"/>
        <v>0</v>
      </c>
      <c r="AB359" s="100"/>
      <c r="AC359" s="8">
        <v>0</v>
      </c>
      <c r="AG359" s="8">
        <f t="shared" si="31"/>
        <v>0</v>
      </c>
      <c r="AH359" s="8"/>
      <c r="AI359" s="8">
        <f t="shared" si="32"/>
        <v>0</v>
      </c>
      <c r="AK359" s="8" t="s">
        <v>967</v>
      </c>
    </row>
    <row r="360" spans="1:37" ht="12" customHeight="1">
      <c r="A360" s="12" t="s">
        <v>538</v>
      </c>
      <c r="B360" s="12"/>
      <c r="C360" s="12" t="s">
        <v>48</v>
      </c>
      <c r="D360" s="12"/>
      <c r="E360" s="32">
        <v>45518</v>
      </c>
      <c r="G360" s="8">
        <v>1307656</v>
      </c>
      <c r="I360" s="8">
        <v>1026026</v>
      </c>
      <c r="K360" s="8">
        <v>23818908</v>
      </c>
      <c r="M360" s="8">
        <f t="shared" si="30"/>
        <v>26152590</v>
      </c>
      <c r="O360" s="8">
        <v>5373223</v>
      </c>
      <c r="Q360" s="8">
        <v>372005</v>
      </c>
      <c r="S360" s="8">
        <v>7452508</v>
      </c>
      <c r="U360" s="8">
        <v>0</v>
      </c>
      <c r="W360" s="8">
        <v>0</v>
      </c>
      <c r="Y360" s="8">
        <v>0</v>
      </c>
      <c r="AA360" s="8">
        <v>263848</v>
      </c>
      <c r="AB360" s="100"/>
      <c r="AC360" s="8">
        <v>0</v>
      </c>
      <c r="AE360" s="8">
        <v>0</v>
      </c>
      <c r="AG360" s="8">
        <f t="shared" si="31"/>
        <v>13461584</v>
      </c>
      <c r="AH360" s="8"/>
      <c r="AI360" s="8">
        <f t="shared" si="32"/>
        <v>39614174</v>
      </c>
    </row>
    <row r="361" spans="1:37" ht="12" customHeight="1">
      <c r="A361" s="12" t="s">
        <v>657</v>
      </c>
      <c r="B361" s="12"/>
      <c r="C361" s="12" t="s">
        <v>62</v>
      </c>
      <c r="D361" s="12"/>
      <c r="E361" s="32">
        <v>49890</v>
      </c>
      <c r="G361" s="8">
        <v>1388909</v>
      </c>
      <c r="I361" s="8">
        <v>2500753</v>
      </c>
      <c r="K361" s="8">
        <v>191702</v>
      </c>
      <c r="M361" s="8">
        <f t="shared" si="30"/>
        <v>4081364</v>
      </c>
      <c r="O361" s="8">
        <v>6179984</v>
      </c>
      <c r="Q361" s="8">
        <v>0</v>
      </c>
      <c r="S361" s="8">
        <v>9599998</v>
      </c>
      <c r="U361" s="8">
        <v>0</v>
      </c>
      <c r="W361" s="8">
        <v>0</v>
      </c>
      <c r="Y361" s="8">
        <v>0</v>
      </c>
      <c r="AA361" s="8">
        <v>67131</v>
      </c>
      <c r="AB361" s="100"/>
      <c r="AC361" s="8">
        <v>0</v>
      </c>
      <c r="AE361" s="8">
        <v>0</v>
      </c>
      <c r="AG361" s="8">
        <f t="shared" si="31"/>
        <v>15847113</v>
      </c>
      <c r="AH361" s="8"/>
      <c r="AI361" s="8">
        <f t="shared" si="32"/>
        <v>19928477</v>
      </c>
    </row>
    <row r="362" spans="1:37" ht="12" customHeight="1">
      <c r="A362" s="12" t="s">
        <v>629</v>
      </c>
      <c r="B362" s="12"/>
      <c r="C362" s="12" t="s">
        <v>59</v>
      </c>
      <c r="D362" s="12"/>
      <c r="E362" s="32">
        <v>49627</v>
      </c>
      <c r="G362" s="8">
        <v>2126925</v>
      </c>
      <c r="I362" s="8">
        <v>3309835</v>
      </c>
      <c r="K362" s="8">
        <v>0</v>
      </c>
      <c r="M362" s="8">
        <f t="shared" si="30"/>
        <v>5436760</v>
      </c>
      <c r="O362" s="8">
        <v>1990689</v>
      </c>
      <c r="Q362" s="8">
        <v>0</v>
      </c>
      <c r="S362" s="8">
        <v>8512721</v>
      </c>
      <c r="U362" s="8">
        <v>8923</v>
      </c>
      <c r="W362" s="8">
        <v>0</v>
      </c>
      <c r="Y362" s="8">
        <v>15316</v>
      </c>
      <c r="AA362" s="8">
        <f>8495+135871</f>
        <v>144366</v>
      </c>
      <c r="AB362" s="100"/>
      <c r="AC362" s="8">
        <v>0</v>
      </c>
      <c r="AE362" s="8">
        <v>0</v>
      </c>
      <c r="AG362" s="8">
        <f t="shared" si="31"/>
        <v>10672015</v>
      </c>
      <c r="AH362" s="8"/>
      <c r="AI362" s="8">
        <f t="shared" si="32"/>
        <v>16108775</v>
      </c>
    </row>
    <row r="363" spans="1:37" ht="12" customHeight="1">
      <c r="A363" s="12" t="s">
        <v>226</v>
      </c>
      <c r="B363" s="12"/>
      <c r="C363" s="12" t="s">
        <v>14</v>
      </c>
      <c r="D363" s="12"/>
      <c r="E363" s="32">
        <v>45948</v>
      </c>
      <c r="F363" s="7"/>
      <c r="G363" s="8">
        <v>497384</v>
      </c>
      <c r="I363" s="8">
        <v>552541</v>
      </c>
      <c r="K363" s="8">
        <v>5002</v>
      </c>
      <c r="M363" s="8">
        <f t="shared" si="30"/>
        <v>1054927</v>
      </c>
      <c r="O363" s="8">
        <v>4586192</v>
      </c>
      <c r="Q363" s="8">
        <v>490980</v>
      </c>
      <c r="S363" s="8">
        <v>3808030</v>
      </c>
      <c r="U363" s="8">
        <v>24644</v>
      </c>
      <c r="W363" s="8">
        <v>0</v>
      </c>
      <c r="Y363" s="8">
        <v>0</v>
      </c>
      <c r="AA363" s="8">
        <v>128033</v>
      </c>
      <c r="AB363" s="100"/>
      <c r="AC363" s="8">
        <v>0</v>
      </c>
      <c r="AE363" s="8">
        <v>0</v>
      </c>
      <c r="AG363" s="8">
        <f t="shared" si="31"/>
        <v>9037879</v>
      </c>
      <c r="AH363" s="8"/>
      <c r="AI363" s="8">
        <f t="shared" si="32"/>
        <v>10092806</v>
      </c>
    </row>
    <row r="364" spans="1:37" ht="12" hidden="1" customHeight="1">
      <c r="A364" s="12" t="s">
        <v>884</v>
      </c>
      <c r="B364" s="12"/>
      <c r="C364" s="12" t="s">
        <v>21</v>
      </c>
      <c r="D364" s="12"/>
      <c r="E364" s="32">
        <v>46672</v>
      </c>
      <c r="G364" s="8">
        <v>751923</v>
      </c>
      <c r="I364" s="8">
        <v>797749</v>
      </c>
      <c r="K364" s="8">
        <v>6435</v>
      </c>
      <c r="M364" s="8">
        <f t="shared" si="30"/>
        <v>1556107</v>
      </c>
      <c r="O364" s="8">
        <v>1215674</v>
      </c>
      <c r="Q364" s="8">
        <v>959820</v>
      </c>
      <c r="S364" s="8">
        <v>4257365</v>
      </c>
      <c r="U364" s="8">
        <v>45779</v>
      </c>
      <c r="AA364" s="8">
        <v>38426</v>
      </c>
      <c r="AB364" s="100"/>
      <c r="AC364" s="8">
        <v>0</v>
      </c>
      <c r="AG364" s="8">
        <f t="shared" si="31"/>
        <v>6517064</v>
      </c>
      <c r="AH364" s="8"/>
      <c r="AI364" s="8">
        <f t="shared" si="32"/>
        <v>8073171</v>
      </c>
    </row>
    <row r="365" spans="1:37" ht="12" customHeight="1">
      <c r="A365" s="12" t="s">
        <v>667</v>
      </c>
      <c r="B365" s="12"/>
      <c r="C365" s="12" t="s">
        <v>63</v>
      </c>
      <c r="D365" s="12"/>
      <c r="E365" s="32">
        <v>50039</v>
      </c>
      <c r="G365" s="8">
        <v>1489020</v>
      </c>
      <c r="I365" s="8">
        <v>611066</v>
      </c>
      <c r="K365" s="8">
        <v>3292</v>
      </c>
      <c r="M365" s="8">
        <f t="shared" si="30"/>
        <v>2103378</v>
      </c>
      <c r="O365" s="8">
        <v>3728452</v>
      </c>
      <c r="Q365" s="8">
        <v>0</v>
      </c>
      <c r="S365" s="8">
        <v>3988469</v>
      </c>
      <c r="U365" s="8">
        <v>203019</v>
      </c>
      <c r="W365" s="8">
        <v>0</v>
      </c>
      <c r="Y365" s="8">
        <v>0</v>
      </c>
      <c r="AA365" s="8">
        <v>31904</v>
      </c>
      <c r="AB365" s="100"/>
      <c r="AC365" s="8">
        <v>0</v>
      </c>
      <c r="AE365" s="8">
        <v>0</v>
      </c>
      <c r="AG365" s="8">
        <f t="shared" si="31"/>
        <v>7951844</v>
      </c>
      <c r="AH365" s="8"/>
      <c r="AI365" s="8">
        <f t="shared" si="32"/>
        <v>10055222</v>
      </c>
    </row>
    <row r="366" spans="1:37" ht="12" hidden="1" customHeight="1">
      <c r="A366" s="12" t="s">
        <v>842</v>
      </c>
      <c r="B366" s="12"/>
      <c r="C366" s="12" t="s">
        <v>740</v>
      </c>
      <c r="D366" s="12"/>
      <c r="E366" s="32">
        <v>50740</v>
      </c>
      <c r="G366" s="8">
        <v>1211946</v>
      </c>
      <c r="I366" s="8">
        <v>892325</v>
      </c>
      <c r="K366" s="8">
        <v>11049</v>
      </c>
      <c r="M366" s="8">
        <f t="shared" si="30"/>
        <v>2115320</v>
      </c>
      <c r="O366" s="8">
        <v>3686838</v>
      </c>
      <c r="S366" s="8">
        <v>4472257</v>
      </c>
      <c r="U366" s="8">
        <v>40510</v>
      </c>
      <c r="AA366" s="8">
        <v>10782</v>
      </c>
      <c r="AB366" s="100"/>
      <c r="AC366" s="8">
        <v>0</v>
      </c>
      <c r="AG366" s="8">
        <f t="shared" si="31"/>
        <v>8210387</v>
      </c>
      <c r="AH366" s="8"/>
      <c r="AI366" s="8">
        <f t="shared" si="32"/>
        <v>10325707</v>
      </c>
    </row>
    <row r="367" spans="1:37" ht="12" customHeight="1">
      <c r="A367" s="12" t="s">
        <v>248</v>
      </c>
      <c r="B367" s="12"/>
      <c r="C367" s="12" t="s">
        <v>242</v>
      </c>
      <c r="D367" s="12"/>
      <c r="E367" s="32">
        <v>139303</v>
      </c>
      <c r="F367" s="7"/>
      <c r="G367" s="8">
        <v>1810000</v>
      </c>
      <c r="I367" s="8">
        <v>890000</v>
      </c>
      <c r="K367" s="8">
        <v>0</v>
      </c>
      <c r="M367" s="8">
        <f t="shared" si="30"/>
        <v>2700000</v>
      </c>
      <c r="O367" s="8">
        <v>11790000</v>
      </c>
      <c r="Q367" s="8">
        <v>0</v>
      </c>
      <c r="S367" s="8">
        <f>7220000+40000</f>
        <v>7260000</v>
      </c>
      <c r="U367" s="8">
        <v>0</v>
      </c>
      <c r="W367" s="8">
        <v>680000</v>
      </c>
      <c r="Y367" s="8">
        <v>0</v>
      </c>
      <c r="AA367" s="8">
        <v>300000</v>
      </c>
      <c r="AB367" s="100"/>
      <c r="AC367" s="8">
        <v>0</v>
      </c>
      <c r="AE367" s="8">
        <v>0</v>
      </c>
      <c r="AG367" s="8">
        <f t="shared" si="31"/>
        <v>20030000</v>
      </c>
      <c r="AH367" s="8"/>
      <c r="AI367" s="8">
        <f t="shared" si="32"/>
        <v>22730000</v>
      </c>
      <c r="AK367" s="10" t="s">
        <v>999</v>
      </c>
    </row>
    <row r="368" spans="1:37" ht="12" customHeight="1">
      <c r="A368" s="12" t="s">
        <v>444</v>
      </c>
      <c r="B368" s="12"/>
      <c r="C368" s="12" t="s">
        <v>37</v>
      </c>
      <c r="D368" s="12"/>
      <c r="E368" s="32">
        <v>47712</v>
      </c>
      <c r="G368" s="8">
        <v>535774</v>
      </c>
      <c r="I368" s="8">
        <v>437357</v>
      </c>
      <c r="K368" s="8">
        <v>0</v>
      </c>
      <c r="M368" s="8">
        <f t="shared" si="30"/>
        <v>973131</v>
      </c>
      <c r="O368" s="8">
        <v>2218233</v>
      </c>
      <c r="Q368" s="8">
        <v>0</v>
      </c>
      <c r="S368" s="8">
        <v>2920482</v>
      </c>
      <c r="U368" s="8">
        <v>39180</v>
      </c>
      <c r="W368" s="8">
        <v>0</v>
      </c>
      <c r="Y368" s="8">
        <v>0</v>
      </c>
      <c r="AA368" s="8">
        <v>69010</v>
      </c>
      <c r="AB368" s="100"/>
      <c r="AC368" s="8">
        <v>0</v>
      </c>
      <c r="AE368" s="8">
        <v>0</v>
      </c>
      <c r="AG368" s="8">
        <f t="shared" si="31"/>
        <v>5246905</v>
      </c>
      <c r="AH368" s="8"/>
      <c r="AI368" s="8">
        <f t="shared" si="32"/>
        <v>6220036</v>
      </c>
    </row>
    <row r="369" spans="1:41" ht="11.25" customHeight="1">
      <c r="A369" s="12" t="s">
        <v>731</v>
      </c>
      <c r="B369" s="12"/>
      <c r="C369" s="12" t="s">
        <v>727</v>
      </c>
      <c r="D369" s="12"/>
      <c r="E369" s="32">
        <v>45526</v>
      </c>
      <c r="G369" s="8">
        <v>835380</v>
      </c>
      <c r="I369" s="8">
        <v>1157557</v>
      </c>
      <c r="K369" s="8">
        <v>0</v>
      </c>
      <c r="M369" s="8">
        <f t="shared" si="30"/>
        <v>1992937</v>
      </c>
      <c r="O369" s="8">
        <v>2439433</v>
      </c>
      <c r="Q369" s="8">
        <v>696208</v>
      </c>
      <c r="S369" s="8">
        <v>5404641</v>
      </c>
      <c r="U369" s="8">
        <v>86065</v>
      </c>
      <c r="W369" s="8">
        <v>0</v>
      </c>
      <c r="Y369" s="8">
        <v>44803</v>
      </c>
      <c r="AA369" s="8">
        <f>182635+1313+4657</f>
        <v>188605</v>
      </c>
      <c r="AB369" s="100"/>
      <c r="AC369" s="8">
        <v>0</v>
      </c>
      <c r="AE369" s="8">
        <v>0</v>
      </c>
      <c r="AG369" s="8">
        <f t="shared" si="31"/>
        <v>8859755</v>
      </c>
      <c r="AH369" s="8"/>
      <c r="AI369" s="8">
        <f t="shared" si="32"/>
        <v>10852692</v>
      </c>
    </row>
    <row r="370" spans="1:41" ht="12" customHeight="1">
      <c r="A370" s="12" t="s">
        <v>558</v>
      </c>
      <c r="B370" s="12"/>
      <c r="C370" s="12" t="s">
        <v>559</v>
      </c>
      <c r="D370" s="12"/>
      <c r="E370" s="32">
        <v>48777</v>
      </c>
      <c r="G370" s="8">
        <v>720858</v>
      </c>
      <c r="I370" s="8">
        <v>4697390</v>
      </c>
      <c r="K370" s="8">
        <v>43717</v>
      </c>
      <c r="M370" s="8">
        <f t="shared" si="30"/>
        <v>5461965</v>
      </c>
      <c r="O370" s="8">
        <v>4747675</v>
      </c>
      <c r="Q370" s="8">
        <v>0</v>
      </c>
      <c r="S370" s="8">
        <v>13619462</v>
      </c>
      <c r="U370" s="8">
        <v>654607</v>
      </c>
      <c r="W370" s="8">
        <v>0</v>
      </c>
      <c r="Y370" s="8">
        <v>0</v>
      </c>
      <c r="AA370" s="8">
        <f>105234+736</f>
        <v>105970</v>
      </c>
      <c r="AB370" s="100"/>
      <c r="AC370" s="8">
        <v>0</v>
      </c>
      <c r="AE370" s="8">
        <v>0</v>
      </c>
      <c r="AG370" s="8">
        <f t="shared" si="31"/>
        <v>19127714</v>
      </c>
      <c r="AH370" s="8"/>
      <c r="AI370" s="8">
        <f t="shared" si="32"/>
        <v>24589679</v>
      </c>
    </row>
    <row r="371" spans="1:41" ht="12" customHeight="1">
      <c r="A371" s="13" t="s">
        <v>858</v>
      </c>
      <c r="B371" s="12"/>
      <c r="C371" s="12" t="s">
        <v>78</v>
      </c>
      <c r="D371" s="12"/>
      <c r="E371" s="32">
        <v>45534</v>
      </c>
      <c r="G371" s="8">
        <v>1333635</v>
      </c>
      <c r="I371" s="8">
        <v>1654340</v>
      </c>
      <c r="K371" s="8">
        <v>9347</v>
      </c>
      <c r="M371" s="8">
        <f t="shared" si="30"/>
        <v>2997322</v>
      </c>
      <c r="O371" s="8">
        <v>3185352</v>
      </c>
      <c r="Q371" s="8">
        <v>1403090</v>
      </c>
      <c r="S371" s="8">
        <v>5849845</v>
      </c>
      <c r="U371" s="8">
        <v>213633</v>
      </c>
      <c r="W371" s="8">
        <v>0</v>
      </c>
      <c r="Y371" s="8">
        <v>0</v>
      </c>
      <c r="AA371" s="8">
        <v>309668</v>
      </c>
      <c r="AB371" s="100"/>
      <c r="AC371" s="8">
        <v>0</v>
      </c>
      <c r="AE371" s="8">
        <v>0</v>
      </c>
      <c r="AG371" s="8">
        <f t="shared" si="31"/>
        <v>10961588</v>
      </c>
      <c r="AH371" s="8"/>
      <c r="AI371" s="8">
        <f t="shared" si="32"/>
        <v>13958910</v>
      </c>
      <c r="AK371" s="8"/>
    </row>
    <row r="372" spans="1:41" ht="12" customHeight="1">
      <c r="A372" s="12" t="s">
        <v>457</v>
      </c>
      <c r="B372" s="12"/>
      <c r="C372" s="12" t="s">
        <v>40</v>
      </c>
      <c r="D372" s="12"/>
      <c r="E372" s="32">
        <v>44420</v>
      </c>
      <c r="G372" s="8">
        <v>1951376</v>
      </c>
      <c r="I372" s="8">
        <v>4030051</v>
      </c>
      <c r="K372" s="8">
        <v>33152</v>
      </c>
      <c r="M372" s="8">
        <f t="shared" si="30"/>
        <v>6014579</v>
      </c>
      <c r="O372" s="8">
        <v>16076748</v>
      </c>
      <c r="Q372" s="8">
        <v>0</v>
      </c>
      <c r="S372" s="8">
        <v>15315758</v>
      </c>
      <c r="U372" s="8">
        <v>205308</v>
      </c>
      <c r="W372" s="8">
        <v>209286</v>
      </c>
      <c r="Y372" s="8">
        <v>0</v>
      </c>
      <c r="AA372" s="8">
        <v>33661</v>
      </c>
      <c r="AB372" s="100"/>
      <c r="AC372" s="8">
        <v>0</v>
      </c>
      <c r="AE372" s="8">
        <v>0</v>
      </c>
      <c r="AG372" s="8">
        <f t="shared" si="31"/>
        <v>31840761</v>
      </c>
      <c r="AH372" s="8"/>
      <c r="AI372" s="8">
        <f t="shared" si="32"/>
        <v>37855340</v>
      </c>
    </row>
    <row r="373" spans="1:41" ht="12" customHeight="1">
      <c r="A373" s="13" t="s">
        <v>1057</v>
      </c>
      <c r="B373" s="12"/>
      <c r="C373" s="12" t="s">
        <v>32</v>
      </c>
      <c r="D373" s="12"/>
      <c r="E373" s="32">
        <v>44412</v>
      </c>
      <c r="G373" s="8">
        <v>1405123</v>
      </c>
      <c r="I373" s="8">
        <v>10157525</v>
      </c>
      <c r="K373" s="8">
        <v>54077</v>
      </c>
      <c r="M373" s="8">
        <f t="shared" si="30"/>
        <v>11616725</v>
      </c>
      <c r="O373" s="8">
        <v>13781013</v>
      </c>
      <c r="Q373" s="8">
        <v>0</v>
      </c>
      <c r="S373" s="8">
        <v>17894702</v>
      </c>
      <c r="U373" s="8">
        <v>0</v>
      </c>
      <c r="W373" s="8">
        <v>0</v>
      </c>
      <c r="Y373" s="8">
        <v>0</v>
      </c>
      <c r="AA373" s="8">
        <v>2379377</v>
      </c>
      <c r="AB373" s="100"/>
      <c r="AC373" s="8">
        <v>0</v>
      </c>
      <c r="AE373" s="8">
        <v>0</v>
      </c>
      <c r="AG373" s="8">
        <f t="shared" si="31"/>
        <v>34055092</v>
      </c>
      <c r="AH373" s="8"/>
      <c r="AI373" s="8">
        <f t="shared" si="32"/>
        <v>45671817</v>
      </c>
      <c r="AK373" s="15" t="s">
        <v>905</v>
      </c>
    </row>
    <row r="374" spans="1:41" ht="12" customHeight="1">
      <c r="A374" s="12" t="s">
        <v>432</v>
      </c>
      <c r="B374" s="12"/>
      <c r="C374" s="12" t="s">
        <v>34</v>
      </c>
      <c r="D374" s="12"/>
      <c r="E374" s="32">
        <v>44438</v>
      </c>
      <c r="G374" s="8">
        <v>1522157</v>
      </c>
      <c r="I374" s="8">
        <v>2530065</v>
      </c>
      <c r="K374" s="8">
        <v>0</v>
      </c>
      <c r="M374" s="8">
        <f t="shared" si="30"/>
        <v>4052222</v>
      </c>
      <c r="O374" s="8">
        <f>7820838+378384+516813</f>
        <v>8716035</v>
      </c>
      <c r="Q374" s="8">
        <v>0</v>
      </c>
      <c r="S374" s="8">
        <v>11291159</v>
      </c>
      <c r="U374" s="8">
        <v>287212</v>
      </c>
      <c r="W374" s="8">
        <v>0</v>
      </c>
      <c r="Y374" s="8">
        <v>33275</v>
      </c>
      <c r="AA374" s="8">
        <f>41689+62719</f>
        <v>104408</v>
      </c>
      <c r="AB374" s="39"/>
      <c r="AC374" s="8">
        <v>0</v>
      </c>
      <c r="AE374" s="8">
        <v>0</v>
      </c>
      <c r="AG374" s="8">
        <f t="shared" si="31"/>
        <v>20432089</v>
      </c>
      <c r="AH374" s="8"/>
      <c r="AI374" s="8">
        <f t="shared" si="32"/>
        <v>24484311</v>
      </c>
    </row>
    <row r="375" spans="1:41" ht="12" customHeight="1">
      <c r="A375" s="12" t="s">
        <v>224</v>
      </c>
      <c r="B375" s="12"/>
      <c r="C375" s="12" t="s">
        <v>13</v>
      </c>
      <c r="D375" s="12"/>
      <c r="E375" s="32">
        <v>44446</v>
      </c>
      <c r="F375" s="7"/>
      <c r="G375" s="8">
        <v>925393</v>
      </c>
      <c r="I375" s="8">
        <v>3789881</v>
      </c>
      <c r="K375" s="8">
        <v>0</v>
      </c>
      <c r="M375" s="8">
        <f>SUM(G375:L375)</f>
        <v>4715274</v>
      </c>
      <c r="O375" s="8">
        <f>1966779+584838+33587</f>
        <v>2585204</v>
      </c>
      <c r="Q375" s="8">
        <v>0</v>
      </c>
      <c r="S375" s="8">
        <v>11900199</v>
      </c>
      <c r="U375" s="8">
        <v>196393</v>
      </c>
      <c r="W375" s="8">
        <v>0</v>
      </c>
      <c r="Y375" s="8">
        <v>124012</v>
      </c>
      <c r="AA375" s="8">
        <v>69172</v>
      </c>
      <c r="AB375" s="39"/>
      <c r="AC375" s="8">
        <v>0</v>
      </c>
      <c r="AE375" s="8">
        <v>0</v>
      </c>
      <c r="AG375" s="8">
        <f>SUM(O375:AE375)</f>
        <v>14874980</v>
      </c>
      <c r="AH375" s="8"/>
      <c r="AI375" s="8">
        <f>+AG375+M375</f>
        <v>19590254</v>
      </c>
    </row>
    <row r="376" spans="1:41" ht="12" customHeight="1">
      <c r="A376" s="12" t="s">
        <v>824</v>
      </c>
      <c r="B376" s="12"/>
      <c r="C376" s="12" t="s">
        <v>27</v>
      </c>
      <c r="D376" s="12"/>
      <c r="E376" s="32">
        <v>44461</v>
      </c>
      <c r="G376" s="8">
        <v>2492282</v>
      </c>
      <c r="I376" s="8">
        <v>1703402</v>
      </c>
      <c r="K376" s="8">
        <v>0</v>
      </c>
      <c r="M376" s="8">
        <f>SUM(G376:L376)</f>
        <v>4195684</v>
      </c>
      <c r="O376" s="8">
        <v>48306837</v>
      </c>
      <c r="Q376" s="8">
        <v>0</v>
      </c>
      <c r="S376" s="8">
        <v>6690344</v>
      </c>
      <c r="U376" s="8">
        <v>390094</v>
      </c>
      <c r="W376" s="8">
        <v>0</v>
      </c>
      <c r="Y376" s="8">
        <v>0</v>
      </c>
      <c r="AA376" s="8">
        <v>1998268</v>
      </c>
      <c r="AB376" s="39"/>
      <c r="AC376" s="8">
        <v>0</v>
      </c>
      <c r="AE376" s="8">
        <v>0</v>
      </c>
      <c r="AG376" s="8">
        <f>SUM(O376:AE376)</f>
        <v>57385543</v>
      </c>
      <c r="AH376" s="8"/>
      <c r="AI376" s="8">
        <f>+AG376+M376</f>
        <v>61581227</v>
      </c>
    </row>
    <row r="377" spans="1:41" ht="12" customHeight="1">
      <c r="A377" s="12" t="s">
        <v>630</v>
      </c>
      <c r="B377" s="12"/>
      <c r="C377" s="12" t="s">
        <v>59</v>
      </c>
      <c r="D377" s="12"/>
      <c r="E377" s="32">
        <v>44461</v>
      </c>
      <c r="G377" s="8">
        <v>985297</v>
      </c>
      <c r="I377" s="8">
        <v>1351867</v>
      </c>
      <c r="K377" s="8">
        <v>2808</v>
      </c>
      <c r="M377" s="8">
        <f>SUM(G377:L377)</f>
        <v>2339972</v>
      </c>
      <c r="O377" s="8">
        <f>1017882+244883+17220</f>
        <v>1279985</v>
      </c>
      <c r="Q377" s="8">
        <v>0</v>
      </c>
      <c r="S377" s="8">
        <f>3429267+15210850</f>
        <v>18640117</v>
      </c>
      <c r="U377" s="8">
        <v>77854</v>
      </c>
      <c r="W377" s="8">
        <v>0</v>
      </c>
      <c r="Y377" s="8">
        <v>9974</v>
      </c>
      <c r="AA377" s="8">
        <v>211047</v>
      </c>
      <c r="AB377" s="39"/>
      <c r="AC377" s="8">
        <v>0</v>
      </c>
      <c r="AE377" s="8">
        <v>0</v>
      </c>
      <c r="AG377" s="8">
        <f>SUM(O377:AE377)</f>
        <v>20218977</v>
      </c>
      <c r="AH377" s="8"/>
      <c r="AI377" s="8">
        <f>+AG377+M377</f>
        <v>22558949</v>
      </c>
    </row>
    <row r="378" spans="1:41" ht="12" customHeight="1">
      <c r="A378" s="12" t="s">
        <v>227</v>
      </c>
      <c r="B378" s="12"/>
      <c r="C378" s="12" t="s">
        <v>14</v>
      </c>
      <c r="D378" s="12"/>
      <c r="E378" s="32">
        <v>45955</v>
      </c>
      <c r="F378" s="7"/>
      <c r="G378" s="8">
        <v>582378</v>
      </c>
      <c r="I378" s="8">
        <v>841326</v>
      </c>
      <c r="K378" s="8">
        <v>614723</v>
      </c>
      <c r="M378" s="8">
        <f>SUM(G378:L378)</f>
        <v>2038427</v>
      </c>
      <c r="O378" s="8">
        <f>2159453+709481+76697</f>
        <v>2945631</v>
      </c>
      <c r="Q378" s="8">
        <v>1393577</v>
      </c>
      <c r="S378" s="8">
        <v>4270995</v>
      </c>
      <c r="U378" s="8">
        <v>176864</v>
      </c>
      <c r="W378" s="8">
        <v>278881</v>
      </c>
      <c r="Y378" s="8">
        <v>0</v>
      </c>
      <c r="AA378" s="8">
        <v>33914</v>
      </c>
      <c r="AB378" s="39"/>
      <c r="AC378" s="8">
        <v>0</v>
      </c>
      <c r="AE378" s="8">
        <v>0</v>
      </c>
      <c r="AG378" s="8">
        <f>SUM(O378:AE378)</f>
        <v>9099862</v>
      </c>
      <c r="AH378" s="8"/>
      <c r="AI378" s="8">
        <f>+AG378+M378</f>
        <v>11138289</v>
      </c>
    </row>
    <row r="379" spans="1:41" ht="12" hidden="1" customHeight="1">
      <c r="A379" s="12" t="s">
        <v>1041</v>
      </c>
      <c r="B379" s="12"/>
      <c r="C379" s="12" t="s">
        <v>14</v>
      </c>
      <c r="D379" s="12"/>
      <c r="E379" s="32">
        <v>45963</v>
      </c>
      <c r="F379" s="7"/>
      <c r="G379" s="35"/>
      <c r="H379" s="35"/>
      <c r="I379" s="35"/>
      <c r="J379" s="35"/>
      <c r="K379" s="35"/>
      <c r="L379" s="35"/>
      <c r="M379" s="35">
        <f t="shared" ref="M379:M402" si="33">SUM(G379:L379)</f>
        <v>0</v>
      </c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105"/>
      <c r="AC379" s="35"/>
      <c r="AD379" s="35"/>
      <c r="AE379" s="35"/>
      <c r="AF379" s="35"/>
      <c r="AG379" s="35">
        <f t="shared" ref="AG379:AG402" si="34">SUM(O379:AE379)</f>
        <v>0</v>
      </c>
      <c r="AH379" s="35"/>
      <c r="AI379" s="35">
        <f t="shared" ref="AI379:AI402" si="35">+AG379+M379</f>
        <v>0</v>
      </c>
    </row>
    <row r="380" spans="1:41" ht="12" customHeight="1">
      <c r="A380" s="12"/>
      <c r="B380" s="12"/>
      <c r="C380" s="12"/>
      <c r="D380" s="12"/>
      <c r="E380" s="32"/>
      <c r="F380" s="7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105"/>
      <c r="AC380" s="35"/>
      <c r="AD380" s="35"/>
      <c r="AE380" s="35"/>
      <c r="AF380" s="35"/>
      <c r="AG380" s="35"/>
      <c r="AH380" s="35"/>
      <c r="AI380" s="35"/>
    </row>
    <row r="381" spans="1:41" ht="12" customHeight="1">
      <c r="A381" s="12"/>
      <c r="B381" s="12"/>
      <c r="C381" s="12"/>
      <c r="D381" s="12"/>
      <c r="E381" s="32"/>
      <c r="F381" s="7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105"/>
      <c r="AC381" s="35"/>
      <c r="AD381" s="35"/>
      <c r="AE381" s="35"/>
      <c r="AF381" s="35"/>
      <c r="AG381" s="35"/>
      <c r="AH381" s="35"/>
      <c r="AI381" s="35" t="s">
        <v>805</v>
      </c>
    </row>
    <row r="382" spans="1:41" ht="12" customHeight="1">
      <c r="A382" s="12"/>
      <c r="B382" s="12"/>
      <c r="C382" s="12"/>
      <c r="D382" s="12"/>
      <c r="E382" s="32"/>
      <c r="F382" s="7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105"/>
      <c r="AC382" s="35"/>
      <c r="AD382" s="35"/>
      <c r="AE382" s="35"/>
      <c r="AF382" s="35"/>
      <c r="AG382" s="35"/>
      <c r="AH382" s="35"/>
      <c r="AI382" s="35"/>
    </row>
    <row r="383" spans="1:41" ht="12" customHeight="1">
      <c r="A383" s="12" t="s">
        <v>552</v>
      </c>
      <c r="B383" s="12"/>
      <c r="C383" s="12" t="s">
        <v>50</v>
      </c>
      <c r="D383" s="12"/>
      <c r="E383" s="32">
        <v>48710</v>
      </c>
      <c r="G383" s="35">
        <v>702364</v>
      </c>
      <c r="H383" s="35"/>
      <c r="I383" s="35">
        <v>1382151</v>
      </c>
      <c r="J383" s="35"/>
      <c r="K383" s="35">
        <v>8756</v>
      </c>
      <c r="L383" s="35"/>
      <c r="M383" s="35">
        <f t="shared" si="33"/>
        <v>2093271</v>
      </c>
      <c r="N383" s="35"/>
      <c r="O383" s="35">
        <f>2197256+37538+342665+231563</f>
        <v>2809022</v>
      </c>
      <c r="P383" s="35"/>
      <c r="Q383" s="35">
        <v>1470293</v>
      </c>
      <c r="R383" s="35"/>
      <c r="S383" s="35">
        <v>5954676</v>
      </c>
      <c r="T383" s="35"/>
      <c r="U383" s="35">
        <v>80810</v>
      </c>
      <c r="V383" s="35"/>
      <c r="W383" s="35">
        <v>0</v>
      </c>
      <c r="X383" s="35"/>
      <c r="Y383" s="35">
        <v>0</v>
      </c>
      <c r="Z383" s="35"/>
      <c r="AA383" s="35">
        <v>6781</v>
      </c>
      <c r="AB383" s="45"/>
      <c r="AC383" s="35">
        <v>0</v>
      </c>
      <c r="AD383" s="35"/>
      <c r="AE383" s="35">
        <v>0</v>
      </c>
      <c r="AF383" s="35"/>
      <c r="AG383" s="35">
        <f t="shared" si="34"/>
        <v>10321582</v>
      </c>
      <c r="AH383" s="35"/>
      <c r="AI383" s="35">
        <f t="shared" si="35"/>
        <v>12414853</v>
      </c>
    </row>
    <row r="384" spans="1:41" ht="12" hidden="1" customHeight="1">
      <c r="A384" s="12" t="s">
        <v>580</v>
      </c>
      <c r="B384" s="12"/>
      <c r="C384" s="12" t="s">
        <v>579</v>
      </c>
      <c r="D384" s="12"/>
      <c r="E384" s="32">
        <v>44479</v>
      </c>
      <c r="G384" s="35">
        <v>0</v>
      </c>
      <c r="H384" s="35"/>
      <c r="I384" s="35">
        <v>0</v>
      </c>
      <c r="J384" s="35"/>
      <c r="K384" s="35">
        <v>0</v>
      </c>
      <c r="L384" s="35"/>
      <c r="M384" s="35">
        <f t="shared" si="33"/>
        <v>0</v>
      </c>
      <c r="N384" s="35"/>
      <c r="O384" s="35">
        <v>0</v>
      </c>
      <c r="P384" s="35"/>
      <c r="Q384" s="35">
        <v>0</v>
      </c>
      <c r="R384" s="35"/>
      <c r="S384" s="35">
        <v>0</v>
      </c>
      <c r="T384" s="35"/>
      <c r="U384" s="35">
        <v>0</v>
      </c>
      <c r="V384" s="35"/>
      <c r="W384" s="35">
        <v>0</v>
      </c>
      <c r="X384" s="35"/>
      <c r="Y384" s="35">
        <v>0</v>
      </c>
      <c r="Z384" s="35"/>
      <c r="AA384" s="35">
        <v>0</v>
      </c>
      <c r="AB384" s="45"/>
      <c r="AC384" s="35">
        <v>0</v>
      </c>
      <c r="AD384" s="35"/>
      <c r="AE384" s="35">
        <v>0</v>
      </c>
      <c r="AF384" s="35"/>
      <c r="AG384" s="35">
        <f t="shared" si="34"/>
        <v>0</v>
      </c>
      <c r="AH384" s="35"/>
      <c r="AI384" s="35">
        <f t="shared" si="35"/>
        <v>0</v>
      </c>
      <c r="AJ384" s="35"/>
      <c r="AK384" s="35"/>
      <c r="AL384" s="35"/>
      <c r="AM384" s="35"/>
      <c r="AN384" s="35"/>
      <c r="AO384" s="35"/>
    </row>
    <row r="385" spans="1:35" s="8" customFormat="1" ht="12" customHeight="1">
      <c r="A385" s="13" t="s">
        <v>445</v>
      </c>
      <c r="B385" s="13"/>
      <c r="C385" s="13" t="s">
        <v>37</v>
      </c>
      <c r="D385" s="13"/>
      <c r="E385" s="13">
        <v>47720</v>
      </c>
      <c r="G385" s="8">
        <v>793958</v>
      </c>
      <c r="I385" s="8">
        <v>1212384</v>
      </c>
      <c r="K385" s="8">
        <v>11797</v>
      </c>
      <c r="M385" s="8">
        <f t="shared" si="33"/>
        <v>2018139</v>
      </c>
      <c r="O385" s="8">
        <f>1898704+36618+243937</f>
        <v>2179259</v>
      </c>
      <c r="Q385" s="8">
        <v>938743</v>
      </c>
      <c r="S385" s="8">
        <v>5435889</v>
      </c>
      <c r="U385" s="8">
        <v>42185</v>
      </c>
      <c r="W385" s="8">
        <v>0</v>
      </c>
      <c r="Y385" s="8">
        <v>0</v>
      </c>
      <c r="AA385" s="8">
        <v>28533</v>
      </c>
      <c r="AB385" s="39"/>
      <c r="AC385" s="8">
        <v>0</v>
      </c>
      <c r="AE385" s="8">
        <v>0</v>
      </c>
      <c r="AG385" s="8">
        <f t="shared" si="34"/>
        <v>8624609</v>
      </c>
      <c r="AI385" s="8">
        <f t="shared" si="35"/>
        <v>10642748</v>
      </c>
    </row>
    <row r="386" spans="1:35" ht="12" customHeight="1">
      <c r="A386" s="12" t="s">
        <v>249</v>
      </c>
      <c r="B386" s="12"/>
      <c r="C386" s="12" t="s">
        <v>242</v>
      </c>
      <c r="D386" s="12"/>
      <c r="E386" s="32">
        <v>46136</v>
      </c>
      <c r="F386" s="7"/>
      <c r="G386" s="8">
        <v>202488</v>
      </c>
      <c r="I386" s="8">
        <v>2237295</v>
      </c>
      <c r="K386" s="8">
        <v>0</v>
      </c>
      <c r="M386" s="8">
        <f t="shared" si="33"/>
        <v>2439783</v>
      </c>
      <c r="O386" s="8">
        <f>911925+166355</f>
        <v>1078280</v>
      </c>
      <c r="Q386" s="8">
        <v>494478</v>
      </c>
      <c r="S386" s="8">
        <v>4442967</v>
      </c>
      <c r="U386" s="8">
        <v>31009</v>
      </c>
      <c r="W386" s="8">
        <v>0</v>
      </c>
      <c r="Y386" s="8">
        <v>0</v>
      </c>
      <c r="AA386" s="8">
        <v>115227</v>
      </c>
      <c r="AB386" s="39"/>
      <c r="AC386" s="8">
        <v>0</v>
      </c>
      <c r="AE386" s="8">
        <v>0</v>
      </c>
      <c r="AG386" s="8">
        <f t="shared" si="34"/>
        <v>6161961</v>
      </c>
      <c r="AH386" s="8"/>
      <c r="AI386" s="8">
        <f t="shared" si="35"/>
        <v>8601744</v>
      </c>
    </row>
    <row r="387" spans="1:35" s="8" customFormat="1" ht="12" customHeight="1">
      <c r="A387" s="13" t="s">
        <v>698</v>
      </c>
      <c r="B387" s="13"/>
      <c r="C387" s="13" t="s">
        <v>65</v>
      </c>
      <c r="D387" s="13"/>
      <c r="E387" s="32">
        <v>44487</v>
      </c>
      <c r="G387" s="8">
        <v>1348575</v>
      </c>
      <c r="I387" s="8">
        <v>2169052</v>
      </c>
      <c r="K387" s="8">
        <v>21000</v>
      </c>
      <c r="M387" s="8">
        <f t="shared" si="33"/>
        <v>3538627</v>
      </c>
      <c r="O387" s="8">
        <f>11723296+618130+166579</f>
        <v>12508005</v>
      </c>
      <c r="Q387" s="8">
        <v>0</v>
      </c>
      <c r="S387" s="8">
        <v>10510827</v>
      </c>
      <c r="U387" s="8">
        <v>151952</v>
      </c>
      <c r="W387" s="8">
        <v>0</v>
      </c>
      <c r="Y387" s="8">
        <v>0</v>
      </c>
      <c r="AA387" s="8">
        <v>1035826</v>
      </c>
      <c r="AB387" s="39"/>
      <c r="AC387" s="8">
        <v>0</v>
      </c>
      <c r="AE387" s="8">
        <v>0</v>
      </c>
      <c r="AG387" s="8">
        <f t="shared" si="34"/>
        <v>24206610</v>
      </c>
      <c r="AI387" s="8">
        <f t="shared" si="35"/>
        <v>27745237</v>
      </c>
    </row>
    <row r="388" spans="1:35" ht="12" customHeight="1">
      <c r="A388" s="12" t="s">
        <v>271</v>
      </c>
      <c r="B388" s="12"/>
      <c r="C388" s="12" t="s">
        <v>115</v>
      </c>
      <c r="D388" s="12"/>
      <c r="E388" s="32">
        <v>45559</v>
      </c>
      <c r="F388" s="7"/>
      <c r="G388" s="8">
        <v>1042367</v>
      </c>
      <c r="I388" s="8">
        <v>1423367</v>
      </c>
      <c r="K388" s="8">
        <v>20806</v>
      </c>
      <c r="M388" s="8">
        <f t="shared" si="33"/>
        <v>2486540</v>
      </c>
      <c r="O388" s="8">
        <f>11656093+257099</f>
        <v>11913192</v>
      </c>
      <c r="Q388" s="8">
        <v>0</v>
      </c>
      <c r="S388" s="8">
        <v>13195110</v>
      </c>
      <c r="U388" s="8">
        <v>892490</v>
      </c>
      <c r="W388" s="8">
        <v>0</v>
      </c>
      <c r="Y388" s="8">
        <v>0</v>
      </c>
      <c r="AA388" s="8">
        <v>84535</v>
      </c>
      <c r="AB388" s="39"/>
      <c r="AC388" s="8">
        <v>0</v>
      </c>
      <c r="AE388" s="8">
        <v>0</v>
      </c>
      <c r="AG388" s="8">
        <f t="shared" si="34"/>
        <v>26085327</v>
      </c>
      <c r="AH388" s="8"/>
      <c r="AI388" s="8">
        <f t="shared" si="35"/>
        <v>28571867</v>
      </c>
    </row>
    <row r="389" spans="1:35" ht="12" customHeight="1">
      <c r="A389" s="12" t="s">
        <v>478</v>
      </c>
      <c r="B389" s="12"/>
      <c r="C389" s="12" t="s">
        <v>42</v>
      </c>
      <c r="D389" s="12"/>
      <c r="E389" s="32">
        <v>44453</v>
      </c>
      <c r="G389" s="8">
        <v>2446896</v>
      </c>
      <c r="I389" s="8">
        <v>11672182</v>
      </c>
      <c r="K389" s="8">
        <v>440110</v>
      </c>
      <c r="M389" s="8">
        <f t="shared" si="33"/>
        <v>14559188</v>
      </c>
      <c r="O389" s="8">
        <f>14833502+4429725+1417711</f>
        <v>20680938</v>
      </c>
      <c r="Q389" s="8">
        <v>7672584</v>
      </c>
      <c r="S389" s="8">
        <f>25173592+73546948</f>
        <v>98720540</v>
      </c>
      <c r="U389" s="8">
        <v>534004</v>
      </c>
      <c r="W389" s="8">
        <v>0</v>
      </c>
      <c r="Y389" s="8">
        <v>0</v>
      </c>
      <c r="AA389" s="8">
        <v>472314</v>
      </c>
      <c r="AB389" s="39"/>
      <c r="AC389" s="8">
        <v>0</v>
      </c>
      <c r="AE389" s="8">
        <v>0</v>
      </c>
      <c r="AG389" s="8">
        <f t="shared" si="34"/>
        <v>128080380</v>
      </c>
      <c r="AH389" s="8"/>
      <c r="AI389" s="8">
        <f t="shared" si="35"/>
        <v>142639568</v>
      </c>
    </row>
    <row r="390" spans="1:35" ht="12" customHeight="1">
      <c r="A390" s="12" t="s">
        <v>382</v>
      </c>
      <c r="B390" s="12"/>
      <c r="C390" s="12" t="s">
        <v>30</v>
      </c>
      <c r="D390" s="12"/>
      <c r="E390" s="32">
        <v>47217</v>
      </c>
      <c r="G390" s="8">
        <v>450955</v>
      </c>
      <c r="I390" s="8">
        <v>553592</v>
      </c>
      <c r="K390" s="8">
        <v>5297</v>
      </c>
      <c r="M390" s="8">
        <f t="shared" si="33"/>
        <v>1009844</v>
      </c>
      <c r="O390" s="8">
        <f>4480003+79063+127848</f>
        <v>4686914</v>
      </c>
      <c r="Q390" s="8">
        <v>0</v>
      </c>
      <c r="S390" s="8">
        <v>2011984</v>
      </c>
      <c r="U390" s="8">
        <v>87893</v>
      </c>
      <c r="W390" s="8">
        <v>0</v>
      </c>
      <c r="Y390" s="8">
        <v>0</v>
      </c>
      <c r="AA390" s="8">
        <v>31641</v>
      </c>
      <c r="AB390" s="39"/>
      <c r="AC390" s="8">
        <v>0</v>
      </c>
      <c r="AE390" s="8">
        <v>0</v>
      </c>
      <c r="AG390" s="8">
        <f t="shared" si="34"/>
        <v>6818432</v>
      </c>
      <c r="AH390" s="8"/>
      <c r="AI390" s="8">
        <f t="shared" si="35"/>
        <v>7828276</v>
      </c>
    </row>
    <row r="391" spans="1:35" ht="12" customHeight="1">
      <c r="A391" s="12" t="s">
        <v>699</v>
      </c>
      <c r="B391" s="12"/>
      <c r="C391" s="12" t="s">
        <v>65</v>
      </c>
      <c r="D391" s="12"/>
      <c r="E391" s="32">
        <v>45542</v>
      </c>
      <c r="G391" s="8">
        <v>1003858</v>
      </c>
      <c r="I391" s="8">
        <v>2379045</v>
      </c>
      <c r="K391" s="8">
        <v>9932</v>
      </c>
      <c r="M391" s="8">
        <f t="shared" si="33"/>
        <v>3392835</v>
      </c>
      <c r="O391" s="8">
        <f>2686893+34351+241049</f>
        <v>2962293</v>
      </c>
      <c r="Q391" s="8">
        <v>0</v>
      </c>
      <c r="S391" s="8">
        <v>5549837</v>
      </c>
      <c r="U391" s="8">
        <v>16724</v>
      </c>
      <c r="W391" s="8">
        <v>0</v>
      </c>
      <c r="Y391" s="8">
        <v>0</v>
      </c>
      <c r="AA391" s="8">
        <v>113811</v>
      </c>
      <c r="AB391" s="39"/>
      <c r="AC391" s="8">
        <v>0</v>
      </c>
      <c r="AE391" s="8">
        <v>0</v>
      </c>
      <c r="AG391" s="8">
        <f t="shared" si="34"/>
        <v>8642665</v>
      </c>
      <c r="AH391" s="8"/>
      <c r="AI391" s="8">
        <f t="shared" si="35"/>
        <v>12035500</v>
      </c>
    </row>
    <row r="392" spans="1:35" ht="12" customHeight="1">
      <c r="A392" s="12" t="s">
        <v>690</v>
      </c>
      <c r="B392" s="12"/>
      <c r="C392" s="12" t="s">
        <v>64</v>
      </c>
      <c r="D392" s="12"/>
      <c r="E392" s="32">
        <v>45567</v>
      </c>
      <c r="G392" s="8">
        <v>724574</v>
      </c>
      <c r="I392" s="8">
        <v>1043670</v>
      </c>
      <c r="K392" s="8">
        <v>12053</v>
      </c>
      <c r="M392" s="8">
        <f t="shared" si="33"/>
        <v>1780297</v>
      </c>
      <c r="O392" s="8">
        <f>2835340+620480+93932</f>
        <v>3549752</v>
      </c>
      <c r="Q392" s="8">
        <v>0</v>
      </c>
      <c r="S392" s="8">
        <v>8458673</v>
      </c>
      <c r="U392" s="8">
        <v>28350</v>
      </c>
      <c r="W392" s="8">
        <v>0</v>
      </c>
      <c r="Y392" s="8">
        <v>0</v>
      </c>
      <c r="AA392" s="8">
        <v>180333</v>
      </c>
      <c r="AB392" s="39"/>
      <c r="AC392" s="8">
        <v>0</v>
      </c>
      <c r="AE392" s="8">
        <v>0</v>
      </c>
      <c r="AG392" s="8">
        <f t="shared" si="34"/>
        <v>12217108</v>
      </c>
      <c r="AH392" s="8"/>
      <c r="AI392" s="8">
        <f t="shared" si="35"/>
        <v>13997405</v>
      </c>
    </row>
    <row r="393" spans="1:35" ht="12" customHeight="1">
      <c r="A393" s="12" t="s">
        <v>539</v>
      </c>
      <c r="B393" s="12"/>
      <c r="C393" s="12" t="s">
        <v>48</v>
      </c>
      <c r="D393" s="12"/>
      <c r="E393" s="32">
        <v>48637</v>
      </c>
      <c r="G393" s="8">
        <v>589600</v>
      </c>
      <c r="I393" s="8">
        <v>457700</v>
      </c>
      <c r="K393" s="8">
        <v>4561</v>
      </c>
      <c r="M393" s="8">
        <f t="shared" si="33"/>
        <v>1051861</v>
      </c>
      <c r="O393" s="8">
        <f>1185305+17874+585794+87256</f>
        <v>1876229</v>
      </c>
      <c r="Q393" s="8">
        <v>1179732</v>
      </c>
      <c r="S393" s="8">
        <v>2463069</v>
      </c>
      <c r="U393" s="8">
        <v>355413</v>
      </c>
      <c r="W393" s="8">
        <v>0</v>
      </c>
      <c r="Y393" s="8">
        <v>0</v>
      </c>
      <c r="AA393" s="8">
        <v>833</v>
      </c>
      <c r="AB393" s="39"/>
      <c r="AC393" s="8">
        <v>0</v>
      </c>
      <c r="AE393" s="8">
        <v>0</v>
      </c>
      <c r="AG393" s="8">
        <f t="shared" si="34"/>
        <v>5875276</v>
      </c>
      <c r="AH393" s="8"/>
      <c r="AI393" s="8">
        <f t="shared" si="35"/>
        <v>6927137</v>
      </c>
    </row>
    <row r="394" spans="1:35" ht="12" customHeight="1">
      <c r="A394" s="12" t="s">
        <v>820</v>
      </c>
      <c r="B394" s="12"/>
      <c r="C394" s="12" t="s">
        <v>64</v>
      </c>
      <c r="D394" s="12"/>
      <c r="E394" s="32"/>
      <c r="G394" s="8">
        <v>1425808</v>
      </c>
      <c r="I394" s="8">
        <v>4651481</v>
      </c>
      <c r="K394" s="8">
        <v>1113918</v>
      </c>
      <c r="M394" s="8">
        <f t="shared" si="33"/>
        <v>7191207</v>
      </c>
      <c r="O394" s="8">
        <f>7175598+168784+1277701</f>
        <v>8622083</v>
      </c>
      <c r="Q394" s="8">
        <v>0</v>
      </c>
      <c r="S394" s="8">
        <f>13745933+38784478</f>
        <v>52530411</v>
      </c>
      <c r="U394" s="8">
        <v>78434</v>
      </c>
      <c r="W394" s="8">
        <v>0</v>
      </c>
      <c r="Y394" s="8">
        <v>0</v>
      </c>
      <c r="AA394" s="8">
        <v>422382</v>
      </c>
      <c r="AB394" s="39"/>
      <c r="AC394" s="8">
        <v>0</v>
      </c>
      <c r="AE394" s="8">
        <v>-218459</v>
      </c>
      <c r="AG394" s="8">
        <f t="shared" si="34"/>
        <v>61434851</v>
      </c>
      <c r="AH394" s="8"/>
      <c r="AI394" s="8">
        <f t="shared" si="35"/>
        <v>68626058</v>
      </c>
    </row>
    <row r="395" spans="1:35" ht="12" customHeight="1">
      <c r="A395" s="12" t="s">
        <v>570</v>
      </c>
      <c r="B395" s="12"/>
      <c r="C395" s="12" t="s">
        <v>52</v>
      </c>
      <c r="D395" s="12"/>
      <c r="E395" s="32">
        <v>48900</v>
      </c>
      <c r="G395" s="8">
        <v>894556</v>
      </c>
      <c r="I395" s="8">
        <v>1313163</v>
      </c>
      <c r="K395" s="8">
        <v>16650</v>
      </c>
      <c r="M395" s="8">
        <f t="shared" si="33"/>
        <v>2224369</v>
      </c>
      <c r="O395" s="8">
        <v>2454411</v>
      </c>
      <c r="Q395" s="8">
        <v>0</v>
      </c>
      <c r="S395" s="8">
        <v>5629019</v>
      </c>
      <c r="U395" s="8">
        <v>62110</v>
      </c>
      <c r="W395" s="8">
        <v>0</v>
      </c>
      <c r="Y395" s="8">
        <v>0</v>
      </c>
      <c r="AA395" s="8">
        <v>56506</v>
      </c>
      <c r="AB395" s="39"/>
      <c r="AC395" s="8">
        <v>0</v>
      </c>
      <c r="AE395" s="8">
        <v>0</v>
      </c>
      <c r="AG395" s="8">
        <f t="shared" si="34"/>
        <v>8202046</v>
      </c>
      <c r="AH395" s="8"/>
      <c r="AI395" s="8">
        <f t="shared" si="35"/>
        <v>10426415</v>
      </c>
    </row>
    <row r="396" spans="1:35" ht="12" customHeight="1">
      <c r="A396" s="12" t="s">
        <v>668</v>
      </c>
      <c r="B396" s="12"/>
      <c r="C396" s="12" t="s">
        <v>63</v>
      </c>
      <c r="D396" s="12"/>
      <c r="E396" s="32">
        <v>50047</v>
      </c>
      <c r="G396" s="8">
        <v>2155819</v>
      </c>
      <c r="I396" s="8">
        <v>2254020</v>
      </c>
      <c r="K396" s="8">
        <v>51990</v>
      </c>
      <c r="M396" s="8">
        <f t="shared" si="33"/>
        <v>4461829</v>
      </c>
      <c r="O396" s="8">
        <f>26064562+3045139+635900</f>
        <v>29745601</v>
      </c>
      <c r="Q396" s="8">
        <v>0</v>
      </c>
      <c r="S396" s="8">
        <v>11796620</v>
      </c>
      <c r="U396" s="8">
        <v>423624</v>
      </c>
      <c r="W396" s="8">
        <v>0</v>
      </c>
      <c r="Y396" s="8">
        <v>0</v>
      </c>
      <c r="AA396" s="8">
        <v>65648</v>
      </c>
      <c r="AB396" s="39"/>
      <c r="AC396" s="8">
        <v>0</v>
      </c>
      <c r="AE396" s="8">
        <v>0</v>
      </c>
      <c r="AG396" s="8">
        <f t="shared" si="34"/>
        <v>42031493</v>
      </c>
      <c r="AH396" s="8"/>
      <c r="AI396" s="8">
        <f t="shared" si="35"/>
        <v>46493322</v>
      </c>
    </row>
    <row r="397" spans="1:35" ht="12" customHeight="1">
      <c r="A397" s="12" t="s">
        <v>735</v>
      </c>
      <c r="B397" s="12"/>
      <c r="C397" s="12" t="s">
        <v>72</v>
      </c>
      <c r="D397" s="12"/>
      <c r="E397" s="32">
        <v>50708</v>
      </c>
      <c r="G397" s="8">
        <v>354456</v>
      </c>
      <c r="I397" s="8">
        <v>485209</v>
      </c>
      <c r="K397" s="8">
        <v>6174</v>
      </c>
      <c r="M397" s="8">
        <f t="shared" si="33"/>
        <v>845839</v>
      </c>
      <c r="O397" s="8">
        <f>2184616+207158+88290</f>
        <v>2480064</v>
      </c>
      <c r="Q397" s="8">
        <v>295305</v>
      </c>
      <c r="S397" s="8">
        <v>4475445</v>
      </c>
      <c r="U397" s="8">
        <v>28053</v>
      </c>
      <c r="W397" s="8">
        <v>0</v>
      </c>
      <c r="Y397" s="8">
        <v>0</v>
      </c>
      <c r="AA397" s="8">
        <v>91988</v>
      </c>
      <c r="AB397" s="39"/>
      <c r="AC397" s="8">
        <v>0</v>
      </c>
      <c r="AE397" s="8">
        <v>0</v>
      </c>
      <c r="AG397" s="8">
        <f t="shared" si="34"/>
        <v>7370855</v>
      </c>
      <c r="AH397" s="8"/>
      <c r="AI397" s="8">
        <f t="shared" si="35"/>
        <v>8216694</v>
      </c>
    </row>
    <row r="398" spans="1:35" ht="12" hidden="1" customHeight="1">
      <c r="A398" s="12" t="s">
        <v>574</v>
      </c>
      <c r="B398" s="12"/>
      <c r="C398" s="12" t="s">
        <v>53</v>
      </c>
      <c r="D398" s="12"/>
      <c r="E398" s="32">
        <v>48967</v>
      </c>
      <c r="M398" s="8">
        <f t="shared" si="33"/>
        <v>0</v>
      </c>
      <c r="AB398" s="39"/>
      <c r="AG398" s="8">
        <f t="shared" si="34"/>
        <v>0</v>
      </c>
      <c r="AH398" s="8"/>
      <c r="AI398" s="8">
        <f t="shared" si="35"/>
        <v>0</v>
      </c>
    </row>
    <row r="399" spans="1:35" ht="12" customHeight="1">
      <c r="A399" s="12" t="s">
        <v>658</v>
      </c>
      <c r="B399" s="12"/>
      <c r="C399" s="12" t="s">
        <v>62</v>
      </c>
      <c r="D399" s="12"/>
      <c r="E399" s="32">
        <v>44503</v>
      </c>
      <c r="G399" s="8">
        <v>2830318</v>
      </c>
      <c r="I399" s="8">
        <v>3496237</v>
      </c>
      <c r="K399" s="8">
        <v>21262</v>
      </c>
      <c r="M399" s="8">
        <f t="shared" si="33"/>
        <v>6347817</v>
      </c>
      <c r="O399" s="8">
        <f>20170536+1955709</f>
        <v>22126245</v>
      </c>
      <c r="Q399" s="8">
        <v>0</v>
      </c>
      <c r="S399" s="8">
        <v>17425276</v>
      </c>
      <c r="U399" s="8">
        <v>115928</v>
      </c>
      <c r="W399" s="8">
        <v>0</v>
      </c>
      <c r="Y399" s="8">
        <v>0</v>
      </c>
      <c r="AA399" s="8">
        <v>212413</v>
      </c>
      <c r="AB399" s="39"/>
      <c r="AC399" s="8">
        <v>0</v>
      </c>
      <c r="AE399" s="8">
        <v>0</v>
      </c>
      <c r="AG399" s="8">
        <f t="shared" si="34"/>
        <v>39879862</v>
      </c>
      <c r="AH399" s="8"/>
      <c r="AI399" s="8">
        <f t="shared" si="35"/>
        <v>46227679</v>
      </c>
    </row>
    <row r="400" spans="1:35" ht="12" hidden="1" customHeight="1">
      <c r="A400" s="12" t="s">
        <v>722</v>
      </c>
      <c r="B400" s="12"/>
      <c r="C400" s="12" t="s">
        <v>727</v>
      </c>
      <c r="D400" s="12"/>
      <c r="E400" s="32">
        <v>50641</v>
      </c>
      <c r="M400" s="8">
        <f t="shared" si="33"/>
        <v>0</v>
      </c>
      <c r="AB400" s="39"/>
      <c r="AG400" s="8">
        <f t="shared" si="34"/>
        <v>0</v>
      </c>
      <c r="AH400" s="8"/>
      <c r="AI400" s="8">
        <f t="shared" si="35"/>
        <v>0</v>
      </c>
    </row>
    <row r="401" spans="1:35" ht="12" customHeight="1">
      <c r="A401" s="12" t="s">
        <v>401</v>
      </c>
      <c r="B401" s="12"/>
      <c r="C401" s="12" t="s">
        <v>32</v>
      </c>
      <c r="D401" s="12"/>
      <c r="E401" s="32">
        <v>44511</v>
      </c>
      <c r="G401" s="8">
        <v>361206</v>
      </c>
      <c r="I401" s="8">
        <v>2490849</v>
      </c>
      <c r="K401" s="8">
        <v>1780225</v>
      </c>
      <c r="M401" s="8">
        <f t="shared" si="33"/>
        <v>4632280</v>
      </c>
      <c r="O401" s="8">
        <v>4421552</v>
      </c>
      <c r="Q401" s="8">
        <v>0</v>
      </c>
      <c r="S401" s="8">
        <v>18764689</v>
      </c>
      <c r="U401" s="8">
        <v>397997</v>
      </c>
      <c r="W401" s="8">
        <v>0</v>
      </c>
      <c r="Y401" s="8">
        <v>0</v>
      </c>
      <c r="AA401" s="8">
        <v>78243</v>
      </c>
      <c r="AB401" s="100"/>
      <c r="AC401" s="8">
        <v>0</v>
      </c>
      <c r="AE401" s="8">
        <v>0</v>
      </c>
      <c r="AG401" s="8">
        <f t="shared" si="34"/>
        <v>23662481</v>
      </c>
      <c r="AH401" s="8"/>
      <c r="AI401" s="8">
        <f t="shared" si="35"/>
        <v>28294761</v>
      </c>
    </row>
    <row r="402" spans="1:35" ht="12" customHeight="1">
      <c r="A402" s="12" t="s">
        <v>479</v>
      </c>
      <c r="B402" s="12"/>
      <c r="C402" s="12" t="s">
        <v>42</v>
      </c>
      <c r="D402" s="12"/>
      <c r="E402" s="32">
        <v>48025</v>
      </c>
      <c r="G402" s="8">
        <v>1199046</v>
      </c>
      <c r="I402" s="8">
        <v>1792421</v>
      </c>
      <c r="K402" s="8">
        <v>27751</v>
      </c>
      <c r="M402" s="8">
        <f t="shared" si="33"/>
        <v>3019218</v>
      </c>
      <c r="O402" s="8">
        <f>3459724+734929+107246+84000</f>
        <v>4385899</v>
      </c>
      <c r="Q402" s="8">
        <v>1898141</v>
      </c>
      <c r="S402" s="8">
        <v>8725762</v>
      </c>
      <c r="U402" s="8">
        <f>94845-43152</f>
        <v>51693</v>
      </c>
      <c r="W402" s="8">
        <v>0</v>
      </c>
      <c r="Y402" s="8">
        <v>0</v>
      </c>
      <c r="AA402" s="8">
        <v>214790</v>
      </c>
      <c r="AB402" s="39"/>
      <c r="AC402" s="8">
        <v>0</v>
      </c>
      <c r="AE402" s="8">
        <v>0</v>
      </c>
      <c r="AG402" s="8">
        <f t="shared" si="34"/>
        <v>15276285</v>
      </c>
      <c r="AH402" s="8"/>
      <c r="AI402" s="8">
        <f t="shared" si="35"/>
        <v>18295503</v>
      </c>
    </row>
    <row r="403" spans="1:35" ht="12" customHeight="1">
      <c r="A403" s="12" t="s">
        <v>313</v>
      </c>
      <c r="B403" s="12"/>
      <c r="C403" s="12" t="s">
        <v>20</v>
      </c>
      <c r="D403" s="12"/>
      <c r="E403" s="32">
        <v>44529</v>
      </c>
      <c r="G403" s="8">
        <v>2197150</v>
      </c>
      <c r="I403" s="8">
        <v>2796237</v>
      </c>
      <c r="K403" s="8">
        <v>50207</v>
      </c>
      <c r="M403" s="8">
        <f t="shared" ref="M403:M407" si="36">SUM(G403:L403)</f>
        <v>5043594</v>
      </c>
      <c r="O403" s="8">
        <f>34242328+979869</f>
        <v>35222197</v>
      </c>
      <c r="Q403" s="8">
        <v>0</v>
      </c>
      <c r="S403" s="8">
        <v>11918198</v>
      </c>
      <c r="U403" s="8">
        <v>308210</v>
      </c>
      <c r="W403" s="8">
        <v>0</v>
      </c>
      <c r="Y403" s="8">
        <v>0</v>
      </c>
      <c r="AA403" s="8">
        <v>276246</v>
      </c>
      <c r="AB403" s="39"/>
      <c r="AC403" s="8">
        <v>0</v>
      </c>
      <c r="AE403" s="8">
        <v>0</v>
      </c>
      <c r="AG403" s="8">
        <f t="shared" ref="AG403:AG445" si="37">SUM(O403:AE403)</f>
        <v>47724851</v>
      </c>
      <c r="AH403" s="8"/>
      <c r="AI403" s="8">
        <f t="shared" ref="AI403:AI445" si="38">+AG403+M403</f>
        <v>52768445</v>
      </c>
    </row>
    <row r="404" spans="1:35" ht="12" customHeight="1">
      <c r="A404" s="12" t="s">
        <v>492</v>
      </c>
      <c r="B404" s="12"/>
      <c r="C404" s="12" t="s">
        <v>44</v>
      </c>
      <c r="D404" s="12"/>
      <c r="E404" s="32">
        <v>44537</v>
      </c>
      <c r="G404" s="8">
        <v>1621357</v>
      </c>
      <c r="I404" s="8">
        <v>2014180</v>
      </c>
      <c r="K404" s="8">
        <v>0</v>
      </c>
      <c r="M404" s="8">
        <f t="shared" si="36"/>
        <v>3635537</v>
      </c>
      <c r="O404" s="8">
        <f>15825598+273137+605525</f>
        <v>16704260</v>
      </c>
      <c r="Q404" s="8">
        <v>0</v>
      </c>
      <c r="S404" s="8">
        <v>12157210</v>
      </c>
      <c r="U404" s="8">
        <v>142154</v>
      </c>
      <c r="W404" s="8">
        <v>0</v>
      </c>
      <c r="Y404" s="8">
        <v>0</v>
      </c>
      <c r="AA404" s="8">
        <v>913931</v>
      </c>
      <c r="AB404" s="39"/>
      <c r="AC404" s="8">
        <v>0</v>
      </c>
      <c r="AE404" s="8">
        <v>0</v>
      </c>
      <c r="AG404" s="8">
        <f t="shared" si="37"/>
        <v>29917555</v>
      </c>
      <c r="AH404" s="8"/>
      <c r="AI404" s="8">
        <f t="shared" si="38"/>
        <v>33553092</v>
      </c>
    </row>
    <row r="405" spans="1:35" ht="12" customHeight="1">
      <c r="A405" s="12" t="s">
        <v>314</v>
      </c>
      <c r="B405" s="12"/>
      <c r="C405" s="12" t="s">
        <v>20</v>
      </c>
      <c r="D405" s="12"/>
      <c r="E405" s="32">
        <v>44545</v>
      </c>
      <c r="G405" s="8">
        <v>1951274</v>
      </c>
      <c r="I405" s="8">
        <v>2791285</v>
      </c>
      <c r="K405" s="8">
        <v>25460</v>
      </c>
      <c r="M405" s="8">
        <f t="shared" si="36"/>
        <v>4768019</v>
      </c>
      <c r="O405" s="8">
        <f>30527173+2034569+984472</f>
        <v>33546214</v>
      </c>
      <c r="Q405" s="8">
        <v>0</v>
      </c>
      <c r="S405" s="8">
        <v>10759786</v>
      </c>
      <c r="U405" s="8">
        <v>481638</v>
      </c>
      <c r="W405" s="8">
        <v>0</v>
      </c>
      <c r="Y405" s="8">
        <v>0</v>
      </c>
      <c r="AA405" s="8">
        <f>5534+195241</f>
        <v>200775</v>
      </c>
      <c r="AB405" s="39"/>
      <c r="AC405" s="8">
        <v>0</v>
      </c>
      <c r="AE405" s="8">
        <v>0</v>
      </c>
      <c r="AG405" s="8">
        <f t="shared" si="37"/>
        <v>44988413</v>
      </c>
      <c r="AH405" s="8"/>
      <c r="AI405" s="8">
        <f t="shared" si="38"/>
        <v>49756432</v>
      </c>
    </row>
    <row r="406" spans="1:35" ht="12" customHeight="1">
      <c r="A406" s="12" t="s">
        <v>704</v>
      </c>
      <c r="B406" s="12"/>
      <c r="C406" s="12" t="s">
        <v>66</v>
      </c>
      <c r="D406" s="12"/>
      <c r="E406" s="32">
        <v>50336</v>
      </c>
      <c r="G406" s="8">
        <v>877918</v>
      </c>
      <c r="I406" s="8">
        <v>1428358</v>
      </c>
      <c r="K406" s="8">
        <v>15278</v>
      </c>
      <c r="M406" s="8">
        <f t="shared" si="36"/>
        <v>2321554</v>
      </c>
      <c r="O406" s="8">
        <f>3632055+60692+941091+141611</f>
        <v>4775449</v>
      </c>
      <c r="Q406" s="8">
        <v>1618323</v>
      </c>
      <c r="S406" s="8">
        <v>7614655</v>
      </c>
      <c r="U406" s="8">
        <v>887939</v>
      </c>
      <c r="W406" s="8">
        <v>0</v>
      </c>
      <c r="Y406" s="8">
        <v>1318</v>
      </c>
      <c r="AA406" s="8">
        <v>142877</v>
      </c>
      <c r="AB406" s="39"/>
      <c r="AC406" s="8">
        <v>0</v>
      </c>
      <c r="AE406" s="8">
        <v>0</v>
      </c>
      <c r="AG406" s="8">
        <f t="shared" si="37"/>
        <v>15040561</v>
      </c>
      <c r="AH406" s="8"/>
      <c r="AI406" s="8">
        <f t="shared" si="38"/>
        <v>17362115</v>
      </c>
    </row>
    <row r="407" spans="1:35" ht="12" customHeight="1">
      <c r="A407" s="12" t="s">
        <v>262</v>
      </c>
      <c r="B407" s="12"/>
      <c r="C407" s="12" t="s">
        <v>17</v>
      </c>
      <c r="D407" s="12"/>
      <c r="E407" s="32">
        <v>46250</v>
      </c>
      <c r="F407" s="7"/>
      <c r="G407" s="8">
        <v>2999737</v>
      </c>
      <c r="I407" s="8">
        <v>1862294</v>
      </c>
      <c r="K407" s="8">
        <v>0</v>
      </c>
      <c r="M407" s="8">
        <f t="shared" si="36"/>
        <v>4862031</v>
      </c>
      <c r="O407" s="8">
        <v>13023955</v>
      </c>
      <c r="Q407" s="8">
        <v>0</v>
      </c>
      <c r="S407" s="8">
        <v>15811320</v>
      </c>
      <c r="U407" s="8">
        <v>185711</v>
      </c>
      <c r="W407" s="8">
        <v>0</v>
      </c>
      <c r="Y407" s="8">
        <v>25638</v>
      </c>
      <c r="AA407" s="8">
        <v>30409</v>
      </c>
      <c r="AB407" s="39"/>
      <c r="AC407" s="8">
        <v>0</v>
      </c>
      <c r="AE407" s="8">
        <f>29095813-29077033</f>
        <v>18780</v>
      </c>
      <c r="AG407" s="8">
        <f t="shared" si="37"/>
        <v>29095813</v>
      </c>
      <c r="AH407" s="8"/>
      <c r="AI407" s="8">
        <f t="shared" si="38"/>
        <v>33957844</v>
      </c>
    </row>
    <row r="408" spans="1:35" ht="12" hidden="1" customHeight="1">
      <c r="A408" s="12" t="s">
        <v>262</v>
      </c>
      <c r="B408" s="12"/>
      <c r="C408" s="12" t="s">
        <v>22</v>
      </c>
      <c r="D408" s="12"/>
      <c r="E408" s="32">
        <v>46722</v>
      </c>
      <c r="M408" s="8">
        <f t="shared" ref="M408:M445" si="39">SUM(G408:L408)</f>
        <v>0</v>
      </c>
      <c r="AB408" s="39"/>
      <c r="AG408" s="8">
        <f t="shared" si="37"/>
        <v>0</v>
      </c>
      <c r="AH408" s="8"/>
      <c r="AI408" s="8">
        <f t="shared" si="38"/>
        <v>0</v>
      </c>
    </row>
    <row r="409" spans="1:35" ht="12" customHeight="1">
      <c r="A409" s="12" t="s">
        <v>553</v>
      </c>
      <c r="B409" s="12"/>
      <c r="C409" s="12" t="s">
        <v>50</v>
      </c>
      <c r="D409" s="12"/>
      <c r="E409" s="32">
        <v>48728</v>
      </c>
      <c r="G409" s="8">
        <v>3958932</v>
      </c>
      <c r="I409" s="8">
        <v>4513215</v>
      </c>
      <c r="K409" s="8">
        <v>42918</v>
      </c>
      <c r="M409" s="8">
        <f t="shared" si="39"/>
        <v>8515065</v>
      </c>
      <c r="O409" s="8">
        <f>23291351+525189</f>
        <v>23816540</v>
      </c>
      <c r="Q409" s="8">
        <v>0</v>
      </c>
      <c r="S409" s="8">
        <v>23484895</v>
      </c>
      <c r="U409" s="8">
        <v>119426</v>
      </c>
      <c r="W409" s="8">
        <v>0</v>
      </c>
      <c r="Y409" s="8">
        <v>0</v>
      </c>
      <c r="AA409" s="8">
        <v>246542</v>
      </c>
      <c r="AB409" s="39"/>
      <c r="AC409" s="8">
        <v>0</v>
      </c>
      <c r="AE409" s="8">
        <v>0</v>
      </c>
      <c r="AG409" s="8">
        <f t="shared" ref="AG409:AG411" si="40">SUM(O409:AE409)</f>
        <v>47667403</v>
      </c>
      <c r="AH409" s="8"/>
      <c r="AI409" s="8">
        <f t="shared" si="38"/>
        <v>56182468</v>
      </c>
    </row>
    <row r="410" spans="1:35" ht="12" customHeight="1">
      <c r="A410" s="12" t="s">
        <v>562</v>
      </c>
      <c r="B410" s="12"/>
      <c r="C410" s="12" t="s">
        <v>78</v>
      </c>
      <c r="D410" s="12"/>
      <c r="E410" s="32">
        <v>48819</v>
      </c>
      <c r="G410" s="8">
        <v>1048030</v>
      </c>
      <c r="I410" s="8">
        <v>1336020</v>
      </c>
      <c r="K410" s="8">
        <v>18878</v>
      </c>
      <c r="M410" s="8">
        <f t="shared" si="39"/>
        <v>2402928</v>
      </c>
      <c r="O410" s="8">
        <f>2615497+37096+721240+76470</f>
        <v>3450303</v>
      </c>
      <c r="Q410" s="8">
        <v>1367847</v>
      </c>
      <c r="S410" s="8">
        <f>5229621+20411919</f>
        <v>25641540</v>
      </c>
      <c r="U410" s="8">
        <v>271860</v>
      </c>
      <c r="W410" s="8">
        <v>0</v>
      </c>
      <c r="Y410" s="8">
        <v>0</v>
      </c>
      <c r="AA410" s="8">
        <v>27711</v>
      </c>
      <c r="AB410" s="39"/>
      <c r="AC410" s="8">
        <v>0</v>
      </c>
      <c r="AE410" s="8">
        <v>0</v>
      </c>
      <c r="AG410" s="8">
        <f t="shared" si="40"/>
        <v>30759261</v>
      </c>
      <c r="AH410" s="8"/>
      <c r="AI410" s="8">
        <f t="shared" si="38"/>
        <v>33162189</v>
      </c>
    </row>
    <row r="411" spans="1:35" ht="12" customHeight="1">
      <c r="A411" s="12" t="s">
        <v>480</v>
      </c>
      <c r="B411" s="12"/>
      <c r="C411" s="12" t="s">
        <v>50</v>
      </c>
      <c r="D411" s="12"/>
      <c r="E411" s="32">
        <v>48033</v>
      </c>
      <c r="G411" s="8">
        <v>1201259</v>
      </c>
      <c r="I411" s="8">
        <v>5085996</v>
      </c>
      <c r="K411" s="8">
        <v>13395</v>
      </c>
      <c r="M411" s="8">
        <f t="shared" si="39"/>
        <v>6300650</v>
      </c>
      <c r="O411" s="8">
        <f>7640590+479389</f>
        <v>8119979</v>
      </c>
      <c r="Q411" s="8">
        <v>0</v>
      </c>
      <c r="S411" s="8">
        <v>8486431</v>
      </c>
      <c r="U411" s="8">
        <v>233114</v>
      </c>
      <c r="W411" s="8">
        <v>0</v>
      </c>
      <c r="Y411" s="8">
        <v>0</v>
      </c>
      <c r="AA411" s="8">
        <v>67691</v>
      </c>
      <c r="AB411" s="39"/>
      <c r="AC411" s="8">
        <v>0</v>
      </c>
      <c r="AE411" s="8">
        <v>0</v>
      </c>
      <c r="AG411" s="8">
        <f t="shared" si="40"/>
        <v>16907215</v>
      </c>
      <c r="AH411" s="8"/>
      <c r="AI411" s="8">
        <f t="shared" si="38"/>
        <v>23207865</v>
      </c>
    </row>
    <row r="412" spans="1:35" ht="12" customHeight="1">
      <c r="A412" s="12" t="s">
        <v>480</v>
      </c>
      <c r="B412" s="12"/>
      <c r="C412" s="12" t="s">
        <v>42</v>
      </c>
      <c r="D412" s="12"/>
      <c r="E412" s="32">
        <v>48736</v>
      </c>
      <c r="G412" s="8">
        <v>1137694</v>
      </c>
      <c r="I412" s="8">
        <v>1014727</v>
      </c>
      <c r="K412" s="8">
        <v>19346</v>
      </c>
      <c r="M412" s="8">
        <f t="shared" ref="M412" si="41">SUM(G412:L412)</f>
        <v>2171767</v>
      </c>
      <c r="O412" s="8">
        <f>3967764+715813+78152</f>
        <v>4761729</v>
      </c>
      <c r="Q412" s="8">
        <v>1954133</v>
      </c>
      <c r="S412" s="8">
        <v>4942295</v>
      </c>
      <c r="U412" s="8">
        <v>38287</v>
      </c>
      <c r="W412" s="8">
        <v>0</v>
      </c>
      <c r="Y412" s="8">
        <v>0</v>
      </c>
      <c r="AA412" s="8">
        <v>10388</v>
      </c>
      <c r="AB412" s="39"/>
      <c r="AC412" s="8">
        <v>0</v>
      </c>
      <c r="AE412" s="8">
        <v>-1915976</v>
      </c>
      <c r="AG412" s="8">
        <f t="shared" ref="AG412" si="42">SUM(O412:AE412)</f>
        <v>9790856</v>
      </c>
      <c r="AH412" s="8"/>
      <c r="AI412" s="8">
        <f t="shared" si="38"/>
        <v>11962623</v>
      </c>
    </row>
    <row r="413" spans="1:35" ht="12" customHeight="1">
      <c r="A413" s="12" t="s">
        <v>402</v>
      </c>
      <c r="B413" s="12"/>
      <c r="C413" s="12" t="s">
        <v>32</v>
      </c>
      <c r="D413" s="12"/>
      <c r="E413" s="32">
        <v>47365</v>
      </c>
      <c r="G413" s="8">
        <v>4978656</v>
      </c>
      <c r="I413" s="8">
        <v>11369047</v>
      </c>
      <c r="K413" s="8">
        <v>184366</v>
      </c>
      <c r="M413" s="8">
        <f t="shared" si="39"/>
        <v>16532069</v>
      </c>
      <c r="O413" s="8">
        <f>39010796+1666398+2760232</f>
        <v>43437426</v>
      </c>
      <c r="Q413" s="8">
        <v>0</v>
      </c>
      <c r="S413" s="8">
        <v>35319550</v>
      </c>
      <c r="U413" s="8">
        <v>433779</v>
      </c>
      <c r="W413" s="8">
        <v>4170555</v>
      </c>
      <c r="Y413" s="8">
        <v>209561</v>
      </c>
      <c r="AA413" s="8">
        <v>672871</v>
      </c>
      <c r="AB413" s="39"/>
      <c r="AC413" s="8">
        <v>0</v>
      </c>
      <c r="AE413" s="8">
        <v>0</v>
      </c>
      <c r="AG413" s="8">
        <f t="shared" si="37"/>
        <v>84243742</v>
      </c>
      <c r="AH413" s="8"/>
      <c r="AI413" s="8">
        <f t="shared" si="38"/>
        <v>100775811</v>
      </c>
    </row>
    <row r="414" spans="1:35" ht="12" customHeight="1">
      <c r="A414" s="12" t="s">
        <v>402</v>
      </c>
      <c r="B414" s="12"/>
      <c r="C414" s="12" t="s">
        <v>59</v>
      </c>
      <c r="D414" s="12"/>
      <c r="E414" s="32">
        <v>49635</v>
      </c>
      <c r="G414" s="8">
        <v>417355</v>
      </c>
      <c r="I414" s="8">
        <v>4264535</v>
      </c>
      <c r="K414" s="8">
        <v>0</v>
      </c>
      <c r="M414" s="8">
        <f t="shared" si="39"/>
        <v>4681890</v>
      </c>
      <c r="O414" s="8">
        <f>1687357+32368+345154</f>
        <v>2064879</v>
      </c>
      <c r="Q414" s="8">
        <v>0</v>
      </c>
      <c r="S414" s="8">
        <v>10733939</v>
      </c>
      <c r="U414" s="8">
        <v>29165</v>
      </c>
      <c r="W414" s="8">
        <v>0</v>
      </c>
      <c r="Y414" s="8">
        <v>0</v>
      </c>
      <c r="AA414" s="8">
        <v>39496</v>
      </c>
      <c r="AB414" s="39"/>
      <c r="AC414" s="8">
        <v>0</v>
      </c>
      <c r="AE414" s="8">
        <v>0</v>
      </c>
      <c r="AG414" s="8">
        <f t="shared" si="37"/>
        <v>12867479</v>
      </c>
      <c r="AH414" s="8"/>
      <c r="AI414" s="8">
        <f t="shared" si="38"/>
        <v>17549369</v>
      </c>
    </row>
    <row r="415" spans="1:35" ht="12" customHeight="1">
      <c r="A415" s="12" t="s">
        <v>402</v>
      </c>
      <c r="B415" s="12"/>
      <c r="C415" s="12" t="s">
        <v>62</v>
      </c>
      <c r="D415" s="12"/>
      <c r="E415" s="32">
        <v>49908</v>
      </c>
      <c r="G415" s="8">
        <v>1382162</v>
      </c>
      <c r="I415" s="8">
        <v>1820219</v>
      </c>
      <c r="K415" s="8">
        <v>85348</v>
      </c>
      <c r="M415" s="8">
        <f t="shared" si="39"/>
        <v>3287729</v>
      </c>
      <c r="O415" s="8">
        <f>6539928+1417713+155717</f>
        <v>8113358</v>
      </c>
      <c r="Q415" s="8">
        <v>0</v>
      </c>
      <c r="S415" s="8">
        <v>9879203</v>
      </c>
      <c r="U415" s="8">
        <v>15229</v>
      </c>
      <c r="W415" s="8">
        <v>0</v>
      </c>
      <c r="Y415" s="8">
        <v>0</v>
      </c>
      <c r="AA415" s="8">
        <v>16352</v>
      </c>
      <c r="AB415" s="39"/>
      <c r="AC415" s="8">
        <v>0</v>
      </c>
      <c r="AE415" s="8">
        <v>0</v>
      </c>
      <c r="AG415" s="8">
        <f t="shared" ref="AG415:AG418" si="43">SUM(O415:AE415)</f>
        <v>18024142</v>
      </c>
      <c r="AH415" s="8"/>
      <c r="AI415" s="8">
        <f t="shared" si="38"/>
        <v>21311871</v>
      </c>
    </row>
    <row r="416" spans="1:35" ht="12" customHeight="1">
      <c r="A416" s="12" t="s">
        <v>263</v>
      </c>
      <c r="B416" s="12"/>
      <c r="C416" s="12" t="s">
        <v>17</v>
      </c>
      <c r="D416" s="12"/>
      <c r="E416" s="32">
        <v>46268</v>
      </c>
      <c r="F416" s="7"/>
      <c r="G416" s="8">
        <v>1844170</v>
      </c>
      <c r="I416" s="8">
        <v>982423</v>
      </c>
      <c r="K416" s="8">
        <v>0</v>
      </c>
      <c r="M416" s="8">
        <f t="shared" si="39"/>
        <v>2826593</v>
      </c>
      <c r="O416" s="8">
        <v>6282912</v>
      </c>
      <c r="Q416" s="8">
        <v>0</v>
      </c>
      <c r="S416" s="8">
        <v>7471431</v>
      </c>
      <c r="U416" s="8">
        <v>102843</v>
      </c>
      <c r="W416" s="8">
        <v>0</v>
      </c>
      <c r="Y416" s="8">
        <v>0</v>
      </c>
      <c r="AA416" s="8">
        <v>47228</v>
      </c>
      <c r="AB416" s="39"/>
      <c r="AC416" s="8">
        <v>0</v>
      </c>
      <c r="AE416" s="8">
        <v>0</v>
      </c>
      <c r="AG416" s="8">
        <f t="shared" si="43"/>
        <v>13904414</v>
      </c>
      <c r="AH416" s="8"/>
      <c r="AI416" s="8">
        <f t="shared" si="38"/>
        <v>16731007</v>
      </c>
    </row>
    <row r="417" spans="1:35" ht="12" customHeight="1">
      <c r="A417" s="12" t="s">
        <v>736</v>
      </c>
      <c r="B417" s="12"/>
      <c r="C417" s="12" t="s">
        <v>72</v>
      </c>
      <c r="D417" s="12"/>
      <c r="E417" s="32">
        <v>50716</v>
      </c>
      <c r="G417" s="8">
        <v>544208</v>
      </c>
      <c r="I417" s="8">
        <v>851249</v>
      </c>
      <c r="K417" s="8">
        <v>17514</v>
      </c>
      <c r="M417" s="8">
        <f t="shared" si="39"/>
        <v>1412971</v>
      </c>
      <c r="O417" s="8">
        <f>6278893+280847+229626</f>
        <v>6789366</v>
      </c>
      <c r="Q417" s="8">
        <v>0</v>
      </c>
      <c r="S417" s="8">
        <v>3680172</v>
      </c>
      <c r="U417" s="8">
        <v>37457</v>
      </c>
      <c r="W417" s="8">
        <v>0</v>
      </c>
      <c r="Y417" s="8">
        <v>4000</v>
      </c>
      <c r="AA417" s="8">
        <v>170964</v>
      </c>
      <c r="AB417" s="39"/>
      <c r="AC417" s="8">
        <v>0</v>
      </c>
      <c r="AE417" s="8">
        <v>0</v>
      </c>
      <c r="AG417" s="8">
        <f t="shared" si="43"/>
        <v>10681959</v>
      </c>
      <c r="AH417" s="8"/>
      <c r="AI417" s="8">
        <f t="shared" si="38"/>
        <v>12094930</v>
      </c>
    </row>
    <row r="418" spans="1:35" ht="12" customHeight="1">
      <c r="A418" s="12" t="s">
        <v>669</v>
      </c>
      <c r="B418" s="12"/>
      <c r="C418" s="12" t="s">
        <v>63</v>
      </c>
      <c r="D418" s="12"/>
      <c r="E418" s="32">
        <v>44552</v>
      </c>
      <c r="G418" s="8">
        <v>3310984</v>
      </c>
      <c r="I418" s="8">
        <v>1243632</v>
      </c>
      <c r="K418" s="8">
        <v>16358</v>
      </c>
      <c r="M418" s="8">
        <f t="shared" si="39"/>
        <v>4570974</v>
      </c>
      <c r="O418" s="8">
        <f>8254441+594552</f>
        <v>8848993</v>
      </c>
      <c r="Q418" s="8">
        <v>0</v>
      </c>
      <c r="S418" s="8">
        <v>9151286</v>
      </c>
      <c r="U418" s="8">
        <v>102202</v>
      </c>
      <c r="W418" s="8">
        <v>0</v>
      </c>
      <c r="Y418" s="8">
        <v>0</v>
      </c>
      <c r="AA418" s="8">
        <v>315032</v>
      </c>
      <c r="AB418" s="100"/>
      <c r="AC418" s="8">
        <v>0</v>
      </c>
      <c r="AE418" s="8">
        <v>0</v>
      </c>
      <c r="AG418" s="8">
        <f t="shared" si="43"/>
        <v>18417513</v>
      </c>
      <c r="AH418" s="8"/>
      <c r="AI418" s="8">
        <f t="shared" si="38"/>
        <v>22988487</v>
      </c>
    </row>
    <row r="419" spans="1:35" ht="12" customHeight="1">
      <c r="A419" s="12" t="s">
        <v>446</v>
      </c>
      <c r="B419" s="12"/>
      <c r="C419" s="12" t="s">
        <v>37</v>
      </c>
      <c r="D419" s="12"/>
      <c r="E419" s="32">
        <v>44560</v>
      </c>
      <c r="G419" s="8">
        <v>1193278</v>
      </c>
      <c r="I419" s="8">
        <v>3853087</v>
      </c>
      <c r="K419" s="8">
        <v>80599</v>
      </c>
      <c r="M419" s="8">
        <f t="shared" si="39"/>
        <v>5126964</v>
      </c>
      <c r="O419" s="8">
        <v>7541325</v>
      </c>
      <c r="Q419" s="8">
        <v>1787089</v>
      </c>
      <c r="S419" s="8">
        <v>12166619</v>
      </c>
      <c r="U419" s="8">
        <v>406844</v>
      </c>
      <c r="W419" s="8">
        <v>0</v>
      </c>
      <c r="Y419" s="8">
        <v>0</v>
      </c>
      <c r="AA419" s="8">
        <v>296613</v>
      </c>
      <c r="AB419" s="100"/>
      <c r="AC419" s="8">
        <v>0</v>
      </c>
      <c r="AE419" s="8">
        <v>0</v>
      </c>
      <c r="AG419" s="8">
        <f t="shared" si="37"/>
        <v>22198490</v>
      </c>
      <c r="AH419" s="8"/>
      <c r="AI419" s="8">
        <f t="shared" si="38"/>
        <v>27325454</v>
      </c>
    </row>
    <row r="420" spans="1:35" ht="12" customHeight="1">
      <c r="A420" s="12" t="s">
        <v>865</v>
      </c>
      <c r="B420" s="12"/>
      <c r="C420" s="12" t="s">
        <v>32</v>
      </c>
      <c r="D420" s="12"/>
      <c r="E420" s="32">
        <v>44578</v>
      </c>
      <c r="G420" s="8">
        <v>454619</v>
      </c>
      <c r="I420" s="8">
        <v>3976527</v>
      </c>
      <c r="K420" s="8">
        <v>0</v>
      </c>
      <c r="M420" s="8">
        <f t="shared" si="39"/>
        <v>4431146</v>
      </c>
      <c r="O420" s="8">
        <v>10690166</v>
      </c>
      <c r="Q420" s="8">
        <v>0</v>
      </c>
      <c r="S420" s="8">
        <v>10118569</v>
      </c>
      <c r="U420" s="8">
        <v>207127</v>
      </c>
      <c r="W420" s="8">
        <v>0</v>
      </c>
      <c r="Y420" s="8">
        <v>0</v>
      </c>
      <c r="AA420" s="8">
        <v>607712</v>
      </c>
      <c r="AB420" s="100"/>
      <c r="AC420" s="8">
        <v>0</v>
      </c>
      <c r="AE420" s="8">
        <v>0</v>
      </c>
      <c r="AG420" s="8">
        <f t="shared" si="37"/>
        <v>21623574</v>
      </c>
      <c r="AH420" s="8"/>
      <c r="AI420" s="8">
        <f t="shared" si="38"/>
        <v>26054720</v>
      </c>
    </row>
    <row r="421" spans="1:35" ht="12" customHeight="1">
      <c r="A421" s="12" t="s">
        <v>404</v>
      </c>
      <c r="B421" s="12"/>
      <c r="C421" s="12" t="s">
        <v>32</v>
      </c>
      <c r="D421" s="12"/>
      <c r="E421" s="32">
        <v>47373</v>
      </c>
      <c r="G421" s="8">
        <v>5173007</v>
      </c>
      <c r="I421" s="8">
        <v>6788833</v>
      </c>
      <c r="K421" s="8">
        <v>43210</v>
      </c>
      <c r="M421" s="8">
        <f t="shared" si="39"/>
        <v>12005050</v>
      </c>
      <c r="O421" s="8">
        <v>29547354</v>
      </c>
      <c r="Q421" s="8">
        <v>0</v>
      </c>
      <c r="S421" s="8">
        <v>28454221</v>
      </c>
      <c r="U421" s="8">
        <v>0</v>
      </c>
      <c r="W421" s="8">
        <v>0</v>
      </c>
      <c r="Y421" s="8">
        <v>0</v>
      </c>
      <c r="AA421" s="8">
        <v>9892155</v>
      </c>
      <c r="AB421" s="100"/>
      <c r="AC421" s="8">
        <v>0</v>
      </c>
      <c r="AE421" s="8">
        <v>0</v>
      </c>
      <c r="AG421" s="8">
        <f t="shared" si="37"/>
        <v>67893730</v>
      </c>
      <c r="AH421" s="8"/>
      <c r="AI421" s="8">
        <f t="shared" si="38"/>
        <v>79898780</v>
      </c>
    </row>
    <row r="422" spans="1:35" ht="12" customHeight="1">
      <c r="A422" s="12" t="s">
        <v>554</v>
      </c>
      <c r="B422" s="12"/>
      <c r="C422" s="12" t="s">
        <v>50</v>
      </c>
      <c r="D422" s="12"/>
      <c r="E422" s="32">
        <v>44586</v>
      </c>
      <c r="G422" s="8">
        <v>1076603</v>
      </c>
      <c r="I422" s="8">
        <v>932962</v>
      </c>
      <c r="K422" s="8">
        <v>0</v>
      </c>
      <c r="M422" s="8">
        <f t="shared" si="39"/>
        <v>2009565</v>
      </c>
      <c r="O422" s="8">
        <v>16760768</v>
      </c>
      <c r="Q422" s="8">
        <v>0</v>
      </c>
      <c r="S422" s="8">
        <v>7603176</v>
      </c>
      <c r="U422" s="8">
        <v>57197</v>
      </c>
      <c r="W422" s="8">
        <v>0</v>
      </c>
      <c r="Y422" s="8">
        <v>0</v>
      </c>
      <c r="AA422" s="8">
        <v>391572</v>
      </c>
      <c r="AB422" s="100"/>
      <c r="AC422" s="8">
        <v>0</v>
      </c>
      <c r="AE422" s="8">
        <v>0</v>
      </c>
      <c r="AG422" s="8">
        <f t="shared" si="37"/>
        <v>24812713</v>
      </c>
      <c r="AH422" s="8"/>
      <c r="AI422" s="8">
        <f t="shared" si="38"/>
        <v>26822278</v>
      </c>
    </row>
    <row r="423" spans="1:35" ht="12" customHeight="1">
      <c r="A423" s="12" t="s">
        <v>493</v>
      </c>
      <c r="B423" s="12"/>
      <c r="C423" s="12" t="s">
        <v>44</v>
      </c>
      <c r="D423" s="12"/>
      <c r="E423" s="32">
        <v>44594</v>
      </c>
      <c r="G423" s="8">
        <v>496479</v>
      </c>
      <c r="I423" s="8">
        <v>1775836</v>
      </c>
      <c r="K423" s="8">
        <v>0</v>
      </c>
      <c r="M423" s="8">
        <f t="shared" si="39"/>
        <v>2272315</v>
      </c>
      <c r="O423" s="8">
        <v>4383616</v>
      </c>
      <c r="Q423" s="8">
        <v>3617504</v>
      </c>
      <c r="S423" s="8">
        <v>4265155</v>
      </c>
      <c r="U423" s="8">
        <v>51840</v>
      </c>
      <c r="W423" s="8">
        <v>0</v>
      </c>
      <c r="Y423" s="8">
        <v>0</v>
      </c>
      <c r="AA423" s="8">
        <v>253686</v>
      </c>
      <c r="AB423" s="100"/>
      <c r="AC423" s="8">
        <v>0</v>
      </c>
      <c r="AE423" s="8">
        <v>0</v>
      </c>
      <c r="AG423" s="8">
        <f t="shared" si="37"/>
        <v>12571801</v>
      </c>
      <c r="AH423" s="8"/>
      <c r="AI423" s="8">
        <f t="shared" si="38"/>
        <v>14844116</v>
      </c>
    </row>
    <row r="424" spans="1:35" ht="12" hidden="1" customHeight="1">
      <c r="A424" s="13" t="s">
        <v>834</v>
      </c>
      <c r="B424" s="12"/>
      <c r="C424" s="12" t="s">
        <v>60</v>
      </c>
      <c r="D424" s="12"/>
      <c r="E424" s="32">
        <v>49726</v>
      </c>
      <c r="M424" s="8">
        <f t="shared" si="39"/>
        <v>0</v>
      </c>
      <c r="AB424" s="100"/>
      <c r="AG424" s="8">
        <f t="shared" si="37"/>
        <v>0</v>
      </c>
      <c r="AH424" s="8"/>
      <c r="AI424" s="8">
        <f t="shared" si="38"/>
        <v>0</v>
      </c>
    </row>
    <row r="425" spans="1:35" ht="12" customHeight="1">
      <c r="A425" s="12" t="s">
        <v>335</v>
      </c>
      <c r="B425" s="12"/>
      <c r="C425" s="12" t="s">
        <v>23</v>
      </c>
      <c r="D425" s="12"/>
      <c r="E425" s="32">
        <v>46763</v>
      </c>
      <c r="G425" s="8">
        <v>7241359</v>
      </c>
      <c r="I425" s="8">
        <v>6387084</v>
      </c>
      <c r="K425" s="8">
        <v>0</v>
      </c>
      <c r="M425" s="8">
        <f t="shared" si="39"/>
        <v>13628443</v>
      </c>
      <c r="O425" s="8">
        <v>111190249</v>
      </c>
      <c r="Q425" s="8">
        <v>0</v>
      </c>
      <c r="S425" s="8">
        <v>23256179</v>
      </c>
      <c r="U425" s="8">
        <v>2159194</v>
      </c>
      <c r="W425" s="8">
        <v>10941327</v>
      </c>
      <c r="Y425" s="8">
        <v>0</v>
      </c>
      <c r="AA425" s="8">
        <v>683006</v>
      </c>
      <c r="AB425" s="100"/>
      <c r="AC425" s="8">
        <v>0</v>
      </c>
      <c r="AE425" s="8">
        <v>0</v>
      </c>
      <c r="AG425" s="8">
        <f t="shared" si="37"/>
        <v>148229955</v>
      </c>
      <c r="AH425" s="8"/>
      <c r="AI425" s="8">
        <f t="shared" si="38"/>
        <v>161858398</v>
      </c>
    </row>
    <row r="426" spans="1:35" ht="12" customHeight="1">
      <c r="A426" s="12" t="s">
        <v>315</v>
      </c>
      <c r="B426" s="12"/>
      <c r="C426" s="12" t="s">
        <v>20</v>
      </c>
      <c r="D426" s="12"/>
      <c r="E426" s="32">
        <v>46573</v>
      </c>
      <c r="G426" s="8">
        <v>1949499</v>
      </c>
      <c r="I426" s="8">
        <v>1222761</v>
      </c>
      <c r="K426" s="8">
        <v>7300641</v>
      </c>
      <c r="M426" s="8">
        <f t="shared" si="39"/>
        <v>10472901</v>
      </c>
      <c r="O426" s="8">
        <f>19511709+2799388+210974</f>
        <v>22522071</v>
      </c>
      <c r="Q426" s="8">
        <v>0</v>
      </c>
      <c r="S426" s="8">
        <v>15080530</v>
      </c>
      <c r="U426" s="8">
        <v>640396</v>
      </c>
      <c r="W426" s="8">
        <v>0</v>
      </c>
      <c r="Y426" s="8">
        <v>0</v>
      </c>
      <c r="AA426" s="8">
        <v>410553</v>
      </c>
      <c r="AB426" s="100"/>
      <c r="AC426" s="8">
        <v>0</v>
      </c>
      <c r="AE426" s="8">
        <v>0</v>
      </c>
      <c r="AG426" s="8">
        <f t="shared" si="37"/>
        <v>38653550</v>
      </c>
      <c r="AH426" s="8"/>
      <c r="AI426" s="8">
        <f t="shared" si="38"/>
        <v>49126451</v>
      </c>
    </row>
    <row r="427" spans="1:35" ht="12" customHeight="1">
      <c r="A427" s="12" t="s">
        <v>613</v>
      </c>
      <c r="B427" s="12"/>
      <c r="C427" s="12" t="s">
        <v>112</v>
      </c>
      <c r="D427" s="12"/>
      <c r="E427" s="32">
        <v>49478</v>
      </c>
      <c r="G427" s="8">
        <v>1092164</v>
      </c>
      <c r="I427" s="8">
        <v>907733</v>
      </c>
      <c r="K427" s="8">
        <v>35963</v>
      </c>
      <c r="M427" s="8">
        <f t="shared" si="39"/>
        <v>2035860</v>
      </c>
      <c r="O427" s="8">
        <f>9138127+1284088+278142</f>
        <v>10700357</v>
      </c>
      <c r="Q427" s="8">
        <v>0</v>
      </c>
      <c r="S427" s="8">
        <v>5338214</v>
      </c>
      <c r="U427" s="8">
        <v>298665</v>
      </c>
      <c r="W427" s="8">
        <v>0</v>
      </c>
      <c r="Y427" s="8">
        <v>0</v>
      </c>
      <c r="AA427" s="8">
        <v>23234</v>
      </c>
      <c r="AB427" s="100"/>
      <c r="AC427" s="8">
        <v>0</v>
      </c>
      <c r="AE427" s="8">
        <v>0</v>
      </c>
      <c r="AG427" s="8">
        <f t="shared" si="37"/>
        <v>16360470</v>
      </c>
      <c r="AH427" s="8"/>
      <c r="AI427" s="8">
        <f t="shared" si="38"/>
        <v>18396330</v>
      </c>
    </row>
    <row r="428" spans="1:35" ht="12" customHeight="1">
      <c r="A428" s="12" t="s">
        <v>316</v>
      </c>
      <c r="B428" s="12"/>
      <c r="C428" s="12" t="s">
        <v>20</v>
      </c>
      <c r="D428" s="12"/>
      <c r="E428" s="32">
        <v>46581</v>
      </c>
      <c r="G428" s="8">
        <v>4652719</v>
      </c>
      <c r="I428" s="8">
        <v>1741846</v>
      </c>
      <c r="K428" s="8">
        <v>47409</v>
      </c>
      <c r="M428" s="8">
        <f t="shared" si="39"/>
        <v>6441974</v>
      </c>
      <c r="O428" s="8">
        <f>34720303+2098013+794196</f>
        <v>37612512</v>
      </c>
      <c r="Q428" s="8">
        <v>0</v>
      </c>
      <c r="S428" s="8">
        <v>8608261</v>
      </c>
      <c r="U428" s="8">
        <v>1511999</v>
      </c>
      <c r="W428" s="8">
        <v>0</v>
      </c>
      <c r="Y428" s="8">
        <v>0</v>
      </c>
      <c r="AA428" s="8">
        <v>58670</v>
      </c>
      <c r="AB428" s="100"/>
      <c r="AC428" s="8">
        <v>0</v>
      </c>
      <c r="AE428" s="8">
        <v>0</v>
      </c>
      <c r="AG428" s="8">
        <f t="shared" si="37"/>
        <v>47791442</v>
      </c>
      <c r="AH428" s="8"/>
      <c r="AI428" s="8">
        <f t="shared" si="38"/>
        <v>54233416</v>
      </c>
    </row>
    <row r="429" spans="1:35" ht="12" customHeight="1">
      <c r="A429" s="12" t="s">
        <v>498</v>
      </c>
      <c r="B429" s="12"/>
      <c r="C429" s="12" t="s">
        <v>117</v>
      </c>
      <c r="D429" s="12"/>
      <c r="E429" s="32">
        <v>44602</v>
      </c>
      <c r="G429" s="8">
        <v>2337945</v>
      </c>
      <c r="I429" s="8">
        <v>3281306</v>
      </c>
      <c r="K429" s="8">
        <v>65775</v>
      </c>
      <c r="M429" s="8">
        <f t="shared" si="39"/>
        <v>5685026</v>
      </c>
      <c r="O429" s="8">
        <f>20855836+2422775+1018396</f>
        <v>24297007</v>
      </c>
      <c r="Q429" s="8">
        <v>0</v>
      </c>
      <c r="S429" s="8">
        <v>17261316</v>
      </c>
      <c r="U429" s="8">
        <v>237854</v>
      </c>
      <c r="W429" s="8">
        <v>367366</v>
      </c>
      <c r="Y429" s="8">
        <v>0</v>
      </c>
      <c r="AA429" s="8">
        <v>74098</v>
      </c>
      <c r="AB429" s="100"/>
      <c r="AC429" s="8">
        <v>0</v>
      </c>
      <c r="AE429" s="8">
        <v>0</v>
      </c>
      <c r="AG429" s="8">
        <f t="shared" si="37"/>
        <v>42237641</v>
      </c>
      <c r="AH429" s="8"/>
      <c r="AI429" s="8">
        <f t="shared" si="38"/>
        <v>47922667</v>
      </c>
    </row>
    <row r="430" spans="1:35" ht="12" customHeight="1">
      <c r="A430" s="12" t="s">
        <v>723</v>
      </c>
      <c r="B430" s="12"/>
      <c r="C430" s="12" t="s">
        <v>71</v>
      </c>
      <c r="D430" s="12"/>
      <c r="E430" s="32">
        <v>44610</v>
      </c>
      <c r="G430" s="8">
        <v>897862</v>
      </c>
      <c r="I430" s="8">
        <v>1670770</v>
      </c>
      <c r="K430" s="8">
        <v>482484</v>
      </c>
      <c r="M430" s="8">
        <f t="shared" si="39"/>
        <v>3051116</v>
      </c>
      <c r="O430" s="8">
        <v>8252136</v>
      </c>
      <c r="Q430" s="8">
        <v>0</v>
      </c>
      <c r="S430" s="8">
        <v>7050900</v>
      </c>
      <c r="U430" s="8">
        <v>56179</v>
      </c>
      <c r="W430" s="8">
        <v>0</v>
      </c>
      <c r="Y430" s="8">
        <v>0</v>
      </c>
      <c r="AA430" s="8">
        <v>31511</v>
      </c>
      <c r="AB430" s="100"/>
      <c r="AC430" s="8">
        <v>0</v>
      </c>
      <c r="AE430" s="8">
        <v>0</v>
      </c>
      <c r="AG430" s="8">
        <f t="shared" si="37"/>
        <v>15390726</v>
      </c>
      <c r="AH430" s="8"/>
      <c r="AI430" s="8">
        <f t="shared" si="38"/>
        <v>18441842</v>
      </c>
    </row>
    <row r="431" spans="1:35" ht="12" customHeight="1">
      <c r="A431" s="12" t="s">
        <v>659</v>
      </c>
      <c r="B431" s="12"/>
      <c r="C431" s="12" t="s">
        <v>62</v>
      </c>
      <c r="D431" s="12"/>
      <c r="E431" s="32">
        <v>49916</v>
      </c>
      <c r="G431" s="8">
        <v>892787</v>
      </c>
      <c r="I431" s="8">
        <v>1107558</v>
      </c>
      <c r="K431" s="8">
        <v>8989</v>
      </c>
      <c r="M431" s="8">
        <f t="shared" si="39"/>
        <v>2009334</v>
      </c>
      <c r="O431" s="8">
        <v>2795597</v>
      </c>
      <c r="Q431" s="8">
        <v>0</v>
      </c>
      <c r="S431" s="8">
        <v>4181922</v>
      </c>
      <c r="U431" s="8">
        <v>418980</v>
      </c>
      <c r="W431" s="8">
        <v>0</v>
      </c>
      <c r="Y431" s="8">
        <v>0</v>
      </c>
      <c r="AA431" s="8">
        <v>45422</v>
      </c>
      <c r="AB431" s="100"/>
      <c r="AC431" s="8">
        <v>0</v>
      </c>
      <c r="AE431" s="8">
        <v>0</v>
      </c>
      <c r="AG431" s="8">
        <f t="shared" si="37"/>
        <v>7441921</v>
      </c>
      <c r="AH431" s="8"/>
      <c r="AI431" s="8">
        <f t="shared" si="38"/>
        <v>9451255</v>
      </c>
    </row>
    <row r="432" spans="1:35" ht="12" customHeight="1">
      <c r="A432" s="12" t="s">
        <v>737</v>
      </c>
      <c r="B432" s="12"/>
      <c r="C432" s="12" t="s">
        <v>72</v>
      </c>
      <c r="D432" s="12"/>
      <c r="E432" s="32">
        <v>50724</v>
      </c>
      <c r="G432" s="8">
        <v>1181212</v>
      </c>
      <c r="I432" s="8">
        <v>1451367</v>
      </c>
      <c r="K432" s="8">
        <v>22567</v>
      </c>
      <c r="M432" s="8">
        <f t="shared" si="39"/>
        <v>2655146</v>
      </c>
      <c r="O432" s="8">
        <v>5317311</v>
      </c>
      <c r="Q432" s="8">
        <v>2290529</v>
      </c>
      <c r="S432" s="8">
        <v>6133413</v>
      </c>
      <c r="U432" s="8">
        <v>40770</v>
      </c>
      <c r="W432" s="8">
        <v>0</v>
      </c>
      <c r="Y432" s="8">
        <v>1900</v>
      </c>
      <c r="AA432" s="8">
        <v>169602</v>
      </c>
      <c r="AB432" s="100"/>
      <c r="AC432" s="8">
        <v>0</v>
      </c>
      <c r="AE432" s="8">
        <v>0</v>
      </c>
      <c r="AG432" s="8">
        <f t="shared" si="37"/>
        <v>13953525</v>
      </c>
      <c r="AH432" s="8"/>
      <c r="AI432" s="8">
        <f t="shared" si="38"/>
        <v>16608671</v>
      </c>
    </row>
    <row r="433" spans="1:37" ht="12" customHeight="1">
      <c r="A433" s="12" t="s">
        <v>499</v>
      </c>
      <c r="B433" s="12"/>
      <c r="C433" s="12" t="s">
        <v>117</v>
      </c>
      <c r="D433" s="12"/>
      <c r="E433" s="32">
        <v>48215</v>
      </c>
      <c r="G433" s="8">
        <v>391950</v>
      </c>
      <c r="I433" s="8">
        <v>596917</v>
      </c>
      <c r="K433" s="8">
        <v>211360</v>
      </c>
      <c r="M433" s="8">
        <f t="shared" si="39"/>
        <v>1200227</v>
      </c>
      <c r="O433" s="8">
        <v>9891003</v>
      </c>
      <c r="Q433" s="8">
        <v>0</v>
      </c>
      <c r="S433" s="8">
        <v>3290307</v>
      </c>
      <c r="U433" s="8">
        <v>0</v>
      </c>
      <c r="W433" s="8">
        <v>0</v>
      </c>
      <c r="Y433" s="8">
        <v>0</v>
      </c>
      <c r="AA433" s="8">
        <v>464513</v>
      </c>
      <c r="AB433" s="100"/>
      <c r="AC433" s="8">
        <v>0</v>
      </c>
      <c r="AE433" s="8">
        <v>0</v>
      </c>
      <c r="AG433" s="8">
        <f t="shared" si="37"/>
        <v>13645823</v>
      </c>
      <c r="AH433" s="8"/>
      <c r="AI433" s="8">
        <f t="shared" si="38"/>
        <v>14846050</v>
      </c>
    </row>
    <row r="434" spans="1:37" ht="12" hidden="1" customHeight="1">
      <c r="A434" s="108" t="s">
        <v>1047</v>
      </c>
      <c r="B434" s="12"/>
      <c r="C434" s="12" t="s">
        <v>603</v>
      </c>
      <c r="D434" s="12"/>
      <c r="E434" s="32">
        <v>49379</v>
      </c>
      <c r="M434" s="8">
        <f t="shared" si="39"/>
        <v>0</v>
      </c>
      <c r="AB434" s="39"/>
      <c r="AC434" s="8">
        <v>0</v>
      </c>
      <c r="AG434" s="8">
        <f t="shared" si="37"/>
        <v>0</v>
      </c>
      <c r="AH434" s="8"/>
      <c r="AI434" s="8">
        <f t="shared" si="38"/>
        <v>0</v>
      </c>
    </row>
    <row r="435" spans="1:37" ht="12" hidden="1" customHeight="1">
      <c r="A435" s="108" t="s">
        <v>1046</v>
      </c>
      <c r="B435" s="12"/>
      <c r="C435" s="12" t="s">
        <v>603</v>
      </c>
      <c r="D435" s="12"/>
      <c r="E435" s="32">
        <v>49387</v>
      </c>
      <c r="M435" s="8">
        <f t="shared" si="39"/>
        <v>0</v>
      </c>
      <c r="AB435" s="39"/>
      <c r="AC435" s="8">
        <v>0</v>
      </c>
      <c r="AG435" s="8">
        <f t="shared" si="37"/>
        <v>0</v>
      </c>
      <c r="AH435" s="8"/>
      <c r="AI435" s="8">
        <f t="shared" si="38"/>
        <v>0</v>
      </c>
    </row>
    <row r="436" spans="1:37" ht="12" customHeight="1">
      <c r="A436" s="12" t="s">
        <v>461</v>
      </c>
      <c r="B436" s="12"/>
      <c r="C436" s="12" t="s">
        <v>41</v>
      </c>
      <c r="D436" s="12"/>
      <c r="E436" s="32">
        <v>44628</v>
      </c>
      <c r="G436" s="8">
        <v>1291445</v>
      </c>
      <c r="I436" s="8">
        <v>8931754</v>
      </c>
      <c r="K436" s="8">
        <v>11238761</v>
      </c>
      <c r="M436" s="8">
        <f t="shared" si="39"/>
        <v>21461960</v>
      </c>
      <c r="O436" s="8">
        <v>10652332</v>
      </c>
      <c r="Q436" s="8">
        <v>0</v>
      </c>
      <c r="S436" s="8">
        <v>16485472</v>
      </c>
      <c r="U436" s="8">
        <v>0</v>
      </c>
      <c r="W436" s="8">
        <v>0</v>
      </c>
      <c r="Y436" s="8">
        <v>0</v>
      </c>
      <c r="AA436" s="8">
        <v>974581</v>
      </c>
      <c r="AB436" s="100"/>
      <c r="AC436" s="8">
        <v>0</v>
      </c>
      <c r="AE436" s="8">
        <v>0</v>
      </c>
      <c r="AG436" s="8">
        <f t="shared" si="37"/>
        <v>28112385</v>
      </c>
      <c r="AH436" s="8"/>
      <c r="AI436" s="8">
        <f t="shared" si="38"/>
        <v>49574345</v>
      </c>
    </row>
    <row r="437" spans="1:37" ht="12" hidden="1" customHeight="1">
      <c r="A437" s="12" t="s">
        <v>1003</v>
      </c>
      <c r="B437" s="12"/>
      <c r="C437" s="12" t="s">
        <v>41</v>
      </c>
      <c r="D437" s="12"/>
      <c r="E437" s="32">
        <v>47894</v>
      </c>
      <c r="M437" s="8">
        <f t="shared" si="39"/>
        <v>0</v>
      </c>
      <c r="W437" s="8">
        <v>0</v>
      </c>
      <c r="AB437" s="100"/>
      <c r="AC437" s="8">
        <v>0</v>
      </c>
      <c r="AG437" s="8">
        <f t="shared" si="37"/>
        <v>0</v>
      </c>
      <c r="AH437" s="8"/>
      <c r="AI437" s="8">
        <f t="shared" si="38"/>
        <v>0</v>
      </c>
      <c r="AK437" s="8" t="s">
        <v>1029</v>
      </c>
    </row>
    <row r="438" spans="1:37" ht="12" customHeight="1">
      <c r="A438" s="12" t="s">
        <v>619</v>
      </c>
      <c r="B438" s="12"/>
      <c r="C438" s="12" t="s">
        <v>58</v>
      </c>
      <c r="D438" s="12"/>
      <c r="E438" s="32">
        <v>49510</v>
      </c>
      <c r="G438" s="8">
        <v>779194</v>
      </c>
      <c r="I438" s="8">
        <v>2348389</v>
      </c>
      <c r="K438" s="8">
        <v>0</v>
      </c>
      <c r="M438" s="8">
        <f t="shared" si="39"/>
        <v>3127583</v>
      </c>
      <c r="O438" s="8">
        <v>1726900</v>
      </c>
      <c r="Q438" s="8">
        <v>0</v>
      </c>
      <c r="S438" s="8">
        <v>6400368</v>
      </c>
      <c r="U438" s="8">
        <v>73766</v>
      </c>
      <c r="W438" s="8">
        <v>0</v>
      </c>
      <c r="Y438" s="8">
        <v>4353</v>
      </c>
      <c r="AA438" s="8">
        <v>18718</v>
      </c>
      <c r="AB438" s="100"/>
      <c r="AC438" s="8">
        <v>0</v>
      </c>
      <c r="AE438" s="8">
        <v>0</v>
      </c>
      <c r="AG438" s="8">
        <f t="shared" si="37"/>
        <v>8224105</v>
      </c>
      <c r="AH438" s="8"/>
      <c r="AI438" s="8">
        <f t="shared" si="38"/>
        <v>11351688</v>
      </c>
      <c r="AK438" s="8" t="s">
        <v>956</v>
      </c>
    </row>
    <row r="439" spans="1:37" ht="12" hidden="1" customHeight="1">
      <c r="A439" s="91" t="s">
        <v>1004</v>
      </c>
      <c r="B439" s="12"/>
      <c r="C439" s="12" t="s">
        <v>603</v>
      </c>
      <c r="D439" s="12"/>
      <c r="E439" s="32">
        <v>49395</v>
      </c>
      <c r="M439" s="8">
        <f t="shared" si="39"/>
        <v>0</v>
      </c>
      <c r="AB439" s="100"/>
      <c r="AC439" s="8">
        <v>0</v>
      </c>
      <c r="AG439" s="8">
        <f t="shared" si="37"/>
        <v>0</v>
      </c>
      <c r="AH439" s="8"/>
      <c r="AI439" s="8">
        <f t="shared" si="38"/>
        <v>0</v>
      </c>
    </row>
    <row r="440" spans="1:37" ht="12" hidden="1" customHeight="1">
      <c r="A440" s="12" t="s">
        <v>1005</v>
      </c>
      <c r="B440" s="12"/>
      <c r="C440" s="12" t="s">
        <v>534</v>
      </c>
      <c r="D440" s="12"/>
      <c r="E440" s="32">
        <v>48579</v>
      </c>
      <c r="G440" s="8">
        <v>985410</v>
      </c>
      <c r="I440" s="8">
        <v>1464142</v>
      </c>
      <c r="K440" s="8">
        <v>38813</v>
      </c>
      <c r="M440" s="8">
        <f t="shared" si="39"/>
        <v>2488365</v>
      </c>
      <c r="O440" s="8">
        <f>1875303+711399+95066+49449</f>
        <v>2731217</v>
      </c>
      <c r="Q440" s="8">
        <v>1104878</v>
      </c>
      <c r="S440" s="8">
        <v>5372899</v>
      </c>
      <c r="W440" s="8">
        <v>2500</v>
      </c>
      <c r="AA440" s="8">
        <v>149575</v>
      </c>
      <c r="AB440" s="100"/>
      <c r="AC440" s="8">
        <v>0</v>
      </c>
      <c r="AG440" s="8">
        <f t="shared" si="37"/>
        <v>9361069</v>
      </c>
      <c r="AH440" s="8"/>
      <c r="AI440" s="8">
        <f t="shared" si="38"/>
        <v>11849434</v>
      </c>
    </row>
    <row r="441" spans="1:37" ht="12" customHeight="1">
      <c r="A441" s="12" t="s">
        <v>317</v>
      </c>
      <c r="B441" s="12"/>
      <c r="C441" s="12" t="s">
        <v>20</v>
      </c>
      <c r="D441" s="12"/>
      <c r="E441" s="32">
        <v>44636</v>
      </c>
      <c r="G441" s="8">
        <v>9600000</v>
      </c>
      <c r="I441" s="8">
        <v>13700000</v>
      </c>
      <c r="K441" s="8">
        <v>500000</v>
      </c>
      <c r="M441" s="8">
        <f t="shared" si="39"/>
        <v>23800000</v>
      </c>
      <c r="O441" s="8">
        <v>88000000</v>
      </c>
      <c r="Q441" s="8">
        <v>0</v>
      </c>
      <c r="S441" s="8">
        <v>39400000</v>
      </c>
      <c r="U441" s="8">
        <v>500000</v>
      </c>
      <c r="W441" s="8">
        <v>0</v>
      </c>
      <c r="Y441" s="8">
        <v>0</v>
      </c>
      <c r="AA441" s="8">
        <v>1600000</v>
      </c>
      <c r="AB441" s="100"/>
      <c r="AC441" s="8">
        <v>0</v>
      </c>
      <c r="AE441" s="8">
        <v>0</v>
      </c>
      <c r="AG441" s="8">
        <f t="shared" si="37"/>
        <v>129500000</v>
      </c>
      <c r="AH441" s="8"/>
      <c r="AI441" s="8">
        <f t="shared" si="38"/>
        <v>153300000</v>
      </c>
      <c r="AK441" s="10" t="s">
        <v>1006</v>
      </c>
    </row>
    <row r="442" spans="1:37" ht="12" customHeight="1">
      <c r="A442" s="12" t="s">
        <v>433</v>
      </c>
      <c r="B442" s="12"/>
      <c r="C442" s="12" t="s">
        <v>34</v>
      </c>
      <c r="D442" s="12"/>
      <c r="E442" s="32">
        <v>47597</v>
      </c>
      <c r="G442" s="8">
        <v>898443</v>
      </c>
      <c r="I442" s="8">
        <v>1124419</v>
      </c>
      <c r="K442" s="8">
        <v>0</v>
      </c>
      <c r="M442" s="8">
        <f t="shared" si="39"/>
        <v>2022862</v>
      </c>
      <c r="O442" s="8">
        <v>2945012</v>
      </c>
      <c r="Q442" s="8">
        <v>1794533</v>
      </c>
      <c r="S442" s="8">
        <v>5111824</v>
      </c>
      <c r="U442" s="8">
        <v>29793</v>
      </c>
      <c r="W442" s="8">
        <v>0</v>
      </c>
      <c r="Y442" s="8">
        <v>0</v>
      </c>
      <c r="AA442" s="8">
        <f>121568+16520</f>
        <v>138088</v>
      </c>
      <c r="AB442" s="100"/>
      <c r="AC442" s="8">
        <v>0</v>
      </c>
      <c r="AE442" s="8">
        <v>0</v>
      </c>
      <c r="AG442" s="8">
        <f t="shared" si="37"/>
        <v>10019250</v>
      </c>
      <c r="AH442" s="8"/>
      <c r="AI442" s="8">
        <f t="shared" si="38"/>
        <v>12042112</v>
      </c>
    </row>
    <row r="443" spans="1:37" ht="12" hidden="1" customHeight="1">
      <c r="A443" s="12" t="s">
        <v>1007</v>
      </c>
      <c r="B443" s="12"/>
      <c r="C443" s="12" t="s">
        <v>576</v>
      </c>
      <c r="D443" s="12"/>
      <c r="E443" s="32">
        <v>45575</v>
      </c>
      <c r="G443" s="8">
        <v>580487</v>
      </c>
      <c r="I443" s="8">
        <v>2577584</v>
      </c>
      <c r="K443" s="8">
        <v>28481</v>
      </c>
      <c r="M443" s="8">
        <f t="shared" si="39"/>
        <v>3186552</v>
      </c>
      <c r="O443" s="8">
        <f>3012190+57449+509248+130576</f>
        <v>3709463</v>
      </c>
      <c r="Q443" s="8">
        <v>1720822</v>
      </c>
      <c r="S443" s="8">
        <v>8557722</v>
      </c>
      <c r="U443" s="8">
        <v>60098</v>
      </c>
      <c r="W443" s="8">
        <v>9625</v>
      </c>
      <c r="AA443" s="8">
        <v>127739</v>
      </c>
      <c r="AB443" s="100"/>
      <c r="AC443" s="8">
        <v>0</v>
      </c>
      <c r="AE443" s="10"/>
      <c r="AG443" s="8">
        <f>SUM(O443:AE443)</f>
        <v>14185469</v>
      </c>
      <c r="AH443" s="8"/>
      <c r="AI443" s="8">
        <f t="shared" si="38"/>
        <v>17372021</v>
      </c>
    </row>
    <row r="444" spans="1:37" ht="12" customHeight="1">
      <c r="A444" s="12" t="s">
        <v>340</v>
      </c>
      <c r="B444" s="12"/>
      <c r="C444" s="12" t="s">
        <v>24</v>
      </c>
      <c r="D444" s="12"/>
      <c r="E444" s="32">
        <v>46813</v>
      </c>
      <c r="G444" s="8">
        <v>2474585</v>
      </c>
      <c r="I444" s="8">
        <v>1538929</v>
      </c>
      <c r="K444" s="8">
        <v>42953</v>
      </c>
      <c r="M444" s="8">
        <f t="shared" si="39"/>
        <v>4056467</v>
      </c>
      <c r="O444" s="8">
        <v>14177343</v>
      </c>
      <c r="Q444" s="8">
        <v>0</v>
      </c>
      <c r="S444" s="8">
        <v>7399938</v>
      </c>
      <c r="U444" s="8">
        <v>130044</v>
      </c>
      <c r="W444" s="8">
        <v>0</v>
      </c>
      <c r="Y444" s="8">
        <v>0</v>
      </c>
      <c r="AA444" s="8">
        <v>64574</v>
      </c>
      <c r="AB444" s="100"/>
      <c r="AC444" s="8">
        <v>0</v>
      </c>
      <c r="AE444" s="8">
        <v>0</v>
      </c>
      <c r="AG444" s="8">
        <f t="shared" si="37"/>
        <v>21771899</v>
      </c>
      <c r="AH444" s="8"/>
      <c r="AI444" s="8">
        <f t="shared" si="38"/>
        <v>25828366</v>
      </c>
    </row>
    <row r="445" spans="1:37" ht="12" hidden="1" customHeight="1">
      <c r="A445" s="12" t="s">
        <v>1008</v>
      </c>
      <c r="B445" s="12"/>
      <c r="C445" s="12" t="s">
        <v>10</v>
      </c>
      <c r="D445" s="12"/>
      <c r="E445" s="32"/>
      <c r="G445" s="8">
        <v>1834870</v>
      </c>
      <c r="I445" s="8">
        <v>937753</v>
      </c>
      <c r="M445" s="8">
        <f t="shared" si="39"/>
        <v>2772623</v>
      </c>
      <c r="O445" s="8">
        <f>2624237+287729+95152</f>
        <v>3007118</v>
      </c>
      <c r="S445" s="8">
        <v>2215660</v>
      </c>
      <c r="U445" s="8">
        <v>69088</v>
      </c>
      <c r="AA445" s="8">
        <v>23754</v>
      </c>
      <c r="AB445" s="100"/>
      <c r="AC445" s="8">
        <v>0</v>
      </c>
      <c r="AG445" s="8">
        <f t="shared" si="37"/>
        <v>5315620</v>
      </c>
      <c r="AH445" s="8"/>
      <c r="AI445" s="8">
        <f t="shared" si="38"/>
        <v>8088243</v>
      </c>
    </row>
    <row r="446" spans="1:37" ht="12" customHeight="1">
      <c r="A446" s="12" t="s">
        <v>211</v>
      </c>
      <c r="B446" s="12"/>
      <c r="C446" s="12" t="s">
        <v>41</v>
      </c>
      <c r="D446" s="12"/>
      <c r="E446" s="32">
        <v>47902</v>
      </c>
      <c r="G446" s="8">
        <v>1088078</v>
      </c>
      <c r="I446" s="8">
        <v>695602</v>
      </c>
      <c r="K446" s="8">
        <v>0</v>
      </c>
      <c r="M446" s="8">
        <f>SUM(G446:L446)</f>
        <v>1783680</v>
      </c>
      <c r="O446" s="8">
        <v>14455059</v>
      </c>
      <c r="Q446" s="8">
        <v>0</v>
      </c>
      <c r="S446" s="8">
        <v>12119566</v>
      </c>
      <c r="U446" s="8">
        <v>772699</v>
      </c>
      <c r="W446" s="8">
        <v>0</v>
      </c>
      <c r="Y446" s="8">
        <v>0</v>
      </c>
      <c r="AA446" s="8">
        <v>514017</v>
      </c>
      <c r="AB446" s="100"/>
      <c r="AC446" s="8">
        <v>0</v>
      </c>
      <c r="AE446" s="8">
        <v>0</v>
      </c>
      <c r="AG446" s="8">
        <f>SUM(O446:AE446)</f>
        <v>27861341</v>
      </c>
      <c r="AH446" s="8"/>
      <c r="AI446" s="8">
        <f>+AG446+M446</f>
        <v>29645021</v>
      </c>
    </row>
    <row r="447" spans="1:37" ht="12" customHeight="1">
      <c r="A447" s="12" t="s">
        <v>211</v>
      </c>
      <c r="B447" s="12"/>
      <c r="C447" s="12" t="s">
        <v>62</v>
      </c>
      <c r="D447" s="12"/>
      <c r="E447" s="32">
        <v>49924</v>
      </c>
      <c r="G447" s="8">
        <v>3434599</v>
      </c>
      <c r="I447" s="8">
        <v>4880992</v>
      </c>
      <c r="K447" s="8">
        <v>254982</v>
      </c>
      <c r="M447" s="8">
        <f>SUM(G447:L447)</f>
        <v>8570573</v>
      </c>
      <c r="O447" s="8">
        <v>19775017</v>
      </c>
      <c r="Q447" s="8">
        <v>0</v>
      </c>
      <c r="S447" s="8">
        <v>18586656</v>
      </c>
      <c r="U447" s="8">
        <v>0</v>
      </c>
      <c r="W447" s="8">
        <v>0</v>
      </c>
      <c r="Y447" s="8">
        <v>0</v>
      </c>
      <c r="AA447" s="8">
        <v>984173</v>
      </c>
      <c r="AB447" s="100"/>
      <c r="AC447" s="8">
        <v>0</v>
      </c>
      <c r="AE447" s="8">
        <v>0</v>
      </c>
      <c r="AG447" s="8">
        <f>SUM(O447:AE447)</f>
        <v>39345846</v>
      </c>
      <c r="AH447" s="8"/>
      <c r="AI447" s="8">
        <f>+AG447+M447</f>
        <v>47916419</v>
      </c>
    </row>
    <row r="448" spans="1:37" ht="12" customHeight="1">
      <c r="A448" s="12" t="s">
        <v>738</v>
      </c>
      <c r="B448" s="12"/>
      <c r="C448" s="12" t="s">
        <v>72</v>
      </c>
      <c r="D448" s="12"/>
      <c r="E448" s="32">
        <v>45583</v>
      </c>
      <c r="G448" s="8">
        <v>2333873</v>
      </c>
      <c r="I448" s="8">
        <v>1775332</v>
      </c>
      <c r="K448" s="8">
        <v>41691</v>
      </c>
      <c r="M448" s="8">
        <f>SUM(G448:L448)</f>
        <v>4150896</v>
      </c>
      <c r="O448" s="8">
        <v>23947466</v>
      </c>
      <c r="Q448" s="8">
        <v>4848295</v>
      </c>
      <c r="S448" s="8">
        <v>13455114</v>
      </c>
      <c r="U448" s="8">
        <v>144448</v>
      </c>
      <c r="W448" s="8">
        <v>0</v>
      </c>
      <c r="Y448" s="8">
        <v>0</v>
      </c>
      <c r="AA448" s="8">
        <v>1305655</v>
      </c>
      <c r="AB448" s="100"/>
      <c r="AC448" s="8">
        <v>0</v>
      </c>
      <c r="AE448" s="8">
        <v>0</v>
      </c>
      <c r="AG448" s="8">
        <f>SUM(O448:AE448)</f>
        <v>43700978</v>
      </c>
      <c r="AH448" s="8"/>
      <c r="AI448" s="8">
        <f>+AG448+M448</f>
        <v>47851874</v>
      </c>
    </row>
    <row r="449" spans="1:37" ht="12" customHeight="1">
      <c r="A449" s="12" t="s">
        <v>371</v>
      </c>
      <c r="B449" s="12"/>
      <c r="C449" s="12" t="s">
        <v>28</v>
      </c>
      <c r="D449" s="12"/>
      <c r="E449" s="32">
        <v>47076</v>
      </c>
      <c r="G449" s="8">
        <v>1261567</v>
      </c>
      <c r="I449" s="8">
        <v>416243</v>
      </c>
      <c r="K449" s="8">
        <v>1834361</v>
      </c>
      <c r="M449" s="8">
        <f>SUM(G449:L449)</f>
        <v>3512171</v>
      </c>
      <c r="O449" s="8">
        <v>1348026</v>
      </c>
      <c r="Q449" s="8">
        <v>412461</v>
      </c>
      <c r="S449" s="8">
        <v>2145208</v>
      </c>
      <c r="U449" s="8">
        <v>58408</v>
      </c>
      <c r="W449" s="8">
        <v>0</v>
      </c>
      <c r="Y449" s="8">
        <v>28392</v>
      </c>
      <c r="AA449" s="8">
        <v>2304</v>
      </c>
      <c r="AB449" s="100"/>
      <c r="AC449" s="8">
        <v>0</v>
      </c>
      <c r="AE449" s="8">
        <v>0</v>
      </c>
      <c r="AG449" s="8">
        <f>SUM(O449:AE449)</f>
        <v>3994799</v>
      </c>
      <c r="AH449" s="8"/>
      <c r="AI449" s="8">
        <f>+AG449+M449</f>
        <v>7506970</v>
      </c>
      <c r="AK449" s="8" t="s">
        <v>956</v>
      </c>
    </row>
    <row r="450" spans="1:37" ht="12" customHeight="1">
      <c r="A450" s="12" t="s">
        <v>349</v>
      </c>
      <c r="B450" s="12"/>
      <c r="C450" s="12" t="s">
        <v>25</v>
      </c>
      <c r="D450" s="12"/>
      <c r="E450" s="32">
        <v>46896</v>
      </c>
      <c r="G450" s="8">
        <v>4892717</v>
      </c>
      <c r="I450" s="8">
        <v>7477582</v>
      </c>
      <c r="K450" s="8">
        <v>82369</v>
      </c>
      <c r="M450" s="8">
        <f>SUM(G450:L450)</f>
        <v>12452668</v>
      </c>
      <c r="O450" s="8">
        <v>41803958</v>
      </c>
      <c r="Q450" s="8">
        <v>12707691</v>
      </c>
      <c r="S450" s="8">
        <f>47962247+52387820</f>
        <v>100350067</v>
      </c>
      <c r="U450" s="8">
        <v>1438880</v>
      </c>
      <c r="W450" s="8">
        <v>0</v>
      </c>
      <c r="Y450" s="8">
        <v>0</v>
      </c>
      <c r="AA450" s="8">
        <v>139844</v>
      </c>
      <c r="AB450" s="100"/>
      <c r="AC450" s="8">
        <v>0</v>
      </c>
      <c r="AE450" s="8">
        <v>0</v>
      </c>
      <c r="AG450" s="8">
        <f>SUM(O450:AE450)</f>
        <v>156440440</v>
      </c>
      <c r="AH450" s="8"/>
      <c r="AI450" s="8">
        <f>+AG450+M450</f>
        <v>168893108</v>
      </c>
    </row>
    <row r="451" spans="1:37" s="8" customFormat="1" ht="12" customHeight="1">
      <c r="A451" s="13" t="s">
        <v>372</v>
      </c>
      <c r="B451" s="13"/>
      <c r="C451" s="13" t="s">
        <v>28</v>
      </c>
      <c r="D451" s="13"/>
      <c r="E451" s="13">
        <v>47084</v>
      </c>
      <c r="G451" s="8">
        <v>1179773</v>
      </c>
      <c r="I451" s="8">
        <v>1342007</v>
      </c>
      <c r="K451" s="8">
        <v>17328</v>
      </c>
      <c r="M451" s="8">
        <f t="shared" ref="M451:M487" si="44">SUM(G451:L451)</f>
        <v>2539108</v>
      </c>
      <c r="O451" s="8">
        <f>3342056+1040474+40338</f>
        <v>4422868</v>
      </c>
      <c r="Q451" s="8">
        <v>0</v>
      </c>
      <c r="S451" s="8">
        <v>21577291</v>
      </c>
      <c r="U451" s="8">
        <v>312624</v>
      </c>
      <c r="W451" s="8">
        <v>0</v>
      </c>
      <c r="Y451" s="8">
        <v>0</v>
      </c>
      <c r="AA451" s="8">
        <v>105279</v>
      </c>
      <c r="AB451" s="100"/>
      <c r="AC451" s="8">
        <v>0</v>
      </c>
      <c r="AE451" s="8">
        <v>0</v>
      </c>
      <c r="AG451" s="8">
        <f t="shared" ref="AG451:AG521" si="45">SUM(O451:AE451)</f>
        <v>26418062</v>
      </c>
      <c r="AI451" s="8">
        <f t="shared" ref="AI451:AI521" si="46">+AG451+M451</f>
        <v>28957170</v>
      </c>
    </row>
    <row r="452" spans="1:37" ht="12" customHeight="1">
      <c r="A452" s="12" t="s">
        <v>540</v>
      </c>
      <c r="B452" s="12"/>
      <c r="C452" s="12" t="s">
        <v>48</v>
      </c>
      <c r="D452" s="12"/>
      <c r="E452" s="32">
        <v>44644</v>
      </c>
      <c r="G452" s="8">
        <v>1354448</v>
      </c>
      <c r="I452" s="8">
        <v>3617537</v>
      </c>
      <c r="K452" s="8">
        <v>46110</v>
      </c>
      <c r="M452" s="8">
        <f t="shared" si="44"/>
        <v>5018095</v>
      </c>
      <c r="O452" s="8">
        <v>12030474</v>
      </c>
      <c r="Q452" s="8">
        <v>3382521</v>
      </c>
      <c r="S452" s="8">
        <v>15554509</v>
      </c>
      <c r="U452" s="8">
        <v>0</v>
      </c>
      <c r="W452" s="8">
        <v>0</v>
      </c>
      <c r="Y452" s="8">
        <v>0</v>
      </c>
      <c r="AA452" s="8">
        <v>547259</v>
      </c>
      <c r="AB452" s="100"/>
      <c r="AC452" s="8">
        <v>0</v>
      </c>
      <c r="AE452" s="8">
        <v>0</v>
      </c>
      <c r="AG452" s="8">
        <f t="shared" si="45"/>
        <v>31514763</v>
      </c>
      <c r="AH452" s="8"/>
      <c r="AI452" s="8">
        <f t="shared" si="46"/>
        <v>36532858</v>
      </c>
    </row>
    <row r="453" spans="1:37" ht="12" hidden="1" customHeight="1">
      <c r="A453" s="77" t="s">
        <v>1010</v>
      </c>
      <c r="B453" s="12"/>
      <c r="C453" s="12" t="s">
        <v>27</v>
      </c>
      <c r="D453" s="12"/>
      <c r="E453" s="32">
        <v>46995</v>
      </c>
      <c r="M453" s="8">
        <f t="shared" si="44"/>
        <v>0</v>
      </c>
      <c r="AB453" s="100"/>
      <c r="AC453" s="8">
        <v>0</v>
      </c>
      <c r="AG453" s="8">
        <f t="shared" si="45"/>
        <v>0</v>
      </c>
      <c r="AH453" s="8"/>
      <c r="AI453" s="8">
        <f t="shared" si="46"/>
        <v>0</v>
      </c>
      <c r="AK453" s="8" t="s">
        <v>1011</v>
      </c>
    </row>
    <row r="454" spans="1:37" s="8" customFormat="1" ht="12" customHeight="1">
      <c r="A454" s="13" t="s">
        <v>361</v>
      </c>
      <c r="B454" s="13"/>
      <c r="C454" s="13" t="s">
        <v>62</v>
      </c>
      <c r="D454" s="13"/>
      <c r="E454" s="32">
        <v>49932</v>
      </c>
      <c r="F454" s="10"/>
      <c r="G454" s="8">
        <v>3183983</v>
      </c>
      <c r="I454" s="8">
        <v>7028399</v>
      </c>
      <c r="K454" s="8">
        <v>294051</v>
      </c>
      <c r="M454" s="8">
        <f t="shared" si="44"/>
        <v>10506433</v>
      </c>
      <c r="O454" s="8">
        <v>25917206</v>
      </c>
      <c r="Q454" s="8">
        <v>0</v>
      </c>
      <c r="S454" s="8">
        <v>19747622</v>
      </c>
      <c r="U454" s="8">
        <v>338361</v>
      </c>
      <c r="W454" s="8">
        <v>0</v>
      </c>
      <c r="Y454" s="8">
        <v>0</v>
      </c>
      <c r="AA454" s="8">
        <v>70948</v>
      </c>
      <c r="AB454" s="100"/>
      <c r="AC454" s="8">
        <v>0</v>
      </c>
      <c r="AE454" s="8">
        <v>0</v>
      </c>
      <c r="AG454" s="8">
        <f t="shared" si="45"/>
        <v>46074137</v>
      </c>
      <c r="AI454" s="8">
        <f t="shared" si="46"/>
        <v>56580570</v>
      </c>
    </row>
    <row r="455" spans="1:37" ht="12" customHeight="1">
      <c r="A455" s="12" t="s">
        <v>522</v>
      </c>
      <c r="B455" s="12"/>
      <c r="C455" s="12" t="s">
        <v>46</v>
      </c>
      <c r="D455" s="12"/>
      <c r="E455" s="32">
        <v>48421</v>
      </c>
      <c r="G455" s="8">
        <v>2580327</v>
      </c>
      <c r="I455" s="8">
        <v>1123558</v>
      </c>
      <c r="K455" s="8">
        <v>22171</v>
      </c>
      <c r="M455" s="8">
        <f t="shared" si="44"/>
        <v>3726056</v>
      </c>
      <c r="O455" s="8">
        <f>3989158+342139</f>
        <v>4331297</v>
      </c>
      <c r="Q455" s="8">
        <v>0</v>
      </c>
      <c r="S455" s="8">
        <v>4862776</v>
      </c>
      <c r="U455" s="8">
        <v>128020</v>
      </c>
      <c r="W455" s="8">
        <v>0</v>
      </c>
      <c r="Y455" s="8">
        <v>0</v>
      </c>
      <c r="AA455" s="8">
        <f>1500+82252</f>
        <v>83752</v>
      </c>
      <c r="AB455" s="100"/>
      <c r="AC455" s="8">
        <v>0</v>
      </c>
      <c r="AE455" s="8">
        <v>0</v>
      </c>
      <c r="AG455" s="8">
        <f t="shared" si="45"/>
        <v>9405845</v>
      </c>
      <c r="AH455" s="8"/>
      <c r="AI455" s="8">
        <f t="shared" si="46"/>
        <v>13131901</v>
      </c>
    </row>
    <row r="456" spans="1:37" ht="12" customHeight="1">
      <c r="A456" s="12" t="s">
        <v>614</v>
      </c>
      <c r="B456" s="12"/>
      <c r="C456" s="12" t="s">
        <v>112</v>
      </c>
      <c r="D456" s="12"/>
      <c r="E456" s="32">
        <v>49460</v>
      </c>
      <c r="G456" s="8">
        <v>669018</v>
      </c>
      <c r="I456" s="8">
        <v>1414932</v>
      </c>
      <c r="K456" s="8">
        <v>311046</v>
      </c>
      <c r="M456" s="8">
        <f t="shared" si="44"/>
        <v>2394996</v>
      </c>
      <c r="O456" s="8">
        <v>1576484</v>
      </c>
      <c r="Q456" s="8">
        <v>732810</v>
      </c>
      <c r="S456" s="8">
        <v>4952260</v>
      </c>
      <c r="U456" s="8">
        <v>78345</v>
      </c>
      <c r="W456" s="8">
        <v>0</v>
      </c>
      <c r="Y456" s="8">
        <v>0</v>
      </c>
      <c r="AA456" s="8">
        <v>31880</v>
      </c>
      <c r="AB456" s="100"/>
      <c r="AC456" s="8">
        <v>0</v>
      </c>
      <c r="AE456" s="8">
        <v>0</v>
      </c>
      <c r="AG456" s="8">
        <f t="shared" si="45"/>
        <v>7371779</v>
      </c>
      <c r="AH456" s="8"/>
      <c r="AI456" s="8">
        <f t="shared" si="46"/>
        <v>9766775</v>
      </c>
    </row>
    <row r="457" spans="1:37" ht="12" customHeight="1">
      <c r="A457" s="12"/>
      <c r="B457" s="12"/>
      <c r="C457" s="12"/>
      <c r="D457" s="12"/>
      <c r="E457" s="32"/>
      <c r="AB457" s="100"/>
      <c r="AH457" s="8"/>
    </row>
    <row r="458" spans="1:37" ht="12" customHeight="1">
      <c r="A458" s="12"/>
      <c r="B458" s="12"/>
      <c r="C458" s="12"/>
      <c r="D458" s="12"/>
      <c r="E458" s="32"/>
      <c r="AB458" s="100"/>
      <c r="AH458" s="8"/>
      <c r="AI458" s="8" t="s">
        <v>805</v>
      </c>
    </row>
    <row r="459" spans="1:37" ht="12" customHeight="1">
      <c r="A459" s="12"/>
      <c r="B459" s="12"/>
      <c r="C459" s="12"/>
      <c r="D459" s="12"/>
      <c r="E459" s="32"/>
      <c r="AB459" s="100"/>
      <c r="AH459" s="8"/>
    </row>
    <row r="460" spans="1:37" ht="12" customHeight="1">
      <c r="A460" s="12" t="s">
        <v>1072</v>
      </c>
      <c r="B460" s="12"/>
      <c r="C460" s="12" t="s">
        <v>45</v>
      </c>
      <c r="D460" s="12"/>
      <c r="E460" s="32">
        <v>48348</v>
      </c>
      <c r="G460" s="35">
        <v>1210904</v>
      </c>
      <c r="H460" s="35"/>
      <c r="I460" s="35">
        <v>1143287</v>
      </c>
      <c r="J460" s="35"/>
      <c r="K460" s="35">
        <v>156458</v>
      </c>
      <c r="L460" s="35"/>
      <c r="M460" s="35">
        <f t="shared" si="44"/>
        <v>2510649</v>
      </c>
      <c r="N460" s="35"/>
      <c r="O460" s="35">
        <v>11938927</v>
      </c>
      <c r="P460" s="35"/>
      <c r="Q460" s="35">
        <v>0</v>
      </c>
      <c r="R460" s="35"/>
      <c r="S460" s="35">
        <v>7928005</v>
      </c>
      <c r="T460" s="35"/>
      <c r="U460" s="35">
        <v>179799</v>
      </c>
      <c r="V460" s="35"/>
      <c r="W460" s="35">
        <v>0</v>
      </c>
      <c r="X460" s="35"/>
      <c r="Y460" s="35">
        <v>0</v>
      </c>
      <c r="Z460" s="35"/>
      <c r="AA460" s="35">
        <v>12707</v>
      </c>
      <c r="AB460" s="105"/>
      <c r="AC460" s="35">
        <v>0</v>
      </c>
      <c r="AD460" s="35"/>
      <c r="AE460" s="35">
        <v>0</v>
      </c>
      <c r="AF460" s="35"/>
      <c r="AG460" s="35">
        <f t="shared" si="45"/>
        <v>20059438</v>
      </c>
      <c r="AH460" s="35"/>
      <c r="AI460" s="35">
        <f t="shared" si="46"/>
        <v>22570087</v>
      </c>
      <c r="AK460" s="15" t="s">
        <v>1012</v>
      </c>
    </row>
    <row r="461" spans="1:37" ht="12" customHeight="1">
      <c r="A461" s="12" t="s">
        <v>575</v>
      </c>
      <c r="B461" s="12"/>
      <c r="C461" s="12" t="s">
        <v>53</v>
      </c>
      <c r="D461" s="12"/>
      <c r="E461" s="32">
        <v>44651</v>
      </c>
      <c r="G461" s="8">
        <v>834870</v>
      </c>
      <c r="I461" s="8">
        <v>1562257</v>
      </c>
      <c r="K461" s="8">
        <v>19451</v>
      </c>
      <c r="M461" s="8">
        <f t="shared" si="44"/>
        <v>2416578</v>
      </c>
      <c r="O461" s="8">
        <v>14054441</v>
      </c>
      <c r="Q461" s="8">
        <v>0</v>
      </c>
      <c r="S461" s="8">
        <v>6425300</v>
      </c>
      <c r="U461" s="8">
        <v>443087</v>
      </c>
      <c r="W461" s="8">
        <v>0</v>
      </c>
      <c r="Y461" s="8">
        <v>0</v>
      </c>
      <c r="AA461" s="8">
        <v>381800</v>
      </c>
      <c r="AB461" s="100"/>
      <c r="AC461" s="8">
        <v>0</v>
      </c>
      <c r="AE461" s="8">
        <v>0</v>
      </c>
      <c r="AG461" s="8">
        <f t="shared" si="45"/>
        <v>21304628</v>
      </c>
      <c r="AH461" s="8"/>
      <c r="AI461" s="8">
        <f t="shared" si="46"/>
        <v>23721206</v>
      </c>
    </row>
    <row r="462" spans="1:37" ht="12" customHeight="1">
      <c r="A462" s="12" t="s">
        <v>631</v>
      </c>
      <c r="B462" s="12"/>
      <c r="C462" s="12" t="s">
        <v>59</v>
      </c>
      <c r="D462" s="12"/>
      <c r="E462" s="32">
        <v>44669</v>
      </c>
      <c r="G462" s="8">
        <v>1029444</v>
      </c>
      <c r="I462" s="8">
        <v>7105527</v>
      </c>
      <c r="K462" s="8">
        <v>37777</v>
      </c>
      <c r="M462" s="8">
        <f t="shared" si="44"/>
        <v>8172748</v>
      </c>
      <c r="O462" s="8">
        <v>5901926</v>
      </c>
      <c r="Q462" s="8">
        <v>0</v>
      </c>
      <c r="S462" s="8">
        <v>17914549</v>
      </c>
      <c r="U462" s="8">
        <v>93194</v>
      </c>
      <c r="W462" s="8">
        <v>0</v>
      </c>
      <c r="Y462" s="8">
        <v>122502</v>
      </c>
      <c r="AA462" s="8">
        <v>163197</v>
      </c>
      <c r="AB462" s="100"/>
      <c r="AC462" s="8">
        <v>0</v>
      </c>
      <c r="AE462" s="8">
        <v>0</v>
      </c>
      <c r="AG462" s="8">
        <f t="shared" si="45"/>
        <v>24195368</v>
      </c>
      <c r="AH462" s="8"/>
      <c r="AI462" s="8">
        <f t="shared" si="46"/>
        <v>32368116</v>
      </c>
    </row>
    <row r="463" spans="1:37" ht="12" hidden="1" customHeight="1">
      <c r="A463" s="12" t="s">
        <v>1013</v>
      </c>
      <c r="B463" s="12"/>
      <c r="C463" s="12" t="s">
        <v>57</v>
      </c>
      <c r="D463" s="12"/>
      <c r="E463" s="32">
        <v>49288</v>
      </c>
      <c r="G463" s="8">
        <v>816844</v>
      </c>
      <c r="I463" s="8">
        <v>1196939</v>
      </c>
      <c r="K463" s="8">
        <v>26605</v>
      </c>
      <c r="M463" s="8">
        <f t="shared" si="44"/>
        <v>2040388</v>
      </c>
      <c r="O463" s="8">
        <v>3193098</v>
      </c>
      <c r="Q463" s="8">
        <v>3043799</v>
      </c>
      <c r="S463" s="8">
        <v>7157850</v>
      </c>
      <c r="U463" s="8">
        <v>114116</v>
      </c>
      <c r="Y463" s="8">
        <v>38850</v>
      </c>
      <c r="AA463" s="8">
        <v>20335</v>
      </c>
      <c r="AB463" s="100"/>
      <c r="AC463" s="8">
        <v>0</v>
      </c>
      <c r="AG463" s="8">
        <f t="shared" si="45"/>
        <v>13568048</v>
      </c>
      <c r="AH463" s="8"/>
      <c r="AI463" s="8">
        <f t="shared" si="46"/>
        <v>15608436</v>
      </c>
    </row>
    <row r="464" spans="1:37" ht="12" customHeight="1">
      <c r="A464" s="12" t="s">
        <v>405</v>
      </c>
      <c r="B464" s="12"/>
      <c r="C464" s="12" t="s">
        <v>32</v>
      </c>
      <c r="D464" s="12"/>
      <c r="E464" s="32">
        <v>44677</v>
      </c>
      <c r="G464" s="8">
        <v>3295994</v>
      </c>
      <c r="I464" s="8">
        <v>7246048</v>
      </c>
      <c r="K464" s="8">
        <v>50165</v>
      </c>
      <c r="M464" s="8">
        <f t="shared" si="44"/>
        <v>10592207</v>
      </c>
      <c r="O464" s="8">
        <v>51717675</v>
      </c>
      <c r="Q464" s="8">
        <v>0</v>
      </c>
      <c r="S464" s="8">
        <v>23242456</v>
      </c>
      <c r="U464" s="8">
        <v>1021262</v>
      </c>
      <c r="W464" s="8">
        <v>0</v>
      </c>
      <c r="Y464" s="8">
        <v>0</v>
      </c>
      <c r="AA464" s="8">
        <v>1399776</v>
      </c>
      <c r="AB464" s="100"/>
      <c r="AC464" s="8">
        <v>0</v>
      </c>
      <c r="AE464" s="8">
        <v>0</v>
      </c>
      <c r="AG464" s="8">
        <f t="shared" si="45"/>
        <v>77381169</v>
      </c>
      <c r="AH464" s="8"/>
      <c r="AI464" s="8">
        <f t="shared" si="46"/>
        <v>87973376</v>
      </c>
    </row>
    <row r="465" spans="1:37" ht="12" customHeight="1">
      <c r="A465" s="12" t="s">
        <v>222</v>
      </c>
      <c r="B465" s="12"/>
      <c r="C465" s="12" t="s">
        <v>12</v>
      </c>
      <c r="D465" s="12"/>
      <c r="E465" s="32">
        <v>45880</v>
      </c>
      <c r="G465" s="8">
        <v>578411</v>
      </c>
      <c r="I465" s="8">
        <v>1084616</v>
      </c>
      <c r="K465" s="8">
        <v>16794</v>
      </c>
      <c r="M465" s="8">
        <f t="shared" si="44"/>
        <v>1679821</v>
      </c>
      <c r="O465" s="8">
        <v>3926306</v>
      </c>
      <c r="Q465" s="8">
        <v>0</v>
      </c>
      <c r="S465" s="8">
        <v>7821578</v>
      </c>
      <c r="U465" s="8">
        <v>79052</v>
      </c>
      <c r="W465" s="8">
        <v>0</v>
      </c>
      <c r="Y465" s="8">
        <v>0</v>
      </c>
      <c r="AA465" s="8">
        <v>55716</v>
      </c>
      <c r="AB465" s="100"/>
      <c r="AC465" s="8">
        <v>0</v>
      </c>
      <c r="AE465" s="8">
        <v>0</v>
      </c>
      <c r="AG465" s="8">
        <f t="shared" si="45"/>
        <v>11882652</v>
      </c>
      <c r="AH465" s="8"/>
      <c r="AI465" s="8">
        <f t="shared" si="46"/>
        <v>13562473</v>
      </c>
    </row>
    <row r="466" spans="1:37" ht="12" customHeight="1">
      <c r="A466" s="12" t="s">
        <v>866</v>
      </c>
      <c r="B466" s="12"/>
      <c r="C466" s="12" t="s">
        <v>56</v>
      </c>
      <c r="D466" s="12"/>
      <c r="E466" s="32"/>
      <c r="G466" s="8">
        <v>1492869</v>
      </c>
      <c r="I466" s="8">
        <v>2963273</v>
      </c>
      <c r="K466" s="8">
        <v>1505769</v>
      </c>
      <c r="M466" s="8">
        <f t="shared" si="44"/>
        <v>5961911</v>
      </c>
      <c r="O466" s="8">
        <v>12549489</v>
      </c>
      <c r="Q466" s="8">
        <v>0</v>
      </c>
      <c r="S466" s="8">
        <v>15541287</v>
      </c>
      <c r="U466" s="8">
        <v>154433</v>
      </c>
      <c r="W466" s="8">
        <v>0</v>
      </c>
      <c r="Y466" s="8">
        <v>0</v>
      </c>
      <c r="AA466" s="8">
        <f>170000+181680</f>
        <v>351680</v>
      </c>
      <c r="AB466" s="100"/>
      <c r="AC466" s="8">
        <v>0</v>
      </c>
      <c r="AE466" s="8">
        <v>0</v>
      </c>
      <c r="AG466" s="8">
        <f t="shared" si="45"/>
        <v>28596889</v>
      </c>
      <c r="AH466" s="8"/>
      <c r="AI466" s="8">
        <f t="shared" si="46"/>
        <v>34558800</v>
      </c>
    </row>
    <row r="467" spans="1:37" ht="12" customHeight="1">
      <c r="A467" s="12" t="s">
        <v>406</v>
      </c>
      <c r="B467" s="12"/>
      <c r="C467" s="12" t="s">
        <v>32</v>
      </c>
      <c r="D467" s="12"/>
      <c r="E467" s="32">
        <v>44693</v>
      </c>
      <c r="G467" s="8">
        <v>1479231</v>
      </c>
      <c r="I467" s="8">
        <v>1972166</v>
      </c>
      <c r="K467" s="8">
        <v>0</v>
      </c>
      <c r="M467" s="8">
        <f t="shared" si="44"/>
        <v>3451397</v>
      </c>
      <c r="O467" s="8">
        <v>6983870</v>
      </c>
      <c r="Q467" s="8">
        <v>0</v>
      </c>
      <c r="S467" s="8">
        <v>5204509</v>
      </c>
      <c r="U467" s="8">
        <v>56018</v>
      </c>
      <c r="W467" s="8">
        <v>0</v>
      </c>
      <c r="Y467" s="8">
        <v>2500</v>
      </c>
      <c r="AA467" s="8">
        <f>35764+987</f>
        <v>36751</v>
      </c>
      <c r="AB467" s="100"/>
      <c r="AC467" s="8">
        <v>0</v>
      </c>
      <c r="AE467" s="8">
        <v>0</v>
      </c>
      <c r="AG467" s="8">
        <f t="shared" si="45"/>
        <v>12283648</v>
      </c>
      <c r="AH467" s="8"/>
      <c r="AI467" s="8">
        <f t="shared" si="46"/>
        <v>15735045</v>
      </c>
    </row>
    <row r="468" spans="1:37" ht="12" customHeight="1">
      <c r="A468" s="12" t="s">
        <v>670</v>
      </c>
      <c r="B468" s="12"/>
      <c r="C468" s="12" t="s">
        <v>63</v>
      </c>
      <c r="D468" s="12"/>
      <c r="E468" s="32">
        <v>50054</v>
      </c>
      <c r="G468" s="8">
        <v>1089363</v>
      </c>
      <c r="I468" s="8">
        <v>1110404</v>
      </c>
      <c r="K468" s="8">
        <v>0</v>
      </c>
      <c r="M468" s="8">
        <f t="shared" si="44"/>
        <v>2199767</v>
      </c>
      <c r="O468" s="8">
        <v>25282586</v>
      </c>
      <c r="Q468" s="8">
        <v>0</v>
      </c>
      <c r="S468" s="8">
        <v>6970572</v>
      </c>
      <c r="U468" s="8">
        <v>0</v>
      </c>
      <c r="W468" s="8">
        <v>0</v>
      </c>
      <c r="Y468" s="8">
        <v>0</v>
      </c>
      <c r="AA468" s="8">
        <v>535129</v>
      </c>
      <c r="AB468" s="100"/>
      <c r="AC468" s="8">
        <v>0</v>
      </c>
      <c r="AE468" s="8">
        <v>0</v>
      </c>
      <c r="AG468" s="8">
        <f t="shared" si="45"/>
        <v>32788287</v>
      </c>
      <c r="AH468" s="8"/>
      <c r="AI468" s="8">
        <f t="shared" si="46"/>
        <v>34988054</v>
      </c>
    </row>
    <row r="469" spans="1:37" ht="12" customHeight="1">
      <c r="A469" s="12" t="s">
        <v>362</v>
      </c>
      <c r="B469" s="12"/>
      <c r="C469" s="12" t="s">
        <v>27</v>
      </c>
      <c r="D469" s="12"/>
      <c r="E469" s="32">
        <v>47001</v>
      </c>
      <c r="G469" s="8">
        <v>2380519</v>
      </c>
      <c r="I469" s="8">
        <v>7678640</v>
      </c>
      <c r="K469" s="8">
        <v>78746</v>
      </c>
      <c r="M469" s="8">
        <f t="shared" si="44"/>
        <v>10137905</v>
      </c>
      <c r="O469" s="8">
        <v>32395433</v>
      </c>
      <c r="Q469" s="8">
        <v>0</v>
      </c>
      <c r="S469" s="8">
        <v>84289700</v>
      </c>
      <c r="U469" s="8">
        <v>1641085</v>
      </c>
      <c r="W469" s="8">
        <v>0</v>
      </c>
      <c r="Y469" s="8">
        <v>0</v>
      </c>
      <c r="AA469" s="8">
        <v>769899</v>
      </c>
      <c r="AB469" s="100"/>
      <c r="AC469" s="8">
        <v>0</v>
      </c>
      <c r="AE469" s="8">
        <v>0</v>
      </c>
      <c r="AG469" s="8">
        <f t="shared" si="45"/>
        <v>119096117</v>
      </c>
      <c r="AH469" s="8"/>
      <c r="AI469" s="8">
        <f t="shared" si="46"/>
        <v>129234022</v>
      </c>
    </row>
    <row r="470" spans="1:37" ht="12" customHeight="1">
      <c r="A470" s="12" t="s">
        <v>318</v>
      </c>
      <c r="B470" s="12"/>
      <c r="C470" s="12" t="s">
        <v>20</v>
      </c>
      <c r="D470" s="12"/>
      <c r="E470" s="32">
        <v>46599</v>
      </c>
      <c r="G470" s="8">
        <v>615301</v>
      </c>
      <c r="I470" s="8">
        <v>583600</v>
      </c>
      <c r="K470" s="8">
        <v>121430</v>
      </c>
      <c r="M470" s="8">
        <f t="shared" si="44"/>
        <v>1320331</v>
      </c>
      <c r="O470" s="8">
        <v>7731406</v>
      </c>
      <c r="Q470" s="8">
        <v>0</v>
      </c>
      <c r="S470" s="8">
        <v>3335060</v>
      </c>
      <c r="U470" s="8">
        <v>27606</v>
      </c>
      <c r="W470" s="8">
        <v>0</v>
      </c>
      <c r="Y470" s="8">
        <v>0</v>
      </c>
      <c r="AA470" s="8">
        <v>115151</v>
      </c>
      <c r="AB470" s="100"/>
      <c r="AC470" s="8">
        <v>0</v>
      </c>
      <c r="AE470" s="8">
        <v>0</v>
      </c>
      <c r="AG470" s="8">
        <f t="shared" si="45"/>
        <v>11209223</v>
      </c>
      <c r="AH470" s="8"/>
      <c r="AI470" s="8">
        <f t="shared" si="46"/>
        <v>12529554</v>
      </c>
    </row>
    <row r="471" spans="1:37" ht="12" customHeight="1">
      <c r="A471" s="12" t="s">
        <v>523</v>
      </c>
      <c r="B471" s="12"/>
      <c r="C471" s="12" t="s">
        <v>46</v>
      </c>
      <c r="D471" s="12"/>
      <c r="E471" s="32">
        <v>48439</v>
      </c>
      <c r="G471" s="8">
        <v>1640750</v>
      </c>
      <c r="I471" s="8">
        <v>882233</v>
      </c>
      <c r="K471" s="8">
        <v>9430</v>
      </c>
      <c r="M471" s="8">
        <f t="shared" si="44"/>
        <v>2532413</v>
      </c>
      <c r="O471" s="8">
        <v>2726729</v>
      </c>
      <c r="Q471" s="8">
        <v>0</v>
      </c>
      <c r="S471" s="8">
        <v>3615405</v>
      </c>
      <c r="U471" s="8">
        <v>41437</v>
      </c>
      <c r="W471" s="8">
        <v>285893</v>
      </c>
      <c r="Y471" s="8">
        <v>0</v>
      </c>
      <c r="AA471" s="8">
        <v>159259</v>
      </c>
      <c r="AB471" s="100"/>
      <c r="AC471" s="8">
        <v>0</v>
      </c>
      <c r="AE471" s="8">
        <v>0</v>
      </c>
      <c r="AG471" s="8">
        <f t="shared" si="45"/>
        <v>6828723</v>
      </c>
      <c r="AH471" s="8"/>
      <c r="AI471" s="8">
        <f t="shared" si="46"/>
        <v>9361136</v>
      </c>
    </row>
    <row r="472" spans="1:37" ht="12" customHeight="1">
      <c r="A472" s="13" t="s">
        <v>424</v>
      </c>
      <c r="B472" s="12"/>
      <c r="C472" s="12" t="s">
        <v>421</v>
      </c>
      <c r="D472" s="12"/>
      <c r="E472" s="32">
        <v>47506</v>
      </c>
      <c r="G472" s="8">
        <v>784098</v>
      </c>
      <c r="I472" s="8">
        <v>459380</v>
      </c>
      <c r="K472" s="8">
        <v>0</v>
      </c>
      <c r="M472" s="8">
        <f t="shared" si="44"/>
        <v>1243478</v>
      </c>
      <c r="O472" s="8">
        <v>1110783</v>
      </c>
      <c r="Q472" s="8">
        <v>513583</v>
      </c>
      <c r="S472" s="8">
        <v>2721984</v>
      </c>
      <c r="U472" s="8">
        <v>22711</v>
      </c>
      <c r="W472" s="8">
        <v>0</v>
      </c>
      <c r="Y472" s="8">
        <v>0</v>
      </c>
      <c r="AA472" s="8">
        <f>1007+54514</f>
        <v>55521</v>
      </c>
      <c r="AB472" s="100"/>
      <c r="AC472" s="8">
        <v>0</v>
      </c>
      <c r="AE472" s="8">
        <v>0</v>
      </c>
      <c r="AG472" s="8">
        <f t="shared" si="45"/>
        <v>4424582</v>
      </c>
      <c r="AH472" s="8"/>
      <c r="AI472" s="8">
        <f t="shared" si="46"/>
        <v>5668060</v>
      </c>
      <c r="AK472" s="15" t="s">
        <v>905</v>
      </c>
    </row>
    <row r="473" spans="1:37" ht="12" customHeight="1">
      <c r="A473" s="12" t="s">
        <v>288</v>
      </c>
      <c r="B473" s="12"/>
      <c r="C473" s="12" t="s">
        <v>19</v>
      </c>
      <c r="D473" s="12"/>
      <c r="E473" s="32">
        <v>46474</v>
      </c>
      <c r="G473" s="8">
        <v>882236</v>
      </c>
      <c r="I473" s="8">
        <v>1558107</v>
      </c>
      <c r="K473" s="8">
        <v>17832</v>
      </c>
      <c r="M473" s="8">
        <f t="shared" si="44"/>
        <v>2458175</v>
      </c>
      <c r="O473" s="8">
        <v>2588925</v>
      </c>
      <c r="Q473" s="8">
        <v>0</v>
      </c>
      <c r="S473" s="8">
        <v>7428186</v>
      </c>
      <c r="U473" s="8">
        <v>84544</v>
      </c>
      <c r="W473" s="8">
        <v>0</v>
      </c>
      <c r="Y473" s="8">
        <v>0</v>
      </c>
      <c r="AA473" s="8">
        <v>9514</v>
      </c>
      <c r="AB473" s="100"/>
      <c r="AC473" s="8">
        <v>0</v>
      </c>
      <c r="AE473" s="8">
        <v>0</v>
      </c>
      <c r="AG473" s="8">
        <f t="shared" si="45"/>
        <v>10111169</v>
      </c>
      <c r="AH473" s="8"/>
      <c r="AI473" s="8">
        <f t="shared" si="46"/>
        <v>12569344</v>
      </c>
      <c r="AK473" s="8" t="s">
        <v>1014</v>
      </c>
    </row>
    <row r="474" spans="1:37" ht="12" customHeight="1">
      <c r="A474" s="12" t="s">
        <v>867</v>
      </c>
      <c r="B474" s="12"/>
      <c r="C474" s="12" t="s">
        <v>77</v>
      </c>
      <c r="D474" s="12"/>
      <c r="E474" s="32">
        <v>46078</v>
      </c>
      <c r="G474" s="8">
        <v>616607</v>
      </c>
      <c r="I474" s="8">
        <v>2255328</v>
      </c>
      <c r="K474" s="8">
        <v>9000</v>
      </c>
      <c r="M474" s="8">
        <f t="shared" si="44"/>
        <v>2880935</v>
      </c>
      <c r="O474" s="8">
        <v>2461016</v>
      </c>
      <c r="Q474" s="8">
        <v>0</v>
      </c>
      <c r="S474" s="8">
        <v>6840454</v>
      </c>
      <c r="U474" s="8">
        <v>61508</v>
      </c>
      <c r="W474" s="8">
        <v>0</v>
      </c>
      <c r="Y474" s="8">
        <v>2930</v>
      </c>
      <c r="AA474" s="8">
        <v>124031</v>
      </c>
      <c r="AB474" s="100"/>
      <c r="AC474" s="8">
        <v>0</v>
      </c>
      <c r="AE474" s="8">
        <v>0</v>
      </c>
      <c r="AG474" s="8">
        <f t="shared" si="45"/>
        <v>9489939</v>
      </c>
      <c r="AH474" s="8"/>
      <c r="AI474" s="8">
        <f t="shared" si="46"/>
        <v>12370874</v>
      </c>
    </row>
    <row r="475" spans="1:37" ht="12" customHeight="1">
      <c r="A475" s="12" t="s">
        <v>724</v>
      </c>
      <c r="B475" s="12"/>
      <c r="C475" s="12" t="s">
        <v>71</v>
      </c>
      <c r="D475" s="12"/>
      <c r="E475" s="32">
        <v>45591</v>
      </c>
      <c r="G475" s="8">
        <v>502481</v>
      </c>
      <c r="I475" s="8">
        <v>1049965</v>
      </c>
      <c r="K475" s="8">
        <v>199995</v>
      </c>
      <c r="M475" s="8">
        <f t="shared" si="44"/>
        <v>1752441</v>
      </c>
      <c r="O475" s="8">
        <v>3916503</v>
      </c>
      <c r="Q475" s="8">
        <v>0</v>
      </c>
      <c r="S475" s="8">
        <f>5491814+17013777</f>
        <v>22505591</v>
      </c>
      <c r="U475" s="8">
        <v>0</v>
      </c>
      <c r="W475" s="8">
        <v>0</v>
      </c>
      <c r="Y475" s="8">
        <v>0</v>
      </c>
      <c r="AA475" s="8">
        <v>191803</v>
      </c>
      <c r="AB475" s="100"/>
      <c r="AC475" s="8">
        <v>0</v>
      </c>
      <c r="AE475" s="8">
        <v>0</v>
      </c>
      <c r="AG475" s="8">
        <f t="shared" si="45"/>
        <v>26613897</v>
      </c>
      <c r="AH475" s="8"/>
      <c r="AI475" s="8">
        <f t="shared" si="46"/>
        <v>28366338</v>
      </c>
    </row>
    <row r="476" spans="1:37" ht="12" customHeight="1">
      <c r="A476" s="12" t="s">
        <v>524</v>
      </c>
      <c r="B476" s="12"/>
      <c r="C476" s="12" t="s">
        <v>46</v>
      </c>
      <c r="D476" s="12"/>
      <c r="E476" s="32">
        <v>48447</v>
      </c>
      <c r="G476" s="8">
        <v>3390533</v>
      </c>
      <c r="I476" s="8">
        <v>1624919</v>
      </c>
      <c r="K476" s="8">
        <v>22351</v>
      </c>
      <c r="M476" s="8">
        <f t="shared" si="44"/>
        <v>5037803</v>
      </c>
      <c r="O476" s="8">
        <f>5858026+100110+987537</f>
        <v>6945673</v>
      </c>
      <c r="Q476" s="8">
        <v>0</v>
      </c>
      <c r="S476" s="8">
        <v>6515337</v>
      </c>
      <c r="U476" s="8">
        <v>113776</v>
      </c>
      <c r="W476" s="8">
        <v>0</v>
      </c>
      <c r="Y476" s="8">
        <v>0</v>
      </c>
      <c r="AA476" s="8">
        <v>114755</v>
      </c>
      <c r="AB476" s="100"/>
      <c r="AC476" s="8">
        <v>0</v>
      </c>
      <c r="AE476" s="8">
        <v>0</v>
      </c>
      <c r="AG476" s="8">
        <f t="shared" si="45"/>
        <v>13689541</v>
      </c>
      <c r="AH476" s="8"/>
      <c r="AI476" s="8">
        <f t="shared" si="46"/>
        <v>18727344</v>
      </c>
    </row>
    <row r="477" spans="1:37" s="35" customFormat="1" ht="12" customHeight="1">
      <c r="A477" s="34" t="s">
        <v>289</v>
      </c>
      <c r="B477" s="34"/>
      <c r="C477" s="34" t="s">
        <v>19</v>
      </c>
      <c r="D477" s="34"/>
      <c r="E477" s="34">
        <v>46482</v>
      </c>
      <c r="G477" s="8">
        <v>1317856</v>
      </c>
      <c r="H477" s="8"/>
      <c r="I477" s="8">
        <v>2553875</v>
      </c>
      <c r="J477" s="8"/>
      <c r="K477" s="8">
        <v>297806</v>
      </c>
      <c r="L477" s="8"/>
      <c r="M477" s="8">
        <f t="shared" si="44"/>
        <v>4169537</v>
      </c>
      <c r="N477" s="8"/>
      <c r="O477" s="8">
        <v>7783125</v>
      </c>
      <c r="P477" s="8"/>
      <c r="Q477" s="8">
        <v>0</v>
      </c>
      <c r="R477" s="8"/>
      <c r="S477" s="8">
        <v>9327054</v>
      </c>
      <c r="T477" s="8"/>
      <c r="U477" s="8">
        <v>142834</v>
      </c>
      <c r="V477" s="8"/>
      <c r="W477" s="8">
        <v>0</v>
      </c>
      <c r="X477" s="8"/>
      <c r="Y477" s="8">
        <v>0</v>
      </c>
      <c r="Z477" s="8"/>
      <c r="AA477" s="8">
        <v>127559</v>
      </c>
      <c r="AB477" s="100"/>
      <c r="AC477" s="8">
        <v>0</v>
      </c>
      <c r="AD477" s="8"/>
      <c r="AE477" s="8">
        <v>0</v>
      </c>
      <c r="AF477" s="8"/>
      <c r="AG477" s="8">
        <f t="shared" si="45"/>
        <v>17380572</v>
      </c>
      <c r="AH477" s="8"/>
      <c r="AI477" s="8">
        <f t="shared" si="46"/>
        <v>21550109</v>
      </c>
    </row>
    <row r="478" spans="1:37" ht="12" customHeight="1">
      <c r="A478" s="12" t="s">
        <v>425</v>
      </c>
      <c r="B478" s="12"/>
      <c r="C478" s="12" t="s">
        <v>421</v>
      </c>
      <c r="D478" s="12"/>
      <c r="E478" s="32">
        <v>47514</v>
      </c>
      <c r="G478" s="8">
        <v>837504</v>
      </c>
      <c r="I478" s="8">
        <v>1102507</v>
      </c>
      <c r="K478" s="8">
        <v>0</v>
      </c>
      <c r="M478" s="8">
        <f t="shared" si="44"/>
        <v>1940011</v>
      </c>
      <c r="O478" s="8">
        <v>2510559</v>
      </c>
      <c r="Q478" s="8">
        <v>1022554</v>
      </c>
      <c r="S478" s="8">
        <v>5375894</v>
      </c>
      <c r="U478" s="8">
        <v>32763</v>
      </c>
      <c r="W478" s="8">
        <v>0</v>
      </c>
      <c r="Y478" s="8">
        <v>0</v>
      </c>
      <c r="AA478" s="8">
        <v>73030</v>
      </c>
      <c r="AB478" s="100"/>
      <c r="AC478" s="8">
        <v>0</v>
      </c>
      <c r="AE478" s="8">
        <v>0</v>
      </c>
      <c r="AG478" s="8">
        <f t="shared" si="45"/>
        <v>9014800</v>
      </c>
      <c r="AH478" s="8"/>
      <c r="AI478" s="8">
        <f t="shared" si="46"/>
        <v>10954811</v>
      </c>
    </row>
    <row r="479" spans="1:37" ht="12" customHeight="1">
      <c r="A479" s="12" t="s">
        <v>482</v>
      </c>
      <c r="B479" s="12"/>
      <c r="C479" s="12" t="s">
        <v>41</v>
      </c>
      <c r="D479" s="12"/>
      <c r="E479" s="32"/>
      <c r="G479" s="8">
        <v>2944665</v>
      </c>
      <c r="I479" s="8">
        <v>2285420</v>
      </c>
      <c r="K479" s="8">
        <v>0</v>
      </c>
      <c r="M479" s="8">
        <f t="shared" si="44"/>
        <v>5230085</v>
      </c>
      <c r="O479" s="8">
        <v>28842194</v>
      </c>
      <c r="Q479" s="8">
        <v>0</v>
      </c>
      <c r="S479" s="8">
        <v>12312315</v>
      </c>
      <c r="U479" s="8">
        <v>162524</v>
      </c>
      <c r="W479" s="8">
        <v>0</v>
      </c>
      <c r="Y479" s="8">
        <v>0</v>
      </c>
      <c r="AA479" s="8">
        <v>65617</v>
      </c>
      <c r="AB479" s="100"/>
      <c r="AC479" s="8">
        <v>0</v>
      </c>
      <c r="AE479" s="8">
        <v>0</v>
      </c>
      <c r="AG479" s="8">
        <f t="shared" si="45"/>
        <v>41382650</v>
      </c>
      <c r="AH479" s="8"/>
      <c r="AI479" s="8">
        <f t="shared" si="46"/>
        <v>46612735</v>
      </c>
    </row>
    <row r="480" spans="1:37" ht="12" customHeight="1">
      <c r="A480" s="12" t="s">
        <v>482</v>
      </c>
      <c r="B480" s="12"/>
      <c r="C480" s="12" t="s">
        <v>43</v>
      </c>
      <c r="D480" s="12"/>
      <c r="E480" s="32">
        <v>48090</v>
      </c>
      <c r="G480" s="8">
        <v>889373</v>
      </c>
      <c r="I480" s="8">
        <v>875345</v>
      </c>
      <c r="K480" s="8">
        <v>5807</v>
      </c>
      <c r="M480" s="8">
        <f t="shared" si="44"/>
        <v>1770525</v>
      </c>
      <c r="O480" s="8">
        <v>1474531</v>
      </c>
      <c r="Q480" s="8">
        <v>498774</v>
      </c>
      <c r="S480" s="8">
        <v>4021345</v>
      </c>
      <c r="U480" s="8">
        <v>27484</v>
      </c>
      <c r="W480" s="8">
        <v>0</v>
      </c>
      <c r="Y480" s="8">
        <v>0</v>
      </c>
      <c r="AA480" s="8">
        <v>25920</v>
      </c>
      <c r="AB480" s="100"/>
      <c r="AC480" s="8">
        <v>0</v>
      </c>
      <c r="AE480" s="8">
        <v>0</v>
      </c>
      <c r="AG480" s="8">
        <f t="shared" si="45"/>
        <v>6048054</v>
      </c>
      <c r="AH480" s="8"/>
      <c r="AI480" s="8">
        <f t="shared" si="46"/>
        <v>7818579</v>
      </c>
    </row>
    <row r="481" spans="1:37" ht="12" customHeight="1">
      <c r="A481" s="12" t="s">
        <v>470</v>
      </c>
      <c r="B481" s="12"/>
      <c r="C481" s="12" t="s">
        <v>466</v>
      </c>
      <c r="D481" s="12"/>
      <c r="E481" s="32">
        <v>47944</v>
      </c>
      <c r="G481" s="8">
        <v>1086903</v>
      </c>
      <c r="I481" s="8">
        <v>3590553</v>
      </c>
      <c r="K481" s="8">
        <v>51107</v>
      </c>
      <c r="M481" s="8">
        <f t="shared" si="44"/>
        <v>4728563</v>
      </c>
      <c r="O481" s="8">
        <v>2030850</v>
      </c>
      <c r="Q481" s="8">
        <v>0</v>
      </c>
      <c r="S481" s="8">
        <v>12898917</v>
      </c>
      <c r="U481" s="8">
        <v>79819</v>
      </c>
      <c r="W481" s="8">
        <v>0</v>
      </c>
      <c r="Y481" s="8">
        <v>0</v>
      </c>
      <c r="AA481" s="8">
        <v>220894</v>
      </c>
      <c r="AB481" s="100"/>
      <c r="AC481" s="8">
        <v>0</v>
      </c>
      <c r="AE481" s="8">
        <v>0</v>
      </c>
      <c r="AG481" s="8">
        <f t="shared" si="45"/>
        <v>15230480</v>
      </c>
      <c r="AH481" s="8"/>
      <c r="AI481" s="8">
        <f t="shared" si="46"/>
        <v>19959043</v>
      </c>
      <c r="AK481" s="8" t="s">
        <v>956</v>
      </c>
    </row>
    <row r="482" spans="1:37" ht="12" customHeight="1">
      <c r="A482" s="13" t="s">
        <v>319</v>
      </c>
      <c r="B482" s="12"/>
      <c r="C482" s="12" t="s">
        <v>20</v>
      </c>
      <c r="D482" s="12"/>
      <c r="E482" s="32">
        <v>44701</v>
      </c>
      <c r="G482" s="8">
        <v>1400000</v>
      </c>
      <c r="I482" s="8">
        <v>2700000</v>
      </c>
      <c r="K482" s="8">
        <v>0</v>
      </c>
      <c r="M482" s="8">
        <f t="shared" si="44"/>
        <v>4100000</v>
      </c>
      <c r="O482" s="8">
        <v>27800000</v>
      </c>
      <c r="Q482" s="8">
        <v>0</v>
      </c>
      <c r="S482" s="8">
        <v>5900000</v>
      </c>
      <c r="U482" s="8">
        <v>0</v>
      </c>
      <c r="W482" s="8">
        <v>0</v>
      </c>
      <c r="Y482" s="8">
        <v>0</v>
      </c>
      <c r="AA482" s="8">
        <v>200000</v>
      </c>
      <c r="AB482" s="100"/>
      <c r="AC482" s="8">
        <v>0</v>
      </c>
      <c r="AE482" s="8">
        <v>0</v>
      </c>
      <c r="AG482" s="8">
        <f t="shared" si="45"/>
        <v>33900000</v>
      </c>
      <c r="AH482" s="8"/>
      <c r="AI482" s="8">
        <f t="shared" si="46"/>
        <v>38000000</v>
      </c>
      <c r="AK482" s="8" t="s">
        <v>1015</v>
      </c>
    </row>
    <row r="483" spans="1:37" ht="12" customHeight="1">
      <c r="A483" s="12" t="s">
        <v>391</v>
      </c>
      <c r="B483" s="12"/>
      <c r="C483" s="12" t="s">
        <v>31</v>
      </c>
      <c r="D483" s="12"/>
      <c r="E483" s="32">
        <v>47308</v>
      </c>
      <c r="G483" s="8">
        <v>893557</v>
      </c>
      <c r="I483" s="8">
        <v>3544693</v>
      </c>
      <c r="K483" s="8">
        <v>26550</v>
      </c>
      <c r="M483" s="8">
        <f t="shared" si="44"/>
        <v>4464800</v>
      </c>
      <c r="O483" s="8">
        <v>4721996</v>
      </c>
      <c r="Q483" s="8">
        <v>0</v>
      </c>
      <c r="S483" s="8">
        <v>9769764</v>
      </c>
      <c r="U483" s="8">
        <v>38990</v>
      </c>
      <c r="W483" s="8">
        <v>0</v>
      </c>
      <c r="Y483" s="8">
        <v>0</v>
      </c>
      <c r="AA483" s="8">
        <v>130218</v>
      </c>
      <c r="AB483" s="100"/>
      <c r="AC483" s="8">
        <v>0</v>
      </c>
      <c r="AE483" s="8">
        <v>0</v>
      </c>
      <c r="AG483" s="8">
        <f t="shared" si="45"/>
        <v>14660968</v>
      </c>
      <c r="AH483" s="8"/>
      <c r="AI483" s="8">
        <f t="shared" si="46"/>
        <v>19125768</v>
      </c>
    </row>
    <row r="484" spans="1:37" ht="12" customHeight="1">
      <c r="A484" s="12" t="s">
        <v>593</v>
      </c>
      <c r="B484" s="12"/>
      <c r="C484" s="12" t="s">
        <v>56</v>
      </c>
      <c r="D484" s="12"/>
      <c r="E484" s="32">
        <v>49213</v>
      </c>
      <c r="G484" s="8">
        <v>779919</v>
      </c>
      <c r="I484" s="8">
        <v>810751</v>
      </c>
      <c r="K484" s="8">
        <v>0</v>
      </c>
      <c r="M484" s="8">
        <f t="shared" si="44"/>
        <v>1590670</v>
      </c>
      <c r="O484" s="8">
        <v>5186382</v>
      </c>
      <c r="Q484" s="8">
        <v>0</v>
      </c>
      <c r="S484" s="8">
        <v>5390463</v>
      </c>
      <c r="U484" s="8">
        <v>0</v>
      </c>
      <c r="W484" s="8">
        <v>0</v>
      </c>
      <c r="Y484" s="8">
        <v>0</v>
      </c>
      <c r="AA484" s="8">
        <v>85487</v>
      </c>
      <c r="AB484" s="100"/>
      <c r="AC484" s="8">
        <v>0</v>
      </c>
      <c r="AE484" s="8">
        <v>0</v>
      </c>
      <c r="AG484" s="8">
        <f t="shared" si="45"/>
        <v>10662332</v>
      </c>
      <c r="AH484" s="8"/>
      <c r="AI484" s="8">
        <f t="shared" si="46"/>
        <v>12253002</v>
      </c>
    </row>
    <row r="485" spans="1:37" ht="12" customHeight="1">
      <c r="A485" s="12" t="s">
        <v>1060</v>
      </c>
      <c r="B485" s="12"/>
      <c r="C485" s="12" t="s">
        <v>242</v>
      </c>
      <c r="D485" s="12"/>
      <c r="E485" s="32">
        <v>46144</v>
      </c>
      <c r="G485" s="8">
        <v>1551210</v>
      </c>
      <c r="I485" s="8">
        <v>1395215</v>
      </c>
      <c r="K485" s="8">
        <v>0</v>
      </c>
      <c r="M485" s="8">
        <f t="shared" si="44"/>
        <v>2946425</v>
      </c>
      <c r="O485" s="8">
        <v>11650733</v>
      </c>
      <c r="Q485" s="8">
        <v>0</v>
      </c>
      <c r="S485" s="8">
        <v>12645945</v>
      </c>
      <c r="U485" s="8">
        <v>121136</v>
      </c>
      <c r="W485" s="8">
        <v>0</v>
      </c>
      <c r="Y485" s="8">
        <v>0</v>
      </c>
      <c r="AA485" s="8">
        <f>24030706+368298</f>
        <v>24399004</v>
      </c>
      <c r="AB485" s="100"/>
      <c r="AC485" s="8">
        <v>0</v>
      </c>
      <c r="AE485" s="8">
        <v>0</v>
      </c>
      <c r="AG485" s="8">
        <f t="shared" si="45"/>
        <v>48816818</v>
      </c>
      <c r="AH485" s="8"/>
      <c r="AI485" s="8">
        <f t="shared" si="46"/>
        <v>51763243</v>
      </c>
      <c r="AK485" s="15" t="s">
        <v>905</v>
      </c>
    </row>
    <row r="486" spans="1:37" ht="12" customHeight="1">
      <c r="A486" s="12" t="s">
        <v>739</v>
      </c>
      <c r="B486" s="12"/>
      <c r="C486" s="12" t="s">
        <v>72</v>
      </c>
      <c r="D486" s="12"/>
      <c r="E486" s="32">
        <v>45609</v>
      </c>
      <c r="G486" s="8">
        <v>1055373</v>
      </c>
      <c r="I486" s="8">
        <v>1348139</v>
      </c>
      <c r="K486" s="8">
        <v>13969</v>
      </c>
      <c r="M486" s="8">
        <f t="shared" si="44"/>
        <v>2417481</v>
      </c>
      <c r="O486" s="8">
        <v>13962315</v>
      </c>
      <c r="Q486" s="8">
        <v>0</v>
      </c>
      <c r="S486" s="8">
        <v>7855152</v>
      </c>
      <c r="U486" s="8">
        <v>153611</v>
      </c>
      <c r="W486" s="8">
        <v>0</v>
      </c>
      <c r="Y486" s="8">
        <v>1154288</v>
      </c>
      <c r="AA486" s="8">
        <v>111936</v>
      </c>
      <c r="AB486" s="100"/>
      <c r="AC486" s="8">
        <v>0</v>
      </c>
      <c r="AE486" s="8">
        <v>0</v>
      </c>
      <c r="AG486" s="8">
        <f t="shared" si="45"/>
        <v>23237302</v>
      </c>
      <c r="AH486" s="8"/>
      <c r="AI486" s="8">
        <f t="shared" si="46"/>
        <v>25654783</v>
      </c>
    </row>
    <row r="487" spans="1:37" ht="12" customHeight="1">
      <c r="A487" s="12" t="s">
        <v>646</v>
      </c>
      <c r="B487" s="12"/>
      <c r="C487" s="12" t="s">
        <v>61</v>
      </c>
      <c r="D487" s="12"/>
      <c r="E487" s="32">
        <v>49817</v>
      </c>
      <c r="G487" s="8">
        <v>485727</v>
      </c>
      <c r="I487" s="8">
        <v>390419</v>
      </c>
      <c r="K487" s="8">
        <v>3183</v>
      </c>
      <c r="M487" s="8">
        <f t="shared" si="44"/>
        <v>879329</v>
      </c>
      <c r="O487" s="8">
        <v>1152384</v>
      </c>
      <c r="Q487" s="8">
        <v>334661</v>
      </c>
      <c r="S487" s="8">
        <v>2186174</v>
      </c>
      <c r="U487" s="8">
        <v>0</v>
      </c>
      <c r="W487" s="8">
        <v>0</v>
      </c>
      <c r="Y487" s="8">
        <v>0</v>
      </c>
      <c r="AA487" s="8">
        <v>32942</v>
      </c>
      <c r="AB487" s="100"/>
      <c r="AC487" s="8">
        <v>0</v>
      </c>
      <c r="AE487" s="8">
        <v>0</v>
      </c>
      <c r="AG487" s="8">
        <f t="shared" si="45"/>
        <v>3706161</v>
      </c>
      <c r="AH487" s="8"/>
      <c r="AI487" s="8">
        <f t="shared" si="46"/>
        <v>4585490</v>
      </c>
    </row>
    <row r="488" spans="1:37" ht="12" customHeight="1">
      <c r="A488" s="12" t="s">
        <v>822</v>
      </c>
      <c r="B488" s="12"/>
      <c r="C488" s="12" t="s">
        <v>114</v>
      </c>
      <c r="D488" s="12"/>
      <c r="E488" s="32"/>
      <c r="G488" s="8">
        <v>1226316</v>
      </c>
      <c r="I488" s="8">
        <v>2688598</v>
      </c>
      <c r="K488" s="8">
        <v>12646</v>
      </c>
      <c r="M488" s="8">
        <f t="shared" ref="M488:M541" si="47">SUM(G488:L488)</f>
        <v>3927560</v>
      </c>
      <c r="O488" s="8">
        <v>8751687</v>
      </c>
      <c r="Q488" s="8">
        <v>15175</v>
      </c>
      <c r="S488" s="8">
        <v>9292874</v>
      </c>
      <c r="U488" s="8">
        <v>12172</v>
      </c>
      <c r="W488" s="8">
        <v>0</v>
      </c>
      <c r="Y488" s="8">
        <v>0</v>
      </c>
      <c r="AA488" s="8">
        <v>324566</v>
      </c>
      <c r="AB488" s="100"/>
      <c r="AC488" s="8">
        <v>0</v>
      </c>
      <c r="AE488" s="8">
        <v>0</v>
      </c>
      <c r="AG488" s="8">
        <f t="shared" si="45"/>
        <v>18396474</v>
      </c>
      <c r="AH488" s="8"/>
      <c r="AI488" s="8">
        <f t="shared" si="46"/>
        <v>22324034</v>
      </c>
    </row>
    <row r="489" spans="1:37" ht="12" customHeight="1">
      <c r="A489" s="12" t="s">
        <v>341</v>
      </c>
      <c r="B489" s="12"/>
      <c r="C489" s="12" t="s">
        <v>24</v>
      </c>
      <c r="D489" s="12"/>
      <c r="E489" s="32">
        <v>44743</v>
      </c>
      <c r="G489" s="8">
        <v>2037846</v>
      </c>
      <c r="I489" s="8">
        <v>10803543</v>
      </c>
      <c r="K489" s="8">
        <v>57267</v>
      </c>
      <c r="M489" s="8">
        <f t="shared" si="47"/>
        <v>12898656</v>
      </c>
      <c r="O489" s="8">
        <v>18749092</v>
      </c>
      <c r="Q489" s="8">
        <v>0</v>
      </c>
      <c r="S489" s="8">
        <v>18738297</v>
      </c>
      <c r="U489" s="8">
        <v>0</v>
      </c>
      <c r="W489" s="8">
        <v>0</v>
      </c>
      <c r="Y489" s="8">
        <v>0</v>
      </c>
      <c r="AA489" s="8">
        <v>503146</v>
      </c>
      <c r="AB489" s="100"/>
      <c r="AC489" s="8">
        <v>0</v>
      </c>
      <c r="AE489" s="8">
        <v>0</v>
      </c>
      <c r="AG489" s="8">
        <f t="shared" si="45"/>
        <v>37990535</v>
      </c>
      <c r="AH489" s="8"/>
      <c r="AI489" s="8">
        <f t="shared" si="46"/>
        <v>50889191</v>
      </c>
    </row>
    <row r="490" spans="1:37" ht="12" customHeight="1">
      <c r="A490" s="12" t="s">
        <v>660</v>
      </c>
      <c r="B490" s="12"/>
      <c r="C490" s="12" t="s">
        <v>62</v>
      </c>
      <c r="D490" s="12"/>
      <c r="E490" s="32">
        <v>49940</v>
      </c>
      <c r="G490" s="8">
        <v>1067049</v>
      </c>
      <c r="I490" s="8">
        <v>2348044</v>
      </c>
      <c r="K490" s="8">
        <v>23165</v>
      </c>
      <c r="M490" s="8">
        <f t="shared" si="47"/>
        <v>3438258</v>
      </c>
      <c r="O490" s="8">
        <v>4349288</v>
      </c>
      <c r="Q490" s="8">
        <v>0</v>
      </c>
      <c r="S490" s="8">
        <v>7911800</v>
      </c>
      <c r="U490" s="8">
        <v>212076</v>
      </c>
      <c r="W490" s="8">
        <v>0</v>
      </c>
      <c r="Y490" s="8">
        <v>0</v>
      </c>
      <c r="AA490" s="8">
        <v>95429</v>
      </c>
      <c r="AB490" s="100"/>
      <c r="AC490" s="8">
        <v>0</v>
      </c>
      <c r="AE490" s="8">
        <v>0</v>
      </c>
      <c r="AG490" s="8">
        <f t="shared" si="45"/>
        <v>12568593</v>
      </c>
      <c r="AH490" s="8"/>
      <c r="AI490" s="8">
        <f t="shared" si="46"/>
        <v>16006851</v>
      </c>
    </row>
    <row r="491" spans="1:37" ht="12" customHeight="1">
      <c r="A491" s="12" t="s">
        <v>585</v>
      </c>
      <c r="B491" s="12"/>
      <c r="C491" s="12" t="s">
        <v>55</v>
      </c>
      <c r="D491" s="12"/>
      <c r="E491" s="32"/>
      <c r="G491" s="8">
        <v>742562</v>
      </c>
      <c r="I491" s="8">
        <v>4225658</v>
      </c>
      <c r="K491" s="8">
        <v>0</v>
      </c>
      <c r="M491" s="8">
        <f t="shared" si="47"/>
        <v>4968220</v>
      </c>
      <c r="O491" s="8">
        <v>1921211</v>
      </c>
      <c r="Q491" s="8">
        <v>0</v>
      </c>
      <c r="S491" s="8">
        <v>8854154</v>
      </c>
      <c r="U491" s="8">
        <v>176636</v>
      </c>
      <c r="W491" s="8">
        <v>0</v>
      </c>
      <c r="Y491" s="8">
        <v>0</v>
      </c>
      <c r="AA491" s="8">
        <f>8501+76924</f>
        <v>85425</v>
      </c>
      <c r="AB491" s="100"/>
      <c r="AC491" s="8">
        <v>0</v>
      </c>
      <c r="AE491" s="8">
        <v>0</v>
      </c>
      <c r="AG491" s="8">
        <f t="shared" si="45"/>
        <v>11037426</v>
      </c>
      <c r="AH491" s="8"/>
      <c r="AI491" s="8">
        <f t="shared" si="46"/>
        <v>16005646</v>
      </c>
    </row>
    <row r="492" spans="1:37" ht="12" customHeight="1">
      <c r="A492" s="12" t="s">
        <v>515</v>
      </c>
      <c r="B492" s="12"/>
      <c r="C492" s="12" t="s">
        <v>45</v>
      </c>
      <c r="D492" s="12"/>
      <c r="E492" s="32">
        <v>48355</v>
      </c>
      <c r="G492" s="8">
        <v>545590</v>
      </c>
      <c r="I492" s="8">
        <v>553258</v>
      </c>
      <c r="K492" s="8">
        <v>6092</v>
      </c>
      <c r="M492" s="8">
        <f t="shared" si="47"/>
        <v>1104940</v>
      </c>
      <c r="O492" s="8">
        <v>1419399</v>
      </c>
      <c r="Q492" s="8">
        <v>404508</v>
      </c>
      <c r="S492" s="8">
        <v>4458983</v>
      </c>
      <c r="U492" s="8">
        <v>23550</v>
      </c>
      <c r="W492" s="8">
        <v>0</v>
      </c>
      <c r="Y492" s="8">
        <v>0</v>
      </c>
      <c r="AA492" s="8">
        <v>17354</v>
      </c>
      <c r="AB492" s="100"/>
      <c r="AC492" s="8">
        <v>0</v>
      </c>
      <c r="AE492" s="8">
        <v>0</v>
      </c>
      <c r="AG492" s="8">
        <f t="shared" si="45"/>
        <v>6323794</v>
      </c>
      <c r="AH492" s="8"/>
      <c r="AI492" s="8">
        <f t="shared" si="46"/>
        <v>7428734</v>
      </c>
    </row>
    <row r="493" spans="1:37" ht="12" customHeight="1">
      <c r="A493" s="12" t="s">
        <v>639</v>
      </c>
      <c r="B493" s="12"/>
      <c r="C493" s="12" t="s">
        <v>60</v>
      </c>
      <c r="D493" s="12"/>
      <c r="E493" s="32">
        <v>49684</v>
      </c>
      <c r="G493" s="8">
        <v>1164929</v>
      </c>
      <c r="I493" s="8">
        <v>808819</v>
      </c>
      <c r="K493" s="8">
        <v>14168</v>
      </c>
      <c r="M493" s="8">
        <f t="shared" si="47"/>
        <v>1987916</v>
      </c>
      <c r="O493" s="8">
        <v>2127755</v>
      </c>
      <c r="Q493" s="8">
        <v>1271767</v>
      </c>
      <c r="S493" s="8">
        <v>4608600</v>
      </c>
      <c r="U493" s="8">
        <v>57299</v>
      </c>
      <c r="W493" s="8">
        <v>0</v>
      </c>
      <c r="Y493" s="8">
        <v>0</v>
      </c>
      <c r="AA493" s="8">
        <v>17243</v>
      </c>
      <c r="AB493" s="100"/>
      <c r="AC493" s="8">
        <v>0</v>
      </c>
      <c r="AE493" s="8">
        <v>0</v>
      </c>
      <c r="AG493" s="8">
        <f t="shared" si="45"/>
        <v>8082664</v>
      </c>
      <c r="AH493" s="8"/>
      <c r="AI493" s="8">
        <f t="shared" si="46"/>
        <v>10070580</v>
      </c>
    </row>
    <row r="494" spans="1:37" ht="12" customHeight="1">
      <c r="A494" s="12" t="s">
        <v>234</v>
      </c>
      <c r="B494" s="12"/>
      <c r="C494" s="12" t="s">
        <v>15</v>
      </c>
      <c r="D494" s="12"/>
      <c r="E494" s="32">
        <v>46003</v>
      </c>
      <c r="G494" s="8">
        <v>1123998</v>
      </c>
      <c r="I494" s="8">
        <v>1357979</v>
      </c>
      <c r="K494" s="8">
        <v>15129</v>
      </c>
      <c r="M494" s="8">
        <f t="shared" si="47"/>
        <v>2497106</v>
      </c>
      <c r="O494" s="8">
        <v>2867524</v>
      </c>
      <c r="Q494" s="8">
        <v>0</v>
      </c>
      <c r="S494" s="8">
        <v>2718248</v>
      </c>
      <c r="U494" s="8">
        <v>0</v>
      </c>
      <c r="W494" s="8">
        <v>0</v>
      </c>
      <c r="Y494" s="8">
        <v>0</v>
      </c>
      <c r="AA494" s="8">
        <v>52640</v>
      </c>
      <c r="AB494" s="100"/>
      <c r="AC494" s="8">
        <v>0</v>
      </c>
      <c r="AE494" s="8">
        <v>0</v>
      </c>
      <c r="AG494" s="8">
        <f t="shared" si="45"/>
        <v>5638412</v>
      </c>
      <c r="AH494" s="8"/>
      <c r="AI494" s="8">
        <f t="shared" si="46"/>
        <v>8135518</v>
      </c>
    </row>
    <row r="495" spans="1:37" ht="12" customHeight="1">
      <c r="A495" s="12" t="s">
        <v>320</v>
      </c>
      <c r="B495" s="12"/>
      <c r="C495" s="12" t="s">
        <v>20</v>
      </c>
      <c r="D495" s="12"/>
      <c r="E495" s="32">
        <v>44750</v>
      </c>
      <c r="G495" s="8">
        <v>2562863</v>
      </c>
      <c r="I495" s="8">
        <v>5511058</v>
      </c>
      <c r="K495" s="8">
        <v>242179</v>
      </c>
      <c r="M495" s="8">
        <f t="shared" si="47"/>
        <v>8316100</v>
      </c>
      <c r="O495" s="8">
        <v>59711138</v>
      </c>
      <c r="Q495" s="8">
        <v>0</v>
      </c>
      <c r="S495" s="8">
        <v>26070039</v>
      </c>
      <c r="U495" s="8">
        <v>532965</v>
      </c>
      <c r="W495" s="8">
        <v>0</v>
      </c>
      <c r="Y495" s="8">
        <v>0</v>
      </c>
      <c r="AA495" s="8">
        <f>21600+332234</f>
        <v>353834</v>
      </c>
      <c r="AB495" s="100"/>
      <c r="AC495" s="8">
        <v>0</v>
      </c>
      <c r="AE495" s="8">
        <v>0</v>
      </c>
      <c r="AG495" s="8">
        <f t="shared" si="45"/>
        <v>86667976</v>
      </c>
      <c r="AH495" s="8"/>
      <c r="AI495" s="8">
        <f t="shared" si="46"/>
        <v>94984076</v>
      </c>
      <c r="AK495" s="15" t="s">
        <v>905</v>
      </c>
    </row>
    <row r="496" spans="1:37" ht="12" hidden="1" customHeight="1">
      <c r="A496" s="12" t="s">
        <v>1034</v>
      </c>
      <c r="B496" s="12"/>
      <c r="C496" s="12" t="s">
        <v>10</v>
      </c>
      <c r="D496" s="12"/>
      <c r="E496" s="32"/>
      <c r="G496" s="8">
        <v>2323456</v>
      </c>
      <c r="I496" s="8">
        <v>1601055</v>
      </c>
      <c r="K496" s="8">
        <v>389707</v>
      </c>
      <c r="M496" s="8">
        <f t="shared" si="47"/>
        <v>4314218</v>
      </c>
      <c r="O496" s="8">
        <f>14206426+907590</f>
        <v>15114016</v>
      </c>
      <c r="S496" s="8">
        <v>8042880</v>
      </c>
      <c r="W496" s="8">
        <v>0</v>
      </c>
      <c r="AA496" s="8">
        <f>6616+667862</f>
        <v>674478</v>
      </c>
      <c r="AB496" s="100"/>
      <c r="AC496" s="8">
        <v>0</v>
      </c>
      <c r="AG496" s="8">
        <f t="shared" si="45"/>
        <v>23831374</v>
      </c>
      <c r="AH496" s="8"/>
      <c r="AI496" s="8">
        <f t="shared" si="46"/>
        <v>28145592</v>
      </c>
      <c r="AK496" s="15"/>
    </row>
    <row r="497" spans="1:37" ht="12" customHeight="1">
      <c r="A497" s="12" t="s">
        <v>494</v>
      </c>
      <c r="B497" s="12"/>
      <c r="C497" s="12" t="s">
        <v>44</v>
      </c>
      <c r="D497" s="12"/>
      <c r="E497" s="32">
        <v>44768</v>
      </c>
      <c r="G497" s="8">
        <v>2586912</v>
      </c>
      <c r="I497" s="8">
        <v>0</v>
      </c>
      <c r="K497" s="8">
        <v>0</v>
      </c>
      <c r="M497" s="8">
        <f t="shared" si="47"/>
        <v>2586912</v>
      </c>
      <c r="O497" s="8">
        <f>9766575+291204</f>
        <v>10057779</v>
      </c>
      <c r="Q497" s="8">
        <v>0</v>
      </c>
      <c r="S497" s="8">
        <v>7667280</v>
      </c>
      <c r="U497" s="8">
        <v>143706</v>
      </c>
      <c r="W497" s="8">
        <v>0</v>
      </c>
      <c r="Y497" s="8">
        <v>0</v>
      </c>
      <c r="AA497" s="8">
        <v>81828</v>
      </c>
      <c r="AB497" s="100"/>
      <c r="AC497" s="8">
        <v>0</v>
      </c>
      <c r="AE497" s="8">
        <v>0</v>
      </c>
      <c r="AG497" s="8">
        <f t="shared" si="45"/>
        <v>17950593</v>
      </c>
      <c r="AH497" s="8"/>
      <c r="AI497" s="8">
        <f t="shared" si="46"/>
        <v>20537505</v>
      </c>
      <c r="AK497" s="10" t="s">
        <v>1033</v>
      </c>
    </row>
    <row r="498" spans="1:37" ht="12" customHeight="1">
      <c r="A498" s="12" t="s">
        <v>615</v>
      </c>
      <c r="B498" s="12"/>
      <c r="C498" s="12" t="s">
        <v>112</v>
      </c>
      <c r="D498" s="12"/>
      <c r="E498" s="32">
        <v>44776</v>
      </c>
      <c r="G498" s="8">
        <v>1253511</v>
      </c>
      <c r="I498" s="8">
        <v>2206768</v>
      </c>
      <c r="K498" s="8">
        <v>37204</v>
      </c>
      <c r="M498" s="8">
        <f t="shared" si="47"/>
        <v>3497483</v>
      </c>
      <c r="O498" s="8">
        <v>5709645</v>
      </c>
      <c r="Q498" s="8">
        <v>2449991</v>
      </c>
      <c r="S498" s="8">
        <v>10258138</v>
      </c>
      <c r="U498" s="8">
        <v>93788</v>
      </c>
      <c r="W498" s="8">
        <v>0</v>
      </c>
      <c r="Y498" s="8">
        <v>0</v>
      </c>
      <c r="AA498" s="8">
        <v>259676</v>
      </c>
      <c r="AB498" s="100"/>
      <c r="AC498" s="8">
        <v>0</v>
      </c>
      <c r="AE498" s="8">
        <v>0</v>
      </c>
      <c r="AG498" s="8">
        <f t="shared" si="45"/>
        <v>18771238</v>
      </c>
      <c r="AH498" s="8"/>
      <c r="AI498" s="8">
        <f t="shared" si="46"/>
        <v>22268721</v>
      </c>
    </row>
    <row r="499" spans="1:37" ht="12" customHeight="1">
      <c r="A499" s="12" t="s">
        <v>647</v>
      </c>
      <c r="B499" s="12"/>
      <c r="C499" s="12" t="s">
        <v>61</v>
      </c>
      <c r="D499" s="12"/>
      <c r="E499" s="32">
        <v>44784</v>
      </c>
      <c r="G499" s="8">
        <v>1761005</v>
      </c>
      <c r="I499" s="8">
        <v>5361803</v>
      </c>
      <c r="K499" s="8">
        <v>56916</v>
      </c>
      <c r="M499" s="8">
        <f t="shared" si="47"/>
        <v>7179724</v>
      </c>
      <c r="O499" s="8">
        <f>11809553+1637980+232545</f>
        <v>13680078</v>
      </c>
      <c r="Q499" s="8">
        <v>0</v>
      </c>
      <c r="S499" s="8">
        <v>17429152</v>
      </c>
      <c r="U499" s="8">
        <v>88507</v>
      </c>
      <c r="W499" s="8">
        <v>81192</v>
      </c>
      <c r="Y499" s="8">
        <v>5992</v>
      </c>
      <c r="AA499" s="8">
        <v>445152</v>
      </c>
      <c r="AB499" s="100"/>
      <c r="AC499" s="8">
        <v>0</v>
      </c>
      <c r="AE499" s="8">
        <v>0</v>
      </c>
      <c r="AG499" s="8">
        <f t="shared" si="45"/>
        <v>31730073</v>
      </c>
      <c r="AH499" s="8"/>
      <c r="AI499" s="8">
        <f t="shared" si="46"/>
        <v>38909797</v>
      </c>
    </row>
    <row r="500" spans="1:37" ht="12" customHeight="1">
      <c r="A500" s="12" t="s">
        <v>321</v>
      </c>
      <c r="B500" s="12"/>
      <c r="C500" s="12" t="s">
        <v>20</v>
      </c>
      <c r="D500" s="12"/>
      <c r="E500" s="32">
        <v>46607</v>
      </c>
      <c r="G500" s="8">
        <v>3561776</v>
      </c>
      <c r="I500" s="8">
        <v>2394064</v>
      </c>
      <c r="K500" s="8">
        <v>36844</v>
      </c>
      <c r="M500" s="8">
        <f t="shared" si="47"/>
        <v>5992684</v>
      </c>
      <c r="O500" s="8">
        <v>47793161</v>
      </c>
      <c r="Q500" s="8">
        <v>0</v>
      </c>
      <c r="S500" s="8">
        <v>16201551</v>
      </c>
      <c r="U500" s="8">
        <v>652335</v>
      </c>
      <c r="W500" s="8">
        <v>685000</v>
      </c>
      <c r="Y500" s="8">
        <v>0</v>
      </c>
      <c r="AA500" s="8">
        <f>35572+211001</f>
        <v>246573</v>
      </c>
      <c r="AB500" s="100"/>
      <c r="AC500" s="8">
        <v>0</v>
      </c>
      <c r="AE500" s="8">
        <v>0</v>
      </c>
      <c r="AG500" s="8">
        <f t="shared" si="45"/>
        <v>65578620</v>
      </c>
      <c r="AH500" s="8"/>
      <c r="AI500" s="8">
        <f t="shared" si="46"/>
        <v>71571304</v>
      </c>
    </row>
    <row r="501" spans="1:37" ht="12" customHeight="1">
      <c r="A501" s="12" t="s">
        <v>868</v>
      </c>
      <c r="B501" s="12"/>
      <c r="C501" s="13" t="s">
        <v>37</v>
      </c>
      <c r="D501" s="12"/>
      <c r="E501" s="32"/>
      <c r="G501" s="8">
        <v>599441</v>
      </c>
      <c r="I501" s="8">
        <v>1009732</v>
      </c>
      <c r="K501" s="8">
        <v>13193</v>
      </c>
      <c r="M501" s="8">
        <f t="shared" si="47"/>
        <v>1622366</v>
      </c>
      <c r="O501" s="8">
        <v>1421225</v>
      </c>
      <c r="Q501" s="8">
        <v>873766</v>
      </c>
      <c r="S501" s="8">
        <v>4718273</v>
      </c>
      <c r="U501" s="8">
        <v>62086</v>
      </c>
      <c r="W501" s="8">
        <v>0</v>
      </c>
      <c r="Y501" s="8">
        <v>0</v>
      </c>
      <c r="AA501" s="8">
        <v>17110</v>
      </c>
      <c r="AB501" s="100"/>
      <c r="AC501" s="8">
        <v>0</v>
      </c>
      <c r="AE501" s="8">
        <v>0</v>
      </c>
      <c r="AG501" s="8">
        <f t="shared" si="45"/>
        <v>7092460</v>
      </c>
      <c r="AH501" s="8"/>
      <c r="AI501" s="8">
        <f t="shared" si="46"/>
        <v>8714826</v>
      </c>
    </row>
    <row r="502" spans="1:37" ht="12" customHeight="1">
      <c r="A502" s="12" t="s">
        <v>322</v>
      </c>
      <c r="B502" s="12"/>
      <c r="C502" s="12" t="s">
        <v>20</v>
      </c>
      <c r="D502" s="12"/>
      <c r="E502" s="32">
        <v>44792</v>
      </c>
      <c r="G502" s="8">
        <v>3060431</v>
      </c>
      <c r="I502" s="8">
        <v>4107466</v>
      </c>
      <c r="K502" s="8">
        <v>28504</v>
      </c>
      <c r="M502" s="8">
        <f t="shared" si="47"/>
        <v>7196401</v>
      </c>
      <c r="O502" s="8">
        <v>45131005</v>
      </c>
      <c r="Q502" s="8">
        <v>0</v>
      </c>
      <c r="S502" s="8">
        <v>14974272</v>
      </c>
      <c r="U502" s="8">
        <v>198313</v>
      </c>
      <c r="W502" s="8">
        <v>310589</v>
      </c>
      <c r="Y502" s="8">
        <v>0</v>
      </c>
      <c r="AA502" s="8">
        <f>782389+1032470</f>
        <v>1814859</v>
      </c>
      <c r="AB502" s="100"/>
      <c r="AC502" s="8">
        <v>0</v>
      </c>
      <c r="AE502" s="8">
        <v>0</v>
      </c>
      <c r="AG502" s="8">
        <f t="shared" si="45"/>
        <v>62429038</v>
      </c>
      <c r="AH502" s="8"/>
      <c r="AI502" s="8">
        <f t="shared" si="46"/>
        <v>69625439</v>
      </c>
    </row>
    <row r="503" spans="1:37" ht="12" customHeight="1">
      <c r="A503" s="12" t="s">
        <v>471</v>
      </c>
      <c r="B503" s="12"/>
      <c r="C503" s="12" t="s">
        <v>466</v>
      </c>
      <c r="D503" s="12"/>
      <c r="E503" s="32">
        <v>47951</v>
      </c>
      <c r="G503" s="8">
        <v>423395</v>
      </c>
      <c r="I503" s="8">
        <v>2838470</v>
      </c>
      <c r="K503" s="8">
        <v>21333</v>
      </c>
      <c r="M503" s="8">
        <f t="shared" si="47"/>
        <v>3283198</v>
      </c>
      <c r="O503" s="8">
        <v>3990888</v>
      </c>
      <c r="Q503" s="8">
        <v>0</v>
      </c>
      <c r="S503" s="8">
        <v>18223498</v>
      </c>
      <c r="U503" s="8">
        <v>216843</v>
      </c>
      <c r="W503" s="8">
        <v>0</v>
      </c>
      <c r="Y503" s="8">
        <v>0</v>
      </c>
      <c r="AA503" s="8">
        <v>243094</v>
      </c>
      <c r="AB503" s="100"/>
      <c r="AC503" s="8">
        <v>0</v>
      </c>
      <c r="AE503" s="8">
        <v>0</v>
      </c>
      <c r="AG503" s="8">
        <f t="shared" si="45"/>
        <v>22674323</v>
      </c>
      <c r="AH503" s="8"/>
      <c r="AI503" s="8">
        <f t="shared" si="46"/>
        <v>25957521</v>
      </c>
    </row>
    <row r="504" spans="1:37" ht="12" customHeight="1">
      <c r="A504" s="12" t="s">
        <v>516</v>
      </c>
      <c r="B504" s="12"/>
      <c r="C504" s="12" t="s">
        <v>45</v>
      </c>
      <c r="D504" s="12"/>
      <c r="E504" s="32">
        <v>48363</v>
      </c>
      <c r="G504" s="8">
        <v>503562</v>
      </c>
      <c r="I504" s="8">
        <v>929921</v>
      </c>
      <c r="K504" s="8">
        <v>9730</v>
      </c>
      <c r="M504" s="8">
        <f t="shared" si="47"/>
        <v>1443213</v>
      </c>
      <c r="O504" s="8">
        <v>6040220</v>
      </c>
      <c r="Q504" s="8">
        <v>0</v>
      </c>
      <c r="S504" s="8">
        <v>5868136</v>
      </c>
      <c r="U504" s="8">
        <v>395895</v>
      </c>
      <c r="W504" s="8">
        <v>0</v>
      </c>
      <c r="Y504" s="8">
        <v>0</v>
      </c>
      <c r="AA504" s="8">
        <v>224974</v>
      </c>
      <c r="AB504" s="100"/>
      <c r="AC504" s="8">
        <v>0</v>
      </c>
      <c r="AE504" s="8">
        <v>0</v>
      </c>
      <c r="AG504" s="8">
        <f t="shared" si="45"/>
        <v>12529225</v>
      </c>
      <c r="AH504" s="8"/>
      <c r="AI504" s="8">
        <f t="shared" si="46"/>
        <v>13972438</v>
      </c>
    </row>
    <row r="505" spans="1:37" ht="12" customHeight="1">
      <c r="A505" s="12" t="s">
        <v>594</v>
      </c>
      <c r="B505" s="12"/>
      <c r="C505" s="12" t="s">
        <v>56</v>
      </c>
      <c r="D505" s="12"/>
      <c r="E505" s="32">
        <v>49221</v>
      </c>
      <c r="G505" s="8">
        <v>656406</v>
      </c>
      <c r="I505" s="8">
        <v>1241879</v>
      </c>
      <c r="K505" s="8">
        <v>0</v>
      </c>
      <c r="M505" s="8">
        <f t="shared" si="47"/>
        <v>1898285</v>
      </c>
      <c r="O505" s="8">
        <v>6980313</v>
      </c>
      <c r="Q505" s="8">
        <v>0</v>
      </c>
      <c r="S505" s="8">
        <v>12174819</v>
      </c>
      <c r="U505" s="8">
        <v>146974</v>
      </c>
      <c r="W505" s="8">
        <v>0</v>
      </c>
      <c r="Y505" s="8">
        <v>0</v>
      </c>
      <c r="AA505" s="8">
        <v>0</v>
      </c>
      <c r="AB505" s="100"/>
      <c r="AC505" s="8">
        <v>0</v>
      </c>
      <c r="AE505" s="8">
        <v>0</v>
      </c>
      <c r="AG505" s="8">
        <f t="shared" si="45"/>
        <v>19302106</v>
      </c>
      <c r="AH505" s="8"/>
      <c r="AI505" s="8">
        <f t="shared" si="46"/>
        <v>21200391</v>
      </c>
    </row>
    <row r="506" spans="1:37" ht="12" customHeight="1">
      <c r="A506" s="12" t="s">
        <v>594</v>
      </c>
      <c r="B506" s="12"/>
      <c r="C506" s="12" t="s">
        <v>71</v>
      </c>
      <c r="D506" s="12"/>
      <c r="E506" s="32">
        <v>50583</v>
      </c>
      <c r="G506" s="8">
        <v>1550162</v>
      </c>
      <c r="I506" s="8">
        <v>2317496</v>
      </c>
      <c r="K506" s="8">
        <v>15354</v>
      </c>
      <c r="M506" s="8">
        <f t="shared" si="47"/>
        <v>3883012</v>
      </c>
      <c r="O506" s="8">
        <v>6396689</v>
      </c>
      <c r="Q506" s="8">
        <v>0</v>
      </c>
      <c r="S506" s="8">
        <v>5865263</v>
      </c>
      <c r="U506" s="8">
        <v>155678</v>
      </c>
      <c r="W506" s="8">
        <v>0</v>
      </c>
      <c r="Y506" s="8">
        <v>0</v>
      </c>
      <c r="AA506" s="8">
        <v>6690</v>
      </c>
      <c r="AB506" s="100"/>
      <c r="AC506" s="8">
        <v>0</v>
      </c>
      <c r="AE506" s="8">
        <v>0</v>
      </c>
      <c r="AG506" s="8">
        <f t="shared" si="45"/>
        <v>12424320</v>
      </c>
      <c r="AH506" s="8"/>
      <c r="AI506" s="8">
        <f t="shared" si="46"/>
        <v>16307332</v>
      </c>
    </row>
    <row r="507" spans="1:37" ht="12" customHeight="1">
      <c r="A507" s="12" t="s">
        <v>264</v>
      </c>
      <c r="B507" s="12"/>
      <c r="C507" s="12" t="s">
        <v>17</v>
      </c>
      <c r="D507" s="12"/>
      <c r="E507" s="32">
        <v>46276</v>
      </c>
      <c r="G507" s="8">
        <v>630344</v>
      </c>
      <c r="I507" s="8">
        <v>414770</v>
      </c>
      <c r="K507" s="8">
        <v>6621</v>
      </c>
      <c r="M507" s="8">
        <f t="shared" si="47"/>
        <v>1051735</v>
      </c>
      <c r="O507" s="8">
        <v>2525015</v>
      </c>
      <c r="Q507" s="8">
        <v>1002137</v>
      </c>
      <c r="S507" s="8">
        <v>3842399</v>
      </c>
      <c r="U507" s="8">
        <v>97994</v>
      </c>
      <c r="W507" s="8">
        <v>0</v>
      </c>
      <c r="Y507" s="8">
        <v>0</v>
      </c>
      <c r="AA507" s="8">
        <v>12818</v>
      </c>
      <c r="AB507" s="100"/>
      <c r="AC507" s="8">
        <v>0</v>
      </c>
      <c r="AE507" s="8">
        <v>0</v>
      </c>
      <c r="AG507" s="8">
        <f t="shared" si="45"/>
        <v>7480363</v>
      </c>
      <c r="AH507" s="8"/>
      <c r="AI507" s="8">
        <f t="shared" si="46"/>
        <v>8532098</v>
      </c>
    </row>
    <row r="508" spans="1:37" ht="12" customHeight="1">
      <c r="A508" s="12" t="s">
        <v>264</v>
      </c>
      <c r="B508" s="12"/>
      <c r="C508" s="12" t="s">
        <v>58</v>
      </c>
      <c r="D508" s="12"/>
      <c r="E508" s="32">
        <v>49528</v>
      </c>
      <c r="G508" s="8">
        <v>945442</v>
      </c>
      <c r="I508" s="8">
        <v>1809900</v>
      </c>
      <c r="K508" s="8">
        <v>3020</v>
      </c>
      <c r="M508" s="8">
        <f t="shared" si="47"/>
        <v>2758362</v>
      </c>
      <c r="O508" s="8">
        <v>1841449</v>
      </c>
      <c r="Q508" s="8">
        <v>63768</v>
      </c>
      <c r="S508" s="8">
        <v>6902119</v>
      </c>
      <c r="U508" s="8">
        <v>151605</v>
      </c>
      <c r="W508" s="8">
        <v>0</v>
      </c>
      <c r="Y508" s="8">
        <v>0</v>
      </c>
      <c r="AA508" s="8">
        <f>500+197586</f>
        <v>198086</v>
      </c>
      <c r="AB508" s="100"/>
      <c r="AC508" s="8">
        <v>0</v>
      </c>
      <c r="AE508" s="8">
        <v>0</v>
      </c>
      <c r="AG508" s="8">
        <f t="shared" si="45"/>
        <v>9157027</v>
      </c>
      <c r="AH508" s="8"/>
      <c r="AI508" s="8">
        <f t="shared" si="46"/>
        <v>11915389</v>
      </c>
    </row>
    <row r="509" spans="1:37">
      <c r="A509" s="12" t="s">
        <v>284</v>
      </c>
      <c r="B509" s="12"/>
      <c r="C509" s="12" t="s">
        <v>114</v>
      </c>
      <c r="D509" s="12"/>
      <c r="E509" s="32">
        <v>46441</v>
      </c>
      <c r="G509" s="8">
        <v>640655</v>
      </c>
      <c r="I509" s="8">
        <v>1276984</v>
      </c>
      <c r="K509" s="8">
        <v>19988</v>
      </c>
      <c r="M509" s="8">
        <f>SUM(G509:L509)</f>
        <v>1937627</v>
      </c>
      <c r="O509" s="8">
        <v>1808186</v>
      </c>
      <c r="Q509" s="8">
        <v>0</v>
      </c>
      <c r="S509" s="8">
        <v>6136246</v>
      </c>
      <c r="U509" s="8">
        <v>9554</v>
      </c>
      <c r="W509" s="8">
        <v>0</v>
      </c>
      <c r="Y509" s="8">
        <v>0</v>
      </c>
      <c r="AA509" s="8">
        <v>22178</v>
      </c>
      <c r="AB509" s="100"/>
      <c r="AC509" s="8">
        <v>0</v>
      </c>
      <c r="AE509" s="8">
        <v>0</v>
      </c>
      <c r="AG509" s="8">
        <f t="shared" si="45"/>
        <v>7976164</v>
      </c>
      <c r="AH509" s="8"/>
      <c r="AI509" s="8">
        <f t="shared" si="46"/>
        <v>9913791</v>
      </c>
    </row>
    <row r="510" spans="1:37">
      <c r="A510" s="12" t="s">
        <v>284</v>
      </c>
      <c r="B510" s="12"/>
      <c r="C510" s="12" t="s">
        <v>531</v>
      </c>
      <c r="D510" s="12"/>
      <c r="E510" s="32">
        <v>46441</v>
      </c>
      <c r="G510" s="8">
        <v>368000</v>
      </c>
      <c r="I510" s="8">
        <v>2466716</v>
      </c>
      <c r="K510" s="8">
        <v>55574</v>
      </c>
      <c r="M510" s="8">
        <f t="shared" si="47"/>
        <v>2890290</v>
      </c>
      <c r="O510" s="8">
        <v>1894212</v>
      </c>
      <c r="Q510" s="8">
        <v>0</v>
      </c>
      <c r="S510" s="8">
        <v>4137076</v>
      </c>
      <c r="U510" s="8">
        <v>40648</v>
      </c>
      <c r="W510" s="8">
        <v>0</v>
      </c>
      <c r="Y510" s="8">
        <v>0</v>
      </c>
      <c r="AA510" s="8">
        <v>6926</v>
      </c>
      <c r="AB510" s="100"/>
      <c r="AC510" s="8">
        <v>0</v>
      </c>
      <c r="AE510" s="8">
        <v>0</v>
      </c>
      <c r="AG510" s="8">
        <f t="shared" si="45"/>
        <v>6078862</v>
      </c>
      <c r="AH510" s="8"/>
      <c r="AI510" s="8">
        <f t="shared" si="46"/>
        <v>8969152</v>
      </c>
    </row>
    <row r="511" spans="1:37" hidden="1">
      <c r="A511" s="13" t="s">
        <v>1035</v>
      </c>
      <c r="B511" s="13"/>
      <c r="C511" s="13" t="s">
        <v>579</v>
      </c>
      <c r="D511" s="12"/>
      <c r="E511" s="32"/>
      <c r="G511" s="8">
        <v>413834</v>
      </c>
      <c r="I511" s="8">
        <v>3488787</v>
      </c>
      <c r="M511" s="8">
        <f t="shared" si="47"/>
        <v>3902621</v>
      </c>
      <c r="O511" s="8">
        <v>963944</v>
      </c>
      <c r="S511" s="8">
        <v>5413600</v>
      </c>
      <c r="U511" s="8">
        <v>14730</v>
      </c>
      <c r="AA511" s="8">
        <v>114063</v>
      </c>
      <c r="AB511" s="100"/>
      <c r="AC511" s="8">
        <v>0</v>
      </c>
      <c r="AG511" s="8">
        <f t="shared" si="45"/>
        <v>6506337</v>
      </c>
      <c r="AH511" s="8"/>
      <c r="AI511" s="8">
        <f t="shared" si="46"/>
        <v>10408958</v>
      </c>
    </row>
    <row r="512" spans="1:37" ht="12" customHeight="1">
      <c r="A512" s="12" t="s">
        <v>691</v>
      </c>
      <c r="B512" s="12"/>
      <c r="C512" s="12" t="s">
        <v>64</v>
      </c>
      <c r="D512" s="12"/>
      <c r="E512" s="32">
        <v>50237</v>
      </c>
      <c r="G512" s="8">
        <v>589645</v>
      </c>
      <c r="I512" s="8">
        <v>292585</v>
      </c>
      <c r="K512" s="8">
        <v>11862</v>
      </c>
      <c r="M512" s="8">
        <f t="shared" si="47"/>
        <v>894092</v>
      </c>
      <c r="O512" s="8">
        <v>1992791</v>
      </c>
      <c r="Q512" s="8">
        <v>0</v>
      </c>
      <c r="S512" s="8">
        <v>2929766</v>
      </c>
      <c r="U512" s="8">
        <v>564528</v>
      </c>
      <c r="W512" s="8">
        <v>0</v>
      </c>
      <c r="Y512" s="8">
        <v>0</v>
      </c>
      <c r="AA512" s="8">
        <v>79498</v>
      </c>
      <c r="AB512" s="100"/>
      <c r="AC512" s="8">
        <v>0</v>
      </c>
      <c r="AE512" s="8">
        <v>0</v>
      </c>
      <c r="AG512" s="8">
        <f t="shared" si="45"/>
        <v>5566583</v>
      </c>
      <c r="AH512" s="8"/>
      <c r="AI512" s="8">
        <f t="shared" si="46"/>
        <v>6460675</v>
      </c>
    </row>
    <row r="513" spans="1:37" ht="12" customHeight="1">
      <c r="A513" s="12" t="s">
        <v>481</v>
      </c>
      <c r="B513" s="12"/>
      <c r="C513" s="12" t="s">
        <v>42</v>
      </c>
      <c r="D513" s="12"/>
      <c r="E513" s="32">
        <v>48041</v>
      </c>
      <c r="G513" s="8">
        <v>2028910</v>
      </c>
      <c r="I513" s="8">
        <v>1852702</v>
      </c>
      <c r="K513" s="8">
        <v>0</v>
      </c>
      <c r="M513" s="8">
        <f t="shared" si="47"/>
        <v>3881612</v>
      </c>
      <c r="O513" s="8">
        <v>15732013</v>
      </c>
      <c r="Q513" s="8">
        <v>4336795</v>
      </c>
      <c r="S513" s="8">
        <v>13937068</v>
      </c>
      <c r="U513" s="8">
        <v>506898</v>
      </c>
      <c r="W513" s="8">
        <v>84871</v>
      </c>
      <c r="Y513" s="8">
        <v>0</v>
      </c>
      <c r="AA513" s="8">
        <v>171367</v>
      </c>
      <c r="AB513" s="100"/>
      <c r="AC513" s="8">
        <v>0</v>
      </c>
      <c r="AE513" s="8">
        <v>0</v>
      </c>
      <c r="AG513" s="8">
        <f t="shared" si="45"/>
        <v>34769012</v>
      </c>
      <c r="AH513" s="8"/>
      <c r="AI513" s="8">
        <f t="shared" si="46"/>
        <v>38650624</v>
      </c>
    </row>
    <row r="514" spans="1:37" ht="12" customHeight="1">
      <c r="A514" s="12" t="s">
        <v>407</v>
      </c>
      <c r="B514" s="12"/>
      <c r="C514" s="12" t="s">
        <v>32</v>
      </c>
      <c r="D514" s="12"/>
      <c r="E514" s="32">
        <v>47381</v>
      </c>
      <c r="G514" s="8">
        <v>1726992</v>
      </c>
      <c r="I514" s="8">
        <v>2955593</v>
      </c>
      <c r="K514" s="8">
        <v>46509</v>
      </c>
      <c r="M514" s="8">
        <f t="shared" si="47"/>
        <v>4729094</v>
      </c>
      <c r="O514" s="8">
        <v>12891392</v>
      </c>
      <c r="Q514" s="8">
        <v>2741283</v>
      </c>
      <c r="S514" s="8">
        <v>16414413</v>
      </c>
      <c r="U514" s="8">
        <v>0</v>
      </c>
      <c r="W514" s="8">
        <v>0</v>
      </c>
      <c r="Y514" s="8">
        <v>0</v>
      </c>
      <c r="AA514" s="8">
        <v>626738</v>
      </c>
      <c r="AB514" s="100"/>
      <c r="AC514" s="8">
        <v>0</v>
      </c>
      <c r="AE514" s="8">
        <v>0</v>
      </c>
      <c r="AG514" s="8">
        <f t="shared" si="45"/>
        <v>32673826</v>
      </c>
      <c r="AH514" s="8"/>
      <c r="AI514" s="8">
        <f t="shared" si="46"/>
        <v>37402920</v>
      </c>
    </row>
    <row r="515" spans="1:37" ht="12" customHeight="1">
      <c r="A515" s="12" t="s">
        <v>363</v>
      </c>
      <c r="B515" s="12"/>
      <c r="C515" s="12" t="s">
        <v>27</v>
      </c>
      <c r="D515" s="12"/>
      <c r="E515" s="32">
        <v>44800</v>
      </c>
      <c r="G515" s="8">
        <v>4822000</v>
      </c>
      <c r="I515" s="8">
        <v>33841000</v>
      </c>
      <c r="K515" s="8">
        <v>0</v>
      </c>
      <c r="M515" s="8">
        <f t="shared" si="47"/>
        <v>38663000</v>
      </c>
      <c r="O515" s="8">
        <v>102486000</v>
      </c>
      <c r="Q515" s="8">
        <v>0</v>
      </c>
      <c r="S515" s="8">
        <v>101901000</v>
      </c>
      <c r="U515" s="8">
        <v>974000</v>
      </c>
      <c r="W515" s="8">
        <v>0</v>
      </c>
      <c r="Y515" s="8">
        <v>0</v>
      </c>
      <c r="AA515" s="8">
        <v>8244000</v>
      </c>
      <c r="AB515" s="100"/>
      <c r="AC515" s="8">
        <v>0</v>
      </c>
      <c r="AE515" s="8">
        <v>0</v>
      </c>
      <c r="AG515" s="8">
        <f t="shared" si="45"/>
        <v>213605000</v>
      </c>
      <c r="AH515" s="8"/>
      <c r="AI515" s="8">
        <f t="shared" si="46"/>
        <v>252268000</v>
      </c>
      <c r="AK515" s="10" t="s">
        <v>1006</v>
      </c>
    </row>
    <row r="516" spans="1:37" ht="12.75" hidden="1" customHeight="1">
      <c r="A516" s="12" t="s">
        <v>1037</v>
      </c>
      <c r="B516" s="12"/>
      <c r="C516" s="12" t="s">
        <v>10</v>
      </c>
      <c r="D516" s="12"/>
      <c r="E516" s="32">
        <v>45807</v>
      </c>
      <c r="G516" s="8">
        <v>837093</v>
      </c>
      <c r="I516" s="8">
        <v>969785</v>
      </c>
      <c r="K516" s="8">
        <v>96862</v>
      </c>
      <c r="M516" s="8">
        <f t="shared" si="47"/>
        <v>1903740</v>
      </c>
      <c r="O516" s="8">
        <v>2146139</v>
      </c>
      <c r="Q516" s="8">
        <v>1070732</v>
      </c>
      <c r="S516" s="8">
        <v>4488314</v>
      </c>
      <c r="AA516" s="8">
        <v>40658</v>
      </c>
      <c r="AB516" s="100"/>
      <c r="AC516" s="8">
        <v>0</v>
      </c>
      <c r="AG516" s="8">
        <f t="shared" si="45"/>
        <v>7745843</v>
      </c>
      <c r="AH516" s="8"/>
      <c r="AI516" s="8">
        <f t="shared" si="46"/>
        <v>9649583</v>
      </c>
    </row>
    <row r="517" spans="1:37" ht="12.75" hidden="1" customHeight="1">
      <c r="A517" s="12" t="s">
        <v>1036</v>
      </c>
      <c r="B517" s="12"/>
      <c r="C517" s="12" t="s">
        <v>69</v>
      </c>
      <c r="D517" s="12"/>
      <c r="E517" s="32">
        <v>50427</v>
      </c>
      <c r="G517" s="8">
        <v>3258050</v>
      </c>
      <c r="I517" s="8">
        <v>2530913</v>
      </c>
      <c r="M517" s="8">
        <f t="shared" si="47"/>
        <v>5788963</v>
      </c>
      <c r="O517" s="8">
        <v>31537044</v>
      </c>
      <c r="S517" s="8">
        <v>15422306</v>
      </c>
      <c r="U517" s="8">
        <v>273601</v>
      </c>
      <c r="Y517" s="8">
        <v>21885</v>
      </c>
      <c r="AA517" s="8">
        <f>500320+712+619706</f>
        <v>1120738</v>
      </c>
      <c r="AB517" s="100"/>
      <c r="AC517" s="8">
        <v>0</v>
      </c>
      <c r="AG517" s="8">
        <f t="shared" si="45"/>
        <v>48375574</v>
      </c>
      <c r="AH517" s="8"/>
      <c r="AI517" s="8">
        <f t="shared" si="46"/>
        <v>54164537</v>
      </c>
    </row>
    <row r="518" spans="1:37" ht="12" customHeight="1">
      <c r="A518" s="12" t="s">
        <v>862</v>
      </c>
      <c r="B518" s="12"/>
      <c r="C518" s="12" t="s">
        <v>17</v>
      </c>
      <c r="D518" s="12"/>
      <c r="E518" s="32"/>
      <c r="G518" s="8">
        <v>2616078</v>
      </c>
      <c r="I518" s="8">
        <v>25605141</v>
      </c>
      <c r="K518" s="8">
        <v>0</v>
      </c>
      <c r="M518" s="8">
        <f t="shared" si="47"/>
        <v>28221219</v>
      </c>
      <c r="O518" s="8">
        <v>26902394</v>
      </c>
      <c r="Q518" s="8">
        <v>0</v>
      </c>
      <c r="S518" s="8">
        <v>46431981</v>
      </c>
      <c r="U518" s="8">
        <v>665442</v>
      </c>
      <c r="W518" s="8">
        <v>0</v>
      </c>
      <c r="Y518" s="8">
        <v>0</v>
      </c>
      <c r="AA518" s="8">
        <v>550860</v>
      </c>
      <c r="AB518" s="100"/>
      <c r="AC518" s="8">
        <v>0</v>
      </c>
      <c r="AE518" s="8">
        <v>0</v>
      </c>
      <c r="AG518" s="8">
        <f t="shared" si="45"/>
        <v>74550677</v>
      </c>
      <c r="AH518" s="8"/>
      <c r="AI518" s="8">
        <f t="shared" si="46"/>
        <v>102771896</v>
      </c>
    </row>
    <row r="519" spans="1:37" ht="12" customHeight="1">
      <c r="A519" s="12" t="s">
        <v>1062</v>
      </c>
      <c r="B519" s="12"/>
      <c r="C519" s="12" t="s">
        <v>117</v>
      </c>
      <c r="D519" s="12"/>
      <c r="E519" s="32">
        <v>48223</v>
      </c>
      <c r="G519" s="8">
        <v>2356956</v>
      </c>
      <c r="I519" s="8">
        <v>5825190</v>
      </c>
      <c r="K519" s="8">
        <v>0</v>
      </c>
      <c r="M519" s="8">
        <f t="shared" si="47"/>
        <v>8182146</v>
      </c>
      <c r="O519" s="8">
        <v>26454637</v>
      </c>
      <c r="Q519" s="8">
        <v>0</v>
      </c>
      <c r="S519" s="8">
        <v>8794665</v>
      </c>
      <c r="U519" s="8">
        <v>171972</v>
      </c>
      <c r="W519" s="8">
        <v>0</v>
      </c>
      <c r="Y519" s="8">
        <v>62423</v>
      </c>
      <c r="AA519" s="8">
        <f>152377+3128+12250</f>
        <v>167755</v>
      </c>
      <c r="AB519" s="100"/>
      <c r="AC519" s="8">
        <v>0</v>
      </c>
      <c r="AE519" s="8">
        <v>0</v>
      </c>
      <c r="AG519" s="8">
        <f t="shared" si="45"/>
        <v>35651452</v>
      </c>
      <c r="AH519" s="8"/>
      <c r="AI519" s="8">
        <f t="shared" si="46"/>
        <v>43833598</v>
      </c>
      <c r="AK519" s="15" t="s">
        <v>905</v>
      </c>
    </row>
    <row r="520" spans="1:37" ht="12" customHeight="1">
      <c r="A520" s="12" t="s">
        <v>500</v>
      </c>
      <c r="B520" s="12"/>
      <c r="C520" s="12" t="s">
        <v>45</v>
      </c>
      <c r="D520" s="12"/>
      <c r="E520" s="32">
        <v>48371</v>
      </c>
      <c r="G520" s="8">
        <v>481471</v>
      </c>
      <c r="I520" s="8">
        <v>631734</v>
      </c>
      <c r="K520" s="8">
        <v>28282</v>
      </c>
      <c r="M520" s="8">
        <f t="shared" si="47"/>
        <v>1141487</v>
      </c>
      <c r="O520" s="8">
        <v>3172056</v>
      </c>
      <c r="Q520" s="8">
        <v>1673500</v>
      </c>
      <c r="S520" s="8">
        <v>5246089</v>
      </c>
      <c r="U520" s="8">
        <v>51902</v>
      </c>
      <c r="W520" s="8">
        <v>0</v>
      </c>
      <c r="Y520" s="8">
        <v>0</v>
      </c>
      <c r="AA520" s="8">
        <v>28041</v>
      </c>
      <c r="AB520" s="100"/>
      <c r="AC520" s="8">
        <v>0</v>
      </c>
      <c r="AE520" s="8">
        <v>0</v>
      </c>
      <c r="AG520" s="8">
        <f t="shared" si="45"/>
        <v>10171588</v>
      </c>
      <c r="AH520" s="8"/>
      <c r="AI520" s="8">
        <f t="shared" si="46"/>
        <v>11313075</v>
      </c>
    </row>
    <row r="521" spans="1:37" ht="12" customHeight="1">
      <c r="A521" s="12" t="s">
        <v>500</v>
      </c>
      <c r="B521" s="12"/>
      <c r="C521" s="12" t="s">
        <v>63</v>
      </c>
      <c r="D521" s="12"/>
      <c r="E521" s="32">
        <v>50062</v>
      </c>
      <c r="G521" s="8">
        <v>2652510</v>
      </c>
      <c r="I521" s="8">
        <v>3483750</v>
      </c>
      <c r="K521" s="8">
        <v>0</v>
      </c>
      <c r="M521" s="8">
        <f t="shared" si="47"/>
        <v>6136260</v>
      </c>
      <c r="O521" s="8">
        <v>12009839</v>
      </c>
      <c r="Q521" s="8">
        <v>0</v>
      </c>
      <c r="S521" s="8">
        <v>11056356</v>
      </c>
      <c r="U521" s="8">
        <v>0</v>
      </c>
      <c r="W521" s="8">
        <v>0</v>
      </c>
      <c r="Y521" s="8">
        <v>0</v>
      </c>
      <c r="AA521" s="8">
        <v>136325</v>
      </c>
      <c r="AB521" s="100"/>
      <c r="AC521" s="8">
        <v>0</v>
      </c>
      <c r="AE521" s="8">
        <v>0</v>
      </c>
      <c r="AG521" s="8">
        <f t="shared" si="45"/>
        <v>23202520</v>
      </c>
      <c r="AH521" s="8"/>
      <c r="AI521" s="8">
        <f t="shared" si="46"/>
        <v>29338780</v>
      </c>
    </row>
    <row r="522" spans="1:37" ht="12" customHeight="1">
      <c r="A522" s="12" t="s">
        <v>871</v>
      </c>
      <c r="B522" s="12"/>
      <c r="C522" s="12" t="s">
        <v>32</v>
      </c>
      <c r="D522" s="12"/>
      <c r="E522" s="32">
        <v>44719</v>
      </c>
      <c r="G522" s="8">
        <v>236151</v>
      </c>
      <c r="I522" s="8">
        <v>2872571</v>
      </c>
      <c r="K522" s="8">
        <v>2932</v>
      </c>
      <c r="M522" s="8">
        <f t="shared" si="47"/>
        <v>3111654</v>
      </c>
      <c r="O522" s="8">
        <v>5509116</v>
      </c>
      <c r="Q522" s="8">
        <v>0</v>
      </c>
      <c r="S522" s="8">
        <v>4761318</v>
      </c>
      <c r="U522" s="8">
        <v>0</v>
      </c>
      <c r="W522" s="8">
        <v>0</v>
      </c>
      <c r="Y522" s="8">
        <v>0</v>
      </c>
      <c r="AA522" s="8">
        <v>446904</v>
      </c>
      <c r="AB522" s="100"/>
      <c r="AC522" s="8">
        <v>0</v>
      </c>
      <c r="AE522" s="8">
        <v>0</v>
      </c>
      <c r="AG522" s="8">
        <f t="shared" ref="AG522:AG528" si="48">SUM(O522:AE522)</f>
        <v>10717338</v>
      </c>
      <c r="AH522" s="8"/>
      <c r="AI522" s="8">
        <f t="shared" ref="AI522:AI528" si="49">+AG522+M522</f>
        <v>13828992</v>
      </c>
    </row>
    <row r="523" spans="1:37" ht="12" customHeight="1">
      <c r="A523" s="12" t="s">
        <v>870</v>
      </c>
      <c r="B523" s="12"/>
      <c r="C523" s="12" t="s">
        <v>15</v>
      </c>
      <c r="D523" s="12"/>
      <c r="E523" s="32">
        <v>45997</v>
      </c>
      <c r="G523" s="8">
        <v>1626249</v>
      </c>
      <c r="I523" s="8">
        <v>1552254</v>
      </c>
      <c r="K523" s="8">
        <v>23191</v>
      </c>
      <c r="M523" s="8">
        <f t="shared" si="47"/>
        <v>3201694</v>
      </c>
      <c r="O523" s="8">
        <v>6759102</v>
      </c>
      <c r="Q523" s="8">
        <v>0</v>
      </c>
      <c r="S523" s="8">
        <v>4921628</v>
      </c>
      <c r="U523" s="8">
        <v>59908</v>
      </c>
      <c r="W523" s="8">
        <v>0</v>
      </c>
      <c r="Y523" s="8">
        <v>6143</v>
      </c>
      <c r="AA523" s="8">
        <v>91396</v>
      </c>
      <c r="AB523" s="100"/>
      <c r="AC523" s="8">
        <v>0</v>
      </c>
      <c r="AE523" s="8">
        <v>0</v>
      </c>
      <c r="AG523" s="8">
        <f t="shared" si="48"/>
        <v>11838177</v>
      </c>
      <c r="AH523" s="8"/>
      <c r="AI523" s="8">
        <f t="shared" si="49"/>
        <v>15039871</v>
      </c>
    </row>
    <row r="524" spans="1:37" ht="12" hidden="1" customHeight="1">
      <c r="A524" s="12" t="s">
        <v>1038</v>
      </c>
      <c r="B524" s="12"/>
      <c r="C524" s="12" t="s">
        <v>534</v>
      </c>
      <c r="D524" s="12"/>
      <c r="E524" s="32">
        <v>48587</v>
      </c>
      <c r="G524" s="8">
        <v>660852</v>
      </c>
      <c r="I524" s="8">
        <v>1089297</v>
      </c>
      <c r="K524" s="8">
        <v>35955</v>
      </c>
      <c r="M524" s="8">
        <f t="shared" si="47"/>
        <v>1786104</v>
      </c>
      <c r="O524" s="8">
        <v>2722290</v>
      </c>
      <c r="S524" s="8">
        <v>5492023</v>
      </c>
      <c r="U524" s="8">
        <v>55336</v>
      </c>
      <c r="W524" s="8">
        <v>37913</v>
      </c>
      <c r="AA524" s="8">
        <v>19742</v>
      </c>
      <c r="AB524" s="100"/>
      <c r="AC524" s="8">
        <v>0</v>
      </c>
      <c r="AG524" s="8">
        <f t="shared" si="48"/>
        <v>8327304</v>
      </c>
      <c r="AH524" s="8"/>
      <c r="AI524" s="8">
        <f t="shared" si="49"/>
        <v>10113408</v>
      </c>
    </row>
    <row r="525" spans="1:37" ht="12" hidden="1" customHeight="1">
      <c r="A525" s="12" t="s">
        <v>1039</v>
      </c>
      <c r="B525" s="12"/>
      <c r="C525" s="12" t="s">
        <v>14</v>
      </c>
      <c r="D525" s="12"/>
      <c r="E525" s="32">
        <v>44727</v>
      </c>
      <c r="G525" s="8">
        <v>1379942</v>
      </c>
      <c r="I525" s="8">
        <v>2848157</v>
      </c>
      <c r="K525" s="8">
        <v>40332</v>
      </c>
      <c r="M525" s="8">
        <f t="shared" si="47"/>
        <v>4268431</v>
      </c>
      <c r="O525" s="8">
        <f>6188817+1555397+354023</f>
        <v>8098237</v>
      </c>
      <c r="S525" s="8">
        <v>29385616</v>
      </c>
      <c r="U525" s="8">
        <v>975652</v>
      </c>
      <c r="AA525" s="8">
        <v>154424</v>
      </c>
      <c r="AB525" s="100"/>
      <c r="AC525" s="8">
        <v>0</v>
      </c>
      <c r="AG525" s="8">
        <f t="shared" si="48"/>
        <v>38613929</v>
      </c>
      <c r="AH525" s="8"/>
      <c r="AI525" s="8">
        <f t="shared" si="49"/>
        <v>42882360</v>
      </c>
    </row>
    <row r="526" spans="1:37" s="8" customFormat="1" ht="12" customHeight="1">
      <c r="A526" s="13" t="s">
        <v>452</v>
      </c>
      <c r="B526" s="13"/>
      <c r="C526" s="13" t="s">
        <v>39</v>
      </c>
      <c r="D526" s="13"/>
      <c r="E526" s="32">
        <v>44826</v>
      </c>
      <c r="F526" s="10"/>
      <c r="G526" s="8">
        <v>3323531</v>
      </c>
      <c r="I526" s="8">
        <v>6564578</v>
      </c>
      <c r="K526" s="8">
        <v>332211</v>
      </c>
      <c r="M526" s="8">
        <f t="shared" si="47"/>
        <v>10220320</v>
      </c>
      <c r="O526" s="8">
        <v>4186480</v>
      </c>
      <c r="Q526" s="8">
        <v>0</v>
      </c>
      <c r="S526" s="8">
        <v>12398603</v>
      </c>
      <c r="U526" s="8">
        <v>0</v>
      </c>
      <c r="W526" s="8">
        <v>0</v>
      </c>
      <c r="Y526" s="8">
        <v>0</v>
      </c>
      <c r="AA526" s="8">
        <v>434590</v>
      </c>
      <c r="AB526" s="100"/>
      <c r="AC526" s="8">
        <v>0</v>
      </c>
      <c r="AE526" s="8">
        <v>0</v>
      </c>
      <c r="AG526" s="8">
        <f t="shared" si="48"/>
        <v>17019673</v>
      </c>
      <c r="AI526" s="8">
        <f t="shared" si="49"/>
        <v>27239993</v>
      </c>
    </row>
    <row r="527" spans="1:37" ht="12" customHeight="1">
      <c r="A527" s="12" t="s">
        <v>671</v>
      </c>
      <c r="B527" s="12"/>
      <c r="C527" s="12" t="s">
        <v>63</v>
      </c>
      <c r="D527" s="12"/>
      <c r="E527" s="32">
        <v>44834</v>
      </c>
      <c r="G527" s="8">
        <v>3076223</v>
      </c>
      <c r="I527" s="8">
        <v>3919343</v>
      </c>
      <c r="K527" s="8">
        <v>65104</v>
      </c>
      <c r="M527" s="8">
        <f t="shared" si="47"/>
        <v>7060670</v>
      </c>
      <c r="O527" s="8">
        <v>30183489</v>
      </c>
      <c r="Q527" s="8">
        <v>0</v>
      </c>
      <c r="S527" s="8">
        <v>19385420</v>
      </c>
      <c r="U527" s="8">
        <v>261203</v>
      </c>
      <c r="W527" s="8">
        <v>125406</v>
      </c>
      <c r="Y527" s="8">
        <v>0</v>
      </c>
      <c r="AA527" s="8">
        <v>135025</v>
      </c>
      <c r="AB527" s="100"/>
      <c r="AC527" s="8">
        <v>0</v>
      </c>
      <c r="AE527" s="8">
        <v>0</v>
      </c>
      <c r="AG527" s="8">
        <f t="shared" si="48"/>
        <v>50090543</v>
      </c>
      <c r="AH527" s="8"/>
      <c r="AI527" s="8">
        <f t="shared" si="49"/>
        <v>57151213</v>
      </c>
    </row>
    <row r="528" spans="1:37" ht="12" hidden="1" customHeight="1">
      <c r="A528" s="13" t="s">
        <v>1040</v>
      </c>
      <c r="B528" s="12"/>
      <c r="C528" s="12" t="s">
        <v>65</v>
      </c>
      <c r="D528" s="12"/>
      <c r="E528" s="32">
        <v>50294</v>
      </c>
      <c r="M528" s="8">
        <f t="shared" si="47"/>
        <v>0</v>
      </c>
      <c r="AB528" s="100"/>
      <c r="AC528" s="8">
        <v>0</v>
      </c>
      <c r="AG528" s="8">
        <f t="shared" si="48"/>
        <v>0</v>
      </c>
      <c r="AH528" s="8"/>
      <c r="AI528" s="8">
        <f t="shared" si="49"/>
        <v>0</v>
      </c>
      <c r="AK528" s="8" t="s">
        <v>967</v>
      </c>
    </row>
    <row r="529" spans="1:37" ht="12" customHeight="1">
      <c r="A529" s="13"/>
      <c r="B529" s="12"/>
      <c r="C529" s="12"/>
      <c r="D529" s="12"/>
      <c r="E529" s="32"/>
      <c r="AB529" s="100"/>
      <c r="AH529" s="8"/>
      <c r="AK529" s="8"/>
    </row>
    <row r="530" spans="1:37" ht="12" customHeight="1">
      <c r="A530" s="13"/>
      <c r="B530" s="12"/>
      <c r="C530" s="12"/>
      <c r="D530" s="12"/>
      <c r="E530" s="32"/>
      <c r="AB530" s="100"/>
      <c r="AH530" s="8"/>
      <c r="AI530" s="8" t="s">
        <v>805</v>
      </c>
      <c r="AK530" s="8"/>
    </row>
    <row r="531" spans="1:37" ht="12" customHeight="1">
      <c r="A531" s="13"/>
      <c r="B531" s="12"/>
      <c r="C531" s="12"/>
      <c r="D531" s="12"/>
      <c r="E531" s="32"/>
      <c r="AB531" s="100"/>
      <c r="AH531" s="8"/>
      <c r="AK531" s="8"/>
    </row>
    <row r="532" spans="1:37" s="8" customFormat="1" ht="12" customHeight="1">
      <c r="A532" s="13" t="s">
        <v>595</v>
      </c>
      <c r="B532" s="13"/>
      <c r="C532" s="13" t="s">
        <v>56</v>
      </c>
      <c r="D532" s="13"/>
      <c r="E532" s="13">
        <v>49239</v>
      </c>
      <c r="G532" s="35">
        <v>962439</v>
      </c>
      <c r="H532" s="35"/>
      <c r="I532" s="35">
        <v>1075507</v>
      </c>
      <c r="J532" s="35"/>
      <c r="K532" s="35">
        <v>0</v>
      </c>
      <c r="L532" s="35"/>
      <c r="M532" s="35">
        <f t="shared" si="47"/>
        <v>2037946</v>
      </c>
      <c r="N532" s="35"/>
      <c r="O532" s="35">
        <v>15086565</v>
      </c>
      <c r="P532" s="35"/>
      <c r="Q532" s="35">
        <v>0</v>
      </c>
      <c r="R532" s="35"/>
      <c r="S532" s="35">
        <v>8096753</v>
      </c>
      <c r="T532" s="35"/>
      <c r="U532" s="35">
        <v>45832</v>
      </c>
      <c r="V532" s="35"/>
      <c r="W532" s="35">
        <v>237964</v>
      </c>
      <c r="X532" s="35"/>
      <c r="Y532" s="35">
        <v>0</v>
      </c>
      <c r="Z532" s="35"/>
      <c r="AA532" s="35">
        <v>249200</v>
      </c>
      <c r="AB532" s="105"/>
      <c r="AC532" s="35">
        <v>0</v>
      </c>
      <c r="AD532" s="35"/>
      <c r="AE532" s="35">
        <v>0</v>
      </c>
      <c r="AF532" s="35"/>
      <c r="AG532" s="35">
        <f t="shared" ref="AG532:AG579" si="50">SUM(O532:AE532)</f>
        <v>23716314</v>
      </c>
      <c r="AH532" s="35"/>
      <c r="AI532" s="35">
        <f t="shared" ref="AI532:AI579" si="51">+AG532+M532</f>
        <v>25754260</v>
      </c>
    </row>
    <row r="533" spans="1:37" ht="12" customHeight="1">
      <c r="A533" s="12" t="s">
        <v>323</v>
      </c>
      <c r="B533" s="12"/>
      <c r="C533" s="12" t="s">
        <v>20</v>
      </c>
      <c r="D533" s="12"/>
      <c r="E533" s="32">
        <v>44842</v>
      </c>
      <c r="G533" s="8">
        <v>2803477</v>
      </c>
      <c r="I533" s="8">
        <v>3272421</v>
      </c>
      <c r="K533" s="8">
        <v>0</v>
      </c>
      <c r="M533" s="8">
        <f t="shared" si="47"/>
        <v>6075898</v>
      </c>
      <c r="O533" s="8">
        <v>54736168</v>
      </c>
      <c r="Q533" s="8">
        <v>0</v>
      </c>
      <c r="S533" s="8">
        <v>21891836</v>
      </c>
      <c r="U533" s="8">
        <v>241399</v>
      </c>
      <c r="W533" s="8">
        <v>0</v>
      </c>
      <c r="Y533" s="8">
        <v>0</v>
      </c>
      <c r="AA533" s="8">
        <v>873919</v>
      </c>
      <c r="AB533" s="100"/>
      <c r="AC533" s="8">
        <v>0</v>
      </c>
      <c r="AE533" s="8">
        <v>0</v>
      </c>
      <c r="AG533" s="8">
        <f t="shared" si="50"/>
        <v>77743322</v>
      </c>
      <c r="AH533" s="8"/>
      <c r="AI533" s="8">
        <f t="shared" si="51"/>
        <v>83819220</v>
      </c>
    </row>
    <row r="534" spans="1:37" ht="12" customHeight="1">
      <c r="A534" s="12" t="s">
        <v>517</v>
      </c>
      <c r="B534" s="12"/>
      <c r="C534" s="12" t="s">
        <v>45</v>
      </c>
      <c r="D534" s="12"/>
      <c r="E534" s="32">
        <v>44859</v>
      </c>
      <c r="G534" s="8">
        <v>1550983</v>
      </c>
      <c r="I534" s="8">
        <v>2806835</v>
      </c>
      <c r="K534" s="8">
        <v>19692</v>
      </c>
      <c r="M534" s="8">
        <f t="shared" si="47"/>
        <v>4377510</v>
      </c>
      <c r="O534" s="8">
        <v>4986772</v>
      </c>
      <c r="Q534" s="8">
        <v>0</v>
      </c>
      <c r="S534" s="8">
        <v>10611882</v>
      </c>
      <c r="U534" s="8">
        <v>57688</v>
      </c>
      <c r="W534" s="8">
        <v>0</v>
      </c>
      <c r="Y534" s="8">
        <v>0</v>
      </c>
      <c r="AA534" s="8">
        <v>71609</v>
      </c>
      <c r="AB534" s="100"/>
      <c r="AC534" s="8">
        <v>0</v>
      </c>
      <c r="AE534" s="8">
        <v>0</v>
      </c>
      <c r="AG534" s="8">
        <f t="shared" si="50"/>
        <v>15727951</v>
      </c>
      <c r="AH534" s="8"/>
      <c r="AI534" s="8">
        <f t="shared" si="51"/>
        <v>20105461</v>
      </c>
    </row>
    <row r="535" spans="1:37" ht="12" customHeight="1">
      <c r="A535" s="12" t="s">
        <v>732</v>
      </c>
      <c r="B535" s="12"/>
      <c r="C535" s="12" t="s">
        <v>727</v>
      </c>
      <c r="D535" s="12"/>
      <c r="E535" s="32">
        <v>50658</v>
      </c>
      <c r="G535" s="8">
        <v>360460</v>
      </c>
      <c r="I535" s="8">
        <v>534884</v>
      </c>
      <c r="K535" s="8">
        <v>247321</v>
      </c>
      <c r="M535" s="8">
        <f t="shared" si="47"/>
        <v>1142665</v>
      </c>
      <c r="O535" s="8">
        <v>1457417</v>
      </c>
      <c r="Q535" s="8">
        <v>765406</v>
      </c>
      <c r="S535" s="8">
        <v>2203761</v>
      </c>
      <c r="U535" s="8">
        <v>61562</v>
      </c>
      <c r="W535" s="8">
        <v>0</v>
      </c>
      <c r="Y535" s="8">
        <v>14188</v>
      </c>
      <c r="AA535" s="8">
        <v>80374</v>
      </c>
      <c r="AB535" s="100"/>
      <c r="AC535" s="8">
        <v>0</v>
      </c>
      <c r="AE535" s="8">
        <v>0</v>
      </c>
      <c r="AG535" s="8">
        <f t="shared" si="50"/>
        <v>4582708</v>
      </c>
      <c r="AH535" s="8"/>
      <c r="AI535" s="8">
        <f t="shared" si="51"/>
        <v>5725373</v>
      </c>
    </row>
    <row r="536" spans="1:37" ht="12" customHeight="1">
      <c r="A536" s="12" t="s">
        <v>387</v>
      </c>
      <c r="B536" s="12"/>
      <c r="C536" s="12" t="s">
        <v>116</v>
      </c>
      <c r="D536" s="12"/>
      <c r="E536" s="32">
        <v>47274</v>
      </c>
      <c r="G536" s="8">
        <v>1547181</v>
      </c>
      <c r="I536" s="8">
        <v>970729</v>
      </c>
      <c r="K536" s="8">
        <v>173325</v>
      </c>
      <c r="M536" s="8">
        <f t="shared" si="47"/>
        <v>2691235</v>
      </c>
      <c r="O536" s="8">
        <v>16876542</v>
      </c>
      <c r="Q536" s="8">
        <v>0</v>
      </c>
      <c r="S536" s="8">
        <v>8762849</v>
      </c>
      <c r="U536" s="8">
        <v>0</v>
      </c>
      <c r="W536" s="8">
        <v>0</v>
      </c>
      <c r="Y536" s="8">
        <v>0</v>
      </c>
      <c r="AA536" s="8">
        <v>261370</v>
      </c>
      <c r="AB536" s="100"/>
      <c r="AC536" s="8">
        <v>0</v>
      </c>
      <c r="AE536" s="8">
        <v>0</v>
      </c>
      <c r="AG536" s="8">
        <f t="shared" si="50"/>
        <v>25900761</v>
      </c>
      <c r="AH536" s="8"/>
      <c r="AI536" s="8">
        <f t="shared" si="51"/>
        <v>28591996</v>
      </c>
    </row>
    <row r="537" spans="1:37" ht="12" customHeight="1">
      <c r="A537" s="12" t="s">
        <v>373</v>
      </c>
      <c r="B537" s="12"/>
      <c r="C537" s="12" t="s">
        <v>28</v>
      </c>
      <c r="D537" s="12"/>
      <c r="E537" s="32">
        <v>47092</v>
      </c>
      <c r="G537" s="8">
        <v>1015977</v>
      </c>
      <c r="I537" s="8">
        <v>1239071</v>
      </c>
      <c r="K537" s="8">
        <v>11200</v>
      </c>
      <c r="M537" s="8">
        <f t="shared" si="47"/>
        <v>2266248</v>
      </c>
      <c r="O537" s="8">
        <f>5401526+19337+886793+234274</f>
        <v>6541930</v>
      </c>
      <c r="Q537" s="8">
        <v>2304007</v>
      </c>
      <c r="S537" s="8">
        <v>5484161</v>
      </c>
      <c r="U537" s="8">
        <v>311552</v>
      </c>
      <c r="W537" s="8">
        <v>0</v>
      </c>
      <c r="Y537" s="8">
        <v>11663</v>
      </c>
      <c r="AA537" s="8">
        <v>170304</v>
      </c>
      <c r="AB537" s="100"/>
      <c r="AC537" s="8">
        <v>0</v>
      </c>
      <c r="AE537" s="8">
        <v>0</v>
      </c>
      <c r="AG537" s="8">
        <f t="shared" si="50"/>
        <v>14823617</v>
      </c>
      <c r="AH537" s="8"/>
      <c r="AI537" s="8">
        <f t="shared" si="51"/>
        <v>17089865</v>
      </c>
    </row>
    <row r="538" spans="1:37" ht="12" customHeight="1">
      <c r="A538" s="12" t="s">
        <v>861</v>
      </c>
      <c r="B538" s="12"/>
      <c r="C538" s="12" t="s">
        <v>49</v>
      </c>
      <c r="D538" s="12"/>
      <c r="E538" s="32">
        <v>48652</v>
      </c>
      <c r="G538" s="8">
        <v>738522</v>
      </c>
      <c r="I538" s="8">
        <v>5286707</v>
      </c>
      <c r="K538" s="8">
        <v>249670</v>
      </c>
      <c r="M538" s="8">
        <f t="shared" si="47"/>
        <v>6274899</v>
      </c>
      <c r="O538" s="8">
        <v>7298773</v>
      </c>
      <c r="Q538" s="8">
        <v>0</v>
      </c>
      <c r="S538" s="8">
        <v>13179020</v>
      </c>
      <c r="U538" s="8">
        <v>50405</v>
      </c>
      <c r="W538" s="8">
        <v>0</v>
      </c>
      <c r="Y538" s="8">
        <v>0</v>
      </c>
      <c r="AA538" s="8">
        <f>1138+189570</f>
        <v>190708</v>
      </c>
      <c r="AB538" s="100"/>
      <c r="AC538" s="8">
        <v>0</v>
      </c>
      <c r="AE538" s="8">
        <v>0</v>
      </c>
      <c r="AG538" s="8">
        <f t="shared" si="50"/>
        <v>20718906</v>
      </c>
      <c r="AH538" s="8"/>
      <c r="AI538" s="8">
        <f t="shared" si="51"/>
        <v>26993805</v>
      </c>
    </row>
    <row r="539" spans="1:37" ht="12" customHeight="1">
      <c r="A539" s="12" t="s">
        <v>409</v>
      </c>
      <c r="B539" s="12"/>
      <c r="C539" s="12" t="s">
        <v>32</v>
      </c>
      <c r="D539" s="12"/>
      <c r="E539" s="32">
        <v>44867</v>
      </c>
      <c r="G539" s="8">
        <v>3230905</v>
      </c>
      <c r="I539" s="8">
        <v>4175213</v>
      </c>
      <c r="K539" s="8">
        <v>108066</v>
      </c>
      <c r="M539" s="8">
        <f t="shared" si="47"/>
        <v>7514184</v>
      </c>
      <c r="O539" s="8">
        <v>59572942</v>
      </c>
      <c r="Q539" s="8">
        <v>0</v>
      </c>
      <c r="S539" s="8">
        <v>17817560</v>
      </c>
      <c r="U539" s="8">
        <v>0</v>
      </c>
      <c r="W539" s="8">
        <v>0</v>
      </c>
      <c r="Y539" s="8">
        <v>0</v>
      </c>
      <c r="AA539" s="8">
        <v>1327149</v>
      </c>
      <c r="AB539" s="100"/>
      <c r="AC539" s="8">
        <v>0</v>
      </c>
      <c r="AE539" s="8">
        <v>0</v>
      </c>
      <c r="AG539" s="8">
        <f t="shared" si="50"/>
        <v>78717651</v>
      </c>
      <c r="AH539" s="8"/>
      <c r="AI539" s="8">
        <f t="shared" si="51"/>
        <v>86231835</v>
      </c>
    </row>
    <row r="540" spans="1:37" ht="12" customHeight="1">
      <c r="A540" s="12" t="s">
        <v>501</v>
      </c>
      <c r="B540" s="12"/>
      <c r="C540" s="12" t="s">
        <v>117</v>
      </c>
      <c r="D540" s="12"/>
      <c r="E540" s="32">
        <v>44875</v>
      </c>
      <c r="G540" s="8">
        <v>3019303</v>
      </c>
      <c r="I540" s="8">
        <v>5451295</v>
      </c>
      <c r="K540" s="8">
        <v>79049</v>
      </c>
      <c r="M540" s="8">
        <f t="shared" si="47"/>
        <v>8549647</v>
      </c>
      <c r="O540" s="8">
        <v>55090494</v>
      </c>
      <c r="Q540" s="8">
        <v>0</v>
      </c>
      <c r="S540" s="8">
        <v>24162588</v>
      </c>
      <c r="U540" s="8">
        <v>565673</v>
      </c>
      <c r="W540" s="8">
        <v>0</v>
      </c>
      <c r="Y540" s="8">
        <v>0</v>
      </c>
      <c r="AA540" s="8">
        <f>25674+439111</f>
        <v>464785</v>
      </c>
      <c r="AB540" s="100"/>
      <c r="AC540" s="8">
        <v>0</v>
      </c>
      <c r="AE540" s="8">
        <v>0</v>
      </c>
      <c r="AG540" s="8">
        <f t="shared" si="50"/>
        <v>80283540</v>
      </c>
      <c r="AH540" s="8"/>
      <c r="AI540" s="8">
        <f t="shared" si="51"/>
        <v>88833187</v>
      </c>
    </row>
    <row r="541" spans="1:37" ht="12" customHeight="1">
      <c r="A541" s="12" t="s">
        <v>472</v>
      </c>
      <c r="B541" s="12"/>
      <c r="C541" s="12" t="s">
        <v>466</v>
      </c>
      <c r="D541" s="12"/>
      <c r="E541" s="32">
        <v>47969</v>
      </c>
      <c r="G541" s="8">
        <v>680645</v>
      </c>
      <c r="I541" s="8">
        <v>1714259</v>
      </c>
      <c r="K541" s="8">
        <v>31258</v>
      </c>
      <c r="M541" s="8">
        <f t="shared" si="47"/>
        <v>2426162</v>
      </c>
      <c r="O541" s="8">
        <v>703669</v>
      </c>
      <c r="Q541" s="8">
        <v>0</v>
      </c>
      <c r="S541" s="8">
        <v>5322186</v>
      </c>
      <c r="U541" s="8">
        <v>151963</v>
      </c>
      <c r="W541" s="8">
        <v>0</v>
      </c>
      <c r="Y541" s="8">
        <v>0</v>
      </c>
      <c r="AA541" s="8">
        <v>19744</v>
      </c>
      <c r="AB541" s="100"/>
      <c r="AC541" s="8">
        <v>0</v>
      </c>
      <c r="AE541" s="8">
        <v>0</v>
      </c>
      <c r="AG541" s="8">
        <f t="shared" si="50"/>
        <v>6197562</v>
      </c>
      <c r="AH541" s="8"/>
      <c r="AI541" s="8">
        <f t="shared" si="51"/>
        <v>8623724</v>
      </c>
      <c r="AK541" s="8" t="s">
        <v>956</v>
      </c>
    </row>
    <row r="542" spans="1:37" ht="12" customHeight="1">
      <c r="A542" s="12" t="s">
        <v>1063</v>
      </c>
      <c r="B542" s="12"/>
      <c r="C542" s="12" t="s">
        <v>242</v>
      </c>
      <c r="D542" s="12"/>
      <c r="E542" s="32">
        <v>46151</v>
      </c>
      <c r="G542" s="8">
        <v>1882534</v>
      </c>
      <c r="I542" s="8">
        <v>1679305</v>
      </c>
      <c r="K542" s="8">
        <v>42116</v>
      </c>
      <c r="M542" s="8">
        <f t="shared" ref="M542:M596" si="52">SUM(G542:L542)</f>
        <v>3603955</v>
      </c>
      <c r="O542" s="8">
        <v>21182623</v>
      </c>
      <c r="Q542" s="8">
        <v>0</v>
      </c>
      <c r="S542" s="8">
        <v>11358072</v>
      </c>
      <c r="U542" s="8">
        <v>388995</v>
      </c>
      <c r="W542" s="8">
        <v>0</v>
      </c>
      <c r="Y542" s="8">
        <v>0</v>
      </c>
      <c r="AA542" s="8">
        <v>478193</v>
      </c>
      <c r="AB542" s="100"/>
      <c r="AC542" s="8">
        <v>0</v>
      </c>
      <c r="AE542" s="8">
        <v>0</v>
      </c>
      <c r="AG542" s="8">
        <f t="shared" si="50"/>
        <v>33407883</v>
      </c>
      <c r="AH542" s="8"/>
      <c r="AI542" s="8">
        <f t="shared" si="51"/>
        <v>37011838</v>
      </c>
      <c r="AK542" s="15" t="s">
        <v>905</v>
      </c>
    </row>
    <row r="543" spans="1:37" ht="12" customHeight="1">
      <c r="A543" s="12" t="s">
        <v>672</v>
      </c>
      <c r="B543" s="12"/>
      <c r="C543" s="12" t="s">
        <v>63</v>
      </c>
      <c r="D543" s="12"/>
      <c r="E543" s="32">
        <v>44883</v>
      </c>
      <c r="G543" s="8">
        <v>1514971</v>
      </c>
      <c r="I543" s="8">
        <v>999970</v>
      </c>
      <c r="K543" s="8">
        <v>79183</v>
      </c>
      <c r="M543" s="8">
        <f t="shared" si="52"/>
        <v>2594124</v>
      </c>
      <c r="O543" s="8">
        <v>14311916</v>
      </c>
      <c r="Q543" s="8">
        <v>0</v>
      </c>
      <c r="S543" s="8">
        <v>11132449</v>
      </c>
      <c r="U543" s="8">
        <v>279609</v>
      </c>
      <c r="W543" s="8">
        <v>0</v>
      </c>
      <c r="Y543" s="8">
        <v>0</v>
      </c>
      <c r="AA543" s="8">
        <v>16566</v>
      </c>
      <c r="AB543" s="100"/>
      <c r="AC543" s="8">
        <v>0</v>
      </c>
      <c r="AE543" s="8">
        <v>0</v>
      </c>
      <c r="AG543" s="8">
        <f t="shared" si="50"/>
        <v>25740540</v>
      </c>
      <c r="AH543" s="8"/>
      <c r="AI543" s="8">
        <f t="shared" si="51"/>
        <v>28334664</v>
      </c>
    </row>
    <row r="544" spans="1:37" ht="12" customHeight="1">
      <c r="A544" s="12" t="s">
        <v>583</v>
      </c>
      <c r="B544" s="12"/>
      <c r="C544" s="12" t="s">
        <v>54</v>
      </c>
      <c r="D544" s="12"/>
      <c r="E544" s="32">
        <v>49098</v>
      </c>
      <c r="G544" s="8">
        <v>1241518</v>
      </c>
      <c r="I544" s="8">
        <v>3217695</v>
      </c>
      <c r="K544" s="8">
        <v>39908</v>
      </c>
      <c r="M544" s="8">
        <f t="shared" si="52"/>
        <v>4499121</v>
      </c>
      <c r="O544" s="8">
        <v>13228011</v>
      </c>
      <c r="Q544" s="8">
        <v>0</v>
      </c>
      <c r="S544" s="8">
        <v>16430408</v>
      </c>
      <c r="U544" s="8">
        <v>996643</v>
      </c>
      <c r="W544" s="8">
        <v>0</v>
      </c>
      <c r="Y544" s="8">
        <v>0</v>
      </c>
      <c r="AA544" s="8">
        <v>185481</v>
      </c>
      <c r="AB544" s="100"/>
      <c r="AC544" s="8">
        <v>0</v>
      </c>
      <c r="AE544" s="8">
        <v>0</v>
      </c>
      <c r="AG544" s="8">
        <f t="shared" si="50"/>
        <v>30840543</v>
      </c>
      <c r="AH544" s="8"/>
      <c r="AI544" s="8">
        <f t="shared" si="51"/>
        <v>35339664</v>
      </c>
    </row>
    <row r="545" spans="1:37" ht="12" customHeight="1">
      <c r="A545" s="12" t="s">
        <v>265</v>
      </c>
      <c r="B545" s="12"/>
      <c r="C545" s="12" t="s">
        <v>17</v>
      </c>
      <c r="D545" s="12"/>
      <c r="E545" s="32">
        <v>46243</v>
      </c>
      <c r="G545" s="8">
        <v>2562357</v>
      </c>
      <c r="I545" s="8">
        <v>2992675</v>
      </c>
      <c r="K545" s="8">
        <v>31646</v>
      </c>
      <c r="M545" s="8">
        <f t="shared" si="52"/>
        <v>5586678</v>
      </c>
      <c r="O545" s="8">
        <v>10415070</v>
      </c>
      <c r="Q545" s="8">
        <v>0</v>
      </c>
      <c r="S545" s="8">
        <v>17590739</v>
      </c>
      <c r="U545" s="8">
        <v>0</v>
      </c>
      <c r="W545" s="8">
        <v>0</v>
      </c>
      <c r="Y545" s="8">
        <v>0</v>
      </c>
      <c r="AA545" s="8">
        <v>168674</v>
      </c>
      <c r="AB545" s="100"/>
      <c r="AC545" s="8">
        <v>0</v>
      </c>
      <c r="AE545" s="8">
        <v>0</v>
      </c>
      <c r="AG545" s="8">
        <f t="shared" si="50"/>
        <v>28174483</v>
      </c>
      <c r="AH545" s="8"/>
      <c r="AI545" s="8">
        <f t="shared" si="51"/>
        <v>33761161</v>
      </c>
    </row>
    <row r="546" spans="1:37" ht="12" customHeight="1">
      <c r="A546" s="13" t="s">
        <v>1073</v>
      </c>
      <c r="B546" s="12"/>
      <c r="C546" s="12" t="s">
        <v>32</v>
      </c>
      <c r="D546" s="12"/>
      <c r="E546" s="32">
        <v>47399</v>
      </c>
      <c r="G546" s="8">
        <v>899559</v>
      </c>
      <c r="I546" s="8">
        <v>1184420</v>
      </c>
      <c r="K546" s="8">
        <v>0</v>
      </c>
      <c r="M546" s="8">
        <f t="shared" si="52"/>
        <v>2083979</v>
      </c>
      <c r="O546" s="8">
        <v>11260305</v>
      </c>
      <c r="Q546" s="8">
        <v>0</v>
      </c>
      <c r="S546" s="8">
        <v>6759530</v>
      </c>
      <c r="U546" s="8">
        <v>0</v>
      </c>
      <c r="W546" s="8">
        <v>0</v>
      </c>
      <c r="Y546" s="8">
        <v>0</v>
      </c>
      <c r="AA546" s="8">
        <v>407479</v>
      </c>
      <c r="AB546" s="100"/>
      <c r="AC546" s="8">
        <v>0</v>
      </c>
      <c r="AE546" s="8">
        <v>0</v>
      </c>
      <c r="AG546" s="8">
        <f t="shared" si="50"/>
        <v>18427314</v>
      </c>
      <c r="AH546" s="8"/>
      <c r="AI546" s="8">
        <f t="shared" si="51"/>
        <v>20511293</v>
      </c>
      <c r="AK546" s="15" t="s">
        <v>905</v>
      </c>
    </row>
    <row r="547" spans="1:37" ht="12" customHeight="1">
      <c r="A547" s="12" t="s">
        <v>640</v>
      </c>
      <c r="B547" s="12"/>
      <c r="C547" s="12" t="s">
        <v>60</v>
      </c>
      <c r="D547" s="12"/>
      <c r="E547" s="32">
        <v>44891</v>
      </c>
      <c r="G547" s="8">
        <v>2147456</v>
      </c>
      <c r="I547" s="8">
        <v>3454687</v>
      </c>
      <c r="K547" s="8">
        <v>14802</v>
      </c>
      <c r="M547" s="8">
        <f t="shared" si="52"/>
        <v>5616945</v>
      </c>
      <c r="O547" s="8">
        <v>9597315</v>
      </c>
      <c r="Q547" s="8">
        <v>0</v>
      </c>
      <c r="S547" s="8">
        <v>11531023</v>
      </c>
      <c r="U547" s="8">
        <v>50630</v>
      </c>
      <c r="W547" s="8">
        <v>136907</v>
      </c>
      <c r="Y547" s="8">
        <v>0</v>
      </c>
      <c r="AA547" s="8">
        <v>149560</v>
      </c>
      <c r="AB547" s="100"/>
      <c r="AC547" s="8">
        <v>0</v>
      </c>
      <c r="AE547" s="8">
        <v>0</v>
      </c>
      <c r="AG547" s="8">
        <f t="shared" si="50"/>
        <v>21465435</v>
      </c>
      <c r="AH547" s="8"/>
      <c r="AI547" s="8">
        <f t="shared" si="51"/>
        <v>27082380</v>
      </c>
    </row>
    <row r="548" spans="1:37" ht="12" customHeight="1">
      <c r="A548" s="12" t="s">
        <v>541</v>
      </c>
      <c r="B548" s="12"/>
      <c r="C548" s="12" t="s">
        <v>48</v>
      </c>
      <c r="D548" s="12"/>
      <c r="E548" s="32">
        <v>45617</v>
      </c>
      <c r="G548" s="8">
        <v>1540679</v>
      </c>
      <c r="I548" s="8">
        <v>980346</v>
      </c>
      <c r="K548" s="8">
        <v>34858</v>
      </c>
      <c r="M548" s="8">
        <f t="shared" si="52"/>
        <v>2555883</v>
      </c>
      <c r="O548" s="8">
        <v>12250778</v>
      </c>
      <c r="Q548" s="8">
        <v>0</v>
      </c>
      <c r="S548" s="8">
        <v>10357640</v>
      </c>
      <c r="U548" s="8">
        <v>0</v>
      </c>
      <c r="W548" s="8">
        <v>0</v>
      </c>
      <c r="Y548" s="8">
        <v>0</v>
      </c>
      <c r="AA548" s="8">
        <v>300118</v>
      </c>
      <c r="AB548" s="100"/>
      <c r="AC548" s="8">
        <v>0</v>
      </c>
      <c r="AE548" s="8">
        <v>0</v>
      </c>
      <c r="AG548" s="8">
        <f t="shared" si="50"/>
        <v>22908536</v>
      </c>
      <c r="AH548" s="8"/>
      <c r="AI548" s="8">
        <f t="shared" si="51"/>
        <v>25464419</v>
      </c>
    </row>
    <row r="549" spans="1:37" ht="12" customHeight="1">
      <c r="A549" s="12" t="s">
        <v>502</v>
      </c>
      <c r="B549" s="12"/>
      <c r="C549" s="12" t="s">
        <v>117</v>
      </c>
      <c r="D549" s="12"/>
      <c r="E549" s="32">
        <v>44909</v>
      </c>
      <c r="G549" s="8">
        <v>22942756</v>
      </c>
      <c r="I549" s="8">
        <v>102234262</v>
      </c>
      <c r="K549" s="8">
        <v>0</v>
      </c>
      <c r="M549" s="8">
        <f t="shared" si="52"/>
        <v>125177018</v>
      </c>
      <c r="O549" s="8">
        <v>109674970</v>
      </c>
      <c r="Q549" s="8">
        <v>0</v>
      </c>
      <c r="S549" s="8">
        <v>193207018</v>
      </c>
      <c r="U549" s="8">
        <v>0</v>
      </c>
      <c r="W549" s="8">
        <v>0</v>
      </c>
      <c r="Y549" s="8">
        <v>0</v>
      </c>
      <c r="AA549" s="8">
        <v>4689423</v>
      </c>
      <c r="AB549" s="100"/>
      <c r="AC549" s="8">
        <v>0</v>
      </c>
      <c r="AE549" s="8">
        <v>0</v>
      </c>
      <c r="AG549" s="8">
        <f t="shared" si="50"/>
        <v>307571411</v>
      </c>
      <c r="AH549" s="8"/>
      <c r="AI549" s="8">
        <f t="shared" si="51"/>
        <v>432748429</v>
      </c>
    </row>
    <row r="550" spans="1:37" ht="12" customHeight="1">
      <c r="A550" s="13" t="s">
        <v>1024</v>
      </c>
      <c r="B550" s="13"/>
      <c r="C550" s="13" t="s">
        <v>117</v>
      </c>
      <c r="D550" s="12"/>
      <c r="E550" s="32"/>
      <c r="G550" s="8">
        <f>3567481+191848+48284</f>
        <v>3807613</v>
      </c>
      <c r="I550" s="8">
        <v>843069</v>
      </c>
      <c r="K550" s="8">
        <v>0</v>
      </c>
      <c r="M550" s="8">
        <f t="shared" si="52"/>
        <v>4650682</v>
      </c>
      <c r="O550" s="8">
        <v>0</v>
      </c>
      <c r="Q550" s="8">
        <v>0</v>
      </c>
      <c r="S550" s="8">
        <v>0</v>
      </c>
      <c r="U550" s="8">
        <v>0</v>
      </c>
      <c r="W550" s="8">
        <v>0</v>
      </c>
      <c r="Y550" s="8">
        <v>0</v>
      </c>
      <c r="AA550" s="8">
        <v>0</v>
      </c>
      <c r="AB550" s="100"/>
      <c r="AC550" s="8">
        <v>0</v>
      </c>
      <c r="AE550" s="8">
        <v>0</v>
      </c>
      <c r="AG550" s="8">
        <f t="shared" si="50"/>
        <v>0</v>
      </c>
      <c r="AH550" s="8"/>
      <c r="AI550" s="8">
        <f t="shared" si="51"/>
        <v>4650682</v>
      </c>
    </row>
    <row r="551" spans="1:37" ht="12" customHeight="1">
      <c r="A551" s="13" t="s">
        <v>1074</v>
      </c>
      <c r="B551" s="12"/>
      <c r="C551" s="12" t="s">
        <v>39</v>
      </c>
      <c r="D551" s="12"/>
      <c r="E551" s="32">
        <v>44917</v>
      </c>
      <c r="G551" s="8">
        <v>232996</v>
      </c>
      <c r="I551" s="8">
        <v>1354213</v>
      </c>
      <c r="K551" s="8">
        <v>0</v>
      </c>
      <c r="M551" s="8">
        <f t="shared" si="52"/>
        <v>1587209</v>
      </c>
      <c r="O551" s="8">
        <v>1477614</v>
      </c>
      <c r="Q551" s="8">
        <v>0</v>
      </c>
      <c r="S551" s="8">
        <v>4079480</v>
      </c>
      <c r="U551" s="8">
        <v>121423</v>
      </c>
      <c r="W551" s="8">
        <v>0</v>
      </c>
      <c r="Y551" s="8">
        <v>476</v>
      </c>
      <c r="AA551" s="8">
        <f>114194+270</f>
        <v>114464</v>
      </c>
      <c r="AB551" s="100"/>
      <c r="AC551" s="8">
        <v>0</v>
      </c>
      <c r="AE551" s="8">
        <v>0</v>
      </c>
      <c r="AG551" s="8">
        <f t="shared" si="50"/>
        <v>5793457</v>
      </c>
      <c r="AH551" s="8"/>
      <c r="AI551" s="8">
        <f t="shared" si="51"/>
        <v>7380666</v>
      </c>
      <c r="AK551" s="15" t="s">
        <v>905</v>
      </c>
    </row>
    <row r="552" spans="1:37" ht="12" customHeight="1">
      <c r="A552" s="12" t="s">
        <v>257</v>
      </c>
      <c r="B552" s="12"/>
      <c r="C552" s="12" t="s">
        <v>255</v>
      </c>
      <c r="D552" s="12"/>
      <c r="E552" s="32">
        <v>46201</v>
      </c>
      <c r="G552" s="8">
        <v>889267</v>
      </c>
      <c r="I552" s="8">
        <v>1020657</v>
      </c>
      <c r="K552" s="8">
        <v>16957</v>
      </c>
      <c r="M552" s="8">
        <f t="shared" si="52"/>
        <v>1926881</v>
      </c>
      <c r="O552" s="8">
        <v>1935493</v>
      </c>
      <c r="Q552" s="8">
        <v>1668094</v>
      </c>
      <c r="S552" s="8">
        <v>5212233</v>
      </c>
      <c r="U552" s="8">
        <v>38268</v>
      </c>
      <c r="W552" s="8">
        <v>0</v>
      </c>
      <c r="Y552" s="8">
        <v>0</v>
      </c>
      <c r="AA552" s="8">
        <v>6583</v>
      </c>
      <c r="AB552" s="100"/>
      <c r="AC552" s="8">
        <v>0</v>
      </c>
      <c r="AE552" s="8">
        <v>0</v>
      </c>
      <c r="AG552" s="8">
        <f t="shared" si="50"/>
        <v>8860671</v>
      </c>
      <c r="AH552" s="8"/>
      <c r="AI552" s="8">
        <f t="shared" si="51"/>
        <v>10787552</v>
      </c>
    </row>
    <row r="553" spans="1:37" ht="12" customHeight="1">
      <c r="A553" s="12" t="s">
        <v>600</v>
      </c>
      <c r="B553" s="12"/>
      <c r="C553" s="12" t="s">
        <v>57</v>
      </c>
      <c r="D553" s="12"/>
      <c r="E553" s="32">
        <v>91397</v>
      </c>
      <c r="G553" s="8">
        <v>531067</v>
      </c>
      <c r="I553" s="8">
        <v>766184</v>
      </c>
      <c r="K553" s="8">
        <v>33969</v>
      </c>
      <c r="M553" s="8">
        <f t="shared" si="52"/>
        <v>1331220</v>
      </c>
      <c r="O553" s="8">
        <v>3976960</v>
      </c>
      <c r="Q553" s="8">
        <v>0</v>
      </c>
      <c r="S553" s="8">
        <v>4534031</v>
      </c>
      <c r="U553" s="8">
        <v>163937</v>
      </c>
      <c r="W553" s="8">
        <v>0</v>
      </c>
      <c r="Y553" s="8">
        <v>10715</v>
      </c>
      <c r="AA553" s="8">
        <v>11166</v>
      </c>
      <c r="AB553" s="100"/>
      <c r="AC553" s="8">
        <v>0</v>
      </c>
      <c r="AE553" s="8">
        <v>0</v>
      </c>
      <c r="AG553" s="8">
        <f t="shared" si="50"/>
        <v>8696809</v>
      </c>
      <c r="AH553" s="8"/>
      <c r="AI553" s="8">
        <f t="shared" si="51"/>
        <v>10028029</v>
      </c>
    </row>
    <row r="554" spans="1:37" ht="12" customHeight="1">
      <c r="A554" s="12" t="s">
        <v>225</v>
      </c>
      <c r="B554" s="12"/>
      <c r="C554" s="12" t="s">
        <v>13</v>
      </c>
      <c r="D554" s="12"/>
      <c r="E554" s="32">
        <v>45922</v>
      </c>
      <c r="G554" s="8">
        <v>665875</v>
      </c>
      <c r="I554" s="8">
        <v>3144120</v>
      </c>
      <c r="K554" s="8">
        <v>0</v>
      </c>
      <c r="M554" s="8">
        <f t="shared" si="52"/>
        <v>3809995</v>
      </c>
      <c r="O554" s="8">
        <v>881256</v>
      </c>
      <c r="Q554" s="8">
        <v>5</v>
      </c>
      <c r="S554" s="8">
        <v>5650039</v>
      </c>
      <c r="U554" s="8">
        <v>5825</v>
      </c>
      <c r="W554" s="8">
        <v>0</v>
      </c>
      <c r="Y554" s="8">
        <v>1000</v>
      </c>
      <c r="AA554" s="8">
        <f>6675+78819</f>
        <v>85494</v>
      </c>
      <c r="AB554" s="100"/>
      <c r="AC554" s="8">
        <v>0</v>
      </c>
      <c r="AE554" s="8">
        <v>0</v>
      </c>
      <c r="AG554" s="8">
        <f t="shared" si="50"/>
        <v>6623619</v>
      </c>
      <c r="AH554" s="8"/>
      <c r="AI554" s="8">
        <f t="shared" si="51"/>
        <v>10433614</v>
      </c>
    </row>
    <row r="555" spans="1:37" ht="12" customHeight="1">
      <c r="A555" s="12" t="s">
        <v>566</v>
      </c>
      <c r="B555" s="12"/>
      <c r="C555" s="12" t="s">
        <v>51</v>
      </c>
      <c r="D555" s="12"/>
      <c r="E555" s="32">
        <v>48876</v>
      </c>
      <c r="G555" s="8">
        <v>1632341</v>
      </c>
      <c r="I555" s="8">
        <v>2978809</v>
      </c>
      <c r="K555" s="8">
        <v>243691</v>
      </c>
      <c r="M555" s="8">
        <f t="shared" si="52"/>
        <v>4854841</v>
      </c>
      <c r="O555" s="8">
        <v>7728942</v>
      </c>
      <c r="Q555" s="8">
        <v>0</v>
      </c>
      <c r="S555" s="8">
        <v>16191977</v>
      </c>
      <c r="U555" s="8">
        <v>254384</v>
      </c>
      <c r="W555" s="8">
        <v>34847</v>
      </c>
      <c r="Y555" s="8">
        <v>0</v>
      </c>
      <c r="AA555" s="8">
        <v>103553</v>
      </c>
      <c r="AB555" s="100"/>
      <c r="AC555" s="8">
        <v>0</v>
      </c>
      <c r="AE555" s="8">
        <v>0</v>
      </c>
      <c r="AG555" s="8">
        <f t="shared" si="50"/>
        <v>24313703</v>
      </c>
      <c r="AH555" s="8"/>
      <c r="AI555" s="8">
        <f t="shared" si="51"/>
        <v>29168544</v>
      </c>
    </row>
    <row r="556" spans="1:37" ht="12" hidden="1" customHeight="1">
      <c r="A556" s="12" t="s">
        <v>1018</v>
      </c>
      <c r="B556" s="12"/>
      <c r="C556" s="12" t="s">
        <v>21</v>
      </c>
      <c r="D556" s="12"/>
      <c r="E556" s="32">
        <v>46680</v>
      </c>
      <c r="G556" s="8">
        <v>1210827</v>
      </c>
      <c r="I556" s="8">
        <v>596685</v>
      </c>
      <c r="K556" s="8">
        <v>10197</v>
      </c>
      <c r="M556" s="8">
        <f t="shared" si="52"/>
        <v>1817709</v>
      </c>
      <c r="O556" s="8">
        <v>1990845</v>
      </c>
      <c r="Q556" s="8">
        <v>1079522</v>
      </c>
      <c r="S556" s="8">
        <v>3001289</v>
      </c>
      <c r="U556" s="8">
        <v>49554</v>
      </c>
      <c r="AA556" s="8">
        <v>6027</v>
      </c>
      <c r="AB556" s="100"/>
      <c r="AC556" s="8">
        <v>0</v>
      </c>
      <c r="AG556" s="8">
        <f t="shared" si="50"/>
        <v>6127237</v>
      </c>
      <c r="AH556" s="8"/>
      <c r="AI556" s="8">
        <f t="shared" si="51"/>
        <v>7944946</v>
      </c>
    </row>
    <row r="557" spans="1:37" ht="12" customHeight="1">
      <c r="A557" s="12" t="s">
        <v>725</v>
      </c>
      <c r="B557" s="12"/>
      <c r="C557" s="12" t="s">
        <v>71</v>
      </c>
      <c r="D557" s="12"/>
      <c r="E557" s="32">
        <v>50591</v>
      </c>
      <c r="G557" s="8">
        <v>1379111</v>
      </c>
      <c r="I557" s="8">
        <v>1769741</v>
      </c>
      <c r="K557" s="8">
        <v>36831</v>
      </c>
      <c r="M557" s="8">
        <f t="shared" si="52"/>
        <v>3185683</v>
      </c>
      <c r="O557" s="8">
        <v>6909393</v>
      </c>
      <c r="Q557" s="8">
        <v>0</v>
      </c>
      <c r="S557" s="8">
        <v>9150254</v>
      </c>
      <c r="U557" s="8">
        <v>46511</v>
      </c>
      <c r="W557" s="8">
        <v>0</v>
      </c>
      <c r="Y557" s="8">
        <v>0</v>
      </c>
      <c r="AA557" s="8">
        <v>7870</v>
      </c>
      <c r="AB557" s="100"/>
      <c r="AC557" s="8">
        <v>0</v>
      </c>
      <c r="AE557" s="8">
        <v>0</v>
      </c>
      <c r="AG557" s="8">
        <f t="shared" si="50"/>
        <v>16114028</v>
      </c>
      <c r="AH557" s="8"/>
      <c r="AI557" s="8">
        <f t="shared" si="51"/>
        <v>19299711</v>
      </c>
    </row>
    <row r="558" spans="1:37" ht="12" customHeight="1">
      <c r="A558" s="12" t="s">
        <v>555</v>
      </c>
      <c r="B558" s="12"/>
      <c r="C558" s="12" t="s">
        <v>50</v>
      </c>
      <c r="D558" s="12"/>
      <c r="E558" s="32">
        <v>48694</v>
      </c>
      <c r="G558" s="8">
        <v>1337949</v>
      </c>
      <c r="I558" s="8">
        <v>8869440</v>
      </c>
      <c r="K558" s="8">
        <v>39582</v>
      </c>
      <c r="M558" s="8">
        <f t="shared" si="52"/>
        <v>10246971</v>
      </c>
      <c r="O558" s="8">
        <v>11453911</v>
      </c>
      <c r="Q558" s="8">
        <v>0</v>
      </c>
      <c r="S558" s="8">
        <v>20313225</v>
      </c>
      <c r="U558" s="8">
        <v>0</v>
      </c>
      <c r="W558" s="8">
        <v>0</v>
      </c>
      <c r="Y558" s="8">
        <v>0</v>
      </c>
      <c r="AA558" s="8">
        <v>944498</v>
      </c>
      <c r="AB558" s="100"/>
      <c r="AC558" s="8">
        <v>0</v>
      </c>
      <c r="AE558" s="8">
        <v>0</v>
      </c>
      <c r="AG558" s="8">
        <f t="shared" si="50"/>
        <v>32711634</v>
      </c>
      <c r="AH558" s="8"/>
      <c r="AI558" s="8">
        <f t="shared" si="51"/>
        <v>42958605</v>
      </c>
    </row>
    <row r="559" spans="1:37" ht="12" customHeight="1">
      <c r="A559" s="12" t="s">
        <v>542</v>
      </c>
      <c r="B559" s="12"/>
      <c r="C559" s="12" t="s">
        <v>48</v>
      </c>
      <c r="D559" s="12"/>
      <c r="E559" s="32">
        <v>44925</v>
      </c>
      <c r="G559" s="8">
        <v>3133901</v>
      </c>
      <c r="I559" s="8">
        <v>3480866</v>
      </c>
      <c r="K559" s="8">
        <v>77212</v>
      </c>
      <c r="M559" s="8">
        <f t="shared" si="52"/>
        <v>6691979</v>
      </c>
      <c r="O559" s="8">
        <v>17563513</v>
      </c>
      <c r="Q559" s="8">
        <v>8558120</v>
      </c>
      <c r="S559" s="8">
        <v>16868580</v>
      </c>
      <c r="U559" s="8">
        <v>416284</v>
      </c>
      <c r="W559" s="8">
        <v>0</v>
      </c>
      <c r="Y559" s="8">
        <v>0</v>
      </c>
      <c r="AA559" s="8">
        <v>252030</v>
      </c>
      <c r="AB559" s="100"/>
      <c r="AC559" s="8">
        <v>0</v>
      </c>
      <c r="AE559" s="8">
        <v>0</v>
      </c>
      <c r="AG559" s="8">
        <f t="shared" si="50"/>
        <v>43658527</v>
      </c>
      <c r="AH559" s="8"/>
      <c r="AI559" s="8">
        <f t="shared" si="51"/>
        <v>50350506</v>
      </c>
    </row>
    <row r="560" spans="1:37" ht="12" customHeight="1">
      <c r="A560" s="12" t="s">
        <v>701</v>
      </c>
      <c r="B560" s="12"/>
      <c r="C560" s="12" t="s">
        <v>65</v>
      </c>
      <c r="D560" s="12"/>
      <c r="E560" s="32">
        <v>50302</v>
      </c>
      <c r="G560" s="8">
        <v>865076</v>
      </c>
      <c r="I560" s="8">
        <v>1236971</v>
      </c>
      <c r="K560" s="8">
        <v>20729</v>
      </c>
      <c r="M560" s="8">
        <f t="shared" si="52"/>
        <v>2122776</v>
      </c>
      <c r="O560" s="8">
        <v>5671844</v>
      </c>
      <c r="Q560" s="8">
        <v>0</v>
      </c>
      <c r="S560" s="8">
        <v>6410418</v>
      </c>
      <c r="U560" s="8">
        <v>105505</v>
      </c>
      <c r="W560" s="8">
        <v>0</v>
      </c>
      <c r="Y560" s="8">
        <v>0</v>
      </c>
      <c r="AA560" s="8">
        <v>6571</v>
      </c>
      <c r="AB560" s="100"/>
      <c r="AC560" s="8">
        <v>0</v>
      </c>
      <c r="AE560" s="8">
        <v>0</v>
      </c>
      <c r="AG560" s="8">
        <f t="shared" si="50"/>
        <v>12194338</v>
      </c>
      <c r="AH560" s="8"/>
      <c r="AI560" s="8">
        <f t="shared" si="51"/>
        <v>14317114</v>
      </c>
    </row>
    <row r="561" spans="1:35" ht="12" customHeight="1">
      <c r="A561" s="12" t="s">
        <v>661</v>
      </c>
      <c r="B561" s="12"/>
      <c r="C561" s="12" t="s">
        <v>62</v>
      </c>
      <c r="D561" s="12"/>
      <c r="E561" s="32">
        <v>49957</v>
      </c>
      <c r="G561" s="8">
        <v>715167</v>
      </c>
      <c r="I561" s="8">
        <v>579931</v>
      </c>
      <c r="K561" s="8">
        <v>0</v>
      </c>
      <c r="M561" s="8">
        <f t="shared" si="52"/>
        <v>1295098</v>
      </c>
      <c r="O561" s="8">
        <v>4782841</v>
      </c>
      <c r="Q561" s="8">
        <v>0</v>
      </c>
      <c r="S561" s="8">
        <v>9152983</v>
      </c>
      <c r="U561" s="8">
        <v>575840</v>
      </c>
      <c r="W561" s="8">
        <v>0</v>
      </c>
      <c r="Y561" s="8">
        <v>64186</v>
      </c>
      <c r="AA561" s="8">
        <v>26664</v>
      </c>
      <c r="AB561" s="100"/>
      <c r="AC561" s="8">
        <v>0</v>
      </c>
      <c r="AE561" s="8">
        <v>0</v>
      </c>
      <c r="AG561" s="8">
        <f t="shared" si="50"/>
        <v>14602514</v>
      </c>
      <c r="AH561" s="8"/>
      <c r="AI561" s="8">
        <f t="shared" si="51"/>
        <v>15897612</v>
      </c>
    </row>
    <row r="562" spans="1:35" ht="12" hidden="1" customHeight="1">
      <c r="A562" s="12" t="s">
        <v>1025</v>
      </c>
      <c r="B562" s="12"/>
      <c r="C562" s="12" t="s">
        <v>57</v>
      </c>
      <c r="D562" s="12"/>
      <c r="E562" s="32">
        <v>49296</v>
      </c>
      <c r="G562" s="8">
        <v>687933</v>
      </c>
      <c r="I562" s="8">
        <v>878592</v>
      </c>
      <c r="K562" s="8">
        <v>8583</v>
      </c>
      <c r="M562" s="8">
        <f t="shared" si="52"/>
        <v>1575108</v>
      </c>
      <c r="O562" s="8">
        <f>2236770+341138+37325</f>
        <v>2615233</v>
      </c>
      <c r="Q562" s="8">
        <v>789332</v>
      </c>
      <c r="S562" s="8">
        <v>4563455</v>
      </c>
      <c r="U562" s="8">
        <v>28982</v>
      </c>
      <c r="AA562" s="8">
        <v>45618</v>
      </c>
      <c r="AB562" s="100"/>
      <c r="AC562" s="8">
        <v>0</v>
      </c>
      <c r="AG562" s="8">
        <f t="shared" si="50"/>
        <v>8042620</v>
      </c>
      <c r="AH562" s="8"/>
      <c r="AI562" s="8">
        <f t="shared" si="51"/>
        <v>9617728</v>
      </c>
    </row>
    <row r="563" spans="1:35" ht="12" customHeight="1">
      <c r="A563" s="12" t="s">
        <v>673</v>
      </c>
      <c r="B563" s="12"/>
      <c r="C563" s="12" t="s">
        <v>63</v>
      </c>
      <c r="D563" s="12"/>
      <c r="E563" s="32">
        <v>50070</v>
      </c>
      <c r="G563" s="8">
        <v>2133421</v>
      </c>
      <c r="I563" s="8">
        <v>1620747</v>
      </c>
      <c r="K563" s="8">
        <v>45457</v>
      </c>
      <c r="M563" s="8">
        <f t="shared" si="52"/>
        <v>3799625</v>
      </c>
      <c r="O563" s="8">
        <v>38095266</v>
      </c>
      <c r="Q563" s="8">
        <v>0</v>
      </c>
      <c r="S563" s="8">
        <v>14938516</v>
      </c>
      <c r="U563" s="8">
        <v>313861</v>
      </c>
      <c r="W563" s="8">
        <v>50261</v>
      </c>
      <c r="Y563" s="8">
        <v>0</v>
      </c>
      <c r="AA563" s="8">
        <v>43808</v>
      </c>
      <c r="AB563" s="100"/>
      <c r="AC563" s="8">
        <v>0</v>
      </c>
      <c r="AE563" s="8">
        <v>0</v>
      </c>
      <c r="AG563" s="8">
        <f t="shared" si="50"/>
        <v>53441712</v>
      </c>
      <c r="AH563" s="8"/>
      <c r="AI563" s="8">
        <f t="shared" si="51"/>
        <v>57241337</v>
      </c>
    </row>
    <row r="564" spans="1:35" ht="12" customHeight="1">
      <c r="A564" s="12" t="s">
        <v>236</v>
      </c>
      <c r="B564" s="12"/>
      <c r="C564" s="12" t="s">
        <v>15</v>
      </c>
      <c r="D564" s="12"/>
      <c r="E564" s="32">
        <v>46011</v>
      </c>
      <c r="G564" s="8">
        <v>1033844</v>
      </c>
      <c r="I564" s="8">
        <v>1896941</v>
      </c>
      <c r="K564" s="8">
        <v>2172450</v>
      </c>
      <c r="M564" s="8">
        <f t="shared" si="52"/>
        <v>5103235</v>
      </c>
      <c r="O564" s="8">
        <v>2687633</v>
      </c>
      <c r="Q564" s="8">
        <v>0</v>
      </c>
      <c r="S564" s="8">
        <v>8232352</v>
      </c>
      <c r="U564" s="8">
        <v>0</v>
      </c>
      <c r="W564" s="8">
        <v>0</v>
      </c>
      <c r="Y564" s="8">
        <v>0</v>
      </c>
      <c r="AA564" s="8">
        <v>75284</v>
      </c>
      <c r="AB564" s="100"/>
      <c r="AC564" s="8">
        <v>0</v>
      </c>
      <c r="AE564" s="8">
        <v>0</v>
      </c>
      <c r="AG564" s="8">
        <f t="shared" si="50"/>
        <v>10995269</v>
      </c>
      <c r="AH564" s="8"/>
      <c r="AI564" s="8">
        <f t="shared" si="51"/>
        <v>16098504</v>
      </c>
    </row>
    <row r="565" spans="1:35" ht="12" customHeight="1">
      <c r="A565" s="12" t="s">
        <v>620</v>
      </c>
      <c r="B565" s="12"/>
      <c r="C565" s="12" t="s">
        <v>58</v>
      </c>
      <c r="D565" s="12"/>
      <c r="E565" s="32">
        <v>49536</v>
      </c>
      <c r="G565" s="8">
        <v>2638201</v>
      </c>
      <c r="I565" s="8">
        <v>1979941</v>
      </c>
      <c r="K565" s="8">
        <v>13315</v>
      </c>
      <c r="M565" s="8">
        <f t="shared" si="52"/>
        <v>4631457</v>
      </c>
      <c r="O565" s="8">
        <v>3570692</v>
      </c>
      <c r="Q565" s="8">
        <v>1102131</v>
      </c>
      <c r="S565" s="8">
        <v>10016883</v>
      </c>
      <c r="U565" s="8">
        <v>76605</v>
      </c>
      <c r="W565" s="8">
        <v>0</v>
      </c>
      <c r="Y565" s="8">
        <v>12420</v>
      </c>
      <c r="AA565" s="8">
        <v>52540</v>
      </c>
      <c r="AB565" s="100"/>
      <c r="AC565" s="8">
        <v>0</v>
      </c>
      <c r="AE565" s="8">
        <v>0</v>
      </c>
      <c r="AG565" s="8">
        <f t="shared" si="50"/>
        <v>14831271</v>
      </c>
      <c r="AH565" s="8"/>
      <c r="AI565" s="8">
        <f t="shared" si="51"/>
        <v>19462728</v>
      </c>
    </row>
    <row r="566" spans="1:35" ht="12" customHeight="1">
      <c r="A566" s="12" t="s">
        <v>285</v>
      </c>
      <c r="B566" s="12"/>
      <c r="C566" s="12" t="s">
        <v>114</v>
      </c>
      <c r="D566" s="12"/>
      <c r="E566" s="32">
        <v>46458</v>
      </c>
      <c r="G566" s="8">
        <v>1044094</v>
      </c>
      <c r="I566" s="8">
        <v>1503282</v>
      </c>
      <c r="K566" s="8">
        <v>48942</v>
      </c>
      <c r="M566" s="8">
        <f t="shared" si="52"/>
        <v>2596318</v>
      </c>
      <c r="O566" s="8">
        <v>2517097</v>
      </c>
      <c r="Q566" s="8">
        <v>646790</v>
      </c>
      <c r="S566" s="8">
        <v>6673546</v>
      </c>
      <c r="U566" s="8">
        <v>233121</v>
      </c>
      <c r="W566" s="8">
        <v>0</v>
      </c>
      <c r="Y566" s="8">
        <v>0</v>
      </c>
      <c r="AA566" s="8">
        <v>18777</v>
      </c>
      <c r="AB566" s="100"/>
      <c r="AC566" s="8">
        <v>0</v>
      </c>
      <c r="AE566" s="8">
        <v>0</v>
      </c>
      <c r="AG566" s="8">
        <f t="shared" si="50"/>
        <v>10089331</v>
      </c>
      <c r="AH566" s="8"/>
      <c r="AI566" s="8">
        <f t="shared" si="51"/>
        <v>12685649</v>
      </c>
    </row>
    <row r="567" spans="1:35" ht="12" customHeight="1">
      <c r="A567" s="12" t="s">
        <v>364</v>
      </c>
      <c r="B567" s="12"/>
      <c r="C567" s="12" t="s">
        <v>27</v>
      </c>
      <c r="D567" s="12"/>
      <c r="E567" s="32">
        <v>44933</v>
      </c>
      <c r="G567" s="8">
        <v>5256012</v>
      </c>
      <c r="I567" s="8">
        <v>3344306</v>
      </c>
      <c r="K567" s="8">
        <v>0</v>
      </c>
      <c r="M567" s="8">
        <f t="shared" si="52"/>
        <v>8600318</v>
      </c>
      <c r="O567" s="8">
        <v>71610714</v>
      </c>
      <c r="Q567" s="8">
        <v>0</v>
      </c>
      <c r="S567" s="8">
        <v>14107217</v>
      </c>
      <c r="U567" s="8">
        <v>1143736</v>
      </c>
      <c r="W567" s="8">
        <v>0</v>
      </c>
      <c r="Y567" s="8">
        <v>0</v>
      </c>
      <c r="AA567" s="8">
        <v>1044717</v>
      </c>
      <c r="AB567" s="100"/>
      <c r="AC567" s="8">
        <v>0</v>
      </c>
      <c r="AE567" s="8">
        <v>0</v>
      </c>
      <c r="AG567" s="8">
        <f t="shared" si="50"/>
        <v>87906384</v>
      </c>
      <c r="AH567" s="8"/>
      <c r="AI567" s="8">
        <f t="shared" si="51"/>
        <v>96506702</v>
      </c>
    </row>
    <row r="568" spans="1:35" ht="12" hidden="1" customHeight="1">
      <c r="A568" s="12" t="s">
        <v>1026</v>
      </c>
      <c r="B568" s="12"/>
      <c r="C568" s="12" t="s">
        <v>740</v>
      </c>
      <c r="D568" s="12"/>
      <c r="E568" s="32">
        <v>45625</v>
      </c>
      <c r="G568" s="8">
        <v>1672863</v>
      </c>
      <c r="I568" s="8">
        <v>2149472</v>
      </c>
      <c r="M568" s="8">
        <f t="shared" si="52"/>
        <v>3822335</v>
      </c>
      <c r="O568" s="8">
        <v>6862338</v>
      </c>
      <c r="S568" s="8">
        <v>6111825</v>
      </c>
      <c r="U568" s="8">
        <v>51629</v>
      </c>
      <c r="W568" s="8">
        <v>52946</v>
      </c>
      <c r="AA568" s="8">
        <v>52812</v>
      </c>
      <c r="AB568" s="100"/>
      <c r="AC568" s="8">
        <v>0</v>
      </c>
      <c r="AG568" s="8">
        <f t="shared" si="50"/>
        <v>13131550</v>
      </c>
      <c r="AH568" s="8"/>
      <c r="AI568" s="8">
        <f t="shared" si="51"/>
        <v>16953885</v>
      </c>
    </row>
    <row r="569" spans="1:35" ht="12" hidden="1" customHeight="1">
      <c r="A569" s="12" t="s">
        <v>1027</v>
      </c>
      <c r="B569" s="12"/>
      <c r="C569" s="12" t="s">
        <v>421</v>
      </c>
      <c r="D569" s="12"/>
      <c r="E569" s="30">
        <v>0</v>
      </c>
      <c r="G569" s="8">
        <v>306548</v>
      </c>
      <c r="I569" s="8">
        <v>806019</v>
      </c>
      <c r="K569" s="8">
        <v>14968</v>
      </c>
      <c r="M569" s="8">
        <f t="shared" si="52"/>
        <v>1127535</v>
      </c>
      <c r="O569" s="8">
        <v>1475406</v>
      </c>
      <c r="Q569" s="8">
        <v>347867</v>
      </c>
      <c r="S569" s="8">
        <v>4275315</v>
      </c>
      <c r="U569" s="8">
        <v>26644</v>
      </c>
      <c r="AA569" s="8">
        <f>28540+103592+576000+395+284000</f>
        <v>992527</v>
      </c>
      <c r="AB569" s="100"/>
      <c r="AC569" s="8">
        <v>0</v>
      </c>
      <c r="AG569" s="8">
        <f t="shared" si="50"/>
        <v>7117759</v>
      </c>
      <c r="AH569" s="8"/>
      <c r="AI569" s="8">
        <f t="shared" si="51"/>
        <v>8245294</v>
      </c>
    </row>
    <row r="570" spans="1:35" s="35" customFormat="1" ht="12" customHeight="1">
      <c r="A570" s="34" t="s">
        <v>258</v>
      </c>
      <c r="B570" s="34"/>
      <c r="C570" s="34" t="s">
        <v>255</v>
      </c>
      <c r="D570" s="34"/>
      <c r="E570" s="34">
        <v>44941</v>
      </c>
      <c r="G570" s="8">
        <v>1424421</v>
      </c>
      <c r="H570" s="8"/>
      <c r="I570" s="8">
        <v>3428048</v>
      </c>
      <c r="J570" s="8"/>
      <c r="K570" s="8">
        <v>23919</v>
      </c>
      <c r="L570" s="8"/>
      <c r="M570" s="8">
        <f t="shared" si="52"/>
        <v>4876388</v>
      </c>
      <c r="N570" s="8"/>
      <c r="O570" s="8">
        <v>10584094</v>
      </c>
      <c r="P570" s="8"/>
      <c r="Q570" s="8">
        <v>0</v>
      </c>
      <c r="R570" s="8"/>
      <c r="S570" s="8">
        <v>10994150</v>
      </c>
      <c r="T570" s="8"/>
      <c r="U570" s="8">
        <v>183264</v>
      </c>
      <c r="V570" s="8"/>
      <c r="W570" s="8">
        <v>0</v>
      </c>
      <c r="X570" s="8"/>
      <c r="Y570" s="8">
        <v>0</v>
      </c>
      <c r="Z570" s="8"/>
      <c r="AA570" s="8">
        <v>34854</v>
      </c>
      <c r="AB570" s="100"/>
      <c r="AC570" s="8">
        <v>0</v>
      </c>
      <c r="AD570" s="8"/>
      <c r="AE570" s="8">
        <v>0</v>
      </c>
      <c r="AF570" s="8"/>
      <c r="AG570" s="8">
        <f t="shared" si="50"/>
        <v>21796362</v>
      </c>
      <c r="AH570" s="8"/>
      <c r="AI570" s="8">
        <f t="shared" si="51"/>
        <v>26672750</v>
      </c>
    </row>
    <row r="571" spans="1:35" ht="12" hidden="1" customHeight="1">
      <c r="A571" s="12" t="s">
        <v>1028</v>
      </c>
      <c r="B571" s="12"/>
      <c r="C571" s="12" t="s">
        <v>59</v>
      </c>
      <c r="D571" s="12"/>
      <c r="E571" s="32">
        <v>49643</v>
      </c>
      <c r="G571" s="8">
        <v>1597432</v>
      </c>
      <c r="I571" s="8">
        <v>2566327</v>
      </c>
      <c r="M571" s="8">
        <f t="shared" si="52"/>
        <v>4163759</v>
      </c>
      <c r="O571" s="8">
        <v>1447973</v>
      </c>
      <c r="S571" s="8">
        <v>6142164</v>
      </c>
      <c r="U571" s="8">
        <v>59541</v>
      </c>
      <c r="Y571" s="8">
        <v>14692</v>
      </c>
      <c r="AA571" s="8">
        <f>3255+39729</f>
        <v>42984</v>
      </c>
      <c r="AB571" s="100"/>
      <c r="AC571" s="8">
        <v>0</v>
      </c>
      <c r="AG571" s="8">
        <f t="shared" si="50"/>
        <v>7707354</v>
      </c>
      <c r="AH571" s="8"/>
      <c r="AI571" s="8">
        <f t="shared" si="51"/>
        <v>11871113</v>
      </c>
    </row>
    <row r="572" spans="1:35" ht="12" customHeight="1">
      <c r="A572" s="12" t="s">
        <v>556</v>
      </c>
      <c r="B572" s="12"/>
      <c r="C572" s="12" t="s">
        <v>50</v>
      </c>
      <c r="D572" s="12"/>
      <c r="E572" s="32">
        <v>48744</v>
      </c>
      <c r="G572" s="8">
        <v>1282357</v>
      </c>
      <c r="I572" s="8">
        <v>1330332</v>
      </c>
      <c r="K572" s="8">
        <v>31091</v>
      </c>
      <c r="M572" s="8">
        <f t="shared" si="52"/>
        <v>2643780</v>
      </c>
      <c r="O572" s="8">
        <v>4941432</v>
      </c>
      <c r="Q572" s="8">
        <v>2922120</v>
      </c>
      <c r="S572" s="8">
        <v>8505044</v>
      </c>
      <c r="U572" s="8">
        <v>401825</v>
      </c>
      <c r="W572" s="8">
        <v>0</v>
      </c>
      <c r="Y572" s="8">
        <v>0</v>
      </c>
      <c r="AA572" s="8">
        <v>38644</v>
      </c>
      <c r="AB572" s="100"/>
      <c r="AC572" s="8">
        <v>0</v>
      </c>
      <c r="AE572" s="8">
        <v>0</v>
      </c>
      <c r="AG572" s="8">
        <f t="shared" si="50"/>
        <v>16809065</v>
      </c>
      <c r="AH572" s="8"/>
      <c r="AI572" s="8">
        <f t="shared" si="51"/>
        <v>19452845</v>
      </c>
    </row>
    <row r="573" spans="1:35" ht="12" customHeight="1">
      <c r="A573" s="12" t="s">
        <v>419</v>
      </c>
      <c r="B573" s="12"/>
      <c r="C573" s="12" t="s">
        <v>33</v>
      </c>
      <c r="D573" s="12"/>
      <c r="E573" s="32">
        <v>47464</v>
      </c>
      <c r="G573" s="8">
        <v>929659</v>
      </c>
      <c r="I573" s="8">
        <v>414404</v>
      </c>
      <c r="K573" s="8">
        <v>59725</v>
      </c>
      <c r="M573" s="8">
        <f t="shared" si="52"/>
        <v>1403788</v>
      </c>
      <c r="O573" s="8">
        <v>6905652</v>
      </c>
      <c r="Q573" s="8">
        <v>0</v>
      </c>
      <c r="S573" s="8">
        <v>3502093</v>
      </c>
      <c r="U573" s="8">
        <v>174988</v>
      </c>
      <c r="W573" s="8">
        <v>0</v>
      </c>
      <c r="Y573" s="8">
        <v>15623</v>
      </c>
      <c r="AA573" s="8">
        <v>90942</v>
      </c>
      <c r="AB573" s="100"/>
      <c r="AC573" s="8">
        <v>0</v>
      </c>
      <c r="AE573" s="8">
        <v>0</v>
      </c>
      <c r="AG573" s="8">
        <f t="shared" si="50"/>
        <v>10689298</v>
      </c>
      <c r="AH573" s="8"/>
      <c r="AI573" s="8">
        <f t="shared" si="51"/>
        <v>12093086</v>
      </c>
    </row>
    <row r="574" spans="1:35" ht="12" customHeight="1">
      <c r="A574" s="12" t="s">
        <v>706</v>
      </c>
      <c r="B574" s="12"/>
      <c r="C574" s="12" t="s">
        <v>67</v>
      </c>
      <c r="D574" s="12"/>
      <c r="E574" s="32">
        <v>44966</v>
      </c>
      <c r="G574" s="8">
        <v>1397192</v>
      </c>
      <c r="I574" s="8">
        <v>2444484</v>
      </c>
      <c r="K574" s="8">
        <v>1410651</v>
      </c>
      <c r="M574" s="8">
        <f t="shared" si="52"/>
        <v>5252327</v>
      </c>
      <c r="O574" s="8">
        <f>5308348+1402971+362124</f>
        <v>7073443</v>
      </c>
      <c r="Q574" s="8">
        <v>2185232</v>
      </c>
      <c r="S574" s="8">
        <v>10350659</v>
      </c>
      <c r="U574" s="8">
        <v>115717</v>
      </c>
      <c r="W574" s="8">
        <v>1021</v>
      </c>
      <c r="Y574" s="8">
        <v>33863</v>
      </c>
      <c r="AA574" s="8">
        <v>159476</v>
      </c>
      <c r="AB574" s="100"/>
      <c r="AC574" s="8">
        <v>0</v>
      </c>
      <c r="AE574" s="8">
        <v>0</v>
      </c>
      <c r="AG574" s="8">
        <f t="shared" si="50"/>
        <v>19919411</v>
      </c>
      <c r="AH574" s="8"/>
      <c r="AI574" s="8">
        <f t="shared" si="51"/>
        <v>25171738</v>
      </c>
    </row>
    <row r="575" spans="1:35" ht="12" customHeight="1">
      <c r="A575" s="12" t="s">
        <v>557</v>
      </c>
      <c r="B575" s="12"/>
      <c r="C575" s="12" t="s">
        <v>50</v>
      </c>
      <c r="D575" s="12"/>
      <c r="E575" s="32">
        <v>44958</v>
      </c>
      <c r="G575" s="8">
        <v>2243542</v>
      </c>
      <c r="I575" s="8">
        <v>2144181</v>
      </c>
      <c r="K575" s="8">
        <v>0</v>
      </c>
      <c r="M575" s="8">
        <f t="shared" si="52"/>
        <v>4387723</v>
      </c>
      <c r="O575" s="8">
        <v>22083111</v>
      </c>
      <c r="Q575" s="8">
        <v>0</v>
      </c>
      <c r="S575" s="8">
        <v>10842857</v>
      </c>
      <c r="U575" s="8">
        <v>854137</v>
      </c>
      <c r="W575" s="8">
        <v>0</v>
      </c>
      <c r="Y575" s="8">
        <v>0</v>
      </c>
      <c r="AA575" s="8">
        <f>5593+300262</f>
        <v>305855</v>
      </c>
      <c r="AB575" s="100"/>
      <c r="AC575" s="8">
        <v>0</v>
      </c>
      <c r="AE575" s="8">
        <v>0</v>
      </c>
      <c r="AG575" s="8">
        <f t="shared" si="50"/>
        <v>34085960</v>
      </c>
      <c r="AH575" s="8"/>
      <c r="AI575" s="8">
        <f t="shared" si="51"/>
        <v>38473683</v>
      </c>
    </row>
    <row r="576" spans="1:35" ht="12" hidden="1" customHeight="1">
      <c r="A576" s="12" t="s">
        <v>1031</v>
      </c>
      <c r="B576" s="12"/>
      <c r="C576" s="12" t="s">
        <v>33</v>
      </c>
      <c r="D576" s="12"/>
      <c r="E576" s="32">
        <v>47472</v>
      </c>
      <c r="G576" s="8">
        <v>375139</v>
      </c>
      <c r="I576" s="8">
        <v>162049</v>
      </c>
      <c r="K576" s="8">
        <v>18445</v>
      </c>
      <c r="M576" s="8">
        <f t="shared" si="52"/>
        <v>555633</v>
      </c>
      <c r="O576" s="8">
        <v>910100</v>
      </c>
      <c r="Q576" s="8">
        <v>410926</v>
      </c>
      <c r="S576" s="8">
        <v>1644486</v>
      </c>
      <c r="U576" s="8">
        <v>43813</v>
      </c>
      <c r="Y576" s="8">
        <v>3846</v>
      </c>
      <c r="AA576" s="8">
        <v>9454</v>
      </c>
      <c r="AB576" s="100"/>
      <c r="AC576" s="8">
        <v>0</v>
      </c>
      <c r="AG576" s="8">
        <f t="shared" si="50"/>
        <v>3022625</v>
      </c>
      <c r="AH576" s="8"/>
      <c r="AI576" s="8">
        <f t="shared" si="51"/>
        <v>3578258</v>
      </c>
    </row>
    <row r="577" spans="1:37" ht="12" customHeight="1">
      <c r="A577" s="12" t="s">
        <v>342</v>
      </c>
      <c r="B577" s="12"/>
      <c r="C577" s="12" t="s">
        <v>24</v>
      </c>
      <c r="D577" s="12"/>
      <c r="E577" s="32">
        <v>46821</v>
      </c>
      <c r="G577" s="8">
        <v>1305759</v>
      </c>
      <c r="I577" s="8">
        <v>1901155</v>
      </c>
      <c r="K577" s="8">
        <v>25042</v>
      </c>
      <c r="M577" s="8">
        <f t="shared" si="52"/>
        <v>3231956</v>
      </c>
      <c r="O577" s="8">
        <v>15424661</v>
      </c>
      <c r="Q577" s="8">
        <v>0</v>
      </c>
      <c r="S577" s="8">
        <v>7963872</v>
      </c>
      <c r="U577" s="8">
        <v>232141</v>
      </c>
      <c r="W577" s="8">
        <v>0</v>
      </c>
      <c r="Y577" s="8">
        <v>0</v>
      </c>
      <c r="AA577" s="8">
        <v>32315</v>
      </c>
      <c r="AB577" s="100"/>
      <c r="AC577" s="8">
        <v>0</v>
      </c>
      <c r="AE577" s="8">
        <v>0</v>
      </c>
      <c r="AG577" s="8">
        <f t="shared" si="50"/>
        <v>23652989</v>
      </c>
      <c r="AH577" s="8"/>
      <c r="AI577" s="8">
        <f t="shared" si="51"/>
        <v>26884945</v>
      </c>
    </row>
    <row r="578" spans="1:37" ht="12" hidden="1" customHeight="1">
      <c r="A578" s="91" t="s">
        <v>1032</v>
      </c>
      <c r="B578" s="12"/>
      <c r="C578" s="12" t="s">
        <v>21</v>
      </c>
      <c r="D578" s="12"/>
      <c r="E578" s="32"/>
      <c r="AB578" s="100"/>
      <c r="AC578" s="8">
        <v>0</v>
      </c>
      <c r="AH578" s="8"/>
      <c r="AK578" s="8" t="s">
        <v>967</v>
      </c>
    </row>
    <row r="579" spans="1:37" ht="12" customHeight="1">
      <c r="A579" s="12" t="s">
        <v>707</v>
      </c>
      <c r="B579" s="12"/>
      <c r="C579" s="12" t="s">
        <v>68</v>
      </c>
      <c r="D579" s="12"/>
      <c r="E579" s="32">
        <v>50393</v>
      </c>
      <c r="G579" s="8">
        <v>559215</v>
      </c>
      <c r="I579" s="8">
        <v>7750398</v>
      </c>
      <c r="K579" s="8">
        <v>0</v>
      </c>
      <c r="M579" s="8">
        <f t="shared" si="52"/>
        <v>8309613</v>
      </c>
      <c r="O579" s="8">
        <v>4858945</v>
      </c>
      <c r="Q579" s="8">
        <v>120</v>
      </c>
      <c r="S579" s="8">
        <f>14119316+370693</f>
        <v>14490009</v>
      </c>
      <c r="U579" s="8">
        <v>394515</v>
      </c>
      <c r="W579" s="8">
        <v>643653</v>
      </c>
      <c r="Y579" s="8">
        <v>0</v>
      </c>
      <c r="AA579" s="8">
        <v>54859</v>
      </c>
      <c r="AB579" s="100"/>
      <c r="AC579" s="8">
        <v>0</v>
      </c>
      <c r="AE579" s="8">
        <v>0</v>
      </c>
      <c r="AG579" s="8">
        <f t="shared" si="50"/>
        <v>20442101</v>
      </c>
      <c r="AH579" s="8"/>
      <c r="AI579" s="8">
        <f t="shared" si="51"/>
        <v>28751714</v>
      </c>
    </row>
    <row r="580" spans="1:37" ht="12" customHeight="1">
      <c r="A580" s="12" t="s">
        <v>530</v>
      </c>
      <c r="B580" s="12"/>
      <c r="C580" s="12" t="s">
        <v>47</v>
      </c>
      <c r="D580" s="12"/>
      <c r="E580" s="32">
        <v>44974</v>
      </c>
      <c r="G580" s="8">
        <v>2496032</v>
      </c>
      <c r="I580" s="8">
        <v>3060311</v>
      </c>
      <c r="K580" s="8">
        <v>0</v>
      </c>
      <c r="M580" s="8">
        <f t="shared" si="52"/>
        <v>5556343</v>
      </c>
      <c r="O580" s="8">
        <v>20727091</v>
      </c>
      <c r="Q580" s="8">
        <v>0</v>
      </c>
      <c r="S580" s="8">
        <f>19268394+1566587</f>
        <v>20834981</v>
      </c>
      <c r="U580" s="8">
        <v>0</v>
      </c>
      <c r="W580" s="8">
        <v>0</v>
      </c>
      <c r="Y580" s="8">
        <v>0</v>
      </c>
      <c r="AA580" s="8">
        <v>549486</v>
      </c>
      <c r="AB580" s="100"/>
      <c r="AC580" s="8">
        <v>0</v>
      </c>
      <c r="AE580" s="8">
        <v>0</v>
      </c>
      <c r="AG580" s="8">
        <f t="shared" ref="AG580:AG596" si="53">SUM(O580:AE580)</f>
        <v>42111558</v>
      </c>
      <c r="AH580" s="8"/>
      <c r="AI580" s="8">
        <f t="shared" ref="AI580:AI596" si="54">+AG580+M580</f>
        <v>47667901</v>
      </c>
    </row>
    <row r="581" spans="1:37" ht="12" customHeight="1">
      <c r="A581" s="12" t="s">
        <v>692</v>
      </c>
      <c r="B581" s="12"/>
      <c r="C581" s="12" t="s">
        <v>64</v>
      </c>
      <c r="D581" s="12"/>
      <c r="E581" s="32">
        <v>44990</v>
      </c>
      <c r="G581" s="8">
        <v>2167813</v>
      </c>
      <c r="I581" s="8">
        <v>11274398</v>
      </c>
      <c r="K581" s="8">
        <v>59137</v>
      </c>
      <c r="M581" s="8">
        <f t="shared" si="52"/>
        <v>13501348</v>
      </c>
      <c r="O581" s="8">
        <v>14171347</v>
      </c>
      <c r="Q581" s="8">
        <v>0</v>
      </c>
      <c r="S581" s="8">
        <v>44031425</v>
      </c>
      <c r="U581" s="8">
        <v>2947575</v>
      </c>
      <c r="W581" s="8">
        <v>0</v>
      </c>
      <c r="Y581" s="8">
        <v>0</v>
      </c>
      <c r="AA581" s="8">
        <v>290057</v>
      </c>
      <c r="AB581" s="100"/>
      <c r="AC581" s="8">
        <v>0</v>
      </c>
      <c r="AE581" s="8">
        <v>0</v>
      </c>
      <c r="AG581" s="8">
        <f t="shared" si="53"/>
        <v>61440404</v>
      </c>
      <c r="AH581" s="8"/>
      <c r="AI581" s="8">
        <f t="shared" si="54"/>
        <v>74941752</v>
      </c>
      <c r="AK581" s="8"/>
    </row>
    <row r="582" spans="1:37" ht="12" customHeight="1">
      <c r="A582" s="12" t="s">
        <v>719</v>
      </c>
      <c r="B582" s="12"/>
      <c r="C582" s="12" t="s">
        <v>70</v>
      </c>
      <c r="D582" s="12"/>
      <c r="E582" s="32">
        <v>50500</v>
      </c>
      <c r="G582" s="8">
        <v>2065391</v>
      </c>
      <c r="I582" s="8">
        <v>2281983</v>
      </c>
      <c r="K582" s="8">
        <v>28350</v>
      </c>
      <c r="M582" s="8">
        <f t="shared" si="52"/>
        <v>4375724</v>
      </c>
      <c r="O582" s="8">
        <v>7331793</v>
      </c>
      <c r="Q582" s="8">
        <v>0</v>
      </c>
      <c r="S582" s="8">
        <v>12046712</v>
      </c>
      <c r="U582" s="8">
        <v>118632</v>
      </c>
      <c r="W582" s="8">
        <v>0</v>
      </c>
      <c r="Y582" s="8">
        <v>0</v>
      </c>
      <c r="AA582" s="8">
        <f>3387+67843</f>
        <v>71230</v>
      </c>
      <c r="AB582" s="100"/>
      <c r="AC582" s="8">
        <v>0</v>
      </c>
      <c r="AE582" s="8">
        <v>0</v>
      </c>
      <c r="AG582" s="8">
        <f t="shared" si="53"/>
        <v>19568367</v>
      </c>
      <c r="AH582" s="8"/>
      <c r="AI582" s="8">
        <f t="shared" si="54"/>
        <v>23944091</v>
      </c>
    </row>
    <row r="583" spans="1:37" ht="12" customHeight="1">
      <c r="A583" s="12" t="s">
        <v>324</v>
      </c>
      <c r="B583" s="12"/>
      <c r="C583" s="12" t="s">
        <v>20</v>
      </c>
      <c r="D583" s="12"/>
      <c r="E583" s="32">
        <v>45005</v>
      </c>
      <c r="G583" s="8">
        <v>271547</v>
      </c>
      <c r="I583" s="8">
        <v>4554553</v>
      </c>
      <c r="K583" s="8">
        <v>46044</v>
      </c>
      <c r="M583" s="8">
        <f t="shared" si="52"/>
        <v>4872144</v>
      </c>
      <c r="O583" s="8">
        <v>22368036</v>
      </c>
      <c r="Q583" s="8">
        <v>0</v>
      </c>
      <c r="S583" s="8">
        <v>14374012</v>
      </c>
      <c r="U583" s="8">
        <v>69789</v>
      </c>
      <c r="W583" s="8">
        <v>0</v>
      </c>
      <c r="Y583" s="8">
        <v>0</v>
      </c>
      <c r="AA583" s="8">
        <v>165931</v>
      </c>
      <c r="AB583" s="100"/>
      <c r="AC583" s="8">
        <v>0</v>
      </c>
      <c r="AE583" s="8">
        <v>0</v>
      </c>
      <c r="AG583" s="8">
        <f t="shared" si="53"/>
        <v>36977768</v>
      </c>
      <c r="AH583" s="8"/>
      <c r="AI583" s="8">
        <f t="shared" si="54"/>
        <v>41849912</v>
      </c>
    </row>
    <row r="584" spans="1:37" ht="12" customHeight="1">
      <c r="A584" s="12" t="s">
        <v>351</v>
      </c>
      <c r="B584" s="12"/>
      <c r="C584" s="12" t="s">
        <v>26</v>
      </c>
      <c r="D584" s="12"/>
      <c r="E584" s="32">
        <v>45013</v>
      </c>
      <c r="G584" s="8">
        <v>1129073</v>
      </c>
      <c r="I584" s="8">
        <v>3428562</v>
      </c>
      <c r="K584" s="8">
        <v>17225</v>
      </c>
      <c r="M584" s="8">
        <f t="shared" si="52"/>
        <v>4574860</v>
      </c>
      <c r="O584" s="8">
        <v>8180226</v>
      </c>
      <c r="Q584" s="8">
        <v>0</v>
      </c>
      <c r="S584" s="8">
        <v>12282680</v>
      </c>
      <c r="U584" s="8">
        <v>497090</v>
      </c>
      <c r="W584" s="8">
        <v>17923</v>
      </c>
      <c r="Y584" s="8">
        <v>4554</v>
      </c>
      <c r="AA584" s="8">
        <v>165921</v>
      </c>
      <c r="AB584" s="100"/>
      <c r="AC584" s="8">
        <v>0</v>
      </c>
      <c r="AE584" s="8">
        <v>0</v>
      </c>
      <c r="AG584" s="8">
        <f t="shared" si="53"/>
        <v>21148394</v>
      </c>
      <c r="AH584" s="8"/>
      <c r="AI584" s="8">
        <f t="shared" si="54"/>
        <v>25723254</v>
      </c>
    </row>
    <row r="585" spans="1:37" ht="12" customHeight="1">
      <c r="A585" s="12" t="s">
        <v>503</v>
      </c>
      <c r="B585" s="12"/>
      <c r="C585" s="12" t="s">
        <v>117</v>
      </c>
      <c r="D585" s="12"/>
      <c r="E585" s="32">
        <v>48231</v>
      </c>
      <c r="G585" s="8">
        <v>2597215</v>
      </c>
      <c r="I585" s="8">
        <v>11621474</v>
      </c>
      <c r="K585" s="8">
        <v>44327</v>
      </c>
      <c r="M585" s="8">
        <f t="shared" si="52"/>
        <v>14263016</v>
      </c>
      <c r="O585" s="8">
        <v>34340215</v>
      </c>
      <c r="Q585" s="8">
        <v>0</v>
      </c>
      <c r="S585" s="8">
        <v>26985570</v>
      </c>
      <c r="U585" s="8">
        <v>1013457</v>
      </c>
      <c r="W585" s="8">
        <v>4061976</v>
      </c>
      <c r="Y585" s="8">
        <v>0</v>
      </c>
      <c r="AA585" s="8">
        <v>174217</v>
      </c>
      <c r="AB585" s="100"/>
      <c r="AC585" s="8">
        <v>0</v>
      </c>
      <c r="AE585" s="8">
        <v>0</v>
      </c>
      <c r="AG585" s="8">
        <f t="shared" si="53"/>
        <v>66575435</v>
      </c>
      <c r="AH585" s="8"/>
      <c r="AI585" s="8">
        <f t="shared" si="54"/>
        <v>80838451</v>
      </c>
    </row>
    <row r="586" spans="1:37" ht="12" customHeight="1">
      <c r="A586" s="12" t="s">
        <v>633</v>
      </c>
      <c r="B586" s="12"/>
      <c r="C586" s="12" t="s">
        <v>59</v>
      </c>
      <c r="D586" s="12"/>
      <c r="E586" s="32">
        <v>49650</v>
      </c>
      <c r="G586" s="8">
        <v>1673954</v>
      </c>
      <c r="I586" s="8">
        <v>2898629</v>
      </c>
      <c r="K586" s="8">
        <v>29585</v>
      </c>
      <c r="M586" s="8">
        <f t="shared" si="52"/>
        <v>4602168</v>
      </c>
      <c r="O586" s="8">
        <v>1604407</v>
      </c>
      <c r="Q586" s="8">
        <v>0</v>
      </c>
      <c r="S586" s="8">
        <v>25236352</v>
      </c>
      <c r="U586" s="8">
        <v>164467</v>
      </c>
      <c r="W586" s="8">
        <v>0</v>
      </c>
      <c r="Y586" s="8">
        <v>10000</v>
      </c>
      <c r="AA586" s="8">
        <v>44038</v>
      </c>
      <c r="AB586" s="100"/>
      <c r="AC586" s="8">
        <v>0</v>
      </c>
      <c r="AE586" s="8">
        <v>0</v>
      </c>
      <c r="AG586" s="8">
        <f t="shared" si="53"/>
        <v>27059264</v>
      </c>
      <c r="AH586" s="8"/>
      <c r="AI586" s="8">
        <f t="shared" si="54"/>
        <v>31661432</v>
      </c>
    </row>
    <row r="587" spans="1:37" ht="12" customHeight="1">
      <c r="A587" s="12" t="s">
        <v>596</v>
      </c>
      <c r="B587" s="12"/>
      <c r="C587" s="12" t="s">
        <v>56</v>
      </c>
      <c r="D587" s="12"/>
      <c r="E587" s="32">
        <v>49247</v>
      </c>
      <c r="G587" s="8">
        <v>584408</v>
      </c>
      <c r="I587" s="8">
        <v>1453901</v>
      </c>
      <c r="K587" s="8">
        <v>38966</v>
      </c>
      <c r="M587" s="8">
        <f t="shared" si="52"/>
        <v>2077275</v>
      </c>
      <c r="O587" s="8">
        <v>4209039</v>
      </c>
      <c r="Q587" s="8">
        <v>0</v>
      </c>
      <c r="S587" s="8">
        <v>6304025</v>
      </c>
      <c r="U587" s="8">
        <v>37823</v>
      </c>
      <c r="W587" s="8">
        <v>0</v>
      </c>
      <c r="Y587" s="8">
        <v>0</v>
      </c>
      <c r="AA587" s="8">
        <v>61980</v>
      </c>
      <c r="AB587" s="100"/>
      <c r="AC587" s="8">
        <v>0</v>
      </c>
      <c r="AE587" s="8">
        <v>0</v>
      </c>
      <c r="AG587" s="8">
        <f t="shared" si="53"/>
        <v>10612867</v>
      </c>
      <c r="AH587" s="8"/>
      <c r="AI587" s="8">
        <f t="shared" si="54"/>
        <v>12690142</v>
      </c>
    </row>
    <row r="588" spans="1:37" ht="12" customHeight="1">
      <c r="A588" s="12" t="s">
        <v>374</v>
      </c>
      <c r="B588" s="12"/>
      <c r="C588" s="12" t="s">
        <v>28</v>
      </c>
      <c r="D588" s="12"/>
      <c r="E588" s="32">
        <v>45641</v>
      </c>
      <c r="G588" s="8">
        <v>1375869</v>
      </c>
      <c r="I588" s="8">
        <v>1621482</v>
      </c>
      <c r="K588" s="8">
        <v>13237</v>
      </c>
      <c r="M588" s="8">
        <f t="shared" si="52"/>
        <v>3010588</v>
      </c>
      <c r="O588" s="8">
        <v>6760477</v>
      </c>
      <c r="Q588" s="8">
        <v>0</v>
      </c>
      <c r="S588" s="8">
        <v>9292319</v>
      </c>
      <c r="U588" s="8">
        <v>661508</v>
      </c>
      <c r="W588" s="8">
        <v>0</v>
      </c>
      <c r="Y588" s="8">
        <v>0</v>
      </c>
      <c r="AA588" s="8">
        <v>140849</v>
      </c>
      <c r="AB588" s="100"/>
      <c r="AC588" s="8">
        <v>0</v>
      </c>
      <c r="AE588" s="8">
        <v>0</v>
      </c>
      <c r="AG588" s="8">
        <f t="shared" si="53"/>
        <v>16855153</v>
      </c>
      <c r="AH588" s="8"/>
      <c r="AI588" s="8">
        <f t="shared" si="54"/>
        <v>19865741</v>
      </c>
    </row>
    <row r="589" spans="1:37" ht="12" customHeight="1">
      <c r="A589" s="12" t="s">
        <v>586</v>
      </c>
      <c r="B589" s="12"/>
      <c r="C589" s="12" t="s">
        <v>55</v>
      </c>
      <c r="D589" s="12"/>
      <c r="E589" s="32">
        <v>49148</v>
      </c>
      <c r="G589" s="8">
        <v>1157192</v>
      </c>
      <c r="I589" s="8">
        <v>2547683</v>
      </c>
      <c r="K589" s="8">
        <v>2500</v>
      </c>
      <c r="M589" s="8">
        <f t="shared" si="52"/>
        <v>3707375</v>
      </c>
      <c r="O589" s="8">
        <v>3811894</v>
      </c>
      <c r="Q589" s="8">
        <v>0</v>
      </c>
      <c r="S589" s="8">
        <v>11018177</v>
      </c>
      <c r="U589" s="8">
        <v>88055</v>
      </c>
      <c r="W589" s="8">
        <v>16106</v>
      </c>
      <c r="Y589" s="8">
        <v>769</v>
      </c>
      <c r="AA589" s="8">
        <v>96783</v>
      </c>
      <c r="AB589" s="100"/>
      <c r="AC589" s="8">
        <v>0</v>
      </c>
      <c r="AE589" s="8">
        <v>0</v>
      </c>
      <c r="AG589" s="8">
        <f t="shared" si="53"/>
        <v>15031784</v>
      </c>
      <c r="AH589" s="8"/>
      <c r="AI589" s="8">
        <f t="shared" si="54"/>
        <v>18739159</v>
      </c>
    </row>
    <row r="590" spans="1:37" ht="12" hidden="1" customHeight="1">
      <c r="A590" s="12" t="s">
        <v>1043</v>
      </c>
      <c r="B590" s="12"/>
      <c r="C590" s="12" t="s">
        <v>69</v>
      </c>
      <c r="D590" s="12"/>
      <c r="E590" s="32">
        <v>50468</v>
      </c>
      <c r="M590" s="8">
        <f t="shared" si="52"/>
        <v>0</v>
      </c>
      <c r="AB590" s="100"/>
      <c r="AC590" s="8">
        <v>0</v>
      </c>
      <c r="AG590" s="8">
        <f t="shared" si="53"/>
        <v>0</v>
      </c>
      <c r="AH590" s="8"/>
      <c r="AI590" s="8">
        <f t="shared" si="54"/>
        <v>0</v>
      </c>
    </row>
    <row r="591" spans="1:37" ht="12" hidden="1" customHeight="1">
      <c r="A591" s="12" t="s">
        <v>846</v>
      </c>
      <c r="B591" s="12"/>
      <c r="C591" s="12" t="s">
        <v>576</v>
      </c>
      <c r="D591" s="12"/>
      <c r="E591" s="32">
        <v>49031</v>
      </c>
      <c r="M591" s="8">
        <f t="shared" si="52"/>
        <v>0</v>
      </c>
      <c r="AB591" s="100"/>
      <c r="AC591" s="8">
        <v>0</v>
      </c>
      <c r="AG591" s="8">
        <f t="shared" si="53"/>
        <v>0</v>
      </c>
      <c r="AH591" s="8"/>
      <c r="AI591" s="8">
        <f t="shared" si="54"/>
        <v>0</v>
      </c>
    </row>
    <row r="592" spans="1:37" ht="12" hidden="1" customHeight="1">
      <c r="A592" s="12" t="s">
        <v>891</v>
      </c>
      <c r="B592" s="12"/>
      <c r="C592" s="12" t="s">
        <v>14</v>
      </c>
      <c r="D592" s="12"/>
      <c r="E592" s="32">
        <v>45971</v>
      </c>
      <c r="M592" s="8">
        <f t="shared" si="52"/>
        <v>0</v>
      </c>
      <c r="AB592" s="100"/>
      <c r="AC592" s="8">
        <v>0</v>
      </c>
      <c r="AG592" s="8">
        <f t="shared" si="53"/>
        <v>0</v>
      </c>
      <c r="AH592" s="8"/>
      <c r="AI592" s="8">
        <f t="shared" si="54"/>
        <v>0</v>
      </c>
    </row>
    <row r="593" spans="1:36" ht="12" customHeight="1">
      <c r="A593" s="12" t="s">
        <v>693</v>
      </c>
      <c r="B593" s="12"/>
      <c r="C593" s="12" t="s">
        <v>64</v>
      </c>
      <c r="D593" s="12"/>
      <c r="E593" s="32">
        <v>50252</v>
      </c>
      <c r="G593" s="8">
        <v>1605166</v>
      </c>
      <c r="I593" s="8">
        <v>911012</v>
      </c>
      <c r="K593" s="8">
        <v>68599</v>
      </c>
      <c r="M593" s="8">
        <f t="shared" si="52"/>
        <v>2584777</v>
      </c>
      <c r="O593" s="8">
        <v>3055134</v>
      </c>
      <c r="Q593" s="8">
        <v>0</v>
      </c>
      <c r="S593" s="8">
        <v>4174594</v>
      </c>
      <c r="U593" s="8">
        <v>63450</v>
      </c>
      <c r="W593" s="8">
        <v>0</v>
      </c>
      <c r="Y593" s="8">
        <v>0</v>
      </c>
      <c r="AA593" s="8">
        <v>1134</v>
      </c>
      <c r="AB593" s="100"/>
      <c r="AC593" s="8">
        <v>0</v>
      </c>
      <c r="AE593" s="8">
        <v>0</v>
      </c>
      <c r="AG593" s="8">
        <f t="shared" si="53"/>
        <v>7294312</v>
      </c>
      <c r="AH593" s="8"/>
      <c r="AI593" s="8">
        <f t="shared" si="54"/>
        <v>9879089</v>
      </c>
    </row>
    <row r="594" spans="1:36" ht="12" customHeight="1">
      <c r="A594" s="12" t="s">
        <v>495</v>
      </c>
      <c r="B594" s="12"/>
      <c r="C594" s="12" t="s">
        <v>44</v>
      </c>
      <c r="D594" s="12"/>
      <c r="E594" s="32">
        <v>45658</v>
      </c>
      <c r="G594" s="8">
        <v>887380</v>
      </c>
      <c r="I594" s="8">
        <v>1000732</v>
      </c>
      <c r="K594" s="8">
        <v>0</v>
      </c>
      <c r="M594" s="8">
        <f t="shared" si="52"/>
        <v>1888112</v>
      </c>
      <c r="O594" s="8">
        <v>3744216</v>
      </c>
      <c r="Q594" s="8">
        <v>1683885</v>
      </c>
      <c r="S594" s="8">
        <v>6669798</v>
      </c>
      <c r="U594" s="8">
        <v>53651</v>
      </c>
      <c r="W594" s="8">
        <v>0</v>
      </c>
      <c r="Y594" s="8">
        <v>0</v>
      </c>
      <c r="AA594" s="8">
        <v>105880</v>
      </c>
      <c r="AB594" s="100"/>
      <c r="AC594" s="8">
        <v>0</v>
      </c>
      <c r="AE594" s="8">
        <v>0</v>
      </c>
      <c r="AG594" s="8">
        <f t="shared" si="53"/>
        <v>12257430</v>
      </c>
      <c r="AH594" s="8"/>
      <c r="AI594" s="8">
        <f t="shared" si="54"/>
        <v>14145542</v>
      </c>
    </row>
    <row r="595" spans="1:36" ht="12" customHeight="1">
      <c r="A595" s="12" t="s">
        <v>449</v>
      </c>
      <c r="B595" s="12"/>
      <c r="C595" s="12" t="s">
        <v>38</v>
      </c>
      <c r="D595" s="12"/>
      <c r="E595" s="32">
        <v>45021</v>
      </c>
      <c r="G595" s="8">
        <v>922561</v>
      </c>
      <c r="I595" s="8">
        <v>3722279</v>
      </c>
      <c r="K595" s="8">
        <v>72592</v>
      </c>
      <c r="M595" s="8">
        <f t="shared" si="52"/>
        <v>4717432</v>
      </c>
      <c r="O595" s="8">
        <v>2499491</v>
      </c>
      <c r="Q595" s="8">
        <v>0</v>
      </c>
      <c r="S595" s="8">
        <v>12063240</v>
      </c>
      <c r="U595" s="8">
        <v>117932</v>
      </c>
      <c r="W595" s="8">
        <v>0</v>
      </c>
      <c r="Y595" s="8">
        <v>100</v>
      </c>
      <c r="AA595" s="8">
        <f>999883+5037</f>
        <v>1004920</v>
      </c>
      <c r="AB595" s="100"/>
      <c r="AC595" s="8">
        <v>0</v>
      </c>
      <c r="AE595" s="8">
        <v>0</v>
      </c>
      <c r="AG595" s="8">
        <f t="shared" si="53"/>
        <v>15685683</v>
      </c>
      <c r="AH595" s="8"/>
      <c r="AI595" s="8">
        <f t="shared" si="54"/>
        <v>20403115</v>
      </c>
    </row>
    <row r="596" spans="1:36" ht="12" customHeight="1">
      <c r="A596" s="12" t="s">
        <v>286</v>
      </c>
      <c r="B596" s="12"/>
      <c r="C596" s="12" t="s">
        <v>114</v>
      </c>
      <c r="D596" s="12"/>
      <c r="E596" s="32">
        <v>45039</v>
      </c>
      <c r="G596" s="8">
        <v>922377</v>
      </c>
      <c r="I596" s="8">
        <v>1962798</v>
      </c>
      <c r="K596" s="8">
        <v>0</v>
      </c>
      <c r="M596" s="8">
        <f t="shared" si="52"/>
        <v>2885175</v>
      </c>
      <c r="O596" s="8">
        <v>1116557</v>
      </c>
      <c r="Q596" s="8">
        <v>0</v>
      </c>
      <c r="S596" s="8">
        <v>5338186</v>
      </c>
      <c r="U596" s="8">
        <v>67560</v>
      </c>
      <c r="W596" s="8">
        <v>0</v>
      </c>
      <c r="Y596" s="8">
        <v>0</v>
      </c>
      <c r="AA596" s="8">
        <v>94631</v>
      </c>
      <c r="AB596" s="100"/>
      <c r="AC596" s="8">
        <v>0</v>
      </c>
      <c r="AE596" s="8">
        <v>0</v>
      </c>
      <c r="AG596" s="8">
        <f t="shared" si="53"/>
        <v>6616934</v>
      </c>
      <c r="AH596" s="8"/>
      <c r="AI596" s="8">
        <f t="shared" si="54"/>
        <v>9502109</v>
      </c>
    </row>
    <row r="597" spans="1:36">
      <c r="A597" s="12" t="s">
        <v>518</v>
      </c>
      <c r="B597" s="12"/>
      <c r="C597" s="12" t="s">
        <v>45</v>
      </c>
      <c r="D597" s="12"/>
      <c r="E597" s="32">
        <v>48389</v>
      </c>
      <c r="G597" s="8">
        <v>2717178</v>
      </c>
      <c r="I597" s="8">
        <v>2352827</v>
      </c>
      <c r="K597" s="8">
        <v>11659</v>
      </c>
      <c r="M597" s="8">
        <f t="shared" ref="M597:M606" si="55">SUM(G597:L597)</f>
        <v>5081664</v>
      </c>
      <c r="O597" s="8">
        <v>4849243</v>
      </c>
      <c r="Q597" s="8">
        <v>0</v>
      </c>
      <c r="S597" s="8">
        <v>12098459</v>
      </c>
      <c r="U597" s="8">
        <v>66024</v>
      </c>
      <c r="W597" s="8">
        <v>0</v>
      </c>
      <c r="Y597" s="8">
        <v>0</v>
      </c>
      <c r="AA597" s="8">
        <v>64470</v>
      </c>
      <c r="AB597" s="100"/>
      <c r="AC597" s="8">
        <v>0</v>
      </c>
      <c r="AE597" s="8">
        <v>0</v>
      </c>
      <c r="AG597" s="8">
        <f t="shared" ref="AG597:AG606" si="56">SUM(O597:AE597)</f>
        <v>17078196</v>
      </c>
      <c r="AH597" s="8"/>
      <c r="AI597" s="8">
        <f t="shared" ref="AI597:AI606" si="57">+AG597+M597</f>
        <v>22159860</v>
      </c>
    </row>
    <row r="598" spans="1:36">
      <c r="A598" s="12" t="s">
        <v>1042</v>
      </c>
      <c r="B598" s="12"/>
      <c r="C598" s="12" t="s">
        <v>50</v>
      </c>
      <c r="D598" s="12"/>
      <c r="E598" s="32"/>
      <c r="G598" s="8">
        <v>1258950</v>
      </c>
      <c r="I598" s="8">
        <v>4371895</v>
      </c>
      <c r="K598" s="8">
        <v>34435</v>
      </c>
      <c r="M598" s="8">
        <f t="shared" si="55"/>
        <v>5665280</v>
      </c>
      <c r="O598" s="8">
        <v>17300663</v>
      </c>
      <c r="Q598" s="8">
        <v>0</v>
      </c>
      <c r="S598" s="8">
        <v>17765317</v>
      </c>
      <c r="U598" s="8">
        <v>810854</v>
      </c>
      <c r="W598" s="8">
        <v>0</v>
      </c>
      <c r="Y598" s="8">
        <v>0</v>
      </c>
      <c r="AA598" s="8">
        <v>90445</v>
      </c>
      <c r="AB598" s="100"/>
      <c r="AC598" s="8">
        <v>0</v>
      </c>
      <c r="AE598" s="8">
        <v>0</v>
      </c>
      <c r="AG598" s="8">
        <f t="shared" si="56"/>
        <v>35967279</v>
      </c>
      <c r="AH598" s="8"/>
      <c r="AI598" s="8">
        <f t="shared" si="57"/>
        <v>41632559</v>
      </c>
    </row>
    <row r="599" spans="1:36" ht="12" customHeight="1">
      <c r="A599" s="12" t="s">
        <v>272</v>
      </c>
      <c r="B599" s="12"/>
      <c r="C599" s="12" t="s">
        <v>115</v>
      </c>
      <c r="D599" s="12"/>
      <c r="E599" s="32">
        <v>46359</v>
      </c>
      <c r="G599" s="8">
        <v>3117169</v>
      </c>
      <c r="I599" s="8">
        <v>5022419</v>
      </c>
      <c r="K599" s="8">
        <v>113187</v>
      </c>
      <c r="M599" s="8">
        <f t="shared" si="55"/>
        <v>8252775</v>
      </c>
      <c r="O599" s="8">
        <v>40611893</v>
      </c>
      <c r="Q599" s="8">
        <v>0</v>
      </c>
      <c r="S599" s="8">
        <v>32901435</v>
      </c>
      <c r="U599" s="8">
        <v>0</v>
      </c>
      <c r="W599" s="8">
        <v>0</v>
      </c>
      <c r="Y599" s="8">
        <v>0</v>
      </c>
      <c r="AA599" s="8">
        <v>1523151</v>
      </c>
      <c r="AB599" s="100"/>
      <c r="AC599" s="8">
        <v>0</v>
      </c>
      <c r="AE599" s="8">
        <v>0</v>
      </c>
      <c r="AG599" s="8">
        <f t="shared" si="56"/>
        <v>75036479</v>
      </c>
      <c r="AH599" s="8"/>
      <c r="AI599" s="8">
        <f t="shared" si="57"/>
        <v>83289254</v>
      </c>
    </row>
    <row r="600" spans="1:36" s="8" customFormat="1" ht="12" customHeight="1">
      <c r="A600" s="13" t="s">
        <v>383</v>
      </c>
      <c r="B600" s="13"/>
      <c r="C600" s="13" t="s">
        <v>30</v>
      </c>
      <c r="D600" s="13"/>
      <c r="E600" s="32">
        <v>47225</v>
      </c>
      <c r="F600" s="10"/>
      <c r="G600" s="8">
        <f>1163887+633571</f>
        <v>1797458</v>
      </c>
      <c r="I600" s="8">
        <f>1293945+79026</f>
        <v>1372971</v>
      </c>
      <c r="K600" s="8">
        <v>23466</v>
      </c>
      <c r="M600" s="8">
        <f t="shared" si="55"/>
        <v>3193895</v>
      </c>
      <c r="O600" s="8">
        <v>19907428</v>
      </c>
      <c r="Q600" s="8">
        <v>0</v>
      </c>
      <c r="S600" s="8">
        <v>7049554</v>
      </c>
      <c r="U600" s="8">
        <v>237115</v>
      </c>
      <c r="W600" s="8">
        <v>0</v>
      </c>
      <c r="Y600" s="8">
        <v>0</v>
      </c>
      <c r="AA600" s="8">
        <v>8977</v>
      </c>
      <c r="AB600" s="100"/>
      <c r="AC600" s="8">
        <v>0</v>
      </c>
      <c r="AE600" s="8">
        <v>0</v>
      </c>
      <c r="AG600" s="8">
        <f t="shared" si="56"/>
        <v>27203074</v>
      </c>
      <c r="AI600" s="8">
        <f t="shared" si="57"/>
        <v>30396969</v>
      </c>
      <c r="AJ600" s="10"/>
    </row>
    <row r="601" spans="1:36" ht="12" customHeight="1">
      <c r="A601" s="12" t="s">
        <v>442</v>
      </c>
      <c r="B601" s="12"/>
      <c r="C601" s="12" t="s">
        <v>36</v>
      </c>
      <c r="D601" s="12"/>
      <c r="E601" s="32">
        <v>47696</v>
      </c>
      <c r="G601" s="8">
        <v>1386075</v>
      </c>
      <c r="I601" s="8">
        <v>2874581</v>
      </c>
      <c r="K601" s="8">
        <v>127365</v>
      </c>
      <c r="M601" s="8">
        <f t="shared" si="55"/>
        <v>4388021</v>
      </c>
      <c r="O601" s="8">
        <v>9355620</v>
      </c>
      <c r="Q601" s="8">
        <v>0</v>
      </c>
      <c r="S601" s="8">
        <v>11776317</v>
      </c>
      <c r="U601" s="8">
        <v>0</v>
      </c>
      <c r="W601" s="8">
        <v>0</v>
      </c>
      <c r="Y601" s="8">
        <v>0</v>
      </c>
      <c r="AA601" s="8">
        <v>276279</v>
      </c>
      <c r="AB601" s="100"/>
      <c r="AC601" s="8">
        <v>0</v>
      </c>
      <c r="AE601" s="8">
        <v>0</v>
      </c>
      <c r="AG601" s="8">
        <f t="shared" si="56"/>
        <v>21408216</v>
      </c>
      <c r="AH601" s="8"/>
      <c r="AI601" s="8">
        <f t="shared" si="57"/>
        <v>25796237</v>
      </c>
    </row>
    <row r="602" spans="1:36" ht="12" customHeight="1">
      <c r="A602" s="12" t="s">
        <v>259</v>
      </c>
      <c r="B602" s="12"/>
      <c r="C602" s="12" t="s">
        <v>255</v>
      </c>
      <c r="D602" s="12"/>
      <c r="E602" s="32">
        <v>46219</v>
      </c>
      <c r="G602" s="8">
        <v>1414943</v>
      </c>
      <c r="I602" s="8">
        <v>1235308</v>
      </c>
      <c r="K602" s="8">
        <v>37537</v>
      </c>
      <c r="M602" s="8">
        <f t="shared" si="55"/>
        <v>2687788</v>
      </c>
      <c r="O602" s="8">
        <v>2771921</v>
      </c>
      <c r="Q602" s="8">
        <v>1751710</v>
      </c>
      <c r="S602" s="8">
        <v>5661696</v>
      </c>
      <c r="U602" s="8">
        <v>93557</v>
      </c>
      <c r="W602" s="8">
        <v>0</v>
      </c>
      <c r="Y602" s="8">
        <v>0</v>
      </c>
      <c r="AA602" s="8">
        <v>103378</v>
      </c>
      <c r="AB602" s="100"/>
      <c r="AC602" s="8">
        <v>0</v>
      </c>
      <c r="AE602" s="8">
        <v>0</v>
      </c>
      <c r="AG602" s="8">
        <f t="shared" si="56"/>
        <v>10382262</v>
      </c>
      <c r="AH602" s="8"/>
      <c r="AI602" s="8">
        <f t="shared" si="57"/>
        <v>13070050</v>
      </c>
    </row>
    <row r="603" spans="1:36" ht="12" customHeight="1">
      <c r="A603" s="12"/>
      <c r="B603" s="12"/>
      <c r="C603" s="12"/>
      <c r="D603" s="12"/>
      <c r="E603" s="32"/>
      <c r="AB603" s="100"/>
      <c r="AH603" s="8"/>
    </row>
    <row r="604" spans="1:36" ht="12" customHeight="1">
      <c r="A604" s="12"/>
      <c r="B604" s="12"/>
      <c r="C604" s="12"/>
      <c r="D604" s="12"/>
      <c r="E604" s="32"/>
      <c r="AB604" s="100"/>
      <c r="AH604" s="8"/>
      <c r="AI604" s="8" t="s">
        <v>805</v>
      </c>
    </row>
    <row r="605" spans="1:36" ht="12" customHeight="1">
      <c r="A605" s="12"/>
      <c r="B605" s="12"/>
      <c r="C605" s="12"/>
      <c r="D605" s="12"/>
      <c r="E605" s="32"/>
      <c r="AB605" s="100"/>
      <c r="AH605" s="8"/>
    </row>
    <row r="606" spans="1:36" ht="12" customHeight="1">
      <c r="A606" s="12" t="s">
        <v>567</v>
      </c>
      <c r="B606" s="12"/>
      <c r="C606" s="12" t="s">
        <v>51</v>
      </c>
      <c r="D606" s="12"/>
      <c r="E606" s="32">
        <v>48884</v>
      </c>
      <c r="G606" s="35">
        <v>1487526</v>
      </c>
      <c r="H606" s="35"/>
      <c r="I606" s="35">
        <v>2351292</v>
      </c>
      <c r="J606" s="35"/>
      <c r="K606" s="35">
        <v>18501</v>
      </c>
      <c r="L606" s="35"/>
      <c r="M606" s="35">
        <f t="shared" si="55"/>
        <v>3857319</v>
      </c>
      <c r="N606" s="35"/>
      <c r="O606" s="35">
        <v>7085760</v>
      </c>
      <c r="P606" s="35"/>
      <c r="Q606" s="35">
        <v>0</v>
      </c>
      <c r="R606" s="35"/>
      <c r="S606" s="35">
        <v>6762132</v>
      </c>
      <c r="T606" s="35"/>
      <c r="U606" s="35">
        <v>111917</v>
      </c>
      <c r="V606" s="35"/>
      <c r="W606" s="35">
        <v>0</v>
      </c>
      <c r="X606" s="35"/>
      <c r="Y606" s="35">
        <v>0</v>
      </c>
      <c r="Z606" s="35"/>
      <c r="AA606" s="35">
        <f>76170+259665</f>
        <v>335835</v>
      </c>
      <c r="AB606" s="105"/>
      <c r="AC606" s="35">
        <v>0</v>
      </c>
      <c r="AD606" s="35"/>
      <c r="AE606" s="35">
        <v>0</v>
      </c>
      <c r="AF606" s="35"/>
      <c r="AG606" s="35">
        <f t="shared" si="56"/>
        <v>14295644</v>
      </c>
      <c r="AH606" s="35"/>
      <c r="AI606" s="35">
        <f t="shared" si="57"/>
        <v>18152963</v>
      </c>
    </row>
    <row r="607" spans="1:36" s="8" customFormat="1" ht="12" customHeight="1">
      <c r="A607" s="13" t="s">
        <v>240</v>
      </c>
      <c r="B607" s="13"/>
      <c r="C607" s="13" t="s">
        <v>77</v>
      </c>
      <c r="D607" s="13"/>
      <c r="E607" s="13">
        <v>46060</v>
      </c>
      <c r="G607" s="8">
        <v>2077656</v>
      </c>
      <c r="I607" s="8">
        <v>3925235</v>
      </c>
      <c r="K607" s="8">
        <v>0</v>
      </c>
      <c r="M607" s="8">
        <f t="shared" ref="M607:M633" si="58">SUM(G607:L607)</f>
        <v>6002891</v>
      </c>
      <c r="O607" s="8">
        <v>4913099</v>
      </c>
      <c r="Q607" s="8">
        <v>0</v>
      </c>
      <c r="S607" s="8">
        <v>19244661</v>
      </c>
      <c r="U607" s="8">
        <v>145169</v>
      </c>
      <c r="W607" s="8">
        <v>0</v>
      </c>
      <c r="Y607" s="8">
        <v>0</v>
      </c>
      <c r="AA607" s="8">
        <v>242115</v>
      </c>
      <c r="AB607" s="100"/>
      <c r="AC607" s="8">
        <v>0</v>
      </c>
      <c r="AE607" s="8">
        <v>0</v>
      </c>
      <c r="AG607" s="8">
        <f t="shared" ref="AG607:AG633" si="59">SUM(O607:AE607)</f>
        <v>24545044</v>
      </c>
      <c r="AI607" s="8">
        <f t="shared" ref="AI607:AI633" si="60">+AG607+M607</f>
        <v>30547935</v>
      </c>
    </row>
    <row r="608" spans="1:36" ht="12" customHeight="1">
      <c r="A608" s="12" t="s">
        <v>587</v>
      </c>
      <c r="B608" s="12"/>
      <c r="C608" s="12" t="s">
        <v>55</v>
      </c>
      <c r="D608" s="12"/>
      <c r="E608" s="32">
        <v>49155</v>
      </c>
      <c r="G608" s="8">
        <v>276230</v>
      </c>
      <c r="I608" s="8">
        <v>2777421</v>
      </c>
      <c r="K608" s="8">
        <v>0</v>
      </c>
      <c r="M608" s="8">
        <f t="shared" si="58"/>
        <v>3053651</v>
      </c>
      <c r="O608" s="8">
        <v>802234</v>
      </c>
      <c r="Q608" s="8">
        <v>0</v>
      </c>
      <c r="S608" s="8">
        <v>4901627</v>
      </c>
      <c r="U608" s="8">
        <v>84561</v>
      </c>
      <c r="W608" s="8">
        <v>0</v>
      </c>
      <c r="Y608" s="8">
        <v>7000</v>
      </c>
      <c r="AA608" s="8">
        <f>4297+13704</f>
        <v>18001</v>
      </c>
      <c r="AB608" s="100"/>
      <c r="AC608" s="8">
        <v>0</v>
      </c>
      <c r="AE608" s="8">
        <v>0</v>
      </c>
      <c r="AG608" s="8">
        <f t="shared" si="59"/>
        <v>5813423</v>
      </c>
      <c r="AH608" s="8"/>
      <c r="AI608" s="8">
        <f t="shared" si="60"/>
        <v>8867074</v>
      </c>
    </row>
    <row r="609" spans="1:35" ht="12" customHeight="1">
      <c r="A609" s="12" t="s">
        <v>447</v>
      </c>
      <c r="B609" s="12"/>
      <c r="C609" s="12" t="s">
        <v>37</v>
      </c>
      <c r="D609" s="12"/>
      <c r="E609" s="32">
        <v>47746</v>
      </c>
      <c r="G609" s="8">
        <v>960232</v>
      </c>
      <c r="I609" s="8">
        <v>1314557</v>
      </c>
      <c r="K609" s="8">
        <v>19690</v>
      </c>
      <c r="M609" s="8">
        <f t="shared" si="58"/>
        <v>2294479</v>
      </c>
      <c r="O609" s="8">
        <v>2498964</v>
      </c>
      <c r="Q609" s="8">
        <v>1689429</v>
      </c>
      <c r="S609" s="8">
        <v>6373351</v>
      </c>
      <c r="U609" s="8">
        <v>36916</v>
      </c>
      <c r="W609" s="8">
        <v>0</v>
      </c>
      <c r="Y609" s="8">
        <v>0</v>
      </c>
      <c r="AA609" s="8">
        <v>27270</v>
      </c>
      <c r="AB609" s="100"/>
      <c r="AC609" s="8">
        <v>0</v>
      </c>
      <c r="AE609" s="8">
        <v>0</v>
      </c>
      <c r="AG609" s="8">
        <f t="shared" si="59"/>
        <v>10625930</v>
      </c>
      <c r="AH609" s="8"/>
      <c r="AI609" s="8">
        <f t="shared" si="60"/>
        <v>12920409</v>
      </c>
    </row>
    <row r="610" spans="1:35" ht="12" customHeight="1">
      <c r="A610" s="12" t="s">
        <v>447</v>
      </c>
      <c r="B610" s="12"/>
      <c r="C610" s="12" t="s">
        <v>45</v>
      </c>
      <c r="D610" s="12"/>
      <c r="E610" s="32">
        <v>48397</v>
      </c>
      <c r="G610" s="8">
        <v>929799</v>
      </c>
      <c r="I610" s="8">
        <v>317383</v>
      </c>
      <c r="K610" s="8">
        <v>8322</v>
      </c>
      <c r="M610" s="8">
        <f t="shared" si="58"/>
        <v>1255504</v>
      </c>
      <c r="O610" s="8">
        <v>3054712</v>
      </c>
      <c r="Q610" s="8">
        <v>0</v>
      </c>
      <c r="S610" s="8">
        <v>15055561</v>
      </c>
      <c r="U610" s="8">
        <v>126131</v>
      </c>
      <c r="W610" s="8">
        <v>0</v>
      </c>
      <c r="Y610" s="8">
        <v>0</v>
      </c>
      <c r="AA610" s="8">
        <v>51266</v>
      </c>
      <c r="AB610" s="100"/>
      <c r="AC610" s="8">
        <v>0</v>
      </c>
      <c r="AE610" s="8">
        <v>0</v>
      </c>
      <c r="AG610" s="8">
        <f t="shared" si="59"/>
        <v>18287670</v>
      </c>
      <c r="AH610" s="8"/>
      <c r="AI610" s="8">
        <f t="shared" si="60"/>
        <v>19543174</v>
      </c>
    </row>
    <row r="611" spans="1:35" ht="12" customHeight="1">
      <c r="A611" s="12" t="s">
        <v>365</v>
      </c>
      <c r="B611" s="12"/>
      <c r="C611" s="12" t="s">
        <v>27</v>
      </c>
      <c r="D611" s="12"/>
      <c r="E611" s="32">
        <v>45047</v>
      </c>
      <c r="G611" s="8">
        <v>5635159</v>
      </c>
      <c r="I611" s="8">
        <v>7869476</v>
      </c>
      <c r="K611" s="8">
        <v>0</v>
      </c>
      <c r="M611" s="8">
        <f t="shared" si="58"/>
        <v>13504635</v>
      </c>
      <c r="O611" s="8">
        <v>96772289</v>
      </c>
      <c r="Q611" s="8">
        <v>0</v>
      </c>
      <c r="S611" s="8">
        <v>49181194</v>
      </c>
      <c r="U611" s="8">
        <v>459231</v>
      </c>
      <c r="W611" s="8">
        <v>974418</v>
      </c>
      <c r="Y611" s="8">
        <v>0</v>
      </c>
      <c r="AA611" s="8">
        <v>866779</v>
      </c>
      <c r="AB611" s="100"/>
      <c r="AC611" s="8">
        <v>0</v>
      </c>
      <c r="AE611" s="8">
        <v>0</v>
      </c>
      <c r="AG611" s="8">
        <f t="shared" si="59"/>
        <v>148253911</v>
      </c>
      <c r="AH611" s="8"/>
      <c r="AI611" s="8">
        <f t="shared" si="60"/>
        <v>161758546</v>
      </c>
    </row>
    <row r="612" spans="1:35" ht="12" customHeight="1">
      <c r="A612" s="12" t="s">
        <v>584</v>
      </c>
      <c r="B612" s="12"/>
      <c r="C612" s="12" t="s">
        <v>54</v>
      </c>
      <c r="D612" s="12"/>
      <c r="E612" s="32">
        <v>49106</v>
      </c>
      <c r="G612" s="8">
        <v>1156839</v>
      </c>
      <c r="I612" s="8">
        <v>1674001</v>
      </c>
      <c r="K612" s="8">
        <v>0</v>
      </c>
      <c r="M612" s="8">
        <f t="shared" si="58"/>
        <v>2830840</v>
      </c>
      <c r="O612" s="8">
        <v>5508971</v>
      </c>
      <c r="Q612" s="8">
        <v>0</v>
      </c>
      <c r="S612" s="8">
        <v>8314279</v>
      </c>
      <c r="U612" s="8">
        <v>51333</v>
      </c>
      <c r="W612" s="8">
        <v>505815</v>
      </c>
      <c r="Y612" s="8">
        <v>6221</v>
      </c>
      <c r="AA612" s="8">
        <v>281180</v>
      </c>
      <c r="AB612" s="100"/>
      <c r="AC612" s="8">
        <v>0</v>
      </c>
      <c r="AE612" s="8">
        <v>0</v>
      </c>
      <c r="AG612" s="8">
        <f t="shared" si="59"/>
        <v>14667799</v>
      </c>
      <c r="AH612" s="8"/>
      <c r="AI612" s="8">
        <f t="shared" si="60"/>
        <v>17498639</v>
      </c>
    </row>
    <row r="613" spans="1:35" ht="12" customHeight="1">
      <c r="A613" s="12" t="s">
        <v>325</v>
      </c>
      <c r="B613" s="12"/>
      <c r="C613" s="12" t="s">
        <v>20</v>
      </c>
      <c r="D613" s="12"/>
      <c r="E613" s="32">
        <v>45062</v>
      </c>
      <c r="G613" s="8">
        <v>2258110</v>
      </c>
      <c r="I613" s="8">
        <v>2270548</v>
      </c>
      <c r="K613" s="8">
        <v>47281</v>
      </c>
      <c r="M613" s="8">
        <f t="shared" si="58"/>
        <v>4575939</v>
      </c>
      <c r="O613" s="8">
        <v>42388437</v>
      </c>
      <c r="Q613" s="8">
        <v>0</v>
      </c>
      <c r="S613" s="8">
        <v>10290480</v>
      </c>
      <c r="U613" s="8">
        <v>782731</v>
      </c>
      <c r="W613" s="8">
        <v>0</v>
      </c>
      <c r="Y613" s="8">
        <v>0</v>
      </c>
      <c r="AA613" s="8">
        <v>199168</v>
      </c>
      <c r="AB613" s="100"/>
      <c r="AC613" s="8">
        <v>0</v>
      </c>
      <c r="AE613" s="8">
        <v>0</v>
      </c>
      <c r="AG613" s="8">
        <f t="shared" si="59"/>
        <v>53660816</v>
      </c>
      <c r="AH613" s="8"/>
      <c r="AI613" s="8">
        <f t="shared" si="60"/>
        <v>58236755</v>
      </c>
    </row>
    <row r="614" spans="1:35" ht="12" customHeight="1">
      <c r="A614" s="12" t="s">
        <v>634</v>
      </c>
      <c r="B614" s="12"/>
      <c r="C614" s="12" t="s">
        <v>59</v>
      </c>
      <c r="D614" s="12"/>
      <c r="E614" s="32">
        <v>49668</v>
      </c>
      <c r="G614" s="8">
        <v>2076554</v>
      </c>
      <c r="I614" s="8">
        <v>2006788</v>
      </c>
      <c r="K614" s="8">
        <v>20563</v>
      </c>
      <c r="M614" s="8">
        <f t="shared" si="58"/>
        <v>4103905</v>
      </c>
      <c r="O614" s="8">
        <v>3614740</v>
      </c>
      <c r="Q614" s="8">
        <v>0</v>
      </c>
      <c r="S614" s="8">
        <v>7085728</v>
      </c>
      <c r="U614" s="8">
        <v>172735</v>
      </c>
      <c r="W614" s="8">
        <v>0</v>
      </c>
      <c r="Y614" s="8">
        <v>2630</v>
      </c>
      <c r="AA614" s="8">
        <v>53338</v>
      </c>
      <c r="AB614" s="100"/>
      <c r="AC614" s="8">
        <v>0</v>
      </c>
      <c r="AE614" s="8">
        <v>0</v>
      </c>
      <c r="AG614" s="8">
        <f t="shared" si="59"/>
        <v>10929171</v>
      </c>
      <c r="AH614" s="8"/>
      <c r="AI614" s="8">
        <f t="shared" si="60"/>
        <v>15033076</v>
      </c>
    </row>
    <row r="615" spans="1:35" ht="12" customHeight="1">
      <c r="A615" s="12" t="s">
        <v>366</v>
      </c>
      <c r="B615" s="12"/>
      <c r="C615" s="12" t="s">
        <v>27</v>
      </c>
      <c r="D615" s="12"/>
      <c r="E615" s="32">
        <v>45070</v>
      </c>
      <c r="G615" s="8">
        <v>901273</v>
      </c>
      <c r="I615" s="8">
        <f>4364109+4581206</f>
        <v>8945315</v>
      </c>
      <c r="K615" s="8">
        <v>0</v>
      </c>
      <c r="M615" s="8">
        <f t="shared" si="58"/>
        <v>9846588</v>
      </c>
      <c r="O615" s="8">
        <v>14865667</v>
      </c>
      <c r="Q615" s="8">
        <v>0</v>
      </c>
      <c r="S615" s="8">
        <v>62605400</v>
      </c>
      <c r="U615" s="8">
        <v>926416</v>
      </c>
      <c r="W615" s="8">
        <v>0</v>
      </c>
      <c r="Y615" s="8">
        <v>0</v>
      </c>
      <c r="AA615" s="8">
        <v>213636</v>
      </c>
      <c r="AB615" s="100"/>
      <c r="AC615" s="8">
        <v>0</v>
      </c>
      <c r="AE615" s="8">
        <v>0</v>
      </c>
      <c r="AG615" s="8">
        <f t="shared" si="59"/>
        <v>78611119</v>
      </c>
      <c r="AH615" s="8"/>
      <c r="AI615" s="8">
        <f t="shared" si="60"/>
        <v>88457707</v>
      </c>
    </row>
    <row r="616" spans="1:35" ht="12" hidden="1" customHeight="1">
      <c r="A616" s="12" t="s">
        <v>844</v>
      </c>
      <c r="B616" s="12"/>
      <c r="C616" s="12" t="s">
        <v>41</v>
      </c>
      <c r="D616" s="12"/>
      <c r="E616" s="32">
        <v>45088</v>
      </c>
      <c r="M616" s="8">
        <f t="shared" si="58"/>
        <v>0</v>
      </c>
      <c r="AB616" s="100"/>
      <c r="AC616" s="8">
        <v>0</v>
      </c>
      <c r="AG616" s="8">
        <f t="shared" si="59"/>
        <v>0</v>
      </c>
      <c r="AH616" s="8"/>
      <c r="AI616" s="8">
        <f t="shared" si="60"/>
        <v>0</v>
      </c>
    </row>
    <row r="617" spans="1:35" ht="12" customHeight="1">
      <c r="A617" s="12" t="s">
        <v>448</v>
      </c>
      <c r="B617" s="12"/>
      <c r="C617" s="12" t="s">
        <v>37</v>
      </c>
      <c r="D617" s="12"/>
      <c r="E617" s="32">
        <v>45096</v>
      </c>
      <c r="G617" s="8">
        <v>975759</v>
      </c>
      <c r="I617" s="8">
        <v>2928234</v>
      </c>
      <c r="K617" s="8">
        <v>28141</v>
      </c>
      <c r="M617" s="8">
        <f t="shared" si="58"/>
        <v>3932134</v>
      </c>
      <c r="O617" s="8">
        <v>5273481</v>
      </c>
      <c r="Q617" s="8">
        <v>0</v>
      </c>
      <c r="S617" s="8">
        <v>10130191</v>
      </c>
      <c r="U617" s="8">
        <v>98217</v>
      </c>
      <c r="W617" s="8">
        <v>0</v>
      </c>
      <c r="Y617" s="8">
        <v>0</v>
      </c>
      <c r="AA617" s="8">
        <v>99210</v>
      </c>
      <c r="AB617" s="100"/>
      <c r="AC617" s="8">
        <v>0</v>
      </c>
      <c r="AE617" s="8">
        <v>0</v>
      </c>
      <c r="AG617" s="8">
        <f t="shared" si="59"/>
        <v>15601099</v>
      </c>
      <c r="AH617" s="8"/>
      <c r="AI617" s="8">
        <f t="shared" si="60"/>
        <v>19533233</v>
      </c>
    </row>
    <row r="618" spans="1:35" ht="12" customHeight="1">
      <c r="A618" s="12" t="s">
        <v>273</v>
      </c>
      <c r="B618" s="12"/>
      <c r="C618" s="12" t="s">
        <v>115</v>
      </c>
      <c r="D618" s="12"/>
      <c r="E618" s="32">
        <v>46367</v>
      </c>
      <c r="G618" s="8">
        <v>972787</v>
      </c>
      <c r="I618" s="8">
        <v>1126087</v>
      </c>
      <c r="K618" s="8">
        <v>0</v>
      </c>
      <c r="M618" s="8">
        <f t="shared" si="58"/>
        <v>2098874</v>
      </c>
      <c r="O618" s="8">
        <v>3296621</v>
      </c>
      <c r="Q618" s="8">
        <v>0</v>
      </c>
      <c r="S618" s="8">
        <v>4399635</v>
      </c>
      <c r="U618" s="8">
        <v>89554</v>
      </c>
      <c r="W618" s="8">
        <v>153563</v>
      </c>
      <c r="Y618" s="8">
        <v>51984</v>
      </c>
      <c r="AA618" s="8">
        <v>155235</v>
      </c>
      <c r="AB618" s="100"/>
      <c r="AC618" s="8">
        <v>0</v>
      </c>
      <c r="AE618" s="8">
        <v>0</v>
      </c>
      <c r="AG618" s="8">
        <f t="shared" si="59"/>
        <v>8146592</v>
      </c>
      <c r="AH618" s="8"/>
      <c r="AI618" s="8">
        <f t="shared" si="60"/>
        <v>10245466</v>
      </c>
    </row>
    <row r="619" spans="1:35" ht="12" customHeight="1">
      <c r="A619" s="12" t="s">
        <v>464</v>
      </c>
      <c r="B619" s="12"/>
      <c r="C619" s="12" t="s">
        <v>41</v>
      </c>
      <c r="D619" s="12"/>
      <c r="E619" s="32">
        <v>45104</v>
      </c>
      <c r="G619" s="8">
        <v>5685982</v>
      </c>
      <c r="I619" s="8">
        <v>7274578</v>
      </c>
      <c r="K619" s="8">
        <v>89252</v>
      </c>
      <c r="M619" s="8">
        <f t="shared" si="58"/>
        <v>13049812</v>
      </c>
      <c r="O619" s="8">
        <v>52672735</v>
      </c>
      <c r="Q619" s="8">
        <v>0</v>
      </c>
      <c r="S619" s="8">
        <v>25712467</v>
      </c>
      <c r="U619" s="8">
        <v>612750</v>
      </c>
      <c r="W619" s="8">
        <v>0</v>
      </c>
      <c r="Y619" s="8">
        <v>0</v>
      </c>
      <c r="AA619" s="8">
        <v>680272</v>
      </c>
      <c r="AB619" s="100"/>
      <c r="AC619" s="8">
        <v>0</v>
      </c>
      <c r="AE619" s="8">
        <v>0</v>
      </c>
      <c r="AG619" s="8">
        <f t="shared" si="59"/>
        <v>79678224</v>
      </c>
      <c r="AH619" s="8"/>
      <c r="AI619" s="8">
        <f t="shared" si="60"/>
        <v>92728036</v>
      </c>
    </row>
    <row r="620" spans="1:35" ht="12" customHeight="1">
      <c r="A620" s="12" t="s">
        <v>277</v>
      </c>
      <c r="B620" s="12"/>
      <c r="C620" s="12" t="s">
        <v>18</v>
      </c>
      <c r="D620" s="12"/>
      <c r="E620" s="32">
        <v>45112</v>
      </c>
      <c r="G620" s="8">
        <v>1386639</v>
      </c>
      <c r="I620" s="8">
        <v>4160381</v>
      </c>
      <c r="K620" s="8">
        <v>27072</v>
      </c>
      <c r="M620" s="8">
        <f t="shared" si="58"/>
        <v>5574092</v>
      </c>
      <c r="O620" s="8">
        <v>9554619</v>
      </c>
      <c r="Q620" s="8">
        <v>3956013</v>
      </c>
      <c r="S620" s="8">
        <v>10144074</v>
      </c>
      <c r="U620" s="8">
        <v>0</v>
      </c>
      <c r="W620" s="8">
        <v>0</v>
      </c>
      <c r="Y620" s="8">
        <v>0</v>
      </c>
      <c r="AA620" s="8">
        <v>822089</v>
      </c>
      <c r="AB620" s="100"/>
      <c r="AC620" s="8">
        <v>0</v>
      </c>
      <c r="AE620" s="8">
        <v>0</v>
      </c>
      <c r="AG620" s="8">
        <f t="shared" si="59"/>
        <v>24476795</v>
      </c>
      <c r="AH620" s="8"/>
      <c r="AI620" s="8">
        <f t="shared" si="60"/>
        <v>30050887</v>
      </c>
    </row>
    <row r="621" spans="1:35" ht="12" customHeight="1">
      <c r="A621" s="12" t="s">
        <v>597</v>
      </c>
      <c r="B621" s="12"/>
      <c r="C621" s="12" t="s">
        <v>56</v>
      </c>
      <c r="D621" s="12"/>
      <c r="E621" s="32">
        <v>45666</v>
      </c>
      <c r="G621" s="8">
        <v>375777</v>
      </c>
      <c r="I621" s="8">
        <v>1990822</v>
      </c>
      <c r="K621" s="8">
        <v>4494</v>
      </c>
      <c r="M621" s="8">
        <f t="shared" si="58"/>
        <v>2371093</v>
      </c>
      <c r="O621" s="8">
        <v>1666214</v>
      </c>
      <c r="Q621" s="8">
        <v>0</v>
      </c>
      <c r="S621" s="8">
        <v>5571720</v>
      </c>
      <c r="U621" s="8">
        <v>14626</v>
      </c>
      <c r="W621" s="8">
        <v>0</v>
      </c>
      <c r="Y621" s="8">
        <v>0</v>
      </c>
      <c r="AA621" s="8">
        <v>45105</v>
      </c>
      <c r="AB621" s="100"/>
      <c r="AC621" s="8">
        <v>0</v>
      </c>
      <c r="AE621" s="8">
        <v>0</v>
      </c>
      <c r="AG621" s="8">
        <f t="shared" si="59"/>
        <v>7297665</v>
      </c>
      <c r="AH621" s="8"/>
      <c r="AI621" s="8">
        <f t="shared" si="60"/>
        <v>9668758</v>
      </c>
    </row>
    <row r="622" spans="1:35" ht="12" customHeight="1">
      <c r="A622" s="12" t="s">
        <v>411</v>
      </c>
      <c r="B622" s="12"/>
      <c r="C622" s="12" t="s">
        <v>32</v>
      </c>
      <c r="D622" s="12"/>
      <c r="E622" s="32">
        <v>44081</v>
      </c>
      <c r="G622" s="8">
        <v>1797405</v>
      </c>
      <c r="I622" s="8">
        <v>5595398</v>
      </c>
      <c r="K622" s="8">
        <v>50072</v>
      </c>
      <c r="M622" s="8">
        <f t="shared" si="58"/>
        <v>7442875</v>
      </c>
      <c r="O622" s="8">
        <v>19895822</v>
      </c>
      <c r="Q622" s="8">
        <v>0</v>
      </c>
      <c r="S622" s="8">
        <v>16591954</v>
      </c>
      <c r="U622" s="8">
        <v>0</v>
      </c>
      <c r="W622" s="8">
        <v>0</v>
      </c>
      <c r="Y622" s="8">
        <v>0</v>
      </c>
      <c r="AA622" s="8">
        <v>717773</v>
      </c>
      <c r="AB622" s="100"/>
      <c r="AC622" s="8">
        <v>0</v>
      </c>
      <c r="AE622" s="8">
        <v>0</v>
      </c>
      <c r="AG622" s="8">
        <f t="shared" si="59"/>
        <v>37205549</v>
      </c>
      <c r="AH622" s="8"/>
      <c r="AI622" s="8">
        <f t="shared" si="60"/>
        <v>44648424</v>
      </c>
    </row>
    <row r="623" spans="1:35" ht="12" customHeight="1">
      <c r="A623" s="12" t="s">
        <v>720</v>
      </c>
      <c r="B623" s="12"/>
      <c r="C623" s="12" t="s">
        <v>70</v>
      </c>
      <c r="D623" s="12"/>
      <c r="E623" s="32">
        <v>50518</v>
      </c>
      <c r="G623" s="8">
        <v>494261</v>
      </c>
      <c r="I623" s="8">
        <v>648791</v>
      </c>
      <c r="K623" s="8">
        <v>5970</v>
      </c>
      <c r="M623" s="8">
        <f t="shared" si="58"/>
        <v>1149022</v>
      </c>
      <c r="O623" s="8">
        <v>4831107</v>
      </c>
      <c r="Q623" s="8">
        <v>0</v>
      </c>
      <c r="S623" s="8">
        <v>2503343</v>
      </c>
      <c r="U623" s="8">
        <v>155108</v>
      </c>
      <c r="W623" s="8">
        <v>0</v>
      </c>
      <c r="Y623" s="8">
        <v>76678</v>
      </c>
      <c r="AA623" s="8">
        <v>14301</v>
      </c>
      <c r="AB623" s="100"/>
      <c r="AC623" s="8">
        <v>0</v>
      </c>
      <c r="AE623" s="8">
        <v>0</v>
      </c>
      <c r="AG623" s="8">
        <f t="shared" si="59"/>
        <v>7580537</v>
      </c>
      <c r="AH623" s="8"/>
      <c r="AI623" s="8">
        <f t="shared" si="60"/>
        <v>8729559</v>
      </c>
    </row>
    <row r="624" spans="1:35" ht="12" customHeight="1">
      <c r="A624" s="12" t="s">
        <v>625</v>
      </c>
      <c r="B624" s="12"/>
      <c r="C624" s="12" t="s">
        <v>79</v>
      </c>
      <c r="D624" s="12"/>
      <c r="E624" s="32">
        <v>49577</v>
      </c>
      <c r="G624" s="8">
        <v>795082</v>
      </c>
      <c r="I624" s="8">
        <v>944990</v>
      </c>
      <c r="K624" s="8">
        <v>13165</v>
      </c>
      <c r="M624" s="8">
        <f t="shared" si="58"/>
        <v>1753237</v>
      </c>
      <c r="O624" s="8">
        <v>4057675</v>
      </c>
      <c r="Q624" s="8">
        <v>0</v>
      </c>
      <c r="S624" s="8">
        <v>4502244</v>
      </c>
      <c r="U624" s="8">
        <v>9949</v>
      </c>
      <c r="W624" s="8">
        <v>194000</v>
      </c>
      <c r="Y624" s="8">
        <v>0</v>
      </c>
      <c r="AA624" s="8">
        <v>24535</v>
      </c>
      <c r="AB624" s="100"/>
      <c r="AC624" s="8">
        <v>0</v>
      </c>
      <c r="AE624" s="8">
        <v>0</v>
      </c>
      <c r="AG624" s="8">
        <f t="shared" si="59"/>
        <v>8788403</v>
      </c>
      <c r="AH624" s="8"/>
      <c r="AI624" s="8">
        <f t="shared" si="60"/>
        <v>10541640</v>
      </c>
    </row>
    <row r="625" spans="1:37" ht="12" customHeight="1">
      <c r="A625" s="12" t="s">
        <v>674</v>
      </c>
      <c r="B625" s="12"/>
      <c r="C625" s="12" t="s">
        <v>63</v>
      </c>
      <c r="D625" s="12"/>
      <c r="E625" s="32">
        <v>49973</v>
      </c>
      <c r="G625" s="8">
        <v>1808088</v>
      </c>
      <c r="I625" s="8">
        <v>1462075</v>
      </c>
      <c r="K625" s="8">
        <v>17625</v>
      </c>
      <c r="M625" s="8">
        <f t="shared" si="58"/>
        <v>3287788</v>
      </c>
      <c r="O625" s="8">
        <v>16348620</v>
      </c>
      <c r="Q625" s="8">
        <v>0</v>
      </c>
      <c r="S625" s="8">
        <v>5375208</v>
      </c>
      <c r="U625" s="8">
        <v>220970</v>
      </c>
      <c r="W625" s="8">
        <v>391840</v>
      </c>
      <c r="Y625" s="8">
        <v>0</v>
      </c>
      <c r="AA625" s="8">
        <v>68937</v>
      </c>
      <c r="AB625" s="100"/>
      <c r="AC625" s="8">
        <v>0</v>
      </c>
      <c r="AE625" s="8">
        <v>0</v>
      </c>
      <c r="AG625" s="8">
        <f t="shared" si="59"/>
        <v>22405575</v>
      </c>
      <c r="AH625" s="8"/>
      <c r="AI625" s="8">
        <f t="shared" si="60"/>
        <v>25693363</v>
      </c>
    </row>
    <row r="626" spans="1:37" ht="12" customHeight="1">
      <c r="A626" s="12" t="s">
        <v>845</v>
      </c>
      <c r="B626" s="12"/>
      <c r="C626" s="12" t="s">
        <v>71</v>
      </c>
      <c r="D626" s="12"/>
      <c r="E626" s="32">
        <v>45138</v>
      </c>
      <c r="G626" s="8">
        <v>3714163</v>
      </c>
      <c r="I626" s="8">
        <v>5220355</v>
      </c>
      <c r="K626" s="8">
        <v>16173</v>
      </c>
      <c r="M626" s="8">
        <f t="shared" si="58"/>
        <v>8950691</v>
      </c>
      <c r="O626" s="8">
        <v>24423792</v>
      </c>
      <c r="Q626" s="8">
        <v>0</v>
      </c>
      <c r="S626" s="8">
        <v>15045345</v>
      </c>
      <c r="U626" s="8">
        <v>0</v>
      </c>
      <c r="W626" s="8">
        <v>0</v>
      </c>
      <c r="Y626" s="8">
        <v>0</v>
      </c>
      <c r="AA626" s="8">
        <v>536272</v>
      </c>
      <c r="AB626" s="100"/>
      <c r="AC626" s="8">
        <v>0</v>
      </c>
      <c r="AE626" s="8">
        <v>0</v>
      </c>
      <c r="AG626" s="8">
        <f t="shared" si="59"/>
        <v>40005409</v>
      </c>
      <c r="AH626" s="8"/>
      <c r="AI626" s="8">
        <f t="shared" si="60"/>
        <v>48956100</v>
      </c>
    </row>
    <row r="627" spans="1:37" ht="12" customHeight="1">
      <c r="A627" s="12" t="s">
        <v>367</v>
      </c>
      <c r="B627" s="12"/>
      <c r="C627" s="12" t="s">
        <v>27</v>
      </c>
      <c r="D627" s="12"/>
      <c r="E627" s="32">
        <v>46524</v>
      </c>
      <c r="G627" s="8">
        <v>5505929</v>
      </c>
      <c r="I627" s="8">
        <v>4959306</v>
      </c>
      <c r="K627" s="8">
        <v>0</v>
      </c>
      <c r="M627" s="8">
        <f t="shared" si="58"/>
        <v>10465235</v>
      </c>
      <c r="O627" s="8">
        <v>81746921</v>
      </c>
      <c r="Q627" s="8">
        <v>0</v>
      </c>
      <c r="S627" s="8">
        <v>35560655</v>
      </c>
      <c r="U627" s="8">
        <v>1427545</v>
      </c>
      <c r="W627" s="8">
        <v>0</v>
      </c>
      <c r="Y627" s="8">
        <v>0</v>
      </c>
      <c r="AA627" s="8">
        <v>412989</v>
      </c>
      <c r="AB627" s="100"/>
      <c r="AC627" s="8">
        <v>0</v>
      </c>
      <c r="AE627" s="8">
        <v>0</v>
      </c>
      <c r="AG627" s="8">
        <f t="shared" si="59"/>
        <v>119148110</v>
      </c>
      <c r="AH627" s="8"/>
      <c r="AI627" s="8">
        <f t="shared" si="60"/>
        <v>129613345</v>
      </c>
    </row>
    <row r="628" spans="1:37" ht="12" customHeight="1">
      <c r="A628" s="12" t="s">
        <v>295</v>
      </c>
      <c r="B628" s="12"/>
      <c r="C628" s="12" t="s">
        <v>113</v>
      </c>
      <c r="D628" s="12"/>
      <c r="E628" s="32">
        <v>45146</v>
      </c>
      <c r="G628" s="8">
        <v>1135921</v>
      </c>
      <c r="I628" s="8">
        <v>1066323</v>
      </c>
      <c r="K628" s="8">
        <v>21706</v>
      </c>
      <c r="M628" s="8">
        <f t="shared" si="58"/>
        <v>2223950</v>
      </c>
      <c r="O628" s="8">
        <v>3823881</v>
      </c>
      <c r="Q628" s="8">
        <v>0</v>
      </c>
      <c r="S628" s="8">
        <v>5468549</v>
      </c>
      <c r="U628" s="8">
        <v>77048</v>
      </c>
      <c r="W628" s="8">
        <v>0</v>
      </c>
      <c r="Y628" s="8">
        <v>0</v>
      </c>
      <c r="AA628" s="8">
        <v>11603</v>
      </c>
      <c r="AB628" s="100"/>
      <c r="AC628" s="8">
        <v>0</v>
      </c>
      <c r="AE628" s="8">
        <v>0</v>
      </c>
      <c r="AG628" s="8">
        <f t="shared" si="59"/>
        <v>9381081</v>
      </c>
      <c r="AH628" s="8"/>
      <c r="AI628" s="8">
        <f t="shared" si="60"/>
        <v>11605031</v>
      </c>
    </row>
    <row r="629" spans="1:37" ht="12" customHeight="1">
      <c r="A629" s="12" t="s">
        <v>412</v>
      </c>
      <c r="B629" s="12"/>
      <c r="C629" s="12" t="s">
        <v>32</v>
      </c>
      <c r="D629" s="12"/>
      <c r="E629" s="32">
        <v>45153</v>
      </c>
      <c r="G629" s="8">
        <v>1244737</v>
      </c>
      <c r="I629" s="8">
        <v>1179514</v>
      </c>
      <c r="K629" s="8">
        <v>4554</v>
      </c>
      <c r="M629" s="8">
        <f t="shared" si="58"/>
        <v>2428805</v>
      </c>
      <c r="O629" s="8">
        <v>9626606</v>
      </c>
      <c r="Q629" s="8">
        <v>6615880</v>
      </c>
      <c r="S629" s="8">
        <v>6808025</v>
      </c>
      <c r="U629" s="8">
        <v>0</v>
      </c>
      <c r="W629" s="8">
        <v>0</v>
      </c>
      <c r="Y629" s="8">
        <v>0</v>
      </c>
      <c r="AA629" s="8">
        <v>1060957</v>
      </c>
      <c r="AB629" s="100"/>
      <c r="AC629" s="8">
        <v>0</v>
      </c>
      <c r="AE629" s="8">
        <v>0</v>
      </c>
      <c r="AG629" s="8">
        <f t="shared" si="59"/>
        <v>24111468</v>
      </c>
      <c r="AH629" s="8"/>
      <c r="AI629" s="8">
        <f t="shared" si="60"/>
        <v>26540273</v>
      </c>
    </row>
    <row r="630" spans="1:37" ht="12" customHeight="1">
      <c r="A630" s="12" t="s">
        <v>388</v>
      </c>
      <c r="B630" s="12"/>
      <c r="C630" s="12" t="s">
        <v>116</v>
      </c>
      <c r="D630" s="12"/>
      <c r="E630" s="32">
        <v>45674</v>
      </c>
      <c r="G630" s="8">
        <v>1135435</v>
      </c>
      <c r="I630" s="8">
        <v>493619</v>
      </c>
      <c r="K630" s="8">
        <v>0</v>
      </c>
      <c r="M630" s="8">
        <f t="shared" si="58"/>
        <v>1629054</v>
      </c>
      <c r="O630" s="8">
        <v>3560599</v>
      </c>
      <c r="Q630" s="8">
        <v>1185912</v>
      </c>
      <c r="S630" s="8">
        <v>1869308</v>
      </c>
      <c r="U630" s="8">
        <v>81884</v>
      </c>
      <c r="W630" s="8">
        <v>0</v>
      </c>
      <c r="Y630" s="8">
        <v>17307</v>
      </c>
      <c r="AA630" s="8">
        <v>37339</v>
      </c>
      <c r="AB630" s="100"/>
      <c r="AC630" s="8">
        <v>0</v>
      </c>
      <c r="AE630" s="8">
        <v>0</v>
      </c>
      <c r="AG630" s="8">
        <f t="shared" si="59"/>
        <v>6752349</v>
      </c>
      <c r="AH630" s="8"/>
      <c r="AI630" s="8">
        <f t="shared" si="60"/>
        <v>8381403</v>
      </c>
    </row>
    <row r="631" spans="1:37" ht="12" customHeight="1">
      <c r="A631" s="12" t="s">
        <v>519</v>
      </c>
      <c r="B631" s="12"/>
      <c r="C631" s="12" t="s">
        <v>45</v>
      </c>
      <c r="D631" s="12"/>
      <c r="E631" s="32">
        <v>45161</v>
      </c>
      <c r="G631" s="8">
        <v>2491698</v>
      </c>
      <c r="I631" s="8">
        <v>32354240</v>
      </c>
      <c r="K631" s="8">
        <v>2282885</v>
      </c>
      <c r="M631" s="8">
        <f t="shared" si="58"/>
        <v>37128823</v>
      </c>
      <c r="O631" s="8">
        <v>21039557</v>
      </c>
      <c r="Q631" s="8">
        <v>0</v>
      </c>
      <c r="S631" s="8">
        <v>74739067</v>
      </c>
      <c r="U631" s="8">
        <v>757927</v>
      </c>
      <c r="W631" s="8">
        <v>0</v>
      </c>
      <c r="Y631" s="8">
        <v>0</v>
      </c>
      <c r="AA631" s="8">
        <v>263758</v>
      </c>
      <c r="AB631" s="100"/>
      <c r="AC631" s="8">
        <v>0</v>
      </c>
      <c r="AE631" s="8">
        <v>0</v>
      </c>
      <c r="AG631" s="8">
        <f t="shared" si="59"/>
        <v>96800309</v>
      </c>
      <c r="AH631" s="8"/>
      <c r="AI631" s="8">
        <f t="shared" si="60"/>
        <v>133929132</v>
      </c>
    </row>
    <row r="632" spans="1:37" ht="12" customHeight="1">
      <c r="A632" s="12" t="s">
        <v>621</v>
      </c>
      <c r="B632" s="12"/>
      <c r="C632" s="12" t="s">
        <v>58</v>
      </c>
      <c r="D632" s="12"/>
      <c r="E632" s="32">
        <v>49544</v>
      </c>
      <c r="G632" s="8">
        <v>1042091</v>
      </c>
      <c r="I632" s="8">
        <v>1603883</v>
      </c>
      <c r="K632" s="8">
        <v>0</v>
      </c>
      <c r="M632" s="8">
        <f t="shared" si="58"/>
        <v>2645974</v>
      </c>
      <c r="O632" s="8">
        <v>4245582</v>
      </c>
      <c r="Q632" s="8">
        <v>8621</v>
      </c>
      <c r="S632" s="8">
        <v>6827021</v>
      </c>
      <c r="U632" s="8">
        <v>188235</v>
      </c>
      <c r="W632" s="8">
        <v>0</v>
      </c>
      <c r="Y632" s="8">
        <v>0</v>
      </c>
      <c r="AA632" s="8">
        <v>121246</v>
      </c>
      <c r="AB632" s="100"/>
      <c r="AC632" s="8">
        <v>0</v>
      </c>
      <c r="AE632" s="8">
        <v>0</v>
      </c>
      <c r="AG632" s="8">
        <f t="shared" si="59"/>
        <v>11390705</v>
      </c>
      <c r="AH632" s="8"/>
      <c r="AI632" s="8">
        <f t="shared" si="60"/>
        <v>14036679</v>
      </c>
      <c r="AK632" s="8"/>
    </row>
    <row r="633" spans="1:37" ht="12" customHeight="1">
      <c r="A633" s="12" t="s">
        <v>568</v>
      </c>
      <c r="B633" s="12"/>
      <c r="C633" s="12" t="s">
        <v>51</v>
      </c>
      <c r="D633" s="12"/>
      <c r="E633" s="32">
        <v>45179</v>
      </c>
      <c r="G633" s="8">
        <v>2268940</v>
      </c>
      <c r="I633" s="8">
        <v>9502206</v>
      </c>
      <c r="K633" s="8">
        <v>891082</v>
      </c>
      <c r="M633" s="8">
        <f t="shared" si="58"/>
        <v>12662228</v>
      </c>
      <c r="O633" s="8">
        <v>11473822</v>
      </c>
      <c r="Q633" s="8">
        <v>0</v>
      </c>
      <c r="S633" s="8">
        <v>22728123</v>
      </c>
      <c r="U633" s="8">
        <v>229443</v>
      </c>
      <c r="W633" s="8">
        <v>32670</v>
      </c>
      <c r="Y633" s="8">
        <v>0</v>
      </c>
      <c r="AA633" s="8">
        <f>112848+5169</f>
        <v>118017</v>
      </c>
      <c r="AB633" s="100"/>
      <c r="AC633" s="8">
        <v>0</v>
      </c>
      <c r="AE633" s="8">
        <v>0</v>
      </c>
      <c r="AG633" s="8">
        <f t="shared" si="59"/>
        <v>34582075</v>
      </c>
      <c r="AH633" s="8"/>
      <c r="AI633" s="8">
        <f t="shared" si="60"/>
        <v>47244303</v>
      </c>
    </row>
    <row r="634" spans="1:37" ht="12" customHeight="1">
      <c r="A634" s="12"/>
      <c r="B634" s="12"/>
      <c r="C634" s="12"/>
      <c r="D634" s="12"/>
    </row>
    <row r="635" spans="1:37" ht="12" customHeight="1"/>
    <row r="636" spans="1:37" ht="12" customHeight="1"/>
    <row r="637" spans="1:37" ht="12" customHeight="1"/>
    <row r="638" spans="1:37" ht="12" customHeight="1"/>
    <row r="639" spans="1:37" ht="12" customHeight="1"/>
    <row r="640" spans="1:37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</sheetData>
  <phoneticPr fontId="3" type="noConversion"/>
  <printOptions horizontalCentered="1"/>
  <pageMargins left="0.75" right="0.75" top="0.5" bottom="0.75" header="0.25" footer="0.25"/>
  <pageSetup scale="80" firstPageNumber="24" fitToWidth="2" fitToHeight="18" pageOrder="overThenDown" orientation="portrait" useFirstPageNumber="1" r:id="rId1"/>
  <headerFooter alignWithMargins="0">
    <oddFooter>&amp;C&amp;"Times New Roman,Regular"&amp;12&amp;P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BG1026"/>
  <sheetViews>
    <sheetView zoomScaleNormal="100" zoomScaleSheetLayoutView="130" workbookViewId="0">
      <pane xSplit="5" ySplit="9" topLeftCell="F10" activePane="bottomRight" state="frozen"/>
      <selection sqref="A1:IV65536"/>
      <selection pane="topRight" sqref="A1:IV65536"/>
      <selection pane="bottomLeft" sqref="A1:IV65536"/>
      <selection pane="bottomRight" activeCell="K23" sqref="K23"/>
    </sheetView>
  </sheetViews>
  <sheetFormatPr defaultColWidth="9.140625" defaultRowHeight="12"/>
  <cols>
    <col min="1" max="1" width="32" style="10" customWidth="1"/>
    <col min="2" max="2" width="1.7109375" style="10" customWidth="1"/>
    <col min="3" max="3" width="11.7109375" style="10" customWidth="1"/>
    <col min="4" max="4" width="1.7109375" style="10" hidden="1" customWidth="1"/>
    <col min="5" max="5" width="11.7109375" style="30" hidden="1" customWidth="1"/>
    <col min="6" max="6" width="1.7109375" style="10" customWidth="1"/>
    <col min="7" max="7" width="11.7109375" style="10" customWidth="1"/>
    <col min="8" max="8" width="1.7109375" style="10" customWidth="1"/>
    <col min="9" max="9" width="11.7109375" style="10" customWidth="1"/>
    <col min="10" max="10" width="1.7109375" style="10" customWidth="1"/>
    <col min="11" max="11" width="11.7109375" style="10" customWidth="1"/>
    <col min="12" max="12" width="1.7109375" style="10" customWidth="1"/>
    <col min="13" max="13" width="11.7109375" style="10" customWidth="1"/>
    <col min="14" max="14" width="1.7109375" style="10" customWidth="1"/>
    <col min="15" max="15" width="11.7109375" style="10" customWidth="1"/>
    <col min="16" max="16" width="1.7109375" style="10" customWidth="1"/>
    <col min="17" max="17" width="11.7109375" style="10" customWidth="1"/>
    <col min="18" max="18" width="1.42578125" style="10" customWidth="1"/>
    <col min="19" max="19" width="11.7109375" style="10" customWidth="1"/>
    <col min="20" max="20" width="1.7109375" style="10" customWidth="1"/>
    <col min="21" max="21" width="11.7109375" style="10" customWidth="1"/>
    <col min="22" max="22" width="1.7109375" style="10" customWidth="1"/>
    <col min="23" max="23" width="11.7109375" style="10" customWidth="1"/>
    <col min="24" max="24" width="1.7109375" style="10" customWidth="1"/>
    <col min="25" max="25" width="11.7109375" style="10" customWidth="1"/>
    <col min="26" max="26" width="1.7109375" style="10" customWidth="1"/>
    <col min="27" max="27" width="11.7109375" style="10" customWidth="1"/>
    <col min="28" max="28" width="1.7109375" style="10" customWidth="1"/>
    <col min="29" max="29" width="11.7109375" style="10" customWidth="1"/>
    <col min="30" max="30" width="1.7109375" style="10" customWidth="1"/>
    <col min="31" max="31" width="11.7109375" style="10" customWidth="1"/>
    <col min="32" max="32" width="1.7109375" style="140" hidden="1" customWidth="1"/>
    <col min="33" max="33" width="32" style="10" customWidth="1"/>
    <col min="34" max="34" width="1.7109375" style="10" customWidth="1"/>
    <col min="35" max="35" width="11.7109375" style="10" customWidth="1"/>
    <col min="36" max="36" width="1.7109375" style="10" customWidth="1"/>
    <col min="37" max="37" width="11.7109375" style="10" customWidth="1"/>
    <col min="38" max="38" width="1.7109375" style="10" customWidth="1"/>
    <col min="39" max="39" width="11.85546875" style="10" customWidth="1"/>
    <col min="40" max="40" width="1.7109375" style="10" customWidth="1"/>
    <col min="41" max="41" width="11.7109375" style="10" customWidth="1"/>
    <col min="42" max="42" width="1.7109375" style="10" customWidth="1"/>
    <col min="43" max="43" width="11.7109375" style="10" customWidth="1"/>
    <col min="44" max="44" width="1.7109375" style="10" hidden="1" customWidth="1"/>
    <col min="45" max="45" width="11.7109375" style="10" hidden="1" customWidth="1"/>
    <col min="46" max="46" width="1.42578125" style="10" customWidth="1"/>
    <col min="47" max="47" width="11.7109375" style="10" customWidth="1"/>
    <col min="48" max="48" width="1.7109375" style="10" customWidth="1"/>
    <col min="49" max="49" width="12.140625" style="8" customWidth="1"/>
    <col min="50" max="50" width="1.7109375" style="8" customWidth="1"/>
    <col min="51" max="51" width="11.7109375" style="8" customWidth="1"/>
    <col min="52" max="52" width="1.7109375" style="8" customWidth="1"/>
    <col min="53" max="53" width="11.7109375" style="8" customWidth="1"/>
    <col min="54" max="54" width="1.7109375" style="8" customWidth="1"/>
    <col min="55" max="55" width="11.7109375" style="8" customWidth="1"/>
    <col min="56" max="56" width="1.7109375" style="8" customWidth="1"/>
    <col min="57" max="57" width="11.7109375" style="8" customWidth="1"/>
    <col min="58" max="58" width="1.7109375" style="10" customWidth="1"/>
    <col min="59" max="59" width="11.7109375" style="10" customWidth="1"/>
    <col min="60" max="60" width="9.140625" style="10"/>
    <col min="61" max="61" width="11.7109375" style="10" customWidth="1"/>
    <col min="62" max="62" width="9.140625" style="10"/>
    <col min="63" max="63" width="11.7109375" style="10" customWidth="1"/>
    <col min="64" max="64" width="9.140625" style="10"/>
    <col min="65" max="65" width="11.7109375" style="10" customWidth="1"/>
    <col min="66" max="66" width="9.140625" style="10"/>
    <col min="67" max="67" width="11.7109375" style="10" customWidth="1"/>
    <col min="68" max="16384" width="9.140625" style="10"/>
  </cols>
  <sheetData>
    <row r="1" spans="1:59" s="79" customFormat="1" ht="11.25">
      <c r="A1" s="143" t="s">
        <v>127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136"/>
      <c r="AG1" s="143" t="s">
        <v>127</v>
      </c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</row>
    <row r="2" spans="1:59" s="79" customFormat="1" ht="11.25">
      <c r="A2" s="80" t="s">
        <v>895</v>
      </c>
      <c r="B2" s="80"/>
      <c r="C2" s="80"/>
      <c r="D2" s="80"/>
      <c r="E2" s="81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136"/>
      <c r="AG2" s="80" t="s">
        <v>895</v>
      </c>
      <c r="AH2" s="80"/>
      <c r="AI2" s="80"/>
      <c r="AJ2" s="80"/>
      <c r="AK2" s="78"/>
      <c r="AL2" s="78"/>
      <c r="AM2" s="78"/>
      <c r="AN2" s="78"/>
      <c r="AO2" s="78"/>
      <c r="AP2" s="78"/>
      <c r="AQ2" s="78"/>
      <c r="AR2" s="78"/>
      <c r="AS2" s="82" t="s">
        <v>754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</row>
    <row r="3" spans="1:59" s="79" customFormat="1" ht="11.25">
      <c r="A3" s="80" t="s">
        <v>805</v>
      </c>
      <c r="E3" s="83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136"/>
      <c r="AG3" s="80" t="s">
        <v>805</v>
      </c>
      <c r="AK3" s="78"/>
      <c r="AL3" s="78"/>
      <c r="AM3" s="78"/>
      <c r="AN3" s="78"/>
      <c r="AO3" s="78"/>
      <c r="AP3" s="78"/>
      <c r="AQ3" s="78"/>
      <c r="AR3" s="78"/>
      <c r="AS3" s="82" t="s">
        <v>755</v>
      </c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</row>
    <row r="4" spans="1:59" s="79" customFormat="1" ht="11.25">
      <c r="A4" s="80" t="s">
        <v>175</v>
      </c>
      <c r="B4" s="80"/>
      <c r="C4" s="80"/>
      <c r="D4" s="80"/>
      <c r="E4" s="81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136"/>
      <c r="AG4" s="80" t="s">
        <v>175</v>
      </c>
      <c r="AH4" s="80"/>
      <c r="AI4" s="80"/>
      <c r="AJ4" s="80"/>
      <c r="AK4" s="78"/>
      <c r="AL4" s="78"/>
      <c r="AM4" s="78"/>
      <c r="AN4" s="78"/>
      <c r="AO4" s="78"/>
      <c r="AP4" s="78"/>
      <c r="AQ4" s="78"/>
      <c r="AR4" s="78"/>
      <c r="AS4" s="82" t="s">
        <v>756</v>
      </c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G4" s="80" t="s">
        <v>805</v>
      </c>
    </row>
    <row r="5" spans="1:59" s="78" customFormat="1" ht="11.25">
      <c r="A5" s="84"/>
      <c r="E5" s="83"/>
      <c r="AF5" s="136"/>
      <c r="AG5" s="84"/>
    </row>
    <row r="6" spans="1:59" s="79" customFormat="1" ht="11.25">
      <c r="A6" s="132" t="s">
        <v>847</v>
      </c>
      <c r="B6" s="80"/>
      <c r="C6" s="80"/>
      <c r="D6" s="80"/>
      <c r="E6" s="81"/>
      <c r="F6" s="78"/>
      <c r="G6" s="85" t="s">
        <v>149</v>
      </c>
      <c r="H6" s="85"/>
      <c r="I6" s="85"/>
      <c r="J6" s="85"/>
      <c r="K6" s="85"/>
      <c r="L6" s="85"/>
      <c r="M6" s="85"/>
      <c r="N6" s="78"/>
      <c r="O6" s="85" t="s">
        <v>150</v>
      </c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136"/>
      <c r="AG6" s="132" t="s">
        <v>847</v>
      </c>
      <c r="AH6" s="80"/>
      <c r="AI6" s="80"/>
      <c r="AJ6" s="80"/>
      <c r="AK6" s="85" t="s">
        <v>162</v>
      </c>
      <c r="AL6" s="85"/>
      <c r="AM6" s="85"/>
      <c r="AN6" s="78"/>
      <c r="AO6" s="78"/>
      <c r="AP6" s="78"/>
      <c r="AQ6" s="78"/>
      <c r="AR6" s="78"/>
      <c r="AS6" s="86" t="s">
        <v>745</v>
      </c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86" t="s">
        <v>102</v>
      </c>
    </row>
    <row r="7" spans="1:59" s="79" customFormat="1" ht="12" customHeight="1">
      <c r="A7" s="133" t="s">
        <v>848</v>
      </c>
      <c r="E7" s="83"/>
      <c r="F7" s="78"/>
      <c r="M7" s="87"/>
      <c r="Q7" s="78"/>
      <c r="R7" s="78"/>
      <c r="S7" s="78"/>
      <c r="T7" s="78"/>
      <c r="U7" s="78"/>
      <c r="V7" s="78"/>
      <c r="W7" s="78"/>
      <c r="X7" s="78"/>
      <c r="Y7" s="78"/>
      <c r="Z7" s="78"/>
      <c r="AA7" s="86" t="s">
        <v>157</v>
      </c>
      <c r="AB7" s="78"/>
      <c r="AC7" s="78"/>
      <c r="AD7" s="78"/>
      <c r="AE7" s="78"/>
      <c r="AF7" s="136"/>
      <c r="AG7" s="133" t="s">
        <v>848</v>
      </c>
      <c r="AK7" s="78"/>
      <c r="AL7" s="78"/>
      <c r="AM7" s="78"/>
      <c r="AN7" s="78"/>
      <c r="AO7" s="78"/>
      <c r="AP7" s="78"/>
      <c r="AQ7" s="78"/>
      <c r="AR7" s="78"/>
      <c r="AS7" s="86" t="s">
        <v>746</v>
      </c>
      <c r="AT7" s="78"/>
      <c r="AU7" s="78"/>
      <c r="AV7" s="78"/>
      <c r="AW7" s="78"/>
      <c r="AX7" s="78"/>
      <c r="AY7" s="86"/>
      <c r="AZ7" s="86"/>
      <c r="BA7" s="86" t="s">
        <v>102</v>
      </c>
      <c r="BB7" s="86"/>
      <c r="BC7" s="86" t="s">
        <v>102</v>
      </c>
      <c r="BD7" s="78"/>
      <c r="BE7" s="86" t="s">
        <v>173</v>
      </c>
    </row>
    <row r="8" spans="1:59">
      <c r="A8" s="132" t="s">
        <v>1078</v>
      </c>
      <c r="B8" s="4"/>
      <c r="C8" s="4"/>
      <c r="D8" s="4"/>
      <c r="E8" s="57"/>
      <c r="F8" s="8"/>
      <c r="G8" s="5"/>
      <c r="H8" s="5"/>
      <c r="I8" s="5"/>
      <c r="J8" s="5"/>
      <c r="K8" s="5"/>
      <c r="L8" s="5"/>
      <c r="M8" s="5"/>
      <c r="N8" s="5"/>
      <c r="O8" s="5"/>
      <c r="P8" s="5"/>
      <c r="Q8" s="5" t="s">
        <v>151</v>
      </c>
      <c r="R8" s="5"/>
      <c r="S8" s="5" t="s">
        <v>153</v>
      </c>
      <c r="T8" s="5"/>
      <c r="U8" s="5"/>
      <c r="V8" s="5"/>
      <c r="W8" s="5"/>
      <c r="X8" s="5"/>
      <c r="Y8" s="5"/>
      <c r="Z8" s="5"/>
      <c r="AA8" s="5" t="s">
        <v>158</v>
      </c>
      <c r="AB8" s="5"/>
      <c r="AC8" s="5" t="s">
        <v>160</v>
      </c>
      <c r="AD8" s="5"/>
      <c r="AE8" s="5"/>
      <c r="AF8" s="137"/>
      <c r="AG8" s="132" t="s">
        <v>1078</v>
      </c>
      <c r="AH8" s="4"/>
      <c r="AI8" s="4"/>
      <c r="AJ8" s="4"/>
      <c r="AK8" s="16" t="s">
        <v>163</v>
      </c>
      <c r="AL8" s="16"/>
      <c r="AM8" s="20"/>
      <c r="AN8" s="20"/>
      <c r="AO8" s="20" t="s">
        <v>165</v>
      </c>
      <c r="AP8" s="20"/>
      <c r="AQ8" s="20"/>
      <c r="AR8" s="20"/>
      <c r="AS8" s="20" t="s">
        <v>747</v>
      </c>
      <c r="AT8" s="20"/>
      <c r="AU8" s="20" t="s">
        <v>763</v>
      </c>
      <c r="AV8" s="20"/>
      <c r="AW8" s="5" t="s">
        <v>3</v>
      </c>
      <c r="AX8" s="16"/>
      <c r="AY8" s="16" t="s">
        <v>121</v>
      </c>
      <c r="AZ8" s="16"/>
      <c r="BA8" s="5" t="s">
        <v>169</v>
      </c>
      <c r="BB8" s="16"/>
      <c r="BC8" s="16" t="s">
        <v>171</v>
      </c>
      <c r="BE8" s="16" t="s">
        <v>174</v>
      </c>
    </row>
    <row r="9" spans="1:59">
      <c r="A9" s="68" t="s">
        <v>206</v>
      </c>
      <c r="B9" s="20"/>
      <c r="C9" s="68" t="s">
        <v>4</v>
      </c>
      <c r="D9" s="20"/>
      <c r="E9" s="58" t="s">
        <v>205</v>
      </c>
      <c r="F9" s="8"/>
      <c r="G9" s="2" t="s">
        <v>779</v>
      </c>
      <c r="H9" s="8"/>
      <c r="I9" s="2" t="s">
        <v>2</v>
      </c>
      <c r="J9" s="8"/>
      <c r="K9" s="2" t="s">
        <v>148</v>
      </c>
      <c r="L9" s="8"/>
      <c r="M9" s="2" t="s">
        <v>82</v>
      </c>
      <c r="N9" s="8"/>
      <c r="O9" s="2" t="s">
        <v>787</v>
      </c>
      <c r="P9" s="8"/>
      <c r="Q9" s="2" t="s">
        <v>152</v>
      </c>
      <c r="R9" s="8"/>
      <c r="S9" s="2" t="s">
        <v>154</v>
      </c>
      <c r="T9" s="8"/>
      <c r="U9" s="2" t="s">
        <v>155</v>
      </c>
      <c r="V9" s="8"/>
      <c r="W9" s="2" t="s">
        <v>156</v>
      </c>
      <c r="X9" s="5"/>
      <c r="Y9" s="106" t="s">
        <v>743</v>
      </c>
      <c r="Z9" s="8"/>
      <c r="AA9" s="2" t="s">
        <v>159</v>
      </c>
      <c r="AB9" s="5"/>
      <c r="AC9" s="106" t="s">
        <v>161</v>
      </c>
      <c r="AD9" s="5"/>
      <c r="AE9" s="106" t="s">
        <v>744</v>
      </c>
      <c r="AF9" s="138"/>
      <c r="AG9" s="68" t="s">
        <v>206</v>
      </c>
      <c r="AH9" s="20"/>
      <c r="AI9" s="68" t="s">
        <v>4</v>
      </c>
      <c r="AJ9" s="68"/>
      <c r="AK9" s="106" t="s">
        <v>164</v>
      </c>
      <c r="AL9" s="8"/>
      <c r="AM9" s="68" t="s">
        <v>82</v>
      </c>
      <c r="AN9" s="70"/>
      <c r="AO9" s="68" t="s">
        <v>166</v>
      </c>
      <c r="AP9" s="70"/>
      <c r="AQ9" s="68" t="s">
        <v>167</v>
      </c>
      <c r="AR9" s="70"/>
      <c r="AS9" s="68" t="s">
        <v>748</v>
      </c>
      <c r="AT9" s="70"/>
      <c r="AU9" s="68" t="s">
        <v>125</v>
      </c>
      <c r="AV9" s="70"/>
      <c r="AW9" s="106" t="s">
        <v>125</v>
      </c>
      <c r="AX9" s="5"/>
      <c r="AY9" s="106" t="s">
        <v>102</v>
      </c>
      <c r="AZ9" s="16"/>
      <c r="BA9" s="106" t="s">
        <v>170</v>
      </c>
      <c r="BB9" s="16"/>
      <c r="BC9" s="106" t="s">
        <v>172</v>
      </c>
      <c r="BE9" s="106" t="s">
        <v>141</v>
      </c>
    </row>
    <row r="10" spans="1:59" ht="12.75" customHeight="1">
      <c r="A10" s="12"/>
      <c r="B10" s="12"/>
      <c r="C10" s="12"/>
      <c r="D10" s="12"/>
      <c r="E10" s="32"/>
      <c r="F10" s="8"/>
      <c r="G10" s="5"/>
      <c r="H10" s="8"/>
      <c r="I10" s="5"/>
      <c r="J10" s="8"/>
      <c r="K10" s="5"/>
      <c r="L10" s="8"/>
      <c r="M10" s="5"/>
      <c r="N10" s="8"/>
      <c r="O10" s="5"/>
      <c r="P10" s="8"/>
      <c r="Q10" s="5"/>
      <c r="R10" s="8"/>
      <c r="S10" s="5"/>
      <c r="T10" s="8"/>
      <c r="U10" s="5"/>
      <c r="V10" s="8"/>
      <c r="W10" s="5"/>
      <c r="X10" s="5"/>
      <c r="Y10" s="5"/>
      <c r="Z10" s="8"/>
      <c r="AA10" s="5"/>
      <c r="AB10" s="5"/>
      <c r="AC10" s="5"/>
      <c r="AD10" s="5"/>
      <c r="AE10" s="5"/>
      <c r="AF10" s="138"/>
      <c r="AG10" s="12"/>
      <c r="AH10" s="12"/>
      <c r="AI10" s="12"/>
      <c r="AJ10" s="12"/>
      <c r="AK10" s="5"/>
      <c r="AL10" s="8"/>
      <c r="AM10" s="5"/>
      <c r="AO10" s="5"/>
      <c r="AQ10" s="5"/>
      <c r="AS10" s="5"/>
      <c r="AU10" s="5"/>
      <c r="BA10" s="5"/>
    </row>
    <row r="11" spans="1:59" s="35" customFormat="1">
      <c r="A11" s="34" t="s">
        <v>207</v>
      </c>
      <c r="B11" s="34"/>
      <c r="C11" s="34" t="s">
        <v>208</v>
      </c>
      <c r="D11" s="34"/>
      <c r="E11" s="34">
        <v>61903</v>
      </c>
      <c r="G11" s="35">
        <v>18743647</v>
      </c>
      <c r="I11" s="35">
        <v>4012060</v>
      </c>
      <c r="K11" s="35">
        <v>2688750</v>
      </c>
      <c r="M11" s="35">
        <f>246021+460534</f>
        <v>706555</v>
      </c>
      <c r="O11" s="35">
        <v>1689260</v>
      </c>
      <c r="Q11" s="35">
        <v>3018612</v>
      </c>
      <c r="S11" s="35">
        <v>0</v>
      </c>
      <c r="U11" s="35">
        <f>47567+3029305</f>
        <v>3076872</v>
      </c>
      <c r="W11" s="35">
        <v>836430</v>
      </c>
      <c r="Y11" s="35">
        <v>408774</v>
      </c>
      <c r="AA11" s="35">
        <v>3269100</v>
      </c>
      <c r="AC11" s="35">
        <v>2349375</v>
      </c>
      <c r="AE11" s="35">
        <v>342691</v>
      </c>
      <c r="AF11" s="139"/>
      <c r="AG11" s="34" t="s">
        <v>207</v>
      </c>
      <c r="AH11" s="34"/>
      <c r="AI11" s="34" t="s">
        <v>208</v>
      </c>
      <c r="AJ11" s="34"/>
      <c r="AK11" s="35">
        <v>0</v>
      </c>
      <c r="AM11" s="35">
        <v>2275910</v>
      </c>
      <c r="AO11" s="35">
        <v>540609</v>
      </c>
      <c r="AQ11" s="35">
        <v>1838281</v>
      </c>
      <c r="AU11" s="35">
        <v>0</v>
      </c>
      <c r="AW11" s="35">
        <f>SUM(G11:AV11)</f>
        <v>45796926</v>
      </c>
      <c r="AY11" s="35">
        <f>+'St of Activites - GA Rev'!AI11-'St of Activities - GA Exp'!AW11</f>
        <v>-55590</v>
      </c>
      <c r="BA11" s="35">
        <v>81054302</v>
      </c>
      <c r="BC11" s="35">
        <f>+AY11+BA11</f>
        <v>80998712</v>
      </c>
      <c r="BE11" s="35">
        <f>+'St of Net Assets - GA'!AA11-'St of Activities - GA Exp'!BC11</f>
        <v>0</v>
      </c>
    </row>
    <row r="12" spans="1:59">
      <c r="A12" s="12" t="s">
        <v>616</v>
      </c>
      <c r="B12" s="12"/>
      <c r="C12" s="12" t="s">
        <v>58</v>
      </c>
      <c r="D12" s="12"/>
      <c r="E12" s="32">
        <v>49494</v>
      </c>
      <c r="G12" s="8">
        <v>5618399</v>
      </c>
      <c r="H12" s="8"/>
      <c r="I12" s="8">
        <v>1242056</v>
      </c>
      <c r="J12" s="8"/>
      <c r="K12" s="8">
        <v>7692</v>
      </c>
      <c r="L12" s="8"/>
      <c r="M12" s="8">
        <f>2020+544544</f>
        <v>546564</v>
      </c>
      <c r="N12" s="8"/>
      <c r="O12" s="8">
        <v>342335</v>
      </c>
      <c r="P12" s="8"/>
      <c r="Q12" s="8">
        <v>740156</v>
      </c>
      <c r="R12" s="8"/>
      <c r="S12" s="8">
        <v>38176</v>
      </c>
      <c r="T12" s="8"/>
      <c r="U12" s="8">
        <v>914469</v>
      </c>
      <c r="V12" s="8"/>
      <c r="W12" s="8">
        <v>320806</v>
      </c>
      <c r="X12" s="8"/>
      <c r="Y12" s="8">
        <v>0</v>
      </c>
      <c r="Z12" s="8"/>
      <c r="AA12" s="8">
        <v>1087517</v>
      </c>
      <c r="AB12" s="8"/>
      <c r="AC12" s="8">
        <v>824471</v>
      </c>
      <c r="AD12" s="8"/>
      <c r="AE12" s="8">
        <v>58035</v>
      </c>
      <c r="AF12" s="138"/>
      <c r="AG12" s="12" t="s">
        <v>616</v>
      </c>
      <c r="AH12" s="12"/>
      <c r="AI12" s="12" t="s">
        <v>58</v>
      </c>
      <c r="AJ12" s="12"/>
      <c r="AK12" s="8">
        <v>0</v>
      </c>
      <c r="AL12" s="8"/>
      <c r="AM12" s="8">
        <v>452066</v>
      </c>
      <c r="AN12" s="8"/>
      <c r="AO12" s="8">
        <v>327384</v>
      </c>
      <c r="AP12" s="8"/>
      <c r="AQ12" s="8">
        <v>115033</v>
      </c>
      <c r="AR12" s="8"/>
      <c r="AS12" s="8"/>
      <c r="AT12" s="8"/>
      <c r="AU12" s="8">
        <v>0</v>
      </c>
      <c r="AV12" s="8"/>
      <c r="AW12" s="8">
        <f t="shared" ref="AW12:AW77" si="0">SUM(G12:AV12)</f>
        <v>12635159</v>
      </c>
      <c r="AY12" s="8">
        <f>+'St of Activites - GA Rev'!AI12-'St of Activities - GA Exp'!AW12</f>
        <v>65566</v>
      </c>
      <c r="BA12" s="8">
        <v>21404427</v>
      </c>
      <c r="BC12" s="8">
        <f t="shared" ref="BC12:BC77" si="1">+AY12+BA12</f>
        <v>21469993</v>
      </c>
      <c r="BE12" s="8">
        <f>+'St of Net Assets - GA'!AA12-'St of Activities - GA Exp'!BC12</f>
        <v>0</v>
      </c>
    </row>
    <row r="13" spans="1:59">
      <c r="A13" s="12" t="s">
        <v>662</v>
      </c>
      <c r="B13" s="12"/>
      <c r="C13" s="12" t="s">
        <v>63</v>
      </c>
      <c r="D13" s="12"/>
      <c r="E13" s="32">
        <v>43489</v>
      </c>
      <c r="G13" s="8">
        <v>151198849</v>
      </c>
      <c r="H13" s="8"/>
      <c r="I13" s="8">
        <v>37440091</v>
      </c>
      <c r="J13" s="8"/>
      <c r="K13" s="8">
        <v>12880365</v>
      </c>
      <c r="L13" s="8"/>
      <c r="M13" s="8">
        <f>1425272+7053626</f>
        <v>8478898</v>
      </c>
      <c r="N13" s="8"/>
      <c r="O13" s="8">
        <v>19537436</v>
      </c>
      <c r="P13" s="8"/>
      <c r="Q13" s="8">
        <v>24344481</v>
      </c>
      <c r="R13" s="8"/>
      <c r="S13" s="8">
        <v>83430</v>
      </c>
      <c r="T13" s="8"/>
      <c r="U13" s="8">
        <v>22494853</v>
      </c>
      <c r="V13" s="8"/>
      <c r="W13" s="8">
        <v>4255024</v>
      </c>
      <c r="X13" s="8"/>
      <c r="Y13" s="8">
        <v>2503375</v>
      </c>
      <c r="Z13" s="8"/>
      <c r="AA13" s="8">
        <v>55569917</v>
      </c>
      <c r="AB13" s="8"/>
      <c r="AC13" s="8">
        <v>11783880</v>
      </c>
      <c r="AD13" s="8"/>
      <c r="AE13" s="8">
        <v>8222545</v>
      </c>
      <c r="AF13" s="138"/>
      <c r="AG13" s="12" t="s">
        <v>662</v>
      </c>
      <c r="AH13" s="12"/>
      <c r="AI13" s="12" t="s">
        <v>63</v>
      </c>
      <c r="AJ13" s="12"/>
      <c r="AK13" s="8">
        <v>9614317</v>
      </c>
      <c r="AL13" s="8"/>
      <c r="AM13" s="8">
        <v>4122602</v>
      </c>
      <c r="AN13" s="8"/>
      <c r="AO13" s="8">
        <v>3787601</v>
      </c>
      <c r="AP13" s="8"/>
      <c r="AQ13" s="8">
        <v>0</v>
      </c>
      <c r="AR13" s="8"/>
      <c r="AS13" s="8"/>
      <c r="AT13" s="8"/>
      <c r="AU13" s="8">
        <v>0</v>
      </c>
      <c r="AV13" s="8"/>
      <c r="AW13" s="8">
        <f t="shared" si="0"/>
        <v>376317664</v>
      </c>
      <c r="AY13" s="8">
        <f>+'St of Activites - GA Rev'!AI13-'St of Activities - GA Exp'!AW13</f>
        <v>48103886</v>
      </c>
      <c r="BA13" s="8">
        <v>257350860</v>
      </c>
      <c r="BC13" s="8">
        <f t="shared" si="1"/>
        <v>305454746</v>
      </c>
      <c r="BE13" s="8">
        <f>+'St of Net Assets - GA'!AA13-'St of Activities - GA Exp'!BC13</f>
        <v>0</v>
      </c>
    </row>
    <row r="14" spans="1:59" ht="12" hidden="1" customHeight="1">
      <c r="A14" s="13" t="s">
        <v>837</v>
      </c>
      <c r="B14" s="12"/>
      <c r="C14" s="12" t="s">
        <v>13</v>
      </c>
      <c r="D14" s="12"/>
      <c r="E14" s="32">
        <v>45906</v>
      </c>
      <c r="G14" s="8">
        <v>6046988</v>
      </c>
      <c r="H14" s="8"/>
      <c r="I14" s="8">
        <v>1995660</v>
      </c>
      <c r="J14" s="8"/>
      <c r="K14" s="8">
        <v>110441</v>
      </c>
      <c r="L14" s="8"/>
      <c r="M14" s="8">
        <f>25322+1593637</f>
        <v>1618959</v>
      </c>
      <c r="N14" s="8"/>
      <c r="O14" s="8">
        <v>717778</v>
      </c>
      <c r="P14" s="8"/>
      <c r="Q14" s="8">
        <v>1017345</v>
      </c>
      <c r="R14" s="8"/>
      <c r="S14" s="8">
        <v>50392</v>
      </c>
      <c r="T14" s="8"/>
      <c r="U14" s="8">
        <v>1110005</v>
      </c>
      <c r="V14" s="8"/>
      <c r="W14" s="8">
        <v>364920</v>
      </c>
      <c r="X14" s="8"/>
      <c r="Y14" s="8"/>
      <c r="Z14" s="8"/>
      <c r="AA14" s="8">
        <v>1403253</v>
      </c>
      <c r="AB14" s="8"/>
      <c r="AC14" s="8">
        <v>1434631</v>
      </c>
      <c r="AD14" s="8"/>
      <c r="AE14" s="8">
        <v>191440</v>
      </c>
      <c r="AF14" s="138"/>
      <c r="AG14" s="13" t="s">
        <v>837</v>
      </c>
      <c r="AH14" s="12"/>
      <c r="AI14" s="12" t="s">
        <v>13</v>
      </c>
      <c r="AJ14" s="12"/>
      <c r="AK14" s="8">
        <v>602041</v>
      </c>
      <c r="AL14" s="8"/>
      <c r="AM14" s="8">
        <v>66094</v>
      </c>
      <c r="AN14" s="8"/>
      <c r="AO14" s="8">
        <v>327067</v>
      </c>
      <c r="AP14" s="8"/>
      <c r="AQ14" s="8">
        <v>267953</v>
      </c>
      <c r="AR14" s="8"/>
      <c r="AS14" s="8"/>
      <c r="AT14" s="8"/>
      <c r="AU14" s="8">
        <f>316866+279029</f>
        <v>595895</v>
      </c>
      <c r="AV14" s="8"/>
      <c r="AW14" s="8">
        <f t="shared" si="0"/>
        <v>17920862</v>
      </c>
      <c r="AY14" s="8">
        <f>+'St of Activites - GA Rev'!AI14-'St of Activities - GA Exp'!AW14</f>
        <v>361990</v>
      </c>
      <c r="BA14" s="8">
        <v>5483689</v>
      </c>
      <c r="BC14" s="8">
        <f t="shared" si="1"/>
        <v>5845679</v>
      </c>
      <c r="BE14" s="8">
        <f>+'St of Net Assets - GA'!AA14-'St of Activities - GA Exp'!BC14</f>
        <v>0</v>
      </c>
      <c r="BG14" s="8" t="s">
        <v>956</v>
      </c>
    </row>
    <row r="15" spans="1:59">
      <c r="A15" s="12" t="s">
        <v>648</v>
      </c>
      <c r="B15" s="12"/>
      <c r="C15" s="12" t="s">
        <v>62</v>
      </c>
      <c r="D15" s="12"/>
      <c r="E15" s="32">
        <v>43497</v>
      </c>
      <c r="G15" s="8">
        <v>14392537</v>
      </c>
      <c r="H15" s="8"/>
      <c r="I15" s="8">
        <v>4765941</v>
      </c>
      <c r="J15" s="8"/>
      <c r="K15" s="8">
        <v>934731</v>
      </c>
      <c r="L15" s="8"/>
      <c r="M15" s="8">
        <f>862825+840936+13284</f>
        <v>1717045</v>
      </c>
      <c r="N15" s="8"/>
      <c r="O15" s="8">
        <v>1587781</v>
      </c>
      <c r="P15" s="8"/>
      <c r="Q15" s="8">
        <v>1117525</v>
      </c>
      <c r="R15" s="8"/>
      <c r="S15" s="8">
        <v>24258</v>
      </c>
      <c r="T15" s="8"/>
      <c r="U15" s="8">
        <v>2530729</v>
      </c>
      <c r="V15" s="8"/>
      <c r="W15" s="8">
        <v>267659</v>
      </c>
      <c r="X15" s="8"/>
      <c r="Y15" s="8">
        <v>274698</v>
      </c>
      <c r="Z15" s="8"/>
      <c r="AA15" s="8">
        <v>3573312</v>
      </c>
      <c r="AB15" s="8"/>
      <c r="AC15" s="8">
        <v>872067</v>
      </c>
      <c r="AD15" s="8"/>
      <c r="AE15" s="8">
        <v>74938</v>
      </c>
      <c r="AF15" s="138"/>
      <c r="AG15" s="12" t="s">
        <v>648</v>
      </c>
      <c r="AH15" s="12"/>
      <c r="AI15" s="12" t="s">
        <v>62</v>
      </c>
      <c r="AJ15" s="12"/>
      <c r="AK15" s="8">
        <v>1363628</v>
      </c>
      <c r="AL15" s="8"/>
      <c r="AM15" s="8">
        <v>158709</v>
      </c>
      <c r="AN15" s="8"/>
      <c r="AO15" s="8">
        <v>552487</v>
      </c>
      <c r="AP15" s="8"/>
      <c r="AQ15" s="8">
        <v>504408</v>
      </c>
      <c r="AR15" s="8"/>
      <c r="AS15" s="8"/>
      <c r="AT15" s="8"/>
      <c r="AU15" s="8">
        <v>0</v>
      </c>
      <c r="AV15" s="8"/>
      <c r="AW15" s="8">
        <f t="shared" si="0"/>
        <v>34712453</v>
      </c>
      <c r="AY15" s="8">
        <f>+'St of Activites - GA Rev'!AI15-'St of Activities - GA Exp'!AW15</f>
        <v>-486634</v>
      </c>
      <c r="BA15" s="8">
        <v>41936223</v>
      </c>
      <c r="BC15" s="8">
        <f t="shared" si="1"/>
        <v>41449589</v>
      </c>
      <c r="BE15" s="8">
        <f>+'St of Net Assets - GA'!AA15-'St of Activities - GA Exp'!BC15</f>
        <v>0</v>
      </c>
    </row>
    <row r="16" spans="1:59">
      <c r="A16" s="12" t="s">
        <v>343</v>
      </c>
      <c r="B16" s="12"/>
      <c r="C16" s="12" t="s">
        <v>25</v>
      </c>
      <c r="D16" s="12"/>
      <c r="E16" s="32">
        <v>46847</v>
      </c>
      <c r="G16" s="8">
        <v>7775672</v>
      </c>
      <c r="H16" s="8"/>
      <c r="I16" s="8">
        <v>2012199</v>
      </c>
      <c r="J16" s="8"/>
      <c r="K16" s="8">
        <v>420741</v>
      </c>
      <c r="L16" s="8"/>
      <c r="M16" s="8">
        <f>88708+29521</f>
        <v>118229</v>
      </c>
      <c r="N16" s="8"/>
      <c r="O16" s="8">
        <v>456480</v>
      </c>
      <c r="P16" s="8"/>
      <c r="Q16" s="8">
        <v>437323</v>
      </c>
      <c r="R16" s="8"/>
      <c r="S16" s="8">
        <v>85663</v>
      </c>
      <c r="T16" s="8"/>
      <c r="U16" s="8">
        <v>1175125</v>
      </c>
      <c r="V16" s="8"/>
      <c r="W16" s="8">
        <v>341779</v>
      </c>
      <c r="X16" s="8"/>
      <c r="Y16" s="8">
        <v>38123</v>
      </c>
      <c r="Z16" s="8"/>
      <c r="AA16" s="8">
        <v>1585728</v>
      </c>
      <c r="AB16" s="8"/>
      <c r="AC16" s="8">
        <v>978931</v>
      </c>
      <c r="AD16" s="8"/>
      <c r="AE16" s="8">
        <v>15717</v>
      </c>
      <c r="AF16" s="138"/>
      <c r="AG16" s="12" t="s">
        <v>343</v>
      </c>
      <c r="AH16" s="12"/>
      <c r="AI16" s="12" t="s">
        <v>25</v>
      </c>
      <c r="AJ16" s="12"/>
      <c r="AK16" s="8">
        <v>735787</v>
      </c>
      <c r="AL16" s="8"/>
      <c r="AM16" s="8">
        <v>0</v>
      </c>
      <c r="AN16" s="8"/>
      <c r="AO16" s="8">
        <v>454040</v>
      </c>
      <c r="AP16" s="8"/>
      <c r="AQ16" s="8">
        <v>162652</v>
      </c>
      <c r="AR16" s="8"/>
      <c r="AS16" s="8"/>
      <c r="AT16" s="8"/>
      <c r="AU16" s="8">
        <v>0</v>
      </c>
      <c r="AV16" s="8"/>
      <c r="AW16" s="8">
        <f t="shared" si="0"/>
        <v>16794189</v>
      </c>
      <c r="AY16" s="8">
        <f>+'St of Activites - GA Rev'!AI16-'St of Activities - GA Exp'!AW16</f>
        <v>-1121020</v>
      </c>
      <c r="BA16" s="8">
        <v>30526648</v>
      </c>
      <c r="BC16" s="8">
        <f t="shared" si="1"/>
        <v>29405628</v>
      </c>
      <c r="BE16" s="8">
        <f>+'St of Net Assets - GA'!AA16-'St of Activities - GA Exp'!BC16</f>
        <v>0</v>
      </c>
    </row>
    <row r="17" spans="1:59" s="8" customFormat="1" ht="12" customHeight="1">
      <c r="A17" s="13" t="s">
        <v>775</v>
      </c>
      <c r="B17" s="13"/>
      <c r="C17" s="13" t="s">
        <v>44</v>
      </c>
      <c r="D17" s="13"/>
      <c r="E17" s="13">
        <v>45195</v>
      </c>
      <c r="G17" s="8">
        <v>18270270</v>
      </c>
      <c r="I17" s="8">
        <v>5371754</v>
      </c>
      <c r="K17" s="8">
        <v>361508</v>
      </c>
      <c r="M17" s="8">
        <v>0</v>
      </c>
      <c r="O17" s="8">
        <v>1651393</v>
      </c>
      <c r="Q17" s="8">
        <v>1672093</v>
      </c>
      <c r="S17" s="8">
        <v>13429</v>
      </c>
      <c r="U17" s="8">
        <v>2929306</v>
      </c>
      <c r="W17" s="8">
        <v>692927</v>
      </c>
      <c r="Y17" s="8">
        <v>0</v>
      </c>
      <c r="AA17" s="8">
        <v>3541632</v>
      </c>
      <c r="AC17" s="8">
        <v>1153727</v>
      </c>
      <c r="AE17" s="8">
        <v>2927</v>
      </c>
      <c r="AF17" s="138"/>
      <c r="AG17" s="13" t="s">
        <v>775</v>
      </c>
      <c r="AH17" s="13"/>
      <c r="AI17" s="13" t="s">
        <v>44</v>
      </c>
      <c r="AJ17" s="13"/>
      <c r="AK17" s="8">
        <v>0</v>
      </c>
      <c r="AM17" s="8">
        <v>1790895</v>
      </c>
      <c r="AO17" s="8">
        <v>664550</v>
      </c>
      <c r="AQ17" s="8">
        <v>1128597</v>
      </c>
      <c r="AU17" s="8">
        <v>0</v>
      </c>
      <c r="AW17" s="8">
        <f>SUM(G17:AV17)</f>
        <v>39245008</v>
      </c>
      <c r="AY17" s="8">
        <f>+'St of Activites - GA Rev'!AI17-'St of Activities - GA Exp'!AW17</f>
        <v>683622</v>
      </c>
      <c r="BA17" s="8">
        <v>7115530</v>
      </c>
      <c r="BC17" s="8">
        <f>+AY17+BA17</f>
        <v>7799152</v>
      </c>
      <c r="BE17" s="8">
        <f>+'St of Net Assets - GA'!AA17-'St of Activities - GA Exp'!BC17</f>
        <v>0</v>
      </c>
    </row>
    <row r="18" spans="1:59">
      <c r="A18" s="12" t="s">
        <v>641</v>
      </c>
      <c r="B18" s="12"/>
      <c r="C18" s="12" t="s">
        <v>61</v>
      </c>
      <c r="D18" s="12"/>
      <c r="E18" s="32">
        <v>49759</v>
      </c>
      <c r="G18" s="8">
        <v>4915097</v>
      </c>
      <c r="H18" s="8"/>
      <c r="I18" s="8">
        <v>941165</v>
      </c>
      <c r="J18" s="8"/>
      <c r="K18" s="8">
        <v>342796</v>
      </c>
      <c r="L18" s="8"/>
      <c r="M18" s="8">
        <v>0</v>
      </c>
      <c r="N18" s="8"/>
      <c r="O18" s="8">
        <v>556968</v>
      </c>
      <c r="P18" s="8"/>
      <c r="Q18" s="8">
        <v>317636</v>
      </c>
      <c r="R18" s="8"/>
      <c r="S18" s="8">
        <v>58026</v>
      </c>
      <c r="T18" s="8"/>
      <c r="U18" s="8">
        <v>798228</v>
      </c>
      <c r="V18" s="8"/>
      <c r="W18" s="8">
        <v>408742</v>
      </c>
      <c r="X18" s="8"/>
      <c r="Y18" s="8">
        <v>80217</v>
      </c>
      <c r="Z18" s="8"/>
      <c r="AA18" s="8">
        <v>1007577</v>
      </c>
      <c r="AB18" s="8"/>
      <c r="AC18" s="8">
        <v>538217</v>
      </c>
      <c r="AD18" s="8"/>
      <c r="AE18" s="8">
        <v>4526</v>
      </c>
      <c r="AF18" s="138"/>
      <c r="AG18" s="12" t="s">
        <v>641</v>
      </c>
      <c r="AH18" s="12"/>
      <c r="AI18" s="12" t="s">
        <v>61</v>
      </c>
      <c r="AJ18" s="12"/>
      <c r="AK18" s="8">
        <v>0</v>
      </c>
      <c r="AL18" s="8"/>
      <c r="AM18" s="8">
        <v>448974</v>
      </c>
      <c r="AN18" s="8"/>
      <c r="AO18" s="8">
        <v>630417</v>
      </c>
      <c r="AP18" s="8"/>
      <c r="AQ18" s="8">
        <v>336717</v>
      </c>
      <c r="AR18" s="8"/>
      <c r="AS18" s="8"/>
      <c r="AT18" s="8"/>
      <c r="AU18" s="8">
        <v>6935</v>
      </c>
      <c r="AV18" s="8"/>
      <c r="AW18" s="8">
        <f t="shared" si="0"/>
        <v>11392238</v>
      </c>
      <c r="AY18" s="8">
        <f>+'St of Activites - GA Rev'!AI18-'St of Activities - GA Exp'!AW18</f>
        <v>413443</v>
      </c>
      <c r="BA18" s="8">
        <v>12148735</v>
      </c>
      <c r="BC18" s="8">
        <f t="shared" si="1"/>
        <v>12562178</v>
      </c>
      <c r="BE18" s="8">
        <f>+'St of Net Assets - GA'!AA18-'St of Activities - GA Exp'!BC18</f>
        <v>0</v>
      </c>
    </row>
    <row r="19" spans="1:59" hidden="1">
      <c r="A19" s="13" t="s">
        <v>1019</v>
      </c>
      <c r="B19" s="13"/>
      <c r="C19" s="13" t="s">
        <v>814</v>
      </c>
      <c r="D19" s="12"/>
      <c r="E19" s="32"/>
      <c r="G19" s="8">
        <v>2651877</v>
      </c>
      <c r="H19" s="8"/>
      <c r="I19" s="8">
        <v>889609</v>
      </c>
      <c r="J19" s="8"/>
      <c r="K19" s="8">
        <v>230567</v>
      </c>
      <c r="L19" s="8"/>
      <c r="M19" s="8">
        <v>258854</v>
      </c>
      <c r="N19" s="8"/>
      <c r="O19" s="8">
        <v>349837</v>
      </c>
      <c r="P19" s="8"/>
      <c r="Q19" s="8">
        <v>398112</v>
      </c>
      <c r="R19" s="8"/>
      <c r="S19" s="8">
        <v>57568</v>
      </c>
      <c r="T19" s="8"/>
      <c r="U19" s="8">
        <v>561739</v>
      </c>
      <c r="V19" s="8"/>
      <c r="W19" s="8">
        <v>175862</v>
      </c>
      <c r="X19" s="8"/>
      <c r="Y19" s="8">
        <v>927</v>
      </c>
      <c r="Z19" s="8"/>
      <c r="AA19" s="8">
        <v>541844</v>
      </c>
      <c r="AB19" s="8"/>
      <c r="AC19" s="8">
        <v>438504</v>
      </c>
      <c r="AD19" s="8"/>
      <c r="AE19" s="8">
        <v>18244</v>
      </c>
      <c r="AF19" s="138"/>
      <c r="AG19" s="12"/>
      <c r="AH19" s="12"/>
      <c r="AI19" s="12"/>
      <c r="AJ19" s="12"/>
      <c r="AK19" s="8">
        <v>256590</v>
      </c>
      <c r="AL19" s="8"/>
      <c r="AM19" s="8">
        <v>47960</v>
      </c>
      <c r="AN19" s="8"/>
      <c r="AO19" s="8">
        <v>240688</v>
      </c>
      <c r="AP19" s="8"/>
      <c r="AQ19" s="8">
        <v>90600</v>
      </c>
      <c r="AR19" s="8"/>
      <c r="AS19" s="8"/>
      <c r="AT19" s="8"/>
      <c r="AU19" s="8">
        <v>110000</v>
      </c>
      <c r="AV19" s="8"/>
      <c r="AW19" s="8">
        <f t="shared" si="0"/>
        <v>7319382</v>
      </c>
      <c r="AY19" s="8">
        <f>+'St of Activites - GA Rev'!AI19-'St of Activities - GA Exp'!AW19</f>
        <v>-120899</v>
      </c>
      <c r="BA19" s="8">
        <v>1518872</v>
      </c>
      <c r="BC19" s="8">
        <f t="shared" si="1"/>
        <v>1397973</v>
      </c>
      <c r="BE19" s="8">
        <f>+'St of Net Assets - GA'!AA19-'St of Activities - GA Exp'!BC19</f>
        <v>0</v>
      </c>
    </row>
    <row r="20" spans="1:59">
      <c r="A20" s="12" t="s">
        <v>496</v>
      </c>
      <c r="B20" s="12"/>
      <c r="C20" s="12" t="s">
        <v>117</v>
      </c>
      <c r="D20" s="12"/>
      <c r="E20" s="32">
        <v>48207</v>
      </c>
      <c r="G20" s="8">
        <v>16996710</v>
      </c>
      <c r="H20" s="8"/>
      <c r="I20" s="8">
        <v>2444113</v>
      </c>
      <c r="J20" s="8"/>
      <c r="K20" s="8">
        <v>97830</v>
      </c>
      <c r="L20" s="8"/>
      <c r="M20" s="8">
        <v>0</v>
      </c>
      <c r="N20" s="8"/>
      <c r="O20" s="8">
        <v>1660907</v>
      </c>
      <c r="P20" s="8"/>
      <c r="Q20" s="8">
        <v>1045721</v>
      </c>
      <c r="R20" s="8"/>
      <c r="S20" s="8">
        <v>1009128</v>
      </c>
      <c r="T20" s="8"/>
      <c r="U20" s="8">
        <v>2591366</v>
      </c>
      <c r="V20" s="8"/>
      <c r="W20" s="8">
        <v>713160</v>
      </c>
      <c r="X20" s="8"/>
      <c r="Y20" s="8">
        <v>20048</v>
      </c>
      <c r="Z20" s="8"/>
      <c r="AA20" s="8">
        <v>4238390</v>
      </c>
      <c r="AB20" s="8"/>
      <c r="AC20" s="8">
        <v>2518425</v>
      </c>
      <c r="AD20" s="8"/>
      <c r="AE20" s="8">
        <v>42184</v>
      </c>
      <c r="AF20" s="138"/>
      <c r="AG20" s="12" t="s">
        <v>496</v>
      </c>
      <c r="AH20" s="12"/>
      <c r="AI20" s="12" t="s">
        <v>117</v>
      </c>
      <c r="AJ20" s="12"/>
      <c r="AK20" s="8">
        <v>1096530</v>
      </c>
      <c r="AL20" s="8"/>
      <c r="AM20" s="8">
        <v>220809</v>
      </c>
      <c r="AN20" s="8"/>
      <c r="AO20" s="8">
        <v>1062220</v>
      </c>
      <c r="AP20" s="8"/>
      <c r="AQ20" s="8">
        <v>1590852</v>
      </c>
      <c r="AR20" s="8"/>
      <c r="AS20" s="8"/>
      <c r="AT20" s="8"/>
      <c r="AU20" s="8">
        <v>0</v>
      </c>
      <c r="AV20" s="8"/>
      <c r="AW20" s="8">
        <f t="shared" si="0"/>
        <v>37348393</v>
      </c>
      <c r="AY20" s="8">
        <f>+'St of Activites - GA Rev'!AI20-'St of Activities - GA Exp'!AW20</f>
        <v>4372724</v>
      </c>
      <c r="BA20" s="8">
        <v>919625</v>
      </c>
      <c r="BC20" s="8">
        <f t="shared" si="1"/>
        <v>5292349</v>
      </c>
      <c r="BE20" s="8">
        <f>+'St of Net Assets - GA'!AA20-'St of Activities - GA Exp'!BC20</f>
        <v>0</v>
      </c>
    </row>
    <row r="21" spans="1:59">
      <c r="A21" s="12" t="s">
        <v>413</v>
      </c>
      <c r="B21" s="12"/>
      <c r="C21" s="12" t="s">
        <v>33</v>
      </c>
      <c r="D21" s="12"/>
      <c r="E21" s="32">
        <v>47415</v>
      </c>
      <c r="G21" s="8">
        <v>2692264</v>
      </c>
      <c r="H21" s="8"/>
      <c r="I21" s="8">
        <v>501232</v>
      </c>
      <c r="J21" s="8"/>
      <c r="K21" s="8">
        <v>269049</v>
      </c>
      <c r="L21" s="8"/>
      <c r="M21" s="8">
        <v>0</v>
      </c>
      <c r="N21" s="8"/>
      <c r="O21" s="8">
        <v>322286</v>
      </c>
      <c r="P21" s="8"/>
      <c r="Q21" s="8">
        <v>196145</v>
      </c>
      <c r="R21" s="8"/>
      <c r="S21" s="8">
        <v>77107</v>
      </c>
      <c r="T21" s="8"/>
      <c r="U21" s="8">
        <v>524235</v>
      </c>
      <c r="V21" s="8"/>
      <c r="W21" s="8">
        <v>177745</v>
      </c>
      <c r="X21" s="8"/>
      <c r="Y21" s="8">
        <v>0</v>
      </c>
      <c r="Z21" s="8"/>
      <c r="AA21" s="8">
        <v>510240</v>
      </c>
      <c r="AB21" s="8"/>
      <c r="AC21" s="8">
        <v>337600</v>
      </c>
      <c r="AD21" s="8"/>
      <c r="AE21" s="8">
        <v>1657</v>
      </c>
      <c r="AF21" s="138"/>
      <c r="AG21" s="12" t="s">
        <v>413</v>
      </c>
      <c r="AH21" s="12"/>
      <c r="AI21" s="12" t="s">
        <v>33</v>
      </c>
      <c r="AJ21" s="12"/>
      <c r="AK21" s="8">
        <v>0</v>
      </c>
      <c r="AL21" s="8"/>
      <c r="AM21" s="8">
        <v>263636</v>
      </c>
      <c r="AN21" s="8"/>
      <c r="AO21" s="8">
        <v>291212</v>
      </c>
      <c r="AP21" s="8"/>
      <c r="AQ21" s="8">
        <v>0</v>
      </c>
      <c r="AR21" s="8"/>
      <c r="AS21" s="8"/>
      <c r="AT21" s="8"/>
      <c r="AU21" s="8">
        <v>0</v>
      </c>
      <c r="AV21" s="8"/>
      <c r="AW21" s="8">
        <f t="shared" si="0"/>
        <v>6164408</v>
      </c>
      <c r="AY21" s="8">
        <f>+'St of Activites - GA Rev'!AI21-'St of Activities - GA Exp'!AW21</f>
        <v>284751</v>
      </c>
      <c r="BA21" s="8">
        <v>3932433</v>
      </c>
      <c r="BC21" s="8">
        <f t="shared" si="1"/>
        <v>4217184</v>
      </c>
      <c r="BE21" s="8">
        <f>+'St of Net Assets - GA'!AA21-'St of Activities - GA Exp'!BC21</f>
        <v>0</v>
      </c>
    </row>
    <row r="22" spans="1:59" ht="12" hidden="1" customHeight="1">
      <c r="A22" s="13" t="s">
        <v>958</v>
      </c>
      <c r="B22" s="12"/>
      <c r="C22" s="12" t="s">
        <v>21</v>
      </c>
      <c r="D22" s="12"/>
      <c r="E22" s="32">
        <v>46631</v>
      </c>
      <c r="G22" s="8">
        <v>4629182</v>
      </c>
      <c r="H22" s="8"/>
      <c r="I22" s="8">
        <v>841257</v>
      </c>
      <c r="J22" s="8"/>
      <c r="K22" s="8">
        <v>72143</v>
      </c>
      <c r="L22" s="8"/>
      <c r="M22" s="8">
        <v>19693</v>
      </c>
      <c r="N22" s="8"/>
      <c r="O22" s="8">
        <v>402293</v>
      </c>
      <c r="P22" s="8"/>
      <c r="Q22" s="8">
        <v>554576</v>
      </c>
      <c r="R22" s="8"/>
      <c r="S22" s="8">
        <v>80967</v>
      </c>
      <c r="T22" s="8"/>
      <c r="U22" s="8">
        <v>712100</v>
      </c>
      <c r="V22" s="8"/>
      <c r="W22" s="8">
        <v>229592</v>
      </c>
      <c r="X22" s="8"/>
      <c r="Y22" s="8"/>
      <c r="Z22" s="8"/>
      <c r="AA22" s="8">
        <v>680639</v>
      </c>
      <c r="AB22" s="8"/>
      <c r="AC22" s="8">
        <v>464783</v>
      </c>
      <c r="AD22" s="8"/>
      <c r="AE22" s="8">
        <v>5729</v>
      </c>
      <c r="AF22" s="138"/>
      <c r="AG22" s="13" t="s">
        <v>958</v>
      </c>
      <c r="AH22" s="12"/>
      <c r="AI22" s="12" t="s">
        <v>21</v>
      </c>
      <c r="AJ22" s="12"/>
      <c r="AK22" s="8"/>
      <c r="AL22" s="8"/>
      <c r="AM22" s="8">
        <v>342304</v>
      </c>
      <c r="AN22" s="8"/>
      <c r="AO22" s="8">
        <v>322670</v>
      </c>
      <c r="AP22" s="8"/>
      <c r="AQ22" s="8">
        <v>852626</v>
      </c>
      <c r="AR22" s="8"/>
      <c r="AS22" s="8"/>
      <c r="AT22" s="8"/>
      <c r="AU22" s="8">
        <f>1302272+13175000</f>
        <v>14477272</v>
      </c>
      <c r="AV22" s="8"/>
      <c r="AW22" s="8">
        <f t="shared" si="0"/>
        <v>24687826</v>
      </c>
      <c r="AY22" s="8">
        <f>+'St of Activites - GA Rev'!AI22-'St of Activities - GA Exp'!AW22</f>
        <v>-7351874</v>
      </c>
      <c r="BA22" s="8">
        <v>31016836</v>
      </c>
      <c r="BC22" s="8">
        <f t="shared" si="1"/>
        <v>23664962</v>
      </c>
      <c r="BE22" s="8">
        <f>+'St of Net Assets - GA'!AA22-'St of Activities - GA Exp'!BC22</f>
        <v>0</v>
      </c>
      <c r="BG22" s="8" t="s">
        <v>956</v>
      </c>
    </row>
    <row r="23" spans="1:59">
      <c r="A23" s="12" t="s">
        <v>368</v>
      </c>
      <c r="B23" s="12"/>
      <c r="C23" s="12" t="s">
        <v>28</v>
      </c>
      <c r="D23" s="12"/>
      <c r="E23" s="32">
        <v>47043</v>
      </c>
      <c r="G23" s="8">
        <v>6671308</v>
      </c>
      <c r="H23" s="8"/>
      <c r="I23" s="8">
        <v>1043490</v>
      </c>
      <c r="J23" s="8"/>
      <c r="K23" s="8">
        <v>210027</v>
      </c>
      <c r="L23" s="8"/>
      <c r="M23" s="8">
        <f>6220+17681</f>
        <v>23901</v>
      </c>
      <c r="N23" s="8"/>
      <c r="O23" s="8">
        <v>875294</v>
      </c>
      <c r="P23" s="8"/>
      <c r="Q23" s="8">
        <v>522214</v>
      </c>
      <c r="R23" s="8"/>
      <c r="S23" s="8">
        <v>39897</v>
      </c>
      <c r="T23" s="8"/>
      <c r="U23" s="8">
        <v>765292</v>
      </c>
      <c r="V23" s="8"/>
      <c r="W23" s="8">
        <v>385233</v>
      </c>
      <c r="X23" s="8"/>
      <c r="Y23" s="8">
        <v>0</v>
      </c>
      <c r="Z23" s="8"/>
      <c r="AA23" s="8">
        <v>1433779</v>
      </c>
      <c r="AB23" s="8"/>
      <c r="AC23" s="8">
        <v>532277</v>
      </c>
      <c r="AD23" s="8"/>
      <c r="AE23" s="8">
        <v>0</v>
      </c>
      <c r="AF23" s="138"/>
      <c r="AG23" s="12" t="s">
        <v>368</v>
      </c>
      <c r="AH23" s="12"/>
      <c r="AI23" s="12" t="s">
        <v>28</v>
      </c>
      <c r="AJ23" s="12"/>
      <c r="AK23" s="8">
        <v>0</v>
      </c>
      <c r="AL23" s="8"/>
      <c r="AM23" s="8">
        <v>487878</v>
      </c>
      <c r="AN23" s="8"/>
      <c r="AO23" s="8">
        <v>740233</v>
      </c>
      <c r="AP23" s="8"/>
      <c r="AQ23" s="8">
        <v>660380</v>
      </c>
      <c r="AR23" s="8"/>
      <c r="AS23" s="8"/>
      <c r="AT23" s="8"/>
      <c r="AU23" s="8">
        <v>103303</v>
      </c>
      <c r="AV23" s="8"/>
      <c r="AW23" s="8">
        <f t="shared" si="0"/>
        <v>14494506</v>
      </c>
      <c r="AY23" s="8">
        <f>+'St of Activites - GA Rev'!AI23-'St of Activities - GA Exp'!AW23</f>
        <v>572899</v>
      </c>
      <c r="BA23" s="8">
        <v>12656990</v>
      </c>
      <c r="BC23" s="8">
        <f t="shared" si="1"/>
        <v>13229889</v>
      </c>
      <c r="BE23" s="8">
        <f>+'St of Net Assets - GA'!AA23-'St of Activities - GA Exp'!BC23</f>
        <v>0</v>
      </c>
    </row>
    <row r="24" spans="1:59">
      <c r="A24" s="12" t="s">
        <v>414</v>
      </c>
      <c r="B24" s="12"/>
      <c r="C24" s="12" t="s">
        <v>33</v>
      </c>
      <c r="D24" s="12"/>
      <c r="E24" s="32">
        <v>47423</v>
      </c>
      <c r="G24" s="8">
        <v>2976180</v>
      </c>
      <c r="H24" s="8"/>
      <c r="I24" s="8">
        <v>760969</v>
      </c>
      <c r="J24" s="8"/>
      <c r="K24" s="8">
        <v>273304</v>
      </c>
      <c r="L24" s="8"/>
      <c r="M24" s="8">
        <v>0</v>
      </c>
      <c r="N24" s="8"/>
      <c r="O24" s="8">
        <v>270337</v>
      </c>
      <c r="P24" s="8"/>
      <c r="Q24" s="8">
        <v>326421</v>
      </c>
      <c r="R24" s="8"/>
      <c r="S24" s="8">
        <v>37148</v>
      </c>
      <c r="T24" s="8"/>
      <c r="U24" s="8">
        <v>489733</v>
      </c>
      <c r="V24" s="8"/>
      <c r="W24" s="8">
        <v>235475</v>
      </c>
      <c r="X24" s="8"/>
      <c r="Y24" s="8">
        <v>0</v>
      </c>
      <c r="Z24" s="8"/>
      <c r="AA24" s="8">
        <v>519988</v>
      </c>
      <c r="AB24" s="8"/>
      <c r="AC24" s="8">
        <v>224324</v>
      </c>
      <c r="AD24" s="8"/>
      <c r="AE24" s="8">
        <v>1672</v>
      </c>
      <c r="AF24" s="138"/>
      <c r="AG24" s="12" t="s">
        <v>414</v>
      </c>
      <c r="AH24" s="12"/>
      <c r="AI24" s="12" t="s">
        <v>33</v>
      </c>
      <c r="AJ24" s="12"/>
      <c r="AK24" s="8">
        <v>0</v>
      </c>
      <c r="AL24" s="8"/>
      <c r="AM24" s="8">
        <v>258245</v>
      </c>
      <c r="AN24" s="8"/>
      <c r="AO24" s="8">
        <v>281216</v>
      </c>
      <c r="AP24" s="8"/>
      <c r="AQ24" s="8">
        <v>45235</v>
      </c>
      <c r="AR24" s="8"/>
      <c r="AS24" s="8"/>
      <c r="AT24" s="8"/>
      <c r="AU24" s="8">
        <v>0</v>
      </c>
      <c r="AV24" s="8"/>
      <c r="AW24" s="8">
        <f t="shared" si="0"/>
        <v>6700247</v>
      </c>
      <c r="AY24" s="8">
        <f>+'St of Activites - GA Rev'!AI24-'St of Activities - GA Exp'!AW24</f>
        <v>3403</v>
      </c>
      <c r="BA24" s="8">
        <v>6541395</v>
      </c>
      <c r="BC24" s="8">
        <f t="shared" si="1"/>
        <v>6544798</v>
      </c>
      <c r="BE24" s="8">
        <f>+'St of Net Assets - GA'!AA24-'St of Activities - GA Exp'!BC24</f>
        <v>0</v>
      </c>
    </row>
    <row r="25" spans="1:59">
      <c r="A25" s="12" t="s">
        <v>213</v>
      </c>
      <c r="B25" s="12"/>
      <c r="C25" s="12" t="s">
        <v>11</v>
      </c>
      <c r="D25" s="12"/>
      <c r="E25" s="32">
        <v>43505</v>
      </c>
      <c r="F25" s="8"/>
      <c r="G25" s="8">
        <v>14523891</v>
      </c>
      <c r="H25" s="8"/>
      <c r="I25" s="8">
        <v>3969256</v>
      </c>
      <c r="J25" s="8"/>
      <c r="K25" s="8">
        <v>1014708</v>
      </c>
      <c r="L25" s="8"/>
      <c r="M25" s="8">
        <f>271767+1551283</f>
        <v>1823050</v>
      </c>
      <c r="N25" s="8"/>
      <c r="O25" s="8">
        <v>1596657</v>
      </c>
      <c r="P25" s="8"/>
      <c r="Q25" s="8">
        <v>2062108</v>
      </c>
      <c r="R25" s="8"/>
      <c r="S25" s="8">
        <v>163313</v>
      </c>
      <c r="T25" s="8"/>
      <c r="U25" s="8">
        <v>2675869</v>
      </c>
      <c r="V25" s="8"/>
      <c r="W25" s="8">
        <v>809387</v>
      </c>
      <c r="X25" s="8"/>
      <c r="Y25" s="8">
        <v>468538</v>
      </c>
      <c r="Z25" s="8"/>
      <c r="AA25" s="8">
        <v>2980807</v>
      </c>
      <c r="AB25" s="8"/>
      <c r="AC25" s="8">
        <v>1109116</v>
      </c>
      <c r="AD25" s="8"/>
      <c r="AE25" s="8">
        <v>301765</v>
      </c>
      <c r="AF25" s="138"/>
      <c r="AG25" s="12" t="s">
        <v>213</v>
      </c>
      <c r="AH25" s="12"/>
      <c r="AI25" s="12" t="s">
        <v>11</v>
      </c>
      <c r="AJ25" s="12"/>
      <c r="AK25" s="8">
        <v>1414276</v>
      </c>
      <c r="AL25" s="8"/>
      <c r="AM25" s="8">
        <v>234441</v>
      </c>
      <c r="AN25" s="8"/>
      <c r="AO25" s="8">
        <v>974580</v>
      </c>
      <c r="AP25" s="8"/>
      <c r="AQ25" s="8">
        <v>160814</v>
      </c>
      <c r="AR25" s="8"/>
      <c r="AS25" s="8"/>
      <c r="AT25" s="8"/>
      <c r="AU25" s="8">
        <v>0</v>
      </c>
      <c r="AV25" s="8"/>
      <c r="AW25" s="8">
        <f t="shared" si="0"/>
        <v>36282576</v>
      </c>
      <c r="AY25" s="8">
        <f>+'St of Activites - GA Rev'!AI25-'St of Activities - GA Exp'!AW25</f>
        <v>263239</v>
      </c>
      <c r="BA25" s="8">
        <v>16136565</v>
      </c>
      <c r="BC25" s="8">
        <f t="shared" si="1"/>
        <v>16399804</v>
      </c>
      <c r="BE25" s="8">
        <f>+'St of Net Assets - GA'!AA25-'St of Activities - GA Exp'!BC25</f>
        <v>0</v>
      </c>
    </row>
    <row r="26" spans="1:59" ht="12" customHeight="1">
      <c r="A26" s="13" t="s">
        <v>761</v>
      </c>
      <c r="B26" s="13"/>
      <c r="C26" s="13" t="s">
        <v>12</v>
      </c>
      <c r="D26" s="13"/>
      <c r="E26" s="32">
        <v>43513</v>
      </c>
      <c r="G26" s="8">
        <v>19296039</v>
      </c>
      <c r="H26" s="8"/>
      <c r="I26" s="8">
        <v>6182656</v>
      </c>
      <c r="J26" s="8"/>
      <c r="K26" s="8">
        <v>184877</v>
      </c>
      <c r="L26" s="8"/>
      <c r="M26" s="8">
        <v>1590018</v>
      </c>
      <c r="N26" s="8"/>
      <c r="O26" s="8">
        <v>2136569</v>
      </c>
      <c r="P26" s="8"/>
      <c r="Q26" s="8">
        <v>2301466</v>
      </c>
      <c r="R26" s="8"/>
      <c r="S26" s="8">
        <v>157038</v>
      </c>
      <c r="T26" s="8"/>
      <c r="U26" s="8">
        <v>2484490</v>
      </c>
      <c r="V26" s="8"/>
      <c r="W26" s="8">
        <v>820006</v>
      </c>
      <c r="X26" s="8"/>
      <c r="Y26" s="8">
        <v>709828</v>
      </c>
      <c r="Z26" s="8"/>
      <c r="AA26" s="8">
        <v>4012912</v>
      </c>
      <c r="AB26" s="8"/>
      <c r="AC26" s="8">
        <v>2235599</v>
      </c>
      <c r="AD26" s="8"/>
      <c r="AE26" s="8">
        <v>29599</v>
      </c>
      <c r="AF26" s="138"/>
      <c r="AG26" s="13" t="s">
        <v>761</v>
      </c>
      <c r="AH26" s="13"/>
      <c r="AI26" s="13" t="s">
        <v>12</v>
      </c>
      <c r="AJ26" s="13"/>
      <c r="AK26" s="8">
        <v>0</v>
      </c>
      <c r="AL26" s="8"/>
      <c r="AM26" s="8">
        <v>1194084</v>
      </c>
      <c r="AN26" s="8"/>
      <c r="AO26" s="8">
        <v>852784</v>
      </c>
      <c r="AP26" s="8"/>
      <c r="AQ26" s="8">
        <v>1873924</v>
      </c>
      <c r="AR26" s="8"/>
      <c r="AS26" s="8"/>
      <c r="AT26" s="8"/>
      <c r="AU26" s="8">
        <v>921662</v>
      </c>
      <c r="AV26" s="8"/>
      <c r="AW26" s="8">
        <f t="shared" si="0"/>
        <v>46983551</v>
      </c>
      <c r="AY26" s="8">
        <f>+'St of Activites - GA Rev'!AI26-'St of Activities - GA Exp'!AW26</f>
        <v>21896636</v>
      </c>
      <c r="BA26" s="8">
        <v>37755976</v>
      </c>
      <c r="BC26" s="8">
        <f t="shared" si="1"/>
        <v>59652612</v>
      </c>
      <c r="BE26" s="8">
        <f>+'St of Net Assets - GA'!AA26-'St of Activities - GA Exp'!BC26</f>
        <v>0</v>
      </c>
      <c r="BG26" s="8" t="s">
        <v>956</v>
      </c>
    </row>
    <row r="27" spans="1:59">
      <c r="A27" s="12" t="s">
        <v>223</v>
      </c>
      <c r="B27" s="12"/>
      <c r="C27" s="12" t="s">
        <v>13</v>
      </c>
      <c r="D27" s="12"/>
      <c r="E27" s="32">
        <v>43521</v>
      </c>
      <c r="G27" s="8">
        <v>15652902</v>
      </c>
      <c r="H27" s="8"/>
      <c r="I27" s="8">
        <v>3653542</v>
      </c>
      <c r="J27" s="8"/>
      <c r="K27" s="8">
        <v>343739</v>
      </c>
      <c r="L27" s="8"/>
      <c r="M27" s="8">
        <v>362017</v>
      </c>
      <c r="N27" s="8"/>
      <c r="O27" s="8">
        <v>1386740</v>
      </c>
      <c r="P27" s="8"/>
      <c r="Q27" s="8">
        <v>1929428</v>
      </c>
      <c r="R27" s="8"/>
      <c r="S27" s="8">
        <v>87678</v>
      </c>
      <c r="T27" s="8"/>
      <c r="U27" s="8">
        <v>1907707</v>
      </c>
      <c r="V27" s="8"/>
      <c r="W27" s="8">
        <v>717860</v>
      </c>
      <c r="X27" s="8"/>
      <c r="Y27" s="8">
        <v>610723</v>
      </c>
      <c r="Z27" s="8"/>
      <c r="AA27" s="8">
        <v>3725763</v>
      </c>
      <c r="AB27" s="8"/>
      <c r="AC27" s="8">
        <v>1919536</v>
      </c>
      <c r="AD27" s="8"/>
      <c r="AE27" s="8">
        <v>200597</v>
      </c>
      <c r="AF27" s="138"/>
      <c r="AG27" s="12" t="s">
        <v>223</v>
      </c>
      <c r="AH27" s="12"/>
      <c r="AI27" s="12" t="s">
        <v>13</v>
      </c>
      <c r="AJ27" s="12"/>
      <c r="AK27" s="8">
        <v>869551</v>
      </c>
      <c r="AL27" s="8"/>
      <c r="AM27" s="8">
        <v>300</v>
      </c>
      <c r="AN27" s="8"/>
      <c r="AO27" s="8">
        <v>526387</v>
      </c>
      <c r="AP27" s="8"/>
      <c r="AQ27" s="8">
        <v>683439</v>
      </c>
      <c r="AR27" s="8"/>
      <c r="AS27" s="8"/>
      <c r="AT27" s="8"/>
      <c r="AU27" s="8">
        <v>0</v>
      </c>
      <c r="AV27" s="8"/>
      <c r="AW27" s="8">
        <f t="shared" si="0"/>
        <v>34577909</v>
      </c>
      <c r="AY27" s="8">
        <f>+'St of Activites - GA Rev'!AI27-'St of Activities - GA Exp'!AW27</f>
        <v>2378004</v>
      </c>
      <c r="BA27" s="8">
        <v>21239590</v>
      </c>
      <c r="BC27" s="8">
        <f t="shared" si="1"/>
        <v>23617594</v>
      </c>
      <c r="BE27" s="8">
        <f>+'St of Net Assets - GA'!AA27-'St of Activities - GA Exp'!BC27</f>
        <v>0</v>
      </c>
      <c r="BG27" s="10" t="s">
        <v>956</v>
      </c>
    </row>
    <row r="28" spans="1:59">
      <c r="A28" s="12" t="s">
        <v>588</v>
      </c>
      <c r="B28" s="12"/>
      <c r="C28" s="12" t="s">
        <v>56</v>
      </c>
      <c r="D28" s="12"/>
      <c r="E28" s="32">
        <v>49171</v>
      </c>
      <c r="G28" s="8">
        <v>13023613</v>
      </c>
      <c r="H28" s="8"/>
      <c r="I28" s="8">
        <v>1687534</v>
      </c>
      <c r="J28" s="8"/>
      <c r="K28" s="8">
        <v>174021</v>
      </c>
      <c r="L28" s="8"/>
      <c r="M28" s="8">
        <v>572706</v>
      </c>
      <c r="N28" s="8"/>
      <c r="O28" s="8">
        <v>1540657</v>
      </c>
      <c r="P28" s="8"/>
      <c r="Q28" s="8">
        <v>1805157</v>
      </c>
      <c r="R28" s="8"/>
      <c r="S28" s="8">
        <v>75249</v>
      </c>
      <c r="T28" s="8"/>
      <c r="U28" s="8">
        <v>2649474</v>
      </c>
      <c r="V28" s="8"/>
      <c r="W28" s="8">
        <v>851274</v>
      </c>
      <c r="X28" s="8"/>
      <c r="Y28" s="8">
        <v>218807</v>
      </c>
      <c r="Z28" s="8"/>
      <c r="AA28" s="8">
        <v>3125689</v>
      </c>
      <c r="AB28" s="8"/>
      <c r="AC28" s="8">
        <v>1259099</v>
      </c>
      <c r="AD28" s="8"/>
      <c r="AE28" s="8">
        <v>73887</v>
      </c>
      <c r="AF28" s="138"/>
      <c r="AG28" s="12" t="s">
        <v>588</v>
      </c>
      <c r="AH28" s="12"/>
      <c r="AI28" s="12" t="s">
        <v>56</v>
      </c>
      <c r="AJ28" s="12"/>
      <c r="AK28" s="8">
        <v>870793</v>
      </c>
      <c r="AL28" s="8"/>
      <c r="AM28" s="8">
        <v>0</v>
      </c>
      <c r="AN28" s="8"/>
      <c r="AO28" s="8">
        <v>639621</v>
      </c>
      <c r="AP28" s="8"/>
      <c r="AQ28" s="8">
        <v>620814</v>
      </c>
      <c r="AR28" s="8"/>
      <c r="AS28" s="8"/>
      <c r="AT28" s="8"/>
      <c r="AU28" s="8">
        <v>0</v>
      </c>
      <c r="AV28" s="8"/>
      <c r="AW28" s="8">
        <f t="shared" si="0"/>
        <v>29188395</v>
      </c>
      <c r="AY28" s="8">
        <f>+'St of Activites - GA Rev'!AI28-'St of Activities - GA Exp'!AW28</f>
        <v>-774288</v>
      </c>
      <c r="BA28" s="8">
        <v>3497518</v>
      </c>
      <c r="BC28" s="8">
        <f t="shared" si="1"/>
        <v>2723230</v>
      </c>
      <c r="BE28" s="8">
        <f>+'St of Net Assets - GA'!AA28-'St of Activities - GA Exp'!BC28</f>
        <v>0</v>
      </c>
    </row>
    <row r="29" spans="1:59">
      <c r="A29" s="12" t="s">
        <v>508</v>
      </c>
      <c r="B29" s="12"/>
      <c r="C29" s="12" t="s">
        <v>45</v>
      </c>
      <c r="D29" s="12"/>
      <c r="E29" s="32">
        <v>48298</v>
      </c>
      <c r="G29" s="8">
        <v>19736189</v>
      </c>
      <c r="H29" s="8"/>
      <c r="I29" s="8">
        <v>5370879</v>
      </c>
      <c r="J29" s="8"/>
      <c r="K29" s="8">
        <v>246183</v>
      </c>
      <c r="L29" s="8"/>
      <c r="M29" s="8">
        <v>1589751</v>
      </c>
      <c r="N29" s="8"/>
      <c r="O29" s="8">
        <v>2777257</v>
      </c>
      <c r="P29" s="8"/>
      <c r="Q29" s="8">
        <v>1531181</v>
      </c>
      <c r="R29" s="8"/>
      <c r="S29" s="8">
        <v>46498</v>
      </c>
      <c r="T29" s="8"/>
      <c r="U29" s="8">
        <v>3642006</v>
      </c>
      <c r="V29" s="8"/>
      <c r="W29" s="8">
        <v>891394</v>
      </c>
      <c r="X29" s="8"/>
      <c r="Y29" s="8">
        <v>6214</v>
      </c>
      <c r="Z29" s="8"/>
      <c r="AA29" s="8">
        <v>4246874</v>
      </c>
      <c r="AB29" s="8"/>
      <c r="AC29" s="8">
        <v>2413659</v>
      </c>
      <c r="AD29" s="8"/>
      <c r="AE29" s="8">
        <v>557</v>
      </c>
      <c r="AF29" s="138"/>
      <c r="AG29" s="12" t="s">
        <v>508</v>
      </c>
      <c r="AH29" s="12"/>
      <c r="AI29" s="12" t="s">
        <v>45</v>
      </c>
      <c r="AJ29" s="12"/>
      <c r="AK29" s="8">
        <v>1894552</v>
      </c>
      <c r="AL29" s="8"/>
      <c r="AM29" s="8">
        <v>216103</v>
      </c>
      <c r="AN29" s="8"/>
      <c r="AO29" s="8">
        <v>1063997</v>
      </c>
      <c r="AP29" s="8"/>
      <c r="AQ29" s="8">
        <v>1245703</v>
      </c>
      <c r="AR29" s="8"/>
      <c r="AS29" s="8"/>
      <c r="AT29" s="8"/>
      <c r="AU29" s="8">
        <v>55044</v>
      </c>
      <c r="AV29" s="8"/>
      <c r="AW29" s="8">
        <f t="shared" si="0"/>
        <v>46974041</v>
      </c>
      <c r="AY29" s="8">
        <f>+'St of Activites - GA Rev'!AI29-'St of Activities - GA Exp'!AW29</f>
        <v>-1630018</v>
      </c>
      <c r="BA29" s="8">
        <v>13121187</v>
      </c>
      <c r="BC29" s="8">
        <f t="shared" si="1"/>
        <v>11491169</v>
      </c>
      <c r="BE29" s="8">
        <f>+'St of Net Assets - GA'!AA29-'St of Activities - GA Exp'!BC29</f>
        <v>0</v>
      </c>
      <c r="BG29" s="10" t="s">
        <v>956</v>
      </c>
    </row>
    <row r="30" spans="1:59">
      <c r="A30" s="12" t="s">
        <v>483</v>
      </c>
      <c r="B30" s="12"/>
      <c r="C30" s="12" t="s">
        <v>44</v>
      </c>
      <c r="D30" s="12"/>
      <c r="E30" s="32">
        <v>48124</v>
      </c>
      <c r="G30" s="8">
        <v>18279003</v>
      </c>
      <c r="H30" s="8"/>
      <c r="I30" s="8">
        <v>2818062</v>
      </c>
      <c r="J30" s="8"/>
      <c r="K30" s="8">
        <v>204700</v>
      </c>
      <c r="L30" s="8"/>
      <c r="M30" s="8">
        <f>18913+1000656</f>
        <v>1019569</v>
      </c>
      <c r="N30" s="8"/>
      <c r="O30" s="8">
        <v>3318731</v>
      </c>
      <c r="P30" s="8"/>
      <c r="Q30" s="8">
        <v>922353</v>
      </c>
      <c r="R30" s="8"/>
      <c r="S30" s="8">
        <v>20568</v>
      </c>
      <c r="T30" s="8"/>
      <c r="U30" s="8">
        <v>3334181</v>
      </c>
      <c r="V30" s="8"/>
      <c r="W30" s="8">
        <v>997105</v>
      </c>
      <c r="X30" s="8"/>
      <c r="Y30" s="8">
        <v>114110</v>
      </c>
      <c r="Z30" s="8"/>
      <c r="AA30" s="8">
        <v>4926928</v>
      </c>
      <c r="AB30" s="8"/>
      <c r="AC30" s="8">
        <v>1500578</v>
      </c>
      <c r="AD30" s="8"/>
      <c r="AE30" s="8">
        <v>190642</v>
      </c>
      <c r="AF30" s="138"/>
      <c r="AG30" s="12" t="s">
        <v>483</v>
      </c>
      <c r="AH30" s="12"/>
      <c r="AI30" s="12" t="s">
        <v>44</v>
      </c>
      <c r="AJ30" s="12"/>
      <c r="AK30" s="8">
        <v>1161495</v>
      </c>
      <c r="AL30" s="8"/>
      <c r="AM30" s="8">
        <v>261704</v>
      </c>
      <c r="AN30" s="8"/>
      <c r="AO30" s="8">
        <v>1195904</v>
      </c>
      <c r="AP30" s="8"/>
      <c r="AQ30" s="8">
        <v>2241575</v>
      </c>
      <c r="AR30" s="8"/>
      <c r="AS30" s="8"/>
      <c r="AT30" s="8"/>
      <c r="AU30" s="8">
        <v>0</v>
      </c>
      <c r="AV30" s="8"/>
      <c r="AW30" s="8">
        <f t="shared" si="0"/>
        <v>42507208</v>
      </c>
      <c r="AY30" s="8">
        <f>+'St of Activites - GA Rev'!AI30-'St of Activities - GA Exp'!AW30</f>
        <v>1395740</v>
      </c>
      <c r="BA30" s="8">
        <v>26130416</v>
      </c>
      <c r="BC30" s="8">
        <f t="shared" si="1"/>
        <v>27526156</v>
      </c>
      <c r="BE30" s="8">
        <f>+'St of Net Assets - GA'!AA30-'St of Activities - GA Exp'!BC30</f>
        <v>0</v>
      </c>
      <c r="BG30" s="10" t="s">
        <v>956</v>
      </c>
    </row>
    <row r="31" spans="1:59">
      <c r="A31" s="12" t="s">
        <v>484</v>
      </c>
      <c r="B31" s="12"/>
      <c r="C31" s="12" t="s">
        <v>44</v>
      </c>
      <c r="D31" s="12"/>
      <c r="E31" s="32">
        <v>48116</v>
      </c>
      <c r="G31" s="8">
        <v>14810451</v>
      </c>
      <c r="H31" s="8"/>
      <c r="I31" s="8">
        <v>3064803</v>
      </c>
      <c r="J31" s="8"/>
      <c r="K31" s="8">
        <v>159760</v>
      </c>
      <c r="L31" s="8"/>
      <c r="M31" s="8">
        <v>541193</v>
      </c>
      <c r="N31" s="8"/>
      <c r="O31" s="8">
        <v>1085003</v>
      </c>
      <c r="P31" s="8"/>
      <c r="Q31" s="8">
        <v>1504571</v>
      </c>
      <c r="R31" s="8"/>
      <c r="S31" s="8">
        <v>145768</v>
      </c>
      <c r="T31" s="8"/>
      <c r="U31" s="8">
        <v>2173806</v>
      </c>
      <c r="V31" s="8"/>
      <c r="W31" s="8">
        <v>748472</v>
      </c>
      <c r="X31" s="8"/>
      <c r="Y31" s="8">
        <v>28250</v>
      </c>
      <c r="Z31" s="8"/>
      <c r="AA31" s="8">
        <v>2451043</v>
      </c>
      <c r="AB31" s="8"/>
      <c r="AC31" s="8">
        <v>2162688</v>
      </c>
      <c r="AD31" s="8"/>
      <c r="AE31" s="8">
        <v>254398</v>
      </c>
      <c r="AF31" s="138"/>
      <c r="AG31" s="12" t="s">
        <v>484</v>
      </c>
      <c r="AH31" s="12"/>
      <c r="AI31" s="12" t="s">
        <v>44</v>
      </c>
      <c r="AJ31" s="12"/>
      <c r="AK31" s="8">
        <v>808351</v>
      </c>
      <c r="AL31" s="8"/>
      <c r="AM31" s="8">
        <f>136294+449991</f>
        <v>586285</v>
      </c>
      <c r="AN31" s="8"/>
      <c r="AO31" s="8">
        <f>77140+870659+35148</f>
        <v>982947</v>
      </c>
      <c r="AP31" s="8"/>
      <c r="AQ31" s="8">
        <v>2079004</v>
      </c>
      <c r="AR31" s="8"/>
      <c r="AS31" s="8"/>
      <c r="AT31" s="8"/>
      <c r="AU31" s="8">
        <v>0</v>
      </c>
      <c r="AV31" s="8"/>
      <c r="AW31" s="8">
        <f t="shared" si="0"/>
        <v>33586793</v>
      </c>
      <c r="AY31" s="8">
        <f>+'St of Activites - GA Rev'!AI31-'St of Activities - GA Exp'!AW31</f>
        <v>395259</v>
      </c>
      <c r="BA31" s="8">
        <v>17554776</v>
      </c>
      <c r="BC31" s="8">
        <f t="shared" si="1"/>
        <v>17950035</v>
      </c>
      <c r="BE31" s="8">
        <f>+'St of Net Assets - GA'!AA31-'St of Activities - GA Exp'!BC31</f>
        <v>0</v>
      </c>
      <c r="BG31" s="10" t="s">
        <v>956</v>
      </c>
    </row>
    <row r="32" spans="1:59">
      <c r="A32" s="12" t="s">
        <v>330</v>
      </c>
      <c r="B32" s="12"/>
      <c r="C32" s="12" t="s">
        <v>22</v>
      </c>
      <c r="D32" s="12"/>
      <c r="E32" s="32">
        <v>46706</v>
      </c>
      <c r="G32" s="8">
        <v>3555885</v>
      </c>
      <c r="H32" s="8"/>
      <c r="I32" s="8">
        <v>688767</v>
      </c>
      <c r="J32" s="8"/>
      <c r="K32" s="8">
        <v>39903</v>
      </c>
      <c r="L32" s="8"/>
      <c r="M32" s="8">
        <v>410374</v>
      </c>
      <c r="N32" s="8"/>
      <c r="O32" s="8">
        <v>226031</v>
      </c>
      <c r="P32" s="8"/>
      <c r="Q32" s="8">
        <v>289618</v>
      </c>
      <c r="R32" s="8"/>
      <c r="S32" s="8">
        <v>24240</v>
      </c>
      <c r="T32" s="8"/>
      <c r="U32" s="8">
        <v>681652</v>
      </c>
      <c r="V32" s="8"/>
      <c r="W32" s="8">
        <v>337528</v>
      </c>
      <c r="X32" s="8"/>
      <c r="Y32" s="8">
        <v>0</v>
      </c>
      <c r="Z32" s="8"/>
      <c r="AA32" s="8">
        <v>586635</v>
      </c>
      <c r="AB32" s="8"/>
      <c r="AC32" s="8">
        <v>259396</v>
      </c>
      <c r="AD32" s="8"/>
      <c r="AE32" s="8">
        <v>51303</v>
      </c>
      <c r="AF32" s="138"/>
      <c r="AG32" s="12" t="s">
        <v>330</v>
      </c>
      <c r="AH32" s="12"/>
      <c r="AI32" s="12" t="s">
        <v>22</v>
      </c>
      <c r="AJ32" s="12"/>
      <c r="AK32" s="8">
        <v>283717</v>
      </c>
      <c r="AL32" s="8"/>
      <c r="AM32" s="8">
        <v>191987</v>
      </c>
      <c r="AN32" s="8"/>
      <c r="AO32" s="8">
        <v>399296</v>
      </c>
      <c r="AP32" s="8"/>
      <c r="AQ32" s="8">
        <v>4309</v>
      </c>
      <c r="AR32" s="8"/>
      <c r="AS32" s="8"/>
      <c r="AT32" s="8"/>
      <c r="AU32" s="8">
        <v>0</v>
      </c>
      <c r="AV32" s="8"/>
      <c r="AW32" s="8">
        <f t="shared" si="0"/>
        <v>8030641</v>
      </c>
      <c r="AY32" s="8">
        <f>+'St of Activites - GA Rev'!AI32-'St of Activities - GA Exp'!AW32</f>
        <v>383300</v>
      </c>
      <c r="BA32" s="8">
        <v>4695422</v>
      </c>
      <c r="BC32" s="8">
        <f t="shared" si="1"/>
        <v>5078722</v>
      </c>
      <c r="BE32" s="8">
        <f>+'St of Net Assets - GA'!AA32-'St of Activities - GA Exp'!BC32</f>
        <v>0</v>
      </c>
      <c r="BG32" s="10" t="s">
        <v>956</v>
      </c>
    </row>
    <row r="33" spans="1:59">
      <c r="A33" s="12" t="s">
        <v>663</v>
      </c>
      <c r="B33" s="12"/>
      <c r="C33" s="12" t="s">
        <v>63</v>
      </c>
      <c r="D33" s="12"/>
      <c r="E33" s="32">
        <v>43539</v>
      </c>
      <c r="G33" s="8">
        <v>16239450</v>
      </c>
      <c r="H33" s="8"/>
      <c r="I33" s="8">
        <v>7081921</v>
      </c>
      <c r="J33" s="8"/>
      <c r="K33" s="8">
        <v>1343329</v>
      </c>
      <c r="L33" s="8"/>
      <c r="M33" s="8">
        <v>4534904</v>
      </c>
      <c r="N33" s="8"/>
      <c r="O33" s="8">
        <v>2057266</v>
      </c>
      <c r="P33" s="8"/>
      <c r="Q33" s="8">
        <v>2473902</v>
      </c>
      <c r="R33" s="8"/>
      <c r="S33" s="8">
        <v>26876</v>
      </c>
      <c r="T33" s="8"/>
      <c r="U33" s="8">
        <v>3325434</v>
      </c>
      <c r="V33" s="8"/>
      <c r="W33" s="8">
        <v>678139</v>
      </c>
      <c r="X33" s="8"/>
      <c r="Y33" s="8">
        <v>253561</v>
      </c>
      <c r="Z33" s="8"/>
      <c r="AA33" s="8">
        <v>4473283</v>
      </c>
      <c r="AB33" s="8"/>
      <c r="AC33" s="8">
        <v>1122430</v>
      </c>
      <c r="AD33" s="8"/>
      <c r="AE33" s="8">
        <v>81811</v>
      </c>
      <c r="AF33" s="138"/>
      <c r="AG33" s="12" t="s">
        <v>663</v>
      </c>
      <c r="AH33" s="12"/>
      <c r="AI33" s="12" t="s">
        <v>63</v>
      </c>
      <c r="AJ33" s="12"/>
      <c r="AK33" s="8">
        <v>2175415</v>
      </c>
      <c r="AL33" s="8"/>
      <c r="AM33" s="8">
        <v>276216</v>
      </c>
      <c r="AN33" s="8"/>
      <c r="AO33" s="8">
        <v>1963991</v>
      </c>
      <c r="AP33" s="8"/>
      <c r="AQ33" s="8">
        <v>3078887</v>
      </c>
      <c r="AR33" s="8"/>
      <c r="AS33" s="8"/>
      <c r="AT33" s="8"/>
      <c r="AU33" s="8">
        <v>0</v>
      </c>
      <c r="AV33" s="8"/>
      <c r="AW33" s="8">
        <f t="shared" si="0"/>
        <v>51186815</v>
      </c>
      <c r="AY33" s="8">
        <f>+'St of Activites - GA Rev'!AI33-'St of Activities - GA Exp'!AW33</f>
        <v>53448105</v>
      </c>
      <c r="BA33" s="8">
        <v>30777638</v>
      </c>
      <c r="BC33" s="8">
        <f t="shared" si="1"/>
        <v>84225743</v>
      </c>
      <c r="BE33" s="8">
        <f>+'St of Net Assets - GA'!AA33-'St of Activities - GA Exp'!BC33</f>
        <v>0</v>
      </c>
    </row>
    <row r="34" spans="1:59">
      <c r="A34" s="12" t="s">
        <v>815</v>
      </c>
      <c r="B34" s="12"/>
      <c r="C34" s="12" t="s">
        <v>15</v>
      </c>
      <c r="D34" s="12"/>
      <c r="E34" s="32"/>
      <c r="G34" s="8">
        <v>4697810</v>
      </c>
      <c r="H34" s="8"/>
      <c r="I34" s="8">
        <v>1552229</v>
      </c>
      <c r="J34" s="8"/>
      <c r="K34" s="8">
        <v>120477</v>
      </c>
      <c r="L34" s="8"/>
      <c r="M34" s="8">
        <v>183142</v>
      </c>
      <c r="N34" s="8"/>
      <c r="O34" s="8">
        <v>527369</v>
      </c>
      <c r="P34" s="8"/>
      <c r="Q34" s="8">
        <v>348711</v>
      </c>
      <c r="R34" s="8"/>
      <c r="S34" s="8">
        <v>141326</v>
      </c>
      <c r="T34" s="8"/>
      <c r="U34" s="8">
        <v>873825</v>
      </c>
      <c r="V34" s="8"/>
      <c r="W34" s="8">
        <v>415674</v>
      </c>
      <c r="X34" s="8"/>
      <c r="Y34" s="8">
        <v>21888</v>
      </c>
      <c r="Z34" s="8"/>
      <c r="AA34" s="8">
        <v>1091571</v>
      </c>
      <c r="AB34" s="8"/>
      <c r="AC34" s="8">
        <v>542924</v>
      </c>
      <c r="AD34" s="8"/>
      <c r="AE34" s="8">
        <v>125598</v>
      </c>
      <c r="AF34" s="138"/>
      <c r="AG34" s="12" t="s">
        <v>815</v>
      </c>
      <c r="AH34" s="12"/>
      <c r="AI34" s="12" t="s">
        <v>15</v>
      </c>
      <c r="AJ34" s="12"/>
      <c r="AK34" s="8">
        <v>435935</v>
      </c>
      <c r="AL34" s="8"/>
      <c r="AM34" s="8">
        <v>60375</v>
      </c>
      <c r="AN34" s="8"/>
      <c r="AO34" s="8">
        <v>210234</v>
      </c>
      <c r="AP34" s="8"/>
      <c r="AQ34" s="8">
        <v>147339</v>
      </c>
      <c r="AR34" s="8"/>
      <c r="AS34" s="8"/>
      <c r="AT34" s="8"/>
      <c r="AU34" s="8">
        <v>0</v>
      </c>
      <c r="AV34" s="8"/>
      <c r="AW34" s="8">
        <f t="shared" si="0"/>
        <v>11496427</v>
      </c>
      <c r="AY34" s="8">
        <f>+'St of Activites - GA Rev'!AI34-'St of Activities - GA Exp'!AW34</f>
        <v>-528518</v>
      </c>
      <c r="BA34" s="8">
        <v>16346570</v>
      </c>
      <c r="BC34" s="8">
        <f t="shared" si="1"/>
        <v>15818052</v>
      </c>
      <c r="BE34" s="8">
        <f>+'St of Net Assets - GA'!AA34-'St of Activities - GA Exp'!BC34</f>
        <v>0</v>
      </c>
    </row>
    <row r="35" spans="1:59">
      <c r="A35" s="12" t="s">
        <v>266</v>
      </c>
      <c r="B35" s="12"/>
      <c r="C35" s="12" t="s">
        <v>115</v>
      </c>
      <c r="D35" s="12"/>
      <c r="E35" s="32">
        <v>46300</v>
      </c>
      <c r="G35" s="8">
        <v>8550357</v>
      </c>
      <c r="H35" s="8"/>
      <c r="I35" s="8">
        <v>3533203</v>
      </c>
      <c r="J35" s="8"/>
      <c r="K35" s="8">
        <v>116349</v>
      </c>
      <c r="L35" s="8"/>
      <c r="M35" s="8">
        <v>0</v>
      </c>
      <c r="N35" s="8"/>
      <c r="O35" s="8">
        <v>505310</v>
      </c>
      <c r="P35" s="8"/>
      <c r="Q35" s="8">
        <v>646377</v>
      </c>
      <c r="R35" s="8"/>
      <c r="S35" s="8">
        <v>64140</v>
      </c>
      <c r="T35" s="8"/>
      <c r="U35" s="8">
        <v>1437820</v>
      </c>
      <c r="V35" s="8"/>
      <c r="W35" s="8">
        <v>497565</v>
      </c>
      <c r="X35" s="8"/>
      <c r="Y35" s="8">
        <v>0</v>
      </c>
      <c r="Z35" s="8"/>
      <c r="AA35" s="8">
        <v>1620617</v>
      </c>
      <c r="AB35" s="8"/>
      <c r="AC35" s="8">
        <v>1364400</v>
      </c>
      <c r="AD35" s="8"/>
      <c r="AE35" s="8">
        <v>7583</v>
      </c>
      <c r="AF35" s="138"/>
      <c r="AG35" s="12" t="s">
        <v>266</v>
      </c>
      <c r="AH35" s="12"/>
      <c r="AI35" s="12" t="s">
        <v>115</v>
      </c>
      <c r="AJ35" s="12"/>
      <c r="AK35" s="8">
        <v>0</v>
      </c>
      <c r="AL35" s="8"/>
      <c r="AM35" s="8">
        <v>506254</v>
      </c>
      <c r="AN35" s="8"/>
      <c r="AO35" s="8">
        <v>0</v>
      </c>
      <c r="AP35" s="8"/>
      <c r="AQ35" s="8">
        <v>494007</v>
      </c>
      <c r="AR35" s="8"/>
      <c r="AS35" s="8"/>
      <c r="AT35" s="8"/>
      <c r="AU35" s="8">
        <v>0</v>
      </c>
      <c r="AV35" s="8"/>
      <c r="AW35" s="8">
        <f t="shared" si="0"/>
        <v>19343982</v>
      </c>
      <c r="AY35" s="8">
        <f>+'St of Activites - GA Rev'!AI35-'St of Activities - GA Exp'!AW35</f>
        <v>-1313331</v>
      </c>
      <c r="BA35" s="8">
        <v>6053171</v>
      </c>
      <c r="BC35" s="8">
        <f t="shared" si="1"/>
        <v>4739840</v>
      </c>
      <c r="BE35" s="8">
        <f>+'St of Net Assets - GA'!AA35-'St of Activities - GA Exp'!BC35</f>
        <v>0</v>
      </c>
    </row>
    <row r="36" spans="1:59" ht="12" hidden="1" customHeight="1">
      <c r="A36" s="13" t="s">
        <v>960</v>
      </c>
      <c r="B36" s="12"/>
      <c r="C36" s="12" t="s">
        <v>10</v>
      </c>
      <c r="D36" s="12"/>
      <c r="E36" s="32">
        <v>45765</v>
      </c>
      <c r="F36" s="8"/>
      <c r="G36" s="8">
        <v>7051453</v>
      </c>
      <c r="H36" s="8"/>
      <c r="I36" s="8">
        <v>1004445</v>
      </c>
      <c r="J36" s="8"/>
      <c r="K36" s="8">
        <v>1156</v>
      </c>
      <c r="L36" s="8"/>
      <c r="M36" s="8">
        <v>994844</v>
      </c>
      <c r="N36" s="8"/>
      <c r="O36" s="8">
        <v>971856</v>
      </c>
      <c r="P36" s="8"/>
      <c r="Q36" s="8">
        <v>372011</v>
      </c>
      <c r="R36" s="8"/>
      <c r="S36" s="8">
        <v>82598</v>
      </c>
      <c r="T36" s="8"/>
      <c r="U36" s="8">
        <v>1191702</v>
      </c>
      <c r="V36" s="8"/>
      <c r="W36" s="8">
        <v>569481</v>
      </c>
      <c r="X36" s="8"/>
      <c r="Y36" s="8">
        <v>0</v>
      </c>
      <c r="Z36" s="8"/>
      <c r="AA36" s="8">
        <v>2381081</v>
      </c>
      <c r="AB36" s="8"/>
      <c r="AC36" s="8">
        <v>942735</v>
      </c>
      <c r="AD36" s="8"/>
      <c r="AE36" s="8">
        <v>156059</v>
      </c>
      <c r="AF36" s="138"/>
      <c r="AG36" s="12" t="s">
        <v>209</v>
      </c>
      <c r="AH36" s="12"/>
      <c r="AI36" s="12" t="s">
        <v>10</v>
      </c>
      <c r="AJ36" s="12"/>
      <c r="AK36" s="8">
        <v>0</v>
      </c>
      <c r="AL36" s="8"/>
      <c r="AM36" s="8">
        <v>856474</v>
      </c>
      <c r="AN36" s="8"/>
      <c r="AO36" s="8">
        <v>728238</v>
      </c>
      <c r="AP36" s="8"/>
      <c r="AQ36" s="8"/>
      <c r="AR36" s="8"/>
      <c r="AS36" s="8"/>
      <c r="AT36" s="8"/>
      <c r="AU36" s="8">
        <f>19514+21268+17791-4709</f>
        <v>53864</v>
      </c>
      <c r="AV36" s="8"/>
      <c r="AW36" s="8">
        <f t="shared" si="0"/>
        <v>17357997</v>
      </c>
      <c r="AY36" s="8">
        <f>+'St of Activites - GA Rev'!AI36-'St of Activities - GA Exp'!AW36</f>
        <v>1141546</v>
      </c>
      <c r="BA36" s="8">
        <v>13203372</v>
      </c>
      <c r="BC36" s="8">
        <f t="shared" si="1"/>
        <v>14344918</v>
      </c>
      <c r="BE36" s="8">
        <f>+'St of Net Assets - GA'!AA36-'St of Activities - GA Exp'!BC36</f>
        <v>0</v>
      </c>
      <c r="BG36" s="10" t="s">
        <v>956</v>
      </c>
    </row>
    <row r="37" spans="1:59" ht="12" customHeight="1">
      <c r="A37" s="12" t="s">
        <v>296</v>
      </c>
      <c r="B37" s="12"/>
      <c r="C37" s="12" t="s">
        <v>20</v>
      </c>
      <c r="D37" s="12"/>
      <c r="E37" s="32">
        <v>43547</v>
      </c>
      <c r="G37" s="8">
        <v>12848168</v>
      </c>
      <c r="H37" s="8"/>
      <c r="I37" s="8">
        <v>2118698</v>
      </c>
      <c r="J37" s="8"/>
      <c r="K37" s="8">
        <v>341036</v>
      </c>
      <c r="L37" s="8"/>
      <c r="M37" s="8">
        <v>1034326</v>
      </c>
      <c r="N37" s="8"/>
      <c r="O37" s="8">
        <v>2897872</v>
      </c>
      <c r="P37" s="8"/>
      <c r="Q37" s="8">
        <v>1041867</v>
      </c>
      <c r="R37" s="8"/>
      <c r="S37" s="8">
        <v>23224</v>
      </c>
      <c r="T37" s="8"/>
      <c r="U37" s="8">
        <v>2357291</v>
      </c>
      <c r="V37" s="8"/>
      <c r="W37" s="8">
        <v>628291</v>
      </c>
      <c r="X37" s="8"/>
      <c r="Y37" s="8">
        <v>544996</v>
      </c>
      <c r="Z37" s="8"/>
      <c r="AA37" s="8">
        <v>3085696</v>
      </c>
      <c r="AB37" s="8"/>
      <c r="AC37" s="8">
        <v>941510</v>
      </c>
      <c r="AD37" s="8"/>
      <c r="AE37" s="8">
        <v>462709</v>
      </c>
      <c r="AF37" s="138"/>
      <c r="AG37" s="12" t="s">
        <v>296</v>
      </c>
      <c r="AH37" s="12"/>
      <c r="AI37" s="12" t="s">
        <v>20</v>
      </c>
      <c r="AJ37" s="12"/>
      <c r="AK37" s="8">
        <v>864137</v>
      </c>
      <c r="AL37" s="8"/>
      <c r="AM37" s="8">
        <f>665027+814671</f>
        <v>1479698</v>
      </c>
      <c r="AN37" s="8"/>
      <c r="AO37" s="8">
        <f>88060+1338+846863+208588</f>
        <v>1144849</v>
      </c>
      <c r="AP37" s="8"/>
      <c r="AQ37" s="8">
        <v>1049159</v>
      </c>
      <c r="AR37" s="8"/>
      <c r="AS37" s="8"/>
      <c r="AT37" s="8"/>
      <c r="AU37" s="8">
        <v>0</v>
      </c>
      <c r="AV37" s="8"/>
      <c r="AW37" s="8">
        <f t="shared" si="0"/>
        <v>32863527</v>
      </c>
      <c r="AY37" s="8">
        <f>+'St of Activites - GA Rev'!AI37-'St of Activities - GA Exp'!AW37</f>
        <v>469175</v>
      </c>
      <c r="BA37" s="8">
        <v>16932910</v>
      </c>
      <c r="BC37" s="8">
        <f t="shared" si="1"/>
        <v>17402085</v>
      </c>
      <c r="BE37" s="8">
        <f>+'St of Net Assets - GA'!AA37-'St of Activities - GA Exp'!BC37</f>
        <v>0</v>
      </c>
    </row>
    <row r="38" spans="1:59">
      <c r="A38" s="12" t="s">
        <v>297</v>
      </c>
      <c r="B38" s="12"/>
      <c r="C38" s="12" t="s">
        <v>20</v>
      </c>
      <c r="D38" s="12"/>
      <c r="E38" s="32">
        <v>43554</v>
      </c>
      <c r="G38" s="8">
        <v>11979156</v>
      </c>
      <c r="H38" s="8"/>
      <c r="I38" s="8">
        <v>6784298</v>
      </c>
      <c r="J38" s="8"/>
      <c r="K38" s="8">
        <v>1290755</v>
      </c>
      <c r="L38" s="8"/>
      <c r="M38" s="8">
        <f>223322+179790</f>
        <v>403112</v>
      </c>
      <c r="N38" s="8"/>
      <c r="O38" s="8">
        <v>2710272</v>
      </c>
      <c r="P38" s="8"/>
      <c r="Q38" s="8">
        <v>1169119</v>
      </c>
      <c r="R38" s="8"/>
      <c r="S38" s="8">
        <v>460127</v>
      </c>
      <c r="T38" s="8"/>
      <c r="U38" s="8">
        <v>2329151</v>
      </c>
      <c r="V38" s="8"/>
      <c r="W38" s="8">
        <v>514478</v>
      </c>
      <c r="X38" s="8"/>
      <c r="Y38" s="8">
        <v>458069</v>
      </c>
      <c r="Z38" s="8"/>
      <c r="AA38" s="8">
        <v>3716973</v>
      </c>
      <c r="AB38" s="8"/>
      <c r="AC38" s="8">
        <v>2059398</v>
      </c>
      <c r="AD38" s="8"/>
      <c r="AE38" s="8">
        <v>704516</v>
      </c>
      <c r="AF38" s="138"/>
      <c r="AG38" s="12" t="s">
        <v>297</v>
      </c>
      <c r="AH38" s="12"/>
      <c r="AI38" s="12" t="s">
        <v>20</v>
      </c>
      <c r="AJ38" s="12"/>
      <c r="AK38" s="8">
        <v>657339</v>
      </c>
      <c r="AL38" s="8"/>
      <c r="AM38" s="8">
        <v>849430</v>
      </c>
      <c r="AN38" s="8"/>
      <c r="AO38" s="8">
        <v>1008747</v>
      </c>
      <c r="AP38" s="8"/>
      <c r="AQ38" s="8">
        <v>541519</v>
      </c>
      <c r="AR38" s="8"/>
      <c r="AS38" s="8"/>
      <c r="AT38" s="8"/>
      <c r="AU38" s="8">
        <v>0</v>
      </c>
      <c r="AV38" s="8"/>
      <c r="AW38" s="8">
        <f t="shared" si="0"/>
        <v>37636459</v>
      </c>
      <c r="AY38" s="8">
        <f>+'St of Activites - GA Rev'!AI38-'St of Activities - GA Exp'!AW38</f>
        <v>6450222</v>
      </c>
      <c r="BA38" s="8">
        <v>28436184</v>
      </c>
      <c r="BC38" s="8">
        <f t="shared" si="1"/>
        <v>34886406</v>
      </c>
      <c r="BE38" s="8">
        <f>+'St of Net Assets - GA'!AA38-'St of Activities - GA Exp'!BC38</f>
        <v>0</v>
      </c>
    </row>
    <row r="39" spans="1:59">
      <c r="A39" s="12" t="s">
        <v>278</v>
      </c>
      <c r="B39" s="12"/>
      <c r="C39" s="12" t="s">
        <v>114</v>
      </c>
      <c r="D39" s="12"/>
      <c r="E39" s="32">
        <v>46425</v>
      </c>
      <c r="G39" s="8">
        <v>10773879</v>
      </c>
      <c r="H39" s="8"/>
      <c r="I39" s="8">
        <v>2245339</v>
      </c>
      <c r="J39" s="8"/>
      <c r="K39" s="8">
        <v>19496</v>
      </c>
      <c r="L39" s="8"/>
      <c r="M39" s="8">
        <f>12557+181+2323</f>
        <v>15061</v>
      </c>
      <c r="N39" s="8"/>
      <c r="O39" s="8">
        <v>563821</v>
      </c>
      <c r="P39" s="8"/>
      <c r="Q39" s="8">
        <v>450690</v>
      </c>
      <c r="R39" s="8"/>
      <c r="S39" s="8">
        <v>20559</v>
      </c>
      <c r="T39" s="8"/>
      <c r="U39" s="8">
        <v>1817945</v>
      </c>
      <c r="V39" s="8"/>
      <c r="W39" s="8">
        <v>436209</v>
      </c>
      <c r="X39" s="8"/>
      <c r="Y39" s="8">
        <v>0</v>
      </c>
      <c r="Z39" s="8"/>
      <c r="AA39" s="8">
        <v>1762072</v>
      </c>
      <c r="AB39" s="8"/>
      <c r="AC39" s="8">
        <v>1342627</v>
      </c>
      <c r="AD39" s="8"/>
      <c r="AE39" s="8">
        <v>0</v>
      </c>
      <c r="AF39" s="138"/>
      <c r="AG39" s="12" t="s">
        <v>278</v>
      </c>
      <c r="AH39" s="12"/>
      <c r="AI39" s="12" t="s">
        <v>114</v>
      </c>
      <c r="AJ39" s="12"/>
      <c r="AK39" s="8">
        <v>0</v>
      </c>
      <c r="AL39" s="8"/>
      <c r="AM39" s="8">
        <v>969513</v>
      </c>
      <c r="AN39" s="8"/>
      <c r="AO39" s="8">
        <v>571823</v>
      </c>
      <c r="AP39" s="8"/>
      <c r="AQ39" s="8">
        <v>21162</v>
      </c>
      <c r="AR39" s="8"/>
      <c r="AS39" s="8"/>
      <c r="AT39" s="8"/>
      <c r="AU39" s="8">
        <v>86392</v>
      </c>
      <c r="AV39" s="8"/>
      <c r="AW39" s="8">
        <f t="shared" si="0"/>
        <v>21096588</v>
      </c>
      <c r="AY39" s="8">
        <f>+'St of Activites - GA Rev'!AI39-'St of Activities - GA Exp'!AW39</f>
        <v>-1331588</v>
      </c>
      <c r="BA39" s="8">
        <v>727024</v>
      </c>
      <c r="BC39" s="8">
        <f t="shared" si="1"/>
        <v>-604564</v>
      </c>
      <c r="BE39" s="8">
        <f>+'St of Net Assets - GA'!AA39-'St of Activities - GA Exp'!BC39</f>
        <v>0</v>
      </c>
    </row>
    <row r="40" spans="1:59">
      <c r="A40" s="12" t="s">
        <v>384</v>
      </c>
      <c r="B40" s="12"/>
      <c r="C40" s="12" t="s">
        <v>116</v>
      </c>
      <c r="D40" s="12"/>
      <c r="E40" s="32">
        <v>47241</v>
      </c>
      <c r="G40" s="8">
        <v>31861914</v>
      </c>
      <c r="H40" s="8"/>
      <c r="I40" s="8">
        <v>9007725</v>
      </c>
      <c r="J40" s="8"/>
      <c r="K40" s="8">
        <v>360639</v>
      </c>
      <c r="L40" s="8"/>
      <c r="M40" s="8">
        <f>780568+882365</f>
        <v>1662933</v>
      </c>
      <c r="N40" s="8"/>
      <c r="O40" s="8">
        <v>4754413</v>
      </c>
      <c r="P40" s="8"/>
      <c r="Q40" s="8">
        <v>5095153</v>
      </c>
      <c r="R40" s="8"/>
      <c r="S40" s="8">
        <v>68870</v>
      </c>
      <c r="T40" s="8"/>
      <c r="U40" s="8">
        <v>3889539</v>
      </c>
      <c r="V40" s="8"/>
      <c r="W40" s="8">
        <v>1504325</v>
      </c>
      <c r="X40" s="8"/>
      <c r="Y40" s="8">
        <v>497729</v>
      </c>
      <c r="Z40" s="8"/>
      <c r="AA40" s="8">
        <v>5964217</v>
      </c>
      <c r="AB40" s="8"/>
      <c r="AC40" s="8">
        <v>4948922</v>
      </c>
      <c r="AD40" s="8"/>
      <c r="AE40" s="8">
        <v>3260711</v>
      </c>
      <c r="AF40" s="138"/>
      <c r="AG40" s="12" t="s">
        <v>384</v>
      </c>
      <c r="AH40" s="12"/>
      <c r="AI40" s="12" t="s">
        <v>116</v>
      </c>
      <c r="AJ40" s="12"/>
      <c r="AK40" s="8">
        <v>2585690</v>
      </c>
      <c r="AL40" s="8"/>
      <c r="AM40" s="8">
        <v>1156526</v>
      </c>
      <c r="AN40" s="8"/>
      <c r="AO40" s="8">
        <f>345887+1182315+29017</f>
        <v>1557219</v>
      </c>
      <c r="AP40" s="8"/>
      <c r="AQ40" s="8">
        <v>3367723</v>
      </c>
      <c r="AR40" s="8"/>
      <c r="AS40" s="8"/>
      <c r="AT40" s="8"/>
      <c r="AU40" s="8">
        <v>0</v>
      </c>
      <c r="AV40" s="8"/>
      <c r="AW40" s="8">
        <f t="shared" si="0"/>
        <v>81544248</v>
      </c>
      <c r="AY40" s="8">
        <f>+'St of Activites - GA Rev'!AI40-'St of Activities - GA Exp'!AW40</f>
        <v>2643562</v>
      </c>
      <c r="BA40" s="8">
        <v>27907994</v>
      </c>
      <c r="BC40" s="8">
        <f t="shared" si="1"/>
        <v>30551556</v>
      </c>
      <c r="BE40" s="8">
        <f>+'St of Net Assets - GA'!AA40-'St of Activities - GA Exp'!BC40</f>
        <v>0</v>
      </c>
    </row>
    <row r="41" spans="1:59">
      <c r="A41" s="12" t="s">
        <v>298</v>
      </c>
      <c r="B41" s="12"/>
      <c r="C41" s="12" t="s">
        <v>20</v>
      </c>
      <c r="D41" s="12"/>
      <c r="E41" s="32">
        <v>43562</v>
      </c>
      <c r="G41" s="8">
        <v>25229256</v>
      </c>
      <c r="H41" s="8"/>
      <c r="I41" s="8">
        <v>0</v>
      </c>
      <c r="J41" s="8"/>
      <c r="K41" s="8">
        <v>0</v>
      </c>
      <c r="L41" s="8"/>
      <c r="M41" s="8">
        <v>0</v>
      </c>
      <c r="N41" s="8"/>
      <c r="O41" s="8">
        <v>3025366</v>
      </c>
      <c r="P41" s="8"/>
      <c r="Q41" s="8">
        <v>2074281</v>
      </c>
      <c r="R41" s="8"/>
      <c r="S41" s="8">
        <v>220840</v>
      </c>
      <c r="T41" s="8"/>
      <c r="U41" s="8">
        <v>4408025</v>
      </c>
      <c r="V41" s="8"/>
      <c r="W41" s="8">
        <v>1213939</v>
      </c>
      <c r="X41" s="8"/>
      <c r="Y41" s="8">
        <v>728529</v>
      </c>
      <c r="Z41" s="8"/>
      <c r="AA41" s="8">
        <v>6937228</v>
      </c>
      <c r="AB41" s="8"/>
      <c r="AC41" s="8">
        <v>3615129</v>
      </c>
      <c r="AD41" s="8"/>
      <c r="AE41" s="8">
        <v>338807</v>
      </c>
      <c r="AF41" s="138"/>
      <c r="AG41" s="12" t="s">
        <v>298</v>
      </c>
      <c r="AH41" s="12"/>
      <c r="AI41" s="12" t="s">
        <v>20</v>
      </c>
      <c r="AJ41" s="12"/>
      <c r="AK41" s="8">
        <v>1682513</v>
      </c>
      <c r="AL41" s="8"/>
      <c r="AM41" s="8">
        <v>427311</v>
      </c>
      <c r="AN41" s="8"/>
      <c r="AO41" s="8">
        <v>875259</v>
      </c>
      <c r="AP41" s="8"/>
      <c r="AQ41" s="8">
        <v>480727</v>
      </c>
      <c r="AR41" s="8"/>
      <c r="AS41" s="8"/>
      <c r="AT41" s="8"/>
      <c r="AU41" s="8">
        <v>0</v>
      </c>
      <c r="AV41" s="8"/>
      <c r="AW41" s="8">
        <f t="shared" si="0"/>
        <v>51257210</v>
      </c>
      <c r="AY41" s="8">
        <f>+'St of Activites - GA Rev'!AI41-'St of Activities - GA Exp'!AW41</f>
        <v>-535259</v>
      </c>
      <c r="BA41" s="8">
        <v>32414747</v>
      </c>
      <c r="BC41" s="8">
        <f t="shared" si="1"/>
        <v>31879488</v>
      </c>
      <c r="BE41" s="8">
        <f>+'St of Net Assets - GA'!AA41-'St of Activities - GA Exp'!BC41</f>
        <v>0</v>
      </c>
    </row>
    <row r="42" spans="1:59">
      <c r="A42" s="12" t="s">
        <v>231</v>
      </c>
      <c r="B42" s="12"/>
      <c r="C42" s="12" t="s">
        <v>15</v>
      </c>
      <c r="D42" s="12"/>
      <c r="E42" s="32">
        <v>43570</v>
      </c>
      <c r="G42" s="8">
        <v>8554307</v>
      </c>
      <c r="H42" s="8"/>
      <c r="I42" s="8">
        <v>2212547</v>
      </c>
      <c r="J42" s="8"/>
      <c r="K42" s="8">
        <v>131471</v>
      </c>
      <c r="L42" s="8"/>
      <c r="M42" s="8">
        <v>701730</v>
      </c>
      <c r="N42" s="8"/>
      <c r="O42" s="8">
        <v>1422623</v>
      </c>
      <c r="P42" s="8"/>
      <c r="Q42" s="8">
        <v>177279</v>
      </c>
      <c r="R42" s="8"/>
      <c r="S42" s="8">
        <v>28104</v>
      </c>
      <c r="T42" s="8"/>
      <c r="U42" s="8">
        <v>1467538</v>
      </c>
      <c r="V42" s="8"/>
      <c r="W42" s="8">
        <v>410822</v>
      </c>
      <c r="X42" s="8"/>
      <c r="Y42" s="8">
        <v>0</v>
      </c>
      <c r="Z42" s="8"/>
      <c r="AA42" s="8">
        <v>1687496</v>
      </c>
      <c r="AB42" s="8"/>
      <c r="AC42" s="8">
        <v>1237647</v>
      </c>
      <c r="AD42" s="8"/>
      <c r="AE42" s="8">
        <v>979</v>
      </c>
      <c r="AF42" s="138"/>
      <c r="AG42" s="12" t="s">
        <v>231</v>
      </c>
      <c r="AH42" s="12"/>
      <c r="AI42" s="12" t="s">
        <v>15</v>
      </c>
      <c r="AJ42" s="12"/>
      <c r="AK42" s="8">
        <v>919194</v>
      </c>
      <c r="AL42" s="8"/>
      <c r="AM42" s="8">
        <v>198337</v>
      </c>
      <c r="AN42" s="8"/>
      <c r="AO42" s="8">
        <v>371303</v>
      </c>
      <c r="AP42" s="8"/>
      <c r="AQ42" s="8">
        <v>126554</v>
      </c>
      <c r="AR42" s="8"/>
      <c r="AS42" s="8"/>
      <c r="AT42" s="8"/>
      <c r="AU42" s="8">
        <v>0</v>
      </c>
      <c r="AV42" s="8"/>
      <c r="AW42" s="8">
        <f t="shared" si="0"/>
        <v>19647931</v>
      </c>
      <c r="AY42" s="8">
        <f>+'St of Activites - GA Rev'!AI42-'St of Activities - GA Exp'!AW42</f>
        <v>-2598893</v>
      </c>
      <c r="BA42" s="8">
        <v>19245749</v>
      </c>
      <c r="BC42" s="8">
        <f t="shared" si="1"/>
        <v>16646856</v>
      </c>
      <c r="BE42" s="8">
        <f>+'St of Net Assets - GA'!AA42-'St of Activities - GA Exp'!BC42</f>
        <v>0</v>
      </c>
    </row>
    <row r="43" spans="1:59">
      <c r="A43" s="12" t="s">
        <v>443</v>
      </c>
      <c r="B43" s="12"/>
      <c r="C43" s="12" t="s">
        <v>37</v>
      </c>
      <c r="D43" s="12"/>
      <c r="E43" s="32">
        <v>43596</v>
      </c>
      <c r="G43" s="8">
        <v>7873447</v>
      </c>
      <c r="H43" s="8"/>
      <c r="I43" s="8">
        <v>3119442</v>
      </c>
      <c r="J43" s="8"/>
      <c r="K43" s="8">
        <v>457984</v>
      </c>
      <c r="L43" s="8"/>
      <c r="M43" s="8">
        <f>4244+747720</f>
        <v>751964</v>
      </c>
      <c r="N43" s="8"/>
      <c r="O43" s="8">
        <v>1253039</v>
      </c>
      <c r="P43" s="8"/>
      <c r="Q43" s="8">
        <v>1299852</v>
      </c>
      <c r="R43" s="8"/>
      <c r="S43" s="8">
        <v>28266</v>
      </c>
      <c r="T43" s="8"/>
      <c r="U43" s="8">
        <v>1537470</v>
      </c>
      <c r="V43" s="8"/>
      <c r="W43" s="8">
        <v>493358</v>
      </c>
      <c r="X43" s="8"/>
      <c r="Y43" s="8">
        <v>15770</v>
      </c>
      <c r="Z43" s="8"/>
      <c r="AA43" s="8">
        <v>2241020</v>
      </c>
      <c r="AB43" s="8"/>
      <c r="AC43" s="8">
        <v>974427</v>
      </c>
      <c r="AD43" s="8"/>
      <c r="AE43" s="8">
        <v>95005</v>
      </c>
      <c r="AF43" s="138"/>
      <c r="AG43" s="12" t="s">
        <v>443</v>
      </c>
      <c r="AH43" s="12"/>
      <c r="AI43" s="12" t="s">
        <v>37</v>
      </c>
      <c r="AJ43" s="12"/>
      <c r="AK43" s="8">
        <v>801407</v>
      </c>
      <c r="AL43" s="8"/>
      <c r="AM43" s="8">
        <v>217765</v>
      </c>
      <c r="AN43" s="8"/>
      <c r="AO43" s="8">
        <v>692125</v>
      </c>
      <c r="AP43" s="8"/>
      <c r="AQ43" s="8">
        <v>32016</v>
      </c>
      <c r="AR43" s="8"/>
      <c r="AS43" s="8"/>
      <c r="AT43" s="8"/>
      <c r="AU43" s="8">
        <v>0</v>
      </c>
      <c r="AV43" s="8"/>
      <c r="AW43" s="8">
        <f t="shared" si="0"/>
        <v>21884357</v>
      </c>
      <c r="AY43" s="8">
        <f>+'St of Activites - GA Rev'!AI43-'St of Activities - GA Exp'!AW43</f>
        <v>65399</v>
      </c>
      <c r="BA43" s="8">
        <v>6568341</v>
      </c>
      <c r="BC43" s="8">
        <f t="shared" si="1"/>
        <v>6633740</v>
      </c>
      <c r="BE43" s="8">
        <f>+'St of Net Assets - GA'!AA43-'St of Activities - GA Exp'!BC43</f>
        <v>0</v>
      </c>
    </row>
    <row r="44" spans="1:59">
      <c r="A44" s="12" t="s">
        <v>715</v>
      </c>
      <c r="B44" s="12"/>
      <c r="C44" s="12" t="s">
        <v>70</v>
      </c>
      <c r="D44" s="12"/>
      <c r="E44" s="32">
        <v>43604</v>
      </c>
      <c r="G44" s="8">
        <v>5068888</v>
      </c>
      <c r="H44" s="8"/>
      <c r="I44" s="8">
        <v>1535272</v>
      </c>
      <c r="J44" s="8"/>
      <c r="K44" s="8">
        <v>1401</v>
      </c>
      <c r="L44" s="8"/>
      <c r="M44" s="8">
        <v>44073</v>
      </c>
      <c r="N44" s="8"/>
      <c r="O44" s="8">
        <v>911447</v>
      </c>
      <c r="P44" s="8"/>
      <c r="Q44" s="8">
        <v>482652</v>
      </c>
      <c r="R44" s="8"/>
      <c r="S44" s="8">
        <v>72720</v>
      </c>
      <c r="T44" s="8"/>
      <c r="U44" s="8">
        <v>922614</v>
      </c>
      <c r="V44" s="8"/>
      <c r="W44" s="8">
        <v>408819</v>
      </c>
      <c r="X44" s="8"/>
      <c r="Y44" s="8">
        <v>1708</v>
      </c>
      <c r="Z44" s="8"/>
      <c r="AA44" s="8">
        <v>1069912</v>
      </c>
      <c r="AB44" s="8"/>
      <c r="AC44" s="8">
        <v>394930</v>
      </c>
      <c r="AD44" s="8"/>
      <c r="AE44" s="8">
        <v>5200</v>
      </c>
      <c r="AF44" s="138"/>
      <c r="AG44" s="12" t="s">
        <v>715</v>
      </c>
      <c r="AH44" s="12"/>
      <c r="AI44" s="12" t="s">
        <v>70</v>
      </c>
      <c r="AJ44" s="12"/>
      <c r="AK44" s="8">
        <v>0</v>
      </c>
      <c r="AL44" s="8"/>
      <c r="AM44" s="8">
        <v>5881</v>
      </c>
      <c r="AN44" s="8"/>
      <c r="AO44" s="8">
        <v>193390</v>
      </c>
      <c r="AP44" s="8"/>
      <c r="AQ44" s="8">
        <v>4064</v>
      </c>
      <c r="AR44" s="8"/>
      <c r="AS44" s="8"/>
      <c r="AT44" s="8"/>
      <c r="AU44" s="8">
        <v>0</v>
      </c>
      <c r="AV44" s="8"/>
      <c r="AW44" s="8">
        <f t="shared" si="0"/>
        <v>11122971</v>
      </c>
      <c r="AY44" s="8">
        <f>+'St of Activites - GA Rev'!AI44-'St of Activities - GA Exp'!AW44</f>
        <v>-195097</v>
      </c>
      <c r="BA44" s="8">
        <v>5987626</v>
      </c>
      <c r="BC44" s="8">
        <f t="shared" si="1"/>
        <v>5792529</v>
      </c>
      <c r="BE44" s="8">
        <f>+'St of Net Assets - GA'!AA44-'St of Activities - GA Exp'!BC44</f>
        <v>0</v>
      </c>
    </row>
    <row r="45" spans="1:59">
      <c r="A45" s="12" t="s">
        <v>571</v>
      </c>
      <c r="B45" s="12"/>
      <c r="C45" s="12" t="s">
        <v>53</v>
      </c>
      <c r="D45" s="12"/>
      <c r="E45" s="32">
        <v>48926</v>
      </c>
      <c r="G45" s="8">
        <v>9190949</v>
      </c>
      <c r="H45" s="8"/>
      <c r="I45" s="8">
        <v>1900936</v>
      </c>
      <c r="J45" s="8"/>
      <c r="K45" s="8">
        <v>22726</v>
      </c>
      <c r="L45" s="8"/>
      <c r="M45" s="8">
        <f>6578+276941</f>
        <v>283519</v>
      </c>
      <c r="N45" s="8"/>
      <c r="O45" s="8">
        <v>953530</v>
      </c>
      <c r="P45" s="8"/>
      <c r="Q45" s="8">
        <v>1101876</v>
      </c>
      <c r="R45" s="8"/>
      <c r="S45" s="8">
        <v>220845</v>
      </c>
      <c r="T45" s="8"/>
      <c r="U45" s="8">
        <v>1692869</v>
      </c>
      <c r="V45" s="8"/>
      <c r="W45" s="8">
        <v>473385</v>
      </c>
      <c r="X45" s="8"/>
      <c r="Y45" s="8">
        <v>0</v>
      </c>
      <c r="Z45" s="8"/>
      <c r="AA45" s="8">
        <v>2600204</v>
      </c>
      <c r="AB45" s="8"/>
      <c r="AC45" s="8">
        <v>873365</v>
      </c>
      <c r="AD45" s="8"/>
      <c r="AE45" s="8">
        <v>345458</v>
      </c>
      <c r="AF45" s="138"/>
      <c r="AG45" s="12" t="s">
        <v>571</v>
      </c>
      <c r="AH45" s="12"/>
      <c r="AI45" s="12" t="s">
        <v>53</v>
      </c>
      <c r="AJ45" s="12"/>
      <c r="AK45" s="8">
        <v>885965</v>
      </c>
      <c r="AL45" s="8"/>
      <c r="AM45" s="8">
        <v>188326</v>
      </c>
      <c r="AN45" s="8"/>
      <c r="AO45" s="8">
        <v>670136</v>
      </c>
      <c r="AP45" s="8"/>
      <c r="AQ45" s="8">
        <v>0</v>
      </c>
      <c r="AR45" s="8"/>
      <c r="AS45" s="8"/>
      <c r="AT45" s="8"/>
      <c r="AU45" s="8">
        <v>0</v>
      </c>
      <c r="AV45" s="8"/>
      <c r="AW45" s="8">
        <f t="shared" si="0"/>
        <v>21404089</v>
      </c>
      <c r="AY45" s="8">
        <f>+'St of Activites - GA Rev'!AI45-'St of Activities - GA Exp'!AW45</f>
        <v>-67170</v>
      </c>
      <c r="BA45" s="8">
        <v>17141887</v>
      </c>
      <c r="BC45" s="8">
        <f t="shared" si="1"/>
        <v>17074717</v>
      </c>
      <c r="BE45" s="8">
        <f>+'St of Net Assets - GA'!AA45-'St of Activities - GA Exp'!BC45</f>
        <v>0</v>
      </c>
    </row>
    <row r="46" spans="1:59">
      <c r="A46" s="12" t="s">
        <v>299</v>
      </c>
      <c r="B46" s="12"/>
      <c r="C46" s="12" t="s">
        <v>20</v>
      </c>
      <c r="D46" s="12"/>
      <c r="E46" s="32">
        <v>43612</v>
      </c>
      <c r="G46" s="8">
        <v>36566711</v>
      </c>
      <c r="H46" s="8"/>
      <c r="I46" s="8">
        <v>11547898</v>
      </c>
      <c r="J46" s="8"/>
      <c r="K46" s="8">
        <v>809220</v>
      </c>
      <c r="L46" s="8"/>
      <c r="M46" s="8">
        <v>217180</v>
      </c>
      <c r="N46" s="8"/>
      <c r="O46" s="8">
        <v>5062514</v>
      </c>
      <c r="P46" s="8"/>
      <c r="Q46" s="8">
        <v>7184673</v>
      </c>
      <c r="R46" s="8"/>
      <c r="S46" s="8">
        <v>39173</v>
      </c>
      <c r="T46" s="8"/>
      <c r="U46" s="8">
        <v>4979545</v>
      </c>
      <c r="V46" s="8"/>
      <c r="W46" s="8">
        <v>1767988</v>
      </c>
      <c r="X46" s="8"/>
      <c r="Y46" s="8">
        <v>839474</v>
      </c>
      <c r="Z46" s="8"/>
      <c r="AA46" s="8">
        <v>8874736</v>
      </c>
      <c r="AB46" s="8"/>
      <c r="AC46" s="8">
        <v>4092193</v>
      </c>
      <c r="AD46" s="8"/>
      <c r="AE46" s="8">
        <v>2415876</v>
      </c>
      <c r="AF46" s="138"/>
      <c r="AG46" s="12" t="s">
        <v>299</v>
      </c>
      <c r="AH46" s="12"/>
      <c r="AI46" s="12" t="s">
        <v>20</v>
      </c>
      <c r="AJ46" s="12"/>
      <c r="AK46" s="8">
        <v>0</v>
      </c>
      <c r="AL46" s="8"/>
      <c r="AM46" s="8">
        <v>3876038</v>
      </c>
      <c r="AN46" s="8"/>
      <c r="AO46" s="8">
        <v>1707738</v>
      </c>
      <c r="AP46" s="8"/>
      <c r="AQ46" s="8">
        <v>772958</v>
      </c>
      <c r="AR46" s="8"/>
      <c r="AS46" s="8"/>
      <c r="AT46" s="8"/>
      <c r="AU46" s="8">
        <v>0</v>
      </c>
      <c r="AV46" s="8"/>
      <c r="AW46" s="8">
        <f t="shared" si="0"/>
        <v>90753915</v>
      </c>
      <c r="AY46" s="8">
        <f>+'St of Activites - GA Rev'!AI46-'St of Activities - GA Exp'!AW46</f>
        <v>2351282</v>
      </c>
      <c r="BA46" s="8">
        <v>48504626</v>
      </c>
      <c r="BC46" s="8">
        <f>+AY46+BA46</f>
        <v>50855908</v>
      </c>
      <c r="BE46" s="8">
        <f>+'St of Net Assets - GA'!AA46-'St of Activities - GA Exp'!BC46</f>
        <v>44092</v>
      </c>
      <c r="BG46" s="10" t="s">
        <v>897</v>
      </c>
    </row>
    <row r="47" spans="1:59" ht="12" customHeight="1">
      <c r="A47" s="12" t="s">
        <v>377</v>
      </c>
      <c r="B47" s="12"/>
      <c r="C47" s="12" t="s">
        <v>30</v>
      </c>
      <c r="D47" s="12"/>
      <c r="E47" s="32">
        <v>47167</v>
      </c>
      <c r="G47" s="8">
        <v>5062708</v>
      </c>
      <c r="H47" s="8"/>
      <c r="I47" s="8">
        <v>1271151</v>
      </c>
      <c r="J47" s="8"/>
      <c r="K47" s="8">
        <v>78115</v>
      </c>
      <c r="L47" s="8"/>
      <c r="M47" s="8">
        <v>12776</v>
      </c>
      <c r="N47" s="8"/>
      <c r="O47" s="8">
        <v>602816</v>
      </c>
      <c r="P47" s="8"/>
      <c r="Q47" s="8">
        <v>442628</v>
      </c>
      <c r="R47" s="8"/>
      <c r="S47" s="8">
        <v>87962</v>
      </c>
      <c r="T47" s="8"/>
      <c r="U47" s="8">
        <v>1142152</v>
      </c>
      <c r="V47" s="8"/>
      <c r="W47" s="8">
        <v>406222</v>
      </c>
      <c r="X47" s="8"/>
      <c r="Y47" s="8">
        <v>38727</v>
      </c>
      <c r="Z47" s="8"/>
      <c r="AA47" s="8">
        <v>938412</v>
      </c>
      <c r="AB47" s="8"/>
      <c r="AC47" s="8">
        <v>762715</v>
      </c>
      <c r="AD47" s="8"/>
      <c r="AE47" s="8">
        <v>0</v>
      </c>
      <c r="AF47" s="138"/>
      <c r="AG47" s="12" t="s">
        <v>377</v>
      </c>
      <c r="AH47" s="12"/>
      <c r="AI47" s="12" t="s">
        <v>30</v>
      </c>
      <c r="AJ47" s="12"/>
      <c r="AK47" s="8">
        <v>302888</v>
      </c>
      <c r="AL47" s="8"/>
      <c r="AM47" s="8">
        <v>0</v>
      </c>
      <c r="AN47" s="8"/>
      <c r="AO47" s="8">
        <v>405456</v>
      </c>
      <c r="AP47" s="8"/>
      <c r="AQ47" s="8">
        <v>0</v>
      </c>
      <c r="AR47" s="8"/>
      <c r="AS47" s="8"/>
      <c r="AT47" s="8"/>
      <c r="AU47" s="8">
        <v>0</v>
      </c>
      <c r="AV47" s="8"/>
      <c r="AW47" s="8">
        <f t="shared" si="0"/>
        <v>11554728</v>
      </c>
      <c r="AY47" s="8">
        <f>+'St of Activites - GA Rev'!AI47-'St of Activities - GA Exp'!AW47</f>
        <v>478522</v>
      </c>
      <c r="BA47" s="8">
        <v>5122186</v>
      </c>
      <c r="BC47" s="8">
        <f t="shared" si="1"/>
        <v>5600708</v>
      </c>
      <c r="BE47" s="8">
        <f>+'St of Net Assets - GA'!AA47-'St of Activities - GA Exp'!BC47</f>
        <v>0</v>
      </c>
    </row>
    <row r="48" spans="1:59">
      <c r="A48" s="12" t="s">
        <v>336</v>
      </c>
      <c r="B48" s="12"/>
      <c r="C48" s="12" t="s">
        <v>24</v>
      </c>
      <c r="D48" s="12"/>
      <c r="E48" s="32">
        <v>46789</v>
      </c>
      <c r="G48" s="8">
        <v>7104131</v>
      </c>
      <c r="H48" s="8"/>
      <c r="I48" s="8">
        <v>2413505</v>
      </c>
      <c r="J48" s="8"/>
      <c r="K48" s="8">
        <v>62317</v>
      </c>
      <c r="L48" s="8"/>
      <c r="M48" s="8">
        <v>445954</v>
      </c>
      <c r="N48" s="8"/>
      <c r="O48" s="8">
        <v>898204</v>
      </c>
      <c r="P48" s="8"/>
      <c r="Q48" s="8">
        <v>416063</v>
      </c>
      <c r="R48" s="8"/>
      <c r="S48" s="8">
        <v>29183</v>
      </c>
      <c r="T48" s="8"/>
      <c r="U48" s="8">
        <v>1292631</v>
      </c>
      <c r="V48" s="8"/>
      <c r="W48" s="8">
        <v>286463</v>
      </c>
      <c r="X48" s="8"/>
      <c r="Y48" s="8">
        <v>0</v>
      </c>
      <c r="Z48" s="8"/>
      <c r="AA48" s="8">
        <v>1270019</v>
      </c>
      <c r="AB48" s="8"/>
      <c r="AC48" s="8">
        <v>840141</v>
      </c>
      <c r="AD48" s="8"/>
      <c r="AE48" s="8">
        <v>156555</v>
      </c>
      <c r="AF48" s="138"/>
      <c r="AG48" s="12" t="s">
        <v>336</v>
      </c>
      <c r="AH48" s="12"/>
      <c r="AI48" s="12" t="s">
        <v>24</v>
      </c>
      <c r="AJ48" s="12"/>
      <c r="AK48" s="8">
        <v>638655</v>
      </c>
      <c r="AL48" s="8"/>
      <c r="AM48" s="8">
        <v>0</v>
      </c>
      <c r="AN48" s="8"/>
      <c r="AO48" s="8">
        <v>631464</v>
      </c>
      <c r="AP48" s="8"/>
      <c r="AQ48" s="8">
        <v>0</v>
      </c>
      <c r="AR48" s="8"/>
      <c r="AS48" s="8"/>
      <c r="AT48" s="8"/>
      <c r="AU48" s="8">
        <v>0</v>
      </c>
      <c r="AV48" s="8"/>
      <c r="AW48" s="8">
        <f t="shared" si="0"/>
        <v>16485285</v>
      </c>
      <c r="AY48" s="8">
        <f>+'St of Activites - GA Rev'!AI48-'St of Activities - GA Exp'!AW48</f>
        <v>276529</v>
      </c>
      <c r="BA48" s="8">
        <v>8431960</v>
      </c>
      <c r="BC48" s="8">
        <f t="shared" si="1"/>
        <v>8708489</v>
      </c>
      <c r="BE48" s="8">
        <f>+'St of Net Assets - GA'!AA48-'St of Activities - GA Exp'!BC48</f>
        <v>0</v>
      </c>
    </row>
    <row r="49" spans="1:59">
      <c r="A49" s="12" t="s">
        <v>344</v>
      </c>
      <c r="B49" s="12"/>
      <c r="C49" s="12" t="s">
        <v>25</v>
      </c>
      <c r="D49" s="12"/>
      <c r="E49" s="32">
        <v>46854</v>
      </c>
      <c r="G49" s="8">
        <v>3738952</v>
      </c>
      <c r="H49" s="8"/>
      <c r="I49" s="8">
        <v>1119375</v>
      </c>
      <c r="J49" s="8"/>
      <c r="K49" s="8">
        <v>127534</v>
      </c>
      <c r="L49" s="8"/>
      <c r="M49" s="8">
        <v>35599</v>
      </c>
      <c r="N49" s="8"/>
      <c r="O49" s="8">
        <v>249647</v>
      </c>
      <c r="P49" s="8"/>
      <c r="Q49" s="8">
        <v>532939</v>
      </c>
      <c r="R49" s="8"/>
      <c r="S49" s="8">
        <v>13382</v>
      </c>
      <c r="T49" s="8"/>
      <c r="U49" s="8">
        <v>872836</v>
      </c>
      <c r="V49" s="8"/>
      <c r="W49" s="8">
        <v>299157</v>
      </c>
      <c r="X49" s="8"/>
      <c r="Y49" s="8">
        <v>5406</v>
      </c>
      <c r="Z49" s="8"/>
      <c r="AA49" s="8">
        <v>813905</v>
      </c>
      <c r="AB49" s="8"/>
      <c r="AC49" s="8">
        <v>596099</v>
      </c>
      <c r="AD49" s="8"/>
      <c r="AE49" s="8">
        <v>25827</v>
      </c>
      <c r="AF49" s="138"/>
      <c r="AG49" s="12" t="s">
        <v>344</v>
      </c>
      <c r="AH49" s="12"/>
      <c r="AI49" s="12" t="s">
        <v>25</v>
      </c>
      <c r="AJ49" s="12"/>
      <c r="AK49" s="8">
        <v>259066</v>
      </c>
      <c r="AL49" s="8"/>
      <c r="AM49" s="8">
        <v>616</v>
      </c>
      <c r="AN49" s="8"/>
      <c r="AO49" s="8">
        <v>260453</v>
      </c>
      <c r="AP49" s="8"/>
      <c r="AQ49" s="8">
        <v>79857</v>
      </c>
      <c r="AR49" s="8"/>
      <c r="AS49" s="8"/>
      <c r="AT49" s="8"/>
      <c r="AU49" s="8">
        <v>0</v>
      </c>
      <c r="AV49" s="8"/>
      <c r="AW49" s="8">
        <f t="shared" si="0"/>
        <v>9030650</v>
      </c>
      <c r="AY49" s="8">
        <f>+'St of Activites - GA Rev'!AI49-'St of Activities - GA Exp'!AW49</f>
        <v>305638</v>
      </c>
      <c r="BA49" s="8">
        <v>7823941</v>
      </c>
      <c r="BC49" s="8">
        <f t="shared" si="1"/>
        <v>8129579</v>
      </c>
      <c r="BE49" s="8">
        <f>+'St of Net Assets - GA'!AA49-'St of Activities - GA Exp'!BC49</f>
        <v>0</v>
      </c>
    </row>
    <row r="50" spans="1:59">
      <c r="A50" s="12" t="s">
        <v>536</v>
      </c>
      <c r="B50" s="12"/>
      <c r="C50" s="12" t="s">
        <v>48</v>
      </c>
      <c r="D50" s="12"/>
      <c r="E50" s="32">
        <v>48611</v>
      </c>
      <c r="G50" s="8">
        <v>3377412</v>
      </c>
      <c r="H50" s="8"/>
      <c r="I50" s="8">
        <v>1096812</v>
      </c>
      <c r="J50" s="8"/>
      <c r="K50" s="8">
        <v>0</v>
      </c>
      <c r="L50" s="8"/>
      <c r="M50" s="8">
        <v>268931</v>
      </c>
      <c r="N50" s="8"/>
      <c r="O50" s="8">
        <v>267257</v>
      </c>
      <c r="P50" s="8"/>
      <c r="Q50" s="8">
        <v>286471</v>
      </c>
      <c r="R50" s="8"/>
      <c r="S50" s="8">
        <v>43760</v>
      </c>
      <c r="T50" s="8"/>
      <c r="U50" s="8">
        <v>712656</v>
      </c>
      <c r="V50" s="8"/>
      <c r="W50" s="8">
        <v>333454</v>
      </c>
      <c r="X50" s="8"/>
      <c r="Y50" s="8">
        <v>51077</v>
      </c>
      <c r="Z50" s="8"/>
      <c r="AA50" s="8">
        <v>805681</v>
      </c>
      <c r="AB50" s="8"/>
      <c r="AC50" s="8">
        <v>605693</v>
      </c>
      <c r="AD50" s="8"/>
      <c r="AE50" s="8">
        <v>165257</v>
      </c>
      <c r="AF50" s="138"/>
      <c r="AG50" s="12" t="s">
        <v>536</v>
      </c>
      <c r="AH50" s="12"/>
      <c r="AI50" s="12" t="s">
        <v>48</v>
      </c>
      <c r="AJ50" s="12"/>
      <c r="AK50" s="8">
        <v>0</v>
      </c>
      <c r="AL50" s="8"/>
      <c r="AM50" s="8">
        <v>448230</v>
      </c>
      <c r="AN50" s="8"/>
      <c r="AO50" s="8">
        <v>353174</v>
      </c>
      <c r="AP50" s="8"/>
      <c r="AQ50" s="8">
        <v>45745</v>
      </c>
      <c r="AR50" s="8"/>
      <c r="AS50" s="8"/>
      <c r="AT50" s="8"/>
      <c r="AU50" s="8">
        <v>69036</v>
      </c>
      <c r="AV50" s="8"/>
      <c r="AW50" s="8">
        <f t="shared" si="0"/>
        <v>8930646</v>
      </c>
      <c r="AY50" s="8">
        <f>+'St of Activites - GA Rev'!AI50-'St of Activities - GA Exp'!AW50</f>
        <v>-335064</v>
      </c>
      <c r="BA50" s="8">
        <v>5242713</v>
      </c>
      <c r="BC50" s="8">
        <f t="shared" si="1"/>
        <v>4907649</v>
      </c>
      <c r="BE50" s="8">
        <f>+'St of Net Assets - GA'!AA50-'St of Activities - GA Exp'!BC50</f>
        <v>0</v>
      </c>
    </row>
    <row r="51" spans="1:59">
      <c r="A51" s="12" t="s">
        <v>267</v>
      </c>
      <c r="B51" s="12"/>
      <c r="C51" s="12" t="s">
        <v>115</v>
      </c>
      <c r="D51" s="12"/>
      <c r="E51" s="32">
        <v>46318</v>
      </c>
      <c r="G51" s="8">
        <v>8864590</v>
      </c>
      <c r="H51" s="8"/>
      <c r="I51" s="8">
        <v>1804246</v>
      </c>
      <c r="J51" s="8"/>
      <c r="K51" s="8">
        <v>299248</v>
      </c>
      <c r="L51" s="8"/>
      <c r="M51" s="8">
        <v>108061</v>
      </c>
      <c r="N51" s="8"/>
      <c r="O51" s="8">
        <v>687508</v>
      </c>
      <c r="P51" s="8"/>
      <c r="Q51" s="8">
        <v>814502</v>
      </c>
      <c r="R51" s="8"/>
      <c r="S51" s="8">
        <v>56855</v>
      </c>
      <c r="T51" s="8"/>
      <c r="U51" s="8">
        <v>1161057</v>
      </c>
      <c r="V51" s="8"/>
      <c r="W51" s="8">
        <v>394283</v>
      </c>
      <c r="X51" s="8"/>
      <c r="Y51" s="8">
        <v>0</v>
      </c>
      <c r="Z51" s="8"/>
      <c r="AA51" s="8">
        <v>1583184</v>
      </c>
      <c r="AB51" s="8"/>
      <c r="AC51" s="8">
        <v>963582</v>
      </c>
      <c r="AD51" s="8"/>
      <c r="AE51" s="8">
        <v>166884</v>
      </c>
      <c r="AF51" s="138"/>
      <c r="AG51" s="12" t="s">
        <v>267</v>
      </c>
      <c r="AH51" s="12"/>
      <c r="AI51" s="12" t="s">
        <v>115</v>
      </c>
      <c r="AJ51" s="12"/>
      <c r="AK51" s="8">
        <v>0</v>
      </c>
      <c r="AL51" s="8"/>
      <c r="AM51" s="8">
        <v>556017</v>
      </c>
      <c r="AN51" s="8"/>
      <c r="AO51" s="8">
        <v>414767</v>
      </c>
      <c r="AP51" s="8"/>
      <c r="AQ51" s="8">
        <v>413735</v>
      </c>
      <c r="AR51" s="8"/>
      <c r="AS51" s="8"/>
      <c r="AT51" s="8"/>
      <c r="AU51" s="8">
        <v>0</v>
      </c>
      <c r="AV51" s="8"/>
      <c r="AW51" s="8">
        <f t="shared" si="0"/>
        <v>18288519</v>
      </c>
      <c r="AY51" s="8">
        <f>+'St of Activites - GA Rev'!AI51-'St of Activities - GA Exp'!AW51</f>
        <v>-1544998</v>
      </c>
      <c r="BA51" s="8">
        <v>23385784</v>
      </c>
      <c r="BC51" s="8">
        <f t="shared" si="1"/>
        <v>21840786</v>
      </c>
      <c r="BE51" s="8">
        <f>+'St of Net Assets - GA'!AA51-'St of Activities - GA Exp'!BC51</f>
        <v>0</v>
      </c>
    </row>
    <row r="52" spans="1:59" ht="12" hidden="1" customHeight="1">
      <c r="A52" s="13" t="s">
        <v>962</v>
      </c>
      <c r="B52" s="12"/>
      <c r="C52" s="12" t="s">
        <v>60</v>
      </c>
      <c r="D52" s="12"/>
      <c r="E52" s="32">
        <v>49692</v>
      </c>
      <c r="G52" s="8">
        <v>1190840</v>
      </c>
      <c r="H52" s="8"/>
      <c r="I52" s="8">
        <v>503022</v>
      </c>
      <c r="J52" s="8"/>
      <c r="K52" s="8"/>
      <c r="L52" s="8"/>
      <c r="M52" s="8"/>
      <c r="N52" s="8"/>
      <c r="O52" s="8">
        <v>105229</v>
      </c>
      <c r="P52" s="8"/>
      <c r="Q52" s="8">
        <v>37079</v>
      </c>
      <c r="R52" s="8"/>
      <c r="S52" s="8">
        <v>10166</v>
      </c>
      <c r="T52" s="8"/>
      <c r="U52" s="8">
        <v>285957</v>
      </c>
      <c r="V52" s="8"/>
      <c r="W52" s="8">
        <v>165944</v>
      </c>
      <c r="X52" s="8"/>
      <c r="Y52" s="8"/>
      <c r="Z52" s="8"/>
      <c r="AA52" s="8">
        <v>292009</v>
      </c>
      <c r="AB52" s="8"/>
      <c r="AC52" s="8">
        <v>121888</v>
      </c>
      <c r="AD52" s="8"/>
      <c r="AE52" s="8"/>
      <c r="AF52" s="138"/>
      <c r="AG52" s="12" t="s">
        <v>635</v>
      </c>
      <c r="AH52" s="12"/>
      <c r="AI52" s="12" t="s">
        <v>60</v>
      </c>
      <c r="AJ52" s="12"/>
      <c r="AK52" s="8"/>
      <c r="AL52" s="8"/>
      <c r="AM52" s="8">
        <v>82973</v>
      </c>
      <c r="AN52" s="8"/>
      <c r="AO52" s="8">
        <v>77856</v>
      </c>
      <c r="AP52" s="8"/>
      <c r="AQ52" s="8"/>
      <c r="AR52" s="8"/>
      <c r="AS52" s="8"/>
      <c r="AT52" s="8"/>
      <c r="AU52" s="8">
        <f>27328+33486</f>
        <v>60814</v>
      </c>
      <c r="AV52" s="8"/>
      <c r="AW52" s="8">
        <f t="shared" si="0"/>
        <v>2933777</v>
      </c>
      <c r="AY52" s="8">
        <f>+'St of Activites - GA Rev'!AI52-'St of Activities - GA Exp'!AW52</f>
        <v>-203129</v>
      </c>
      <c r="BA52" s="8">
        <v>1153130</v>
      </c>
      <c r="BC52" s="8">
        <f t="shared" si="1"/>
        <v>950001</v>
      </c>
      <c r="BE52" s="8">
        <f>+'St of Net Assets - GA'!AA52-'St of Activities - GA Exp'!BC52</f>
        <v>8676</v>
      </c>
      <c r="BG52" s="10" t="s">
        <v>956</v>
      </c>
    </row>
    <row r="53" spans="1:59">
      <c r="A53" s="12" t="s">
        <v>352</v>
      </c>
      <c r="B53" s="12"/>
      <c r="C53" s="12" t="s">
        <v>27</v>
      </c>
      <c r="D53" s="12"/>
      <c r="E53" s="32">
        <v>43620</v>
      </c>
      <c r="G53" s="8">
        <v>15717124</v>
      </c>
      <c r="H53" s="8"/>
      <c r="I53" s="8">
        <v>3465541</v>
      </c>
      <c r="J53" s="8"/>
      <c r="K53" s="8">
        <v>289648</v>
      </c>
      <c r="L53" s="8"/>
      <c r="M53" s="8">
        <v>0</v>
      </c>
      <c r="N53" s="8"/>
      <c r="O53" s="8">
        <v>1401815</v>
      </c>
      <c r="P53" s="8"/>
      <c r="Q53" s="8">
        <v>2108513</v>
      </c>
      <c r="R53" s="8"/>
      <c r="S53" s="8">
        <v>42212</v>
      </c>
      <c r="T53" s="8"/>
      <c r="U53" s="8">
        <v>1901938</v>
      </c>
      <c r="V53" s="8"/>
      <c r="W53" s="8">
        <v>0</v>
      </c>
      <c r="X53" s="8"/>
      <c r="Y53" s="8">
        <v>1188342</v>
      </c>
      <c r="Z53" s="8"/>
      <c r="AA53" s="8">
        <v>3274180</v>
      </c>
      <c r="AB53" s="8"/>
      <c r="AC53" s="8">
        <v>490820</v>
      </c>
      <c r="AD53" s="8"/>
      <c r="AE53" s="8">
        <v>184362</v>
      </c>
      <c r="AF53" s="138"/>
      <c r="AG53" s="12" t="s">
        <v>352</v>
      </c>
      <c r="AH53" s="12"/>
      <c r="AI53" s="12" t="s">
        <v>27</v>
      </c>
      <c r="AJ53" s="12"/>
      <c r="AK53" s="8">
        <v>563593</v>
      </c>
      <c r="AL53" s="8"/>
      <c r="AM53" s="8">
        <v>0</v>
      </c>
      <c r="AN53" s="8"/>
      <c r="AO53" s="8">
        <v>1067911</v>
      </c>
      <c r="AP53" s="8"/>
      <c r="AQ53" s="8">
        <v>1345003</v>
      </c>
      <c r="AR53" s="8"/>
      <c r="AS53" s="8"/>
      <c r="AT53" s="8"/>
      <c r="AU53" s="8">
        <f>900698+1192998</f>
        <v>2093696</v>
      </c>
      <c r="AV53" s="8"/>
      <c r="AW53" s="8">
        <f t="shared" si="0"/>
        <v>35134698</v>
      </c>
      <c r="AY53" s="8">
        <f>+'St of Activites - GA Rev'!AI53-'St of Activities - GA Exp'!AW53</f>
        <v>3007733</v>
      </c>
      <c r="BA53" s="8">
        <v>30836019</v>
      </c>
      <c r="BC53" s="8">
        <f t="shared" si="1"/>
        <v>33843752</v>
      </c>
      <c r="BE53" s="8">
        <f>+'St of Net Assets - GA'!AA53-'St of Activities - GA Exp'!BC53</f>
        <v>0</v>
      </c>
    </row>
    <row r="54" spans="1:59" ht="12" customHeight="1">
      <c r="A54" s="12" t="s">
        <v>333</v>
      </c>
      <c r="B54" s="12"/>
      <c r="C54" s="12" t="s">
        <v>23</v>
      </c>
      <c r="D54" s="12"/>
      <c r="E54" s="32">
        <v>46748</v>
      </c>
      <c r="G54" s="8">
        <v>12618709</v>
      </c>
      <c r="H54" s="8"/>
      <c r="I54" s="8">
        <v>3749804</v>
      </c>
      <c r="J54" s="8"/>
      <c r="K54" s="8">
        <v>368712</v>
      </c>
      <c r="L54" s="8"/>
      <c r="M54" s="8">
        <v>0</v>
      </c>
      <c r="N54" s="8"/>
      <c r="O54" s="8">
        <v>1236627</v>
      </c>
      <c r="P54" s="8"/>
      <c r="Q54" s="8">
        <v>1215386</v>
      </c>
      <c r="R54" s="8"/>
      <c r="S54" s="8">
        <v>236519</v>
      </c>
      <c r="T54" s="8"/>
      <c r="U54" s="8">
        <v>2560097</v>
      </c>
      <c r="V54" s="8"/>
      <c r="W54" s="8">
        <v>895813</v>
      </c>
      <c r="X54" s="8"/>
      <c r="Y54" s="8">
        <v>281761</v>
      </c>
      <c r="Z54" s="8"/>
      <c r="AA54" s="8">
        <v>2197437</v>
      </c>
      <c r="AB54" s="8"/>
      <c r="AC54" s="8">
        <v>1925545</v>
      </c>
      <c r="AD54" s="8"/>
      <c r="AE54" s="8">
        <v>29416</v>
      </c>
      <c r="AF54" s="138"/>
      <c r="AG54" s="12" t="s">
        <v>333</v>
      </c>
      <c r="AH54" s="12"/>
      <c r="AI54" s="12" t="s">
        <v>23</v>
      </c>
      <c r="AJ54" s="12"/>
      <c r="AK54" s="8">
        <v>0</v>
      </c>
      <c r="AL54" s="8"/>
      <c r="AM54" s="8">
        <v>1161952</v>
      </c>
      <c r="AN54" s="8"/>
      <c r="AO54" s="8">
        <v>776510</v>
      </c>
      <c r="AP54" s="8"/>
      <c r="AQ54" s="8">
        <v>1117813</v>
      </c>
      <c r="AR54" s="8"/>
      <c r="AS54" s="8"/>
      <c r="AT54" s="8"/>
      <c r="AU54" s="8">
        <v>0</v>
      </c>
      <c r="AV54" s="8"/>
      <c r="AW54" s="8">
        <f t="shared" si="0"/>
        <v>30372101</v>
      </c>
      <c r="AY54" s="8">
        <f>+'St of Activites - GA Rev'!AI54-'St of Activities - GA Exp'!AW54</f>
        <v>-1394484</v>
      </c>
      <c r="BA54" s="8">
        <v>9493981</v>
      </c>
      <c r="BC54" s="8">
        <f t="shared" si="1"/>
        <v>8099497</v>
      </c>
      <c r="BE54" s="8">
        <f>+'St of Net Assets - GA'!AA54-'St of Activities - GA Exp'!BC54</f>
        <v>0</v>
      </c>
    </row>
    <row r="55" spans="1:59" ht="12" customHeight="1">
      <c r="A55" s="12" t="s">
        <v>525</v>
      </c>
      <c r="B55" s="12"/>
      <c r="C55" s="12" t="s">
        <v>47</v>
      </c>
      <c r="D55" s="12"/>
      <c r="E55" s="32">
        <v>48462</v>
      </c>
      <c r="G55" s="8">
        <v>7658654</v>
      </c>
      <c r="H55" s="8"/>
      <c r="I55" s="8">
        <v>2054131</v>
      </c>
      <c r="J55" s="8"/>
      <c r="K55" s="8">
        <v>174446</v>
      </c>
      <c r="L55" s="8"/>
      <c r="M55" s="8">
        <v>0</v>
      </c>
      <c r="N55" s="8"/>
      <c r="O55" s="8">
        <v>776054</v>
      </c>
      <c r="P55" s="8"/>
      <c r="Q55" s="8">
        <v>686673</v>
      </c>
      <c r="R55" s="8"/>
      <c r="S55" s="8">
        <v>45276</v>
      </c>
      <c r="T55" s="8"/>
      <c r="U55" s="8">
        <v>1283295</v>
      </c>
      <c r="V55" s="8"/>
      <c r="W55" s="8">
        <v>437169</v>
      </c>
      <c r="X55" s="8"/>
      <c r="Y55" s="8">
        <v>30200</v>
      </c>
      <c r="Z55" s="8"/>
      <c r="AA55" s="8">
        <v>1166884</v>
      </c>
      <c r="AB55" s="8"/>
      <c r="AC55" s="8">
        <v>1220694</v>
      </c>
      <c r="AD55" s="8"/>
      <c r="AE55" s="8">
        <v>37895</v>
      </c>
      <c r="AF55" s="138"/>
      <c r="AG55" s="12" t="s">
        <v>525</v>
      </c>
      <c r="AH55" s="12"/>
      <c r="AI55" s="12" t="s">
        <v>47</v>
      </c>
      <c r="AJ55" s="12"/>
      <c r="AK55" s="8">
        <v>0</v>
      </c>
      <c r="AL55" s="8"/>
      <c r="AM55" s="8">
        <v>553875</v>
      </c>
      <c r="AN55" s="8"/>
      <c r="AO55" s="8">
        <v>626903</v>
      </c>
      <c r="AP55" s="8"/>
      <c r="AQ55" s="8">
        <v>322385</v>
      </c>
      <c r="AR55" s="8"/>
      <c r="AS55" s="8"/>
      <c r="AT55" s="8"/>
      <c r="AU55" s="8">
        <v>-329566</v>
      </c>
      <c r="AV55" s="8"/>
      <c r="AW55" s="8">
        <f t="shared" si="0"/>
        <v>16744968</v>
      </c>
      <c r="AY55" s="8">
        <f>+'St of Activites - GA Rev'!AI55-'St of Activities - GA Exp'!AW55</f>
        <v>1887098</v>
      </c>
      <c r="BA55" s="8">
        <v>4903457</v>
      </c>
      <c r="BC55" s="8">
        <f t="shared" si="1"/>
        <v>6790555</v>
      </c>
      <c r="BE55" s="8">
        <f>+'St of Net Assets - GA'!AA55-'St of Activities - GA Exp'!BC55</f>
        <v>0</v>
      </c>
    </row>
    <row r="56" spans="1:59">
      <c r="A56" s="12" t="s">
        <v>274</v>
      </c>
      <c r="B56" s="12"/>
      <c r="C56" s="12" t="s">
        <v>18</v>
      </c>
      <c r="D56" s="12"/>
      <c r="E56" s="32">
        <v>46383</v>
      </c>
      <c r="G56" s="8">
        <v>6132278</v>
      </c>
      <c r="H56" s="8"/>
      <c r="I56" s="8">
        <v>1141286</v>
      </c>
      <c r="J56" s="8"/>
      <c r="K56" s="8">
        <v>349169</v>
      </c>
      <c r="L56" s="8"/>
      <c r="M56" s="8">
        <v>542440</v>
      </c>
      <c r="N56" s="8"/>
      <c r="O56" s="8">
        <v>709918</v>
      </c>
      <c r="P56" s="8"/>
      <c r="Q56" s="8">
        <v>1535216</v>
      </c>
      <c r="R56" s="8"/>
      <c r="S56" s="8">
        <v>28270</v>
      </c>
      <c r="T56" s="8"/>
      <c r="U56" s="8">
        <v>1242606</v>
      </c>
      <c r="V56" s="8"/>
      <c r="W56" s="8">
        <v>380247</v>
      </c>
      <c r="X56" s="8"/>
      <c r="Y56" s="8">
        <v>7388</v>
      </c>
      <c r="Z56" s="8"/>
      <c r="AA56" s="8">
        <v>1394225</v>
      </c>
      <c r="AB56" s="8"/>
      <c r="AC56" s="8">
        <v>924153</v>
      </c>
      <c r="AD56" s="8"/>
      <c r="AE56" s="8">
        <v>16502</v>
      </c>
      <c r="AF56" s="138"/>
      <c r="AG56" s="12" t="s">
        <v>274</v>
      </c>
      <c r="AH56" s="12"/>
      <c r="AI56" s="12" t="s">
        <v>18</v>
      </c>
      <c r="AJ56" s="12"/>
      <c r="AK56" s="8">
        <v>0</v>
      </c>
      <c r="AL56" s="8"/>
      <c r="AM56" s="8">
        <v>959253</v>
      </c>
      <c r="AN56" s="8"/>
      <c r="AO56" s="8">
        <v>426553</v>
      </c>
      <c r="AP56" s="8"/>
      <c r="AQ56" s="8">
        <v>180276</v>
      </c>
      <c r="AR56" s="8"/>
      <c r="AS56" s="8"/>
      <c r="AT56" s="8"/>
      <c r="AU56" s="8">
        <v>0</v>
      </c>
      <c r="AV56" s="8"/>
      <c r="AW56" s="8">
        <f t="shared" si="0"/>
        <v>15969780</v>
      </c>
      <c r="AY56" s="8">
        <f>+'St of Activites - GA Rev'!AI56-'St of Activities - GA Exp'!AW56</f>
        <v>-240288</v>
      </c>
      <c r="BA56" s="8">
        <v>21467152</v>
      </c>
      <c r="BC56" s="8">
        <f t="shared" si="1"/>
        <v>21226864</v>
      </c>
      <c r="BE56" s="8">
        <f>+'St of Net Assets - GA'!AA56-'St of Activities - GA Exp'!BC56</f>
        <v>0</v>
      </c>
    </row>
    <row r="57" spans="1:59">
      <c r="A57" s="12" t="s">
        <v>345</v>
      </c>
      <c r="B57" s="12"/>
      <c r="C57" s="12" t="s">
        <v>25</v>
      </c>
      <c r="D57" s="12"/>
      <c r="E57" s="32">
        <v>46862</v>
      </c>
      <c r="G57" s="8">
        <v>5440137</v>
      </c>
      <c r="H57" s="8"/>
      <c r="I57" s="8">
        <v>1467927</v>
      </c>
      <c r="J57" s="8"/>
      <c r="K57" s="8">
        <v>246617</v>
      </c>
      <c r="L57" s="8"/>
      <c r="M57" s="8">
        <f>86092+547575</f>
        <v>633667</v>
      </c>
      <c r="N57" s="8"/>
      <c r="O57" s="8">
        <v>754417</v>
      </c>
      <c r="P57" s="8"/>
      <c r="Q57" s="8">
        <v>860967</v>
      </c>
      <c r="R57" s="8"/>
      <c r="S57" s="8">
        <v>177642</v>
      </c>
      <c r="T57" s="8"/>
      <c r="U57" s="8">
        <v>1566080</v>
      </c>
      <c r="V57" s="8"/>
      <c r="W57" s="8">
        <v>300123</v>
      </c>
      <c r="X57" s="8"/>
      <c r="Y57" s="8">
        <v>0</v>
      </c>
      <c r="Z57" s="8"/>
      <c r="AA57" s="8">
        <v>1119893</v>
      </c>
      <c r="AB57" s="8"/>
      <c r="AC57" s="8">
        <v>1012364</v>
      </c>
      <c r="AD57" s="8"/>
      <c r="AE57" s="8">
        <v>99469</v>
      </c>
      <c r="AF57" s="138"/>
      <c r="AG57" s="12" t="s">
        <v>345</v>
      </c>
      <c r="AH57" s="12"/>
      <c r="AI57" s="12" t="s">
        <v>25</v>
      </c>
      <c r="AJ57" s="12"/>
      <c r="AK57" s="8">
        <v>418244</v>
      </c>
      <c r="AL57" s="8"/>
      <c r="AM57" s="8">
        <v>0</v>
      </c>
      <c r="AN57" s="8"/>
      <c r="AO57" s="8">
        <v>621715</v>
      </c>
      <c r="AP57" s="8"/>
      <c r="AQ57" s="8">
        <v>0</v>
      </c>
      <c r="AR57" s="8"/>
      <c r="AS57" s="8"/>
      <c r="AT57" s="8"/>
      <c r="AU57" s="8">
        <v>-625</v>
      </c>
      <c r="AV57" s="8"/>
      <c r="AW57" s="8">
        <f t="shared" si="0"/>
        <v>14718637</v>
      </c>
      <c r="AY57" s="8">
        <f>+'St of Activites - GA Rev'!AI57-'St of Activities - GA Exp'!AW57</f>
        <v>378270</v>
      </c>
      <c r="BA57" s="8">
        <v>6119226</v>
      </c>
      <c r="BC57" s="8">
        <f t="shared" si="1"/>
        <v>6497496</v>
      </c>
      <c r="BE57" s="8">
        <f>+'St of Net Assets - GA'!AA57-'St of Activities - GA Exp'!BC57</f>
        <v>0</v>
      </c>
    </row>
    <row r="58" spans="1:59">
      <c r="A58" s="12" t="s">
        <v>675</v>
      </c>
      <c r="B58" s="12"/>
      <c r="C58" s="12" t="s">
        <v>64</v>
      </c>
      <c r="D58" s="12"/>
      <c r="E58" s="32">
        <v>50096</v>
      </c>
      <c r="G58" s="8">
        <v>1785657</v>
      </c>
      <c r="H58" s="8"/>
      <c r="I58" s="8">
        <v>465566</v>
      </c>
      <c r="J58" s="8"/>
      <c r="K58" s="8">
        <v>66258</v>
      </c>
      <c r="L58" s="8"/>
      <c r="M58" s="8">
        <v>1098</v>
      </c>
      <c r="N58" s="8"/>
      <c r="O58" s="8">
        <v>131235</v>
      </c>
      <c r="P58" s="8"/>
      <c r="Q58" s="8">
        <v>238286</v>
      </c>
      <c r="R58" s="8"/>
      <c r="S58" s="8">
        <v>12760</v>
      </c>
      <c r="T58" s="8"/>
      <c r="U58" s="8">
        <v>405384</v>
      </c>
      <c r="V58" s="8"/>
      <c r="W58" s="8">
        <v>195067</v>
      </c>
      <c r="X58" s="8"/>
      <c r="Y58" s="8">
        <v>600</v>
      </c>
      <c r="Z58" s="8"/>
      <c r="AA58" s="8">
        <v>354985</v>
      </c>
      <c r="AB58" s="8"/>
      <c r="AC58" s="8">
        <v>221761</v>
      </c>
      <c r="AD58" s="8"/>
      <c r="AE58" s="8">
        <v>6000</v>
      </c>
      <c r="AF58" s="138"/>
      <c r="AG58" s="12" t="s">
        <v>675</v>
      </c>
      <c r="AH58" s="12"/>
      <c r="AI58" s="12" t="s">
        <v>64</v>
      </c>
      <c r="AJ58" s="12"/>
      <c r="AK58" s="8">
        <v>159836</v>
      </c>
      <c r="AL58" s="8"/>
      <c r="AM58" s="8">
        <v>0</v>
      </c>
      <c r="AN58" s="8"/>
      <c r="AO58" s="8">
        <v>111388</v>
      </c>
      <c r="AP58" s="8"/>
      <c r="AQ58" s="8">
        <v>3655</v>
      </c>
      <c r="AR58" s="8"/>
      <c r="AS58" s="8"/>
      <c r="AT58" s="8"/>
      <c r="AU58" s="8">
        <v>0</v>
      </c>
      <c r="AV58" s="8"/>
      <c r="AW58" s="8">
        <f t="shared" si="0"/>
        <v>4159536</v>
      </c>
      <c r="AY58" s="8">
        <f>+'St of Activites - GA Rev'!AI58-'St of Activities - GA Exp'!AW58</f>
        <v>-88610</v>
      </c>
      <c r="BA58" s="8">
        <v>1388804</v>
      </c>
      <c r="BC58" s="8">
        <f t="shared" si="1"/>
        <v>1300194</v>
      </c>
      <c r="BE58" s="8">
        <f>+'St of Net Assets - GA'!AA58-'St of Activities - GA Exp'!BC58</f>
        <v>0</v>
      </c>
    </row>
    <row r="59" spans="1:59">
      <c r="A59" s="12" t="s">
        <v>626</v>
      </c>
      <c r="B59" s="12"/>
      <c r="C59" s="12" t="s">
        <v>59</v>
      </c>
      <c r="D59" s="12"/>
      <c r="E59" s="32">
        <v>49593</v>
      </c>
      <c r="G59" s="8">
        <v>4160843</v>
      </c>
      <c r="H59" s="8"/>
      <c r="I59" s="8">
        <v>1280405</v>
      </c>
      <c r="J59" s="8"/>
      <c r="K59" s="8">
        <v>17529</v>
      </c>
      <c r="L59" s="8"/>
      <c r="M59" s="8">
        <v>208205</v>
      </c>
      <c r="N59" s="8"/>
      <c r="O59" s="8">
        <v>379643</v>
      </c>
      <c r="P59" s="8"/>
      <c r="Q59" s="8">
        <v>500444</v>
      </c>
      <c r="R59" s="8"/>
      <c r="S59" s="8">
        <v>29319</v>
      </c>
      <c r="T59" s="8"/>
      <c r="U59" s="8">
        <v>844026</v>
      </c>
      <c r="V59" s="8"/>
      <c r="W59" s="8">
        <v>233005</v>
      </c>
      <c r="X59" s="8"/>
      <c r="Y59" s="8">
        <v>35870</v>
      </c>
      <c r="Z59" s="8"/>
      <c r="AA59" s="8">
        <v>1264504</v>
      </c>
      <c r="AB59" s="8"/>
      <c r="AC59" s="8">
        <v>869906</v>
      </c>
      <c r="AD59" s="8"/>
      <c r="AE59" s="8">
        <v>9580</v>
      </c>
      <c r="AF59" s="138"/>
      <c r="AG59" s="12" t="s">
        <v>626</v>
      </c>
      <c r="AH59" s="12"/>
      <c r="AI59" s="12" t="s">
        <v>59</v>
      </c>
      <c r="AJ59" s="12"/>
      <c r="AK59" s="8">
        <v>551083</v>
      </c>
      <c r="AL59" s="8"/>
      <c r="AM59" s="8">
        <v>0</v>
      </c>
      <c r="AN59" s="8"/>
      <c r="AO59" s="8">
        <v>192258</v>
      </c>
      <c r="AP59" s="8"/>
      <c r="AQ59" s="8">
        <v>34839</v>
      </c>
      <c r="AR59" s="8"/>
      <c r="AS59" s="8"/>
      <c r="AT59" s="8"/>
      <c r="AU59" s="8">
        <v>35600</v>
      </c>
      <c r="AV59" s="8"/>
      <c r="AW59" s="8">
        <f>SUM(G59:AV59)</f>
        <v>10647059</v>
      </c>
      <c r="AY59" s="8">
        <f>+'St of Activites - GA Rev'!AI59-'St of Activities - GA Exp'!AW59</f>
        <v>-512932</v>
      </c>
      <c r="BA59" s="8">
        <v>17870494</v>
      </c>
      <c r="BC59" s="8">
        <f>+AY59+BA59</f>
        <v>17357562</v>
      </c>
      <c r="BE59" s="8">
        <f>+'St of Net Assets - GA'!AA59-'St of Activities - GA Exp'!BC59</f>
        <v>0</v>
      </c>
    </row>
    <row r="60" spans="1:59" hidden="1">
      <c r="A60" s="13" t="s">
        <v>898</v>
      </c>
      <c r="B60" s="12"/>
      <c r="C60" s="12" t="s">
        <v>10</v>
      </c>
      <c r="D60" s="12"/>
      <c r="E60" s="32">
        <v>49593</v>
      </c>
      <c r="G60" s="8">
        <v>4215687</v>
      </c>
      <c r="H60" s="8"/>
      <c r="I60" s="8">
        <v>658765</v>
      </c>
      <c r="J60" s="8"/>
      <c r="K60" s="8">
        <v>20044</v>
      </c>
      <c r="L60" s="8"/>
      <c r="M60" s="8">
        <v>296589</v>
      </c>
      <c r="N60" s="8"/>
      <c r="O60" s="8">
        <v>277922</v>
      </c>
      <c r="P60" s="8"/>
      <c r="Q60" s="8">
        <v>443064</v>
      </c>
      <c r="R60" s="8"/>
      <c r="S60" s="8">
        <v>36754</v>
      </c>
      <c r="T60" s="8"/>
      <c r="U60" s="8">
        <v>711730</v>
      </c>
      <c r="V60" s="8"/>
      <c r="W60" s="8">
        <v>256717</v>
      </c>
      <c r="X60" s="8"/>
      <c r="Y60" s="8"/>
      <c r="Z60" s="8"/>
      <c r="AA60" s="8">
        <v>1265134</v>
      </c>
      <c r="AB60" s="8"/>
      <c r="AC60" s="8">
        <v>402882</v>
      </c>
      <c r="AD60" s="8"/>
      <c r="AE60" s="8">
        <v>14022</v>
      </c>
      <c r="AF60" s="138"/>
      <c r="AG60" s="12" t="s">
        <v>875</v>
      </c>
      <c r="AH60" s="12"/>
      <c r="AI60" s="12" t="s">
        <v>10</v>
      </c>
      <c r="AJ60" s="12"/>
      <c r="AK60" s="8">
        <v>406396</v>
      </c>
      <c r="AL60" s="8"/>
      <c r="AM60" s="8">
        <v>1916</v>
      </c>
      <c r="AN60" s="8"/>
      <c r="AO60" s="8">
        <v>316462</v>
      </c>
      <c r="AP60" s="8"/>
      <c r="AQ60" s="8"/>
      <c r="AR60" s="8"/>
      <c r="AS60" s="8"/>
      <c r="AT60" s="8"/>
      <c r="AU60" s="8">
        <f>596223+257276+24500</f>
        <v>877999</v>
      </c>
      <c r="AV60" s="8"/>
      <c r="AW60" s="8">
        <f t="shared" si="0"/>
        <v>10202083</v>
      </c>
      <c r="AY60" s="8">
        <f>+'St of Activites - GA Rev'!AI60-'St of Activities - GA Exp'!AW60</f>
        <v>-1506</v>
      </c>
      <c r="BA60" s="8">
        <v>3226181</v>
      </c>
      <c r="BC60" s="8">
        <f t="shared" si="1"/>
        <v>3224675</v>
      </c>
      <c r="BE60" s="8">
        <f>+'St of Net Assets - GA'!AA60-'St of Activities - GA Exp'!BC60</f>
        <v>0</v>
      </c>
      <c r="BG60" s="10" t="s">
        <v>956</v>
      </c>
    </row>
    <row r="61" spans="1:59" ht="12" customHeight="1">
      <c r="A61" s="12" t="s">
        <v>509</v>
      </c>
      <c r="B61" s="12"/>
      <c r="C61" s="12" t="s">
        <v>45</v>
      </c>
      <c r="D61" s="12"/>
      <c r="E61" s="32">
        <v>48306</v>
      </c>
      <c r="G61" s="8">
        <v>22309318</v>
      </c>
      <c r="H61" s="8"/>
      <c r="I61" s="8">
        <v>3583756</v>
      </c>
      <c r="J61" s="8"/>
      <c r="K61" s="8">
        <v>10920</v>
      </c>
      <c r="L61" s="8"/>
      <c r="M61" s="8">
        <v>410189</v>
      </c>
      <c r="N61" s="8"/>
      <c r="O61" s="8">
        <v>1777358</v>
      </c>
      <c r="P61" s="8"/>
      <c r="Q61" s="8">
        <v>2553266</v>
      </c>
      <c r="R61" s="8"/>
      <c r="S61" s="8">
        <v>120579</v>
      </c>
      <c r="T61" s="8"/>
      <c r="U61" s="8">
        <v>2611681</v>
      </c>
      <c r="V61" s="8"/>
      <c r="W61" s="8">
        <v>940752</v>
      </c>
      <c r="X61" s="8"/>
      <c r="Y61" s="8">
        <v>140580</v>
      </c>
      <c r="Z61" s="8"/>
      <c r="AA61" s="8">
        <v>4170073</v>
      </c>
      <c r="AB61" s="8"/>
      <c r="AC61" s="8">
        <v>3162029</v>
      </c>
      <c r="AD61" s="8"/>
      <c r="AE61" s="8">
        <v>165682</v>
      </c>
      <c r="AF61" s="138"/>
      <c r="AG61" s="12" t="s">
        <v>509</v>
      </c>
      <c r="AH61" s="12"/>
      <c r="AI61" s="12" t="s">
        <v>45</v>
      </c>
      <c r="AJ61" s="12"/>
      <c r="AK61" s="8">
        <v>1381199</v>
      </c>
      <c r="AL61" s="8"/>
      <c r="AM61" s="8">
        <v>819515</v>
      </c>
      <c r="AN61" s="8"/>
      <c r="AO61" s="8">
        <v>1148129</v>
      </c>
      <c r="AP61" s="8"/>
      <c r="AQ61" s="8">
        <v>53249</v>
      </c>
      <c r="AR61" s="8"/>
      <c r="AS61" s="8"/>
      <c r="AT61" s="8"/>
      <c r="AU61" s="8">
        <v>0</v>
      </c>
      <c r="AV61" s="8"/>
      <c r="AW61" s="8">
        <f t="shared" si="0"/>
        <v>45358275</v>
      </c>
      <c r="AY61" s="8">
        <f>+'St of Activites - GA Rev'!AI61-'St of Activities - GA Exp'!AW61</f>
        <v>468749</v>
      </c>
      <c r="BA61" s="8">
        <v>25321633</v>
      </c>
      <c r="BC61" s="8">
        <f t="shared" si="1"/>
        <v>25790382</v>
      </c>
      <c r="BE61" s="8">
        <f>+'St of Net Assets - GA'!AA61-'St of Activities - GA Exp'!BC61</f>
        <v>0</v>
      </c>
    </row>
    <row r="62" spans="1:59">
      <c r="A62" s="12" t="s">
        <v>642</v>
      </c>
      <c r="B62" s="12"/>
      <c r="C62" s="12" t="s">
        <v>61</v>
      </c>
      <c r="D62" s="12"/>
      <c r="E62" s="32">
        <v>49767</v>
      </c>
      <c r="G62" s="8">
        <v>2296034</v>
      </c>
      <c r="H62" s="8"/>
      <c r="I62" s="8">
        <v>491658</v>
      </c>
      <c r="J62" s="8"/>
      <c r="K62" s="8">
        <v>168217</v>
      </c>
      <c r="L62" s="8"/>
      <c r="M62" s="8">
        <f>16205+17613</f>
        <v>33818</v>
      </c>
      <c r="N62" s="8"/>
      <c r="O62" s="8">
        <v>238617</v>
      </c>
      <c r="P62" s="8"/>
      <c r="Q62" s="8">
        <v>294822</v>
      </c>
      <c r="R62" s="8"/>
      <c r="S62" s="8">
        <v>125473</v>
      </c>
      <c r="T62" s="8"/>
      <c r="U62" s="8">
        <v>534138</v>
      </c>
      <c r="V62" s="8"/>
      <c r="W62" s="8">
        <v>157788</v>
      </c>
      <c r="X62" s="8"/>
      <c r="Y62" s="8">
        <v>0</v>
      </c>
      <c r="Z62" s="8"/>
      <c r="AA62" s="8">
        <v>377860</v>
      </c>
      <c r="AB62" s="8"/>
      <c r="AC62" s="8">
        <v>122320</v>
      </c>
      <c r="AD62" s="8"/>
      <c r="AE62" s="8">
        <v>7136</v>
      </c>
      <c r="AF62" s="138"/>
      <c r="AG62" s="12" t="s">
        <v>642</v>
      </c>
      <c r="AH62" s="12"/>
      <c r="AI62" s="12" t="s">
        <v>61</v>
      </c>
      <c r="AJ62" s="12"/>
      <c r="AK62" s="8">
        <v>0</v>
      </c>
      <c r="AL62" s="8"/>
      <c r="AM62" s="8">
        <v>226047</v>
      </c>
      <c r="AN62" s="8"/>
      <c r="AO62" s="8">
        <v>230328</v>
      </c>
      <c r="AP62" s="8"/>
      <c r="AQ62" s="8">
        <v>36852</v>
      </c>
      <c r="AR62" s="8"/>
      <c r="AS62" s="8"/>
      <c r="AT62" s="8"/>
      <c r="AU62" s="8">
        <v>0</v>
      </c>
      <c r="AV62" s="8"/>
      <c r="AW62" s="8">
        <f t="shared" si="0"/>
        <v>5341108</v>
      </c>
      <c r="AY62" s="8">
        <f>+'St of Activites - GA Rev'!AI62-'St of Activities - GA Exp'!AW62</f>
        <v>-214416</v>
      </c>
      <c r="BA62" s="8">
        <v>5043595</v>
      </c>
      <c r="BC62" s="8">
        <f t="shared" si="1"/>
        <v>4829179</v>
      </c>
      <c r="BE62" s="8">
        <f>+'St of Net Assets - GA'!AA62-'St of Activities - GA Exp'!BC62</f>
        <v>0</v>
      </c>
    </row>
    <row r="63" spans="1:59">
      <c r="A63" s="12" t="s">
        <v>733</v>
      </c>
      <c r="B63" s="12"/>
      <c r="C63" s="12" t="s">
        <v>72</v>
      </c>
      <c r="D63" s="12"/>
      <c r="E63" s="32">
        <v>43638</v>
      </c>
      <c r="G63" s="8">
        <v>19618427</v>
      </c>
      <c r="H63" s="8"/>
      <c r="I63" s="8">
        <v>0</v>
      </c>
      <c r="J63" s="8"/>
      <c r="K63" s="8">
        <v>0</v>
      </c>
      <c r="L63" s="8"/>
      <c r="M63" s="8">
        <v>0</v>
      </c>
      <c r="N63" s="8"/>
      <c r="O63" s="8">
        <v>11929011</v>
      </c>
      <c r="P63" s="8"/>
      <c r="Q63" s="8">
        <v>0</v>
      </c>
      <c r="R63" s="8"/>
      <c r="S63" s="8">
        <v>0</v>
      </c>
      <c r="T63" s="8"/>
      <c r="U63" s="8">
        <v>0</v>
      </c>
      <c r="V63" s="8"/>
      <c r="W63" s="8">
        <v>0</v>
      </c>
      <c r="X63" s="8"/>
      <c r="Y63" s="8">
        <v>0</v>
      </c>
      <c r="Z63" s="8"/>
      <c r="AA63" s="8">
        <v>0</v>
      </c>
      <c r="AB63" s="8"/>
      <c r="AC63" s="8">
        <v>0</v>
      </c>
      <c r="AD63" s="8"/>
      <c r="AE63" s="8">
        <v>0</v>
      </c>
      <c r="AF63" s="138"/>
      <c r="AG63" s="12" t="s">
        <v>733</v>
      </c>
      <c r="AH63" s="12"/>
      <c r="AI63" s="12" t="s">
        <v>72</v>
      </c>
      <c r="AJ63" s="12"/>
      <c r="AK63" s="8">
        <v>0</v>
      </c>
      <c r="AL63" s="8"/>
      <c r="AM63" s="8">
        <f>1407899+363946</f>
        <v>1771845</v>
      </c>
      <c r="AN63" s="8"/>
      <c r="AO63" s="8">
        <v>961381</v>
      </c>
      <c r="AP63" s="8"/>
      <c r="AQ63" s="8">
        <v>1281790</v>
      </c>
      <c r="AR63" s="8"/>
      <c r="AS63" s="8"/>
      <c r="AT63" s="8"/>
      <c r="AU63" s="8">
        <f>17780+5515</f>
        <v>23295</v>
      </c>
      <c r="AV63" s="8"/>
      <c r="AW63" s="8">
        <f t="shared" si="0"/>
        <v>35585749</v>
      </c>
      <c r="AY63" s="8">
        <f>+'St of Activites - GA Rev'!AI63-'St of Activities - GA Exp'!AW63</f>
        <v>-557298</v>
      </c>
      <c r="BA63" s="8">
        <v>19510041</v>
      </c>
      <c r="BC63" s="8">
        <f t="shared" si="1"/>
        <v>18952743</v>
      </c>
      <c r="BE63" s="8">
        <f>+'St of Net Assets - GA'!AA63-'St of Activities - GA Exp'!BC63</f>
        <v>0</v>
      </c>
      <c r="BG63" s="10" t="s">
        <v>899</v>
      </c>
    </row>
    <row r="64" spans="1:59" hidden="1">
      <c r="A64" s="88" t="s">
        <v>961</v>
      </c>
      <c r="B64" s="12"/>
      <c r="C64" s="12" t="s">
        <v>48</v>
      </c>
      <c r="D64" s="12"/>
      <c r="E64" s="32">
        <v>43646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138"/>
      <c r="AG64" s="13" t="s">
        <v>900</v>
      </c>
      <c r="AH64" s="12" t="s">
        <v>876</v>
      </c>
      <c r="AI64" s="12" t="s">
        <v>48</v>
      </c>
      <c r="AJ64" s="12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>
        <f>SUM(G64:AV64)</f>
        <v>0</v>
      </c>
      <c r="AY64" s="8">
        <f>+'St of Activites - GA Rev'!AI64-'St of Activities - GA Exp'!AW64</f>
        <v>0</v>
      </c>
      <c r="BC64" s="8">
        <f>+AY64+BA64</f>
        <v>0</v>
      </c>
      <c r="BE64" s="8">
        <f>+'St of Net Assets - GA'!AA64-'St of Activities - GA Exp'!BC64</f>
        <v>0</v>
      </c>
    </row>
    <row r="65" spans="1:59">
      <c r="A65" s="12" t="s">
        <v>873</v>
      </c>
      <c r="B65" s="12"/>
      <c r="C65" s="12" t="s">
        <v>20</v>
      </c>
      <c r="D65" s="12"/>
      <c r="E65" s="32">
        <v>43646</v>
      </c>
      <c r="G65" s="8">
        <v>24745277</v>
      </c>
      <c r="H65" s="8"/>
      <c r="I65" s="8">
        <v>5323025</v>
      </c>
      <c r="J65" s="8"/>
      <c r="K65" s="8">
        <v>237341</v>
      </c>
      <c r="L65" s="8"/>
      <c r="M65" s="8">
        <f>25747+57728</f>
        <v>83475</v>
      </c>
      <c r="N65" s="8"/>
      <c r="O65" s="8">
        <v>3735765</v>
      </c>
      <c r="P65" s="8"/>
      <c r="Q65" s="8">
        <v>3464819</v>
      </c>
      <c r="R65" s="8"/>
      <c r="S65" s="8">
        <v>85974</v>
      </c>
      <c r="T65" s="8"/>
      <c r="U65" s="8">
        <v>3258369</v>
      </c>
      <c r="V65" s="8"/>
      <c r="W65" s="8">
        <v>1009102</v>
      </c>
      <c r="X65" s="8"/>
      <c r="Y65" s="8">
        <v>503686</v>
      </c>
      <c r="Z65" s="8"/>
      <c r="AA65" s="8">
        <v>5331392</v>
      </c>
      <c r="AB65" s="8"/>
      <c r="AC65" s="8">
        <v>3417222</v>
      </c>
      <c r="AD65" s="8"/>
      <c r="AE65" s="8">
        <v>311029</v>
      </c>
      <c r="AF65" s="138"/>
      <c r="AG65" s="12" t="s">
        <v>300</v>
      </c>
      <c r="AH65" s="12"/>
      <c r="AI65" s="12" t="s">
        <v>20</v>
      </c>
      <c r="AJ65" s="12"/>
      <c r="AK65" s="8">
        <v>1603045</v>
      </c>
      <c r="AL65" s="8"/>
      <c r="AM65" s="8">
        <v>630713</v>
      </c>
      <c r="AN65" s="8"/>
      <c r="AO65" s="8">
        <v>1229002</v>
      </c>
      <c r="AP65" s="8"/>
      <c r="AQ65" s="8">
        <v>1405643</v>
      </c>
      <c r="AR65" s="8"/>
      <c r="AS65" s="8"/>
      <c r="AT65" s="8"/>
      <c r="AU65" s="8">
        <v>469876</v>
      </c>
      <c r="AV65" s="8"/>
      <c r="AW65" s="8">
        <f t="shared" si="0"/>
        <v>56844755</v>
      </c>
      <c r="AY65" s="8">
        <f>+'St of Activites - GA Rev'!AI65-'St of Activities - GA Exp'!AW65</f>
        <v>-4218168</v>
      </c>
      <c r="BA65" s="8">
        <v>30426155</v>
      </c>
      <c r="BC65" s="8">
        <f t="shared" si="1"/>
        <v>26207987</v>
      </c>
      <c r="BE65" s="8">
        <f>+'St of Net Assets - GA'!AA65-'St of Activities - GA Exp'!BC65</f>
        <v>0</v>
      </c>
    </row>
    <row r="66" spans="1:59">
      <c r="A66" s="12" t="s">
        <v>232</v>
      </c>
      <c r="B66" s="12"/>
      <c r="C66" s="12" t="s">
        <v>15</v>
      </c>
      <c r="D66" s="12"/>
      <c r="E66" s="32">
        <v>45237</v>
      </c>
      <c r="G66" s="8">
        <v>3509680</v>
      </c>
      <c r="H66" s="8"/>
      <c r="I66" s="8">
        <v>1208660</v>
      </c>
      <c r="J66" s="8"/>
      <c r="K66" s="8">
        <v>77856</v>
      </c>
      <c r="L66" s="8"/>
      <c r="M66" s="8">
        <v>109905</v>
      </c>
      <c r="N66" s="8"/>
      <c r="O66" s="8">
        <v>209079</v>
      </c>
      <c r="P66" s="8"/>
      <c r="Q66" s="8">
        <v>291066</v>
      </c>
      <c r="R66" s="8"/>
      <c r="S66" s="8">
        <v>25712</v>
      </c>
      <c r="T66" s="8"/>
      <c r="U66" s="8">
        <v>495169</v>
      </c>
      <c r="V66" s="8"/>
      <c r="W66" s="8">
        <v>267585</v>
      </c>
      <c r="X66" s="8"/>
      <c r="Y66" s="8">
        <v>41581</v>
      </c>
      <c r="Z66" s="8"/>
      <c r="AA66" s="8">
        <v>745274</v>
      </c>
      <c r="AB66" s="8"/>
      <c r="AC66" s="8">
        <v>300304</v>
      </c>
      <c r="AD66" s="8"/>
      <c r="AE66" s="8">
        <v>10532</v>
      </c>
      <c r="AF66" s="138"/>
      <c r="AG66" s="12" t="s">
        <v>232</v>
      </c>
      <c r="AH66" s="12"/>
      <c r="AI66" s="12" t="s">
        <v>15</v>
      </c>
      <c r="AJ66" s="12"/>
      <c r="AK66" s="8">
        <v>379945</v>
      </c>
      <c r="AL66" s="8"/>
      <c r="AM66" s="8">
        <v>73682</v>
      </c>
      <c r="AN66" s="8"/>
      <c r="AO66" s="8">
        <v>142349</v>
      </c>
      <c r="AP66" s="8"/>
      <c r="AQ66" s="8">
        <v>214236</v>
      </c>
      <c r="AR66" s="8"/>
      <c r="AS66" s="8"/>
      <c r="AT66" s="8"/>
      <c r="AU66" s="8">
        <v>0</v>
      </c>
      <c r="AV66" s="8"/>
      <c r="AW66" s="8">
        <f t="shared" si="0"/>
        <v>8102615</v>
      </c>
      <c r="AY66" s="8">
        <f>+'St of Activites - GA Rev'!AI66-'St of Activities - GA Exp'!AW66</f>
        <v>72332</v>
      </c>
      <c r="BA66" s="8">
        <v>15722292</v>
      </c>
      <c r="BC66" s="8">
        <f t="shared" si="1"/>
        <v>15794624</v>
      </c>
      <c r="BE66" s="8">
        <f>+'St of Net Assets - GA'!AA66-'St of Activities - GA Exp'!BC66</f>
        <v>0</v>
      </c>
      <c r="BG66" s="10" t="s">
        <v>956</v>
      </c>
    </row>
    <row r="67" spans="1:59">
      <c r="A67" s="12" t="s">
        <v>434</v>
      </c>
      <c r="B67" s="12"/>
      <c r="C67" s="12" t="s">
        <v>435</v>
      </c>
      <c r="D67" s="12"/>
      <c r="E67" s="32">
        <v>47613</v>
      </c>
      <c r="G67" s="8">
        <v>3976222</v>
      </c>
      <c r="H67" s="8"/>
      <c r="I67" s="8">
        <v>931471</v>
      </c>
      <c r="J67" s="8"/>
      <c r="K67" s="8">
        <v>190116</v>
      </c>
      <c r="L67" s="8"/>
      <c r="M67" s="8">
        <v>61384</v>
      </c>
      <c r="N67" s="8"/>
      <c r="O67" s="8">
        <v>429028</v>
      </c>
      <c r="P67" s="8"/>
      <c r="Q67" s="8">
        <v>498477</v>
      </c>
      <c r="R67" s="8"/>
      <c r="S67" s="8">
        <v>46378</v>
      </c>
      <c r="T67" s="8"/>
      <c r="U67" s="8">
        <v>527313</v>
      </c>
      <c r="V67" s="8"/>
      <c r="W67" s="8">
        <v>310199</v>
      </c>
      <c r="X67" s="8"/>
      <c r="Y67" s="8">
        <v>4258</v>
      </c>
      <c r="Z67" s="8"/>
      <c r="AA67" s="8">
        <v>682869</v>
      </c>
      <c r="AB67" s="8"/>
      <c r="AC67" s="8">
        <v>716344</v>
      </c>
      <c r="AD67" s="8"/>
      <c r="AE67" s="8">
        <v>0</v>
      </c>
      <c r="AF67" s="138"/>
      <c r="AG67" s="12" t="s">
        <v>434</v>
      </c>
      <c r="AH67" s="12"/>
      <c r="AI67" s="12" t="s">
        <v>435</v>
      </c>
      <c r="AJ67" s="12"/>
      <c r="AK67" s="8">
        <v>382264</v>
      </c>
      <c r="AL67" s="8"/>
      <c r="AM67" s="8">
        <v>350</v>
      </c>
      <c r="AN67" s="8"/>
      <c r="AO67" s="8">
        <v>110926</v>
      </c>
      <c r="AP67" s="8"/>
      <c r="AQ67" s="8">
        <v>34935</v>
      </c>
      <c r="AR67" s="8"/>
      <c r="AS67" s="8"/>
      <c r="AT67" s="8"/>
      <c r="AU67" s="8">
        <v>0</v>
      </c>
      <c r="AV67" s="8"/>
      <c r="AW67" s="8">
        <f t="shared" si="0"/>
        <v>8902534</v>
      </c>
      <c r="AY67" s="8">
        <f>+'St of Activites - GA Rev'!AI67-'St of Activities - GA Exp'!AW67</f>
        <v>-773846</v>
      </c>
      <c r="BA67" s="8">
        <v>17075294</v>
      </c>
      <c r="BC67" s="8">
        <f t="shared" si="1"/>
        <v>16301448</v>
      </c>
      <c r="BE67" s="8">
        <f>+'St of Net Assets - GA'!AA67-'St of Activities - GA Exp'!BC67</f>
        <v>0</v>
      </c>
    </row>
    <row r="68" spans="1:59">
      <c r="A68" s="12" t="s">
        <v>676</v>
      </c>
      <c r="B68" s="12"/>
      <c r="C68" s="12" t="s">
        <v>64</v>
      </c>
      <c r="D68" s="12"/>
      <c r="E68" s="32">
        <v>50112</v>
      </c>
      <c r="G68" s="8">
        <v>4146383</v>
      </c>
      <c r="H68" s="8"/>
      <c r="I68" s="8">
        <v>688429</v>
      </c>
      <c r="J68" s="8"/>
      <c r="K68" s="8">
        <v>53888</v>
      </c>
      <c r="L68" s="8"/>
      <c r="M68" s="8">
        <v>3500</v>
      </c>
      <c r="N68" s="8"/>
      <c r="O68" s="8">
        <v>226973</v>
      </c>
      <c r="P68" s="8"/>
      <c r="Q68" s="8">
        <v>181904</v>
      </c>
      <c r="R68" s="8"/>
      <c r="S68" s="8">
        <v>18450</v>
      </c>
      <c r="T68" s="8"/>
      <c r="U68" s="8">
        <v>539922</v>
      </c>
      <c r="V68" s="8"/>
      <c r="W68" s="8">
        <v>205600</v>
      </c>
      <c r="X68" s="8"/>
      <c r="Y68" s="8">
        <v>27970</v>
      </c>
      <c r="Z68" s="8"/>
      <c r="AA68" s="8">
        <v>578606</v>
      </c>
      <c r="AB68" s="8"/>
      <c r="AC68" s="8">
        <v>460489</v>
      </c>
      <c r="AD68" s="8"/>
      <c r="AE68" s="8">
        <v>6941</v>
      </c>
      <c r="AF68" s="138"/>
      <c r="AG68" s="12" t="s">
        <v>676</v>
      </c>
      <c r="AH68" s="12"/>
      <c r="AI68" s="12" t="s">
        <v>64</v>
      </c>
      <c r="AJ68" s="12"/>
      <c r="AK68" s="8">
        <v>230641</v>
      </c>
      <c r="AL68" s="8"/>
      <c r="AM68" s="8">
        <v>12253</v>
      </c>
      <c r="AN68" s="8"/>
      <c r="AO68" s="8">
        <v>192612</v>
      </c>
      <c r="AP68" s="8"/>
      <c r="AQ68" s="8">
        <v>85933</v>
      </c>
      <c r="AR68" s="8"/>
      <c r="AS68" s="8"/>
      <c r="AT68" s="8"/>
      <c r="AU68" s="8">
        <v>0</v>
      </c>
      <c r="AV68" s="8"/>
      <c r="AW68" s="8">
        <f t="shared" si="0"/>
        <v>7660494</v>
      </c>
      <c r="AY68" s="8">
        <f>+'St of Activites - GA Rev'!AI68-'St of Activities - GA Exp'!AW68</f>
        <v>399690</v>
      </c>
      <c r="BA68" s="8">
        <v>8745199</v>
      </c>
      <c r="BC68" s="8">
        <f t="shared" si="1"/>
        <v>9144889</v>
      </c>
      <c r="BE68" s="8">
        <f>+'St of Net Assets - GA'!AA68-'St of Activities - GA Exp'!BC68</f>
        <v>0</v>
      </c>
    </row>
    <row r="69" spans="1:59" ht="12" customHeight="1">
      <c r="A69" s="13" t="s">
        <v>964</v>
      </c>
      <c r="B69" s="12"/>
      <c r="C69" s="12" t="s">
        <v>64</v>
      </c>
      <c r="D69" s="12"/>
      <c r="E69" s="32">
        <v>50120</v>
      </c>
      <c r="G69" s="8">
        <v>5618026</v>
      </c>
      <c r="H69" s="8"/>
      <c r="I69" s="8">
        <v>1344405</v>
      </c>
      <c r="J69" s="8"/>
      <c r="K69" s="8">
        <v>133787</v>
      </c>
      <c r="L69" s="8"/>
      <c r="M69" s="8">
        <v>0</v>
      </c>
      <c r="N69" s="8"/>
      <c r="O69" s="8">
        <v>700458</v>
      </c>
      <c r="P69" s="8"/>
      <c r="Q69" s="8">
        <v>275200</v>
      </c>
      <c r="R69" s="8"/>
      <c r="S69" s="8">
        <v>3711</v>
      </c>
      <c r="T69" s="8"/>
      <c r="U69" s="8">
        <v>1009927</v>
      </c>
      <c r="V69" s="8"/>
      <c r="W69" s="8">
        <v>249977</v>
      </c>
      <c r="X69" s="8"/>
      <c r="Y69" s="8">
        <v>66102</v>
      </c>
      <c r="Z69" s="8"/>
      <c r="AA69" s="8">
        <v>1160448</v>
      </c>
      <c r="AB69" s="8"/>
      <c r="AC69" s="8">
        <v>526405</v>
      </c>
      <c r="AD69" s="8"/>
      <c r="AE69" s="8">
        <v>1489</v>
      </c>
      <c r="AF69" s="138"/>
      <c r="AG69" s="12" t="s">
        <v>677</v>
      </c>
      <c r="AH69" s="12"/>
      <c r="AI69" s="12" t="s">
        <v>64</v>
      </c>
      <c r="AJ69" s="12"/>
      <c r="AK69" s="8">
        <v>572471</v>
      </c>
      <c r="AL69" s="8"/>
      <c r="AM69" s="8">
        <v>0</v>
      </c>
      <c r="AN69" s="8"/>
      <c r="AO69" s="8">
        <v>268577</v>
      </c>
      <c r="AP69" s="8"/>
      <c r="AQ69" s="8">
        <v>714886</v>
      </c>
      <c r="AR69" s="8"/>
      <c r="AS69" s="8"/>
      <c r="AT69" s="8"/>
      <c r="AU69" s="8">
        <v>0</v>
      </c>
      <c r="AV69" s="8"/>
      <c r="AW69" s="8">
        <f>SUM(G69:AV69)</f>
        <v>12645869</v>
      </c>
      <c r="AY69" s="8">
        <f>+'St of Activites - GA Rev'!AI69-'St of Activities - GA Exp'!AW69</f>
        <v>111844</v>
      </c>
      <c r="BA69" s="8">
        <v>21304979</v>
      </c>
      <c r="BC69" s="8">
        <f t="shared" si="1"/>
        <v>21416823</v>
      </c>
      <c r="BE69" s="8">
        <f>+'St of Net Assets - GA'!AA69-'St of Activities - GA Exp'!BC69</f>
        <v>0</v>
      </c>
      <c r="BG69" s="8" t="s">
        <v>956</v>
      </c>
    </row>
    <row r="70" spans="1:59">
      <c r="A70" s="12" t="s">
        <v>301</v>
      </c>
      <c r="B70" s="12"/>
      <c r="C70" s="12" t="s">
        <v>20</v>
      </c>
      <c r="D70" s="12"/>
      <c r="E70" s="32">
        <v>43653</v>
      </c>
      <c r="G70" s="8">
        <v>6822701</v>
      </c>
      <c r="H70" s="8"/>
      <c r="I70" s="8">
        <v>1901157</v>
      </c>
      <c r="J70" s="8"/>
      <c r="K70" s="8">
        <v>114531</v>
      </c>
      <c r="L70" s="8"/>
      <c r="M70" s="8">
        <v>0</v>
      </c>
      <c r="N70" s="8"/>
      <c r="O70" s="8">
        <v>1291121</v>
      </c>
      <c r="P70" s="8"/>
      <c r="Q70" s="8">
        <v>82267</v>
      </c>
      <c r="R70" s="8"/>
      <c r="S70" s="8">
        <v>27572</v>
      </c>
      <c r="T70" s="8"/>
      <c r="U70" s="8">
        <v>1407142</v>
      </c>
      <c r="V70" s="8"/>
      <c r="W70" s="8">
        <v>521367</v>
      </c>
      <c r="X70" s="8"/>
      <c r="Y70" s="8">
        <v>86450</v>
      </c>
      <c r="Z70" s="8"/>
      <c r="AA70" s="8">
        <v>1397671</v>
      </c>
      <c r="AB70" s="8"/>
      <c r="AC70" s="8">
        <v>395243</v>
      </c>
      <c r="AD70" s="8"/>
      <c r="AE70" s="8">
        <v>127738</v>
      </c>
      <c r="AF70" s="138"/>
      <c r="AG70" s="12" t="s">
        <v>301</v>
      </c>
      <c r="AH70" s="12"/>
      <c r="AI70" s="12" t="s">
        <v>20</v>
      </c>
      <c r="AJ70" s="12"/>
      <c r="AK70" s="8">
        <v>461218</v>
      </c>
      <c r="AL70" s="8"/>
      <c r="AM70" s="8">
        <v>393735</v>
      </c>
      <c r="AN70" s="8"/>
      <c r="AO70" s="8">
        <v>375747</v>
      </c>
      <c r="AP70" s="8"/>
      <c r="AQ70" s="8">
        <v>0</v>
      </c>
      <c r="AR70" s="8"/>
      <c r="AS70" s="8"/>
      <c r="AT70" s="8"/>
      <c r="AU70" s="8">
        <v>0</v>
      </c>
      <c r="AV70" s="8"/>
      <c r="AW70" s="8">
        <f t="shared" si="0"/>
        <v>15405660</v>
      </c>
      <c r="AY70" s="8">
        <f>+'St of Activites - GA Rev'!AI70-'St of Activities - GA Exp'!AW70</f>
        <v>1500194</v>
      </c>
      <c r="BA70" s="8">
        <v>6051037</v>
      </c>
      <c r="BC70" s="8">
        <f t="shared" si="1"/>
        <v>7551231</v>
      </c>
      <c r="BE70" s="8">
        <f>+'St of Net Assets - GA'!AA70-'St of Activities - GA Exp'!BC70</f>
        <v>0</v>
      </c>
    </row>
    <row r="71" spans="1:59">
      <c r="A71" s="13" t="s">
        <v>965</v>
      </c>
      <c r="B71" s="12"/>
      <c r="C71" s="12" t="s">
        <v>50</v>
      </c>
      <c r="D71" s="12"/>
      <c r="E71" s="32">
        <v>48678</v>
      </c>
      <c r="G71" s="8">
        <v>6257100</v>
      </c>
      <c r="H71" s="8"/>
      <c r="I71" s="8">
        <v>1131110</v>
      </c>
      <c r="J71" s="8"/>
      <c r="K71" s="8">
        <v>87519</v>
      </c>
      <c r="L71" s="8"/>
      <c r="M71" s="8">
        <v>17944</v>
      </c>
      <c r="N71" s="8"/>
      <c r="O71" s="8">
        <v>956442</v>
      </c>
      <c r="P71" s="8"/>
      <c r="Q71" s="8">
        <v>1115520</v>
      </c>
      <c r="R71" s="8"/>
      <c r="S71" s="8">
        <v>23969</v>
      </c>
      <c r="T71" s="8"/>
      <c r="U71" s="8">
        <v>1281274</v>
      </c>
      <c r="V71" s="8"/>
      <c r="W71" s="8">
        <v>328413</v>
      </c>
      <c r="X71" s="8"/>
      <c r="Y71" s="8">
        <v>4951</v>
      </c>
      <c r="Z71" s="8"/>
      <c r="AA71" s="8">
        <v>1188570</v>
      </c>
      <c r="AB71" s="8"/>
      <c r="AC71" s="8">
        <v>621048</v>
      </c>
      <c r="AD71" s="8"/>
      <c r="AE71" s="8">
        <v>28052</v>
      </c>
      <c r="AF71" s="138"/>
      <c r="AG71" s="12" t="s">
        <v>544</v>
      </c>
      <c r="AH71" s="12"/>
      <c r="AI71" s="12" t="s">
        <v>50</v>
      </c>
      <c r="AJ71" s="12"/>
      <c r="AK71" s="8">
        <v>0</v>
      </c>
      <c r="AL71" s="8"/>
      <c r="AM71" s="8">
        <v>801354</v>
      </c>
      <c r="AN71" s="8"/>
      <c r="AO71" s="8">
        <v>524363</v>
      </c>
      <c r="AP71" s="8"/>
      <c r="AQ71" s="8">
        <v>1012605</v>
      </c>
      <c r="AR71" s="8"/>
      <c r="AS71" s="8"/>
      <c r="AT71" s="8"/>
      <c r="AU71" s="8">
        <v>0</v>
      </c>
      <c r="AV71" s="8"/>
      <c r="AW71" s="8">
        <f t="shared" si="0"/>
        <v>15380234</v>
      </c>
      <c r="AY71" s="8">
        <f>+'St of Activites - GA Rev'!AI71-'St of Activities - GA Exp'!AW71</f>
        <v>15164291</v>
      </c>
      <c r="BA71" s="8">
        <v>10170424</v>
      </c>
      <c r="BC71" s="8">
        <f t="shared" si="1"/>
        <v>25334715</v>
      </c>
      <c r="BE71" s="8">
        <f>+'St of Net Assets - GA'!AA71-'St of Activities - GA Exp'!BC71</f>
        <v>0</v>
      </c>
      <c r="BG71" s="8" t="s">
        <v>956</v>
      </c>
    </row>
    <row r="72" spans="1:59">
      <c r="A72" s="12" t="s">
        <v>252</v>
      </c>
      <c r="B72" s="12"/>
      <c r="C72" s="12" t="s">
        <v>16</v>
      </c>
      <c r="D72" s="12"/>
      <c r="E72" s="32">
        <v>46177</v>
      </c>
      <c r="G72" s="8">
        <v>4077258</v>
      </c>
      <c r="H72" s="8"/>
      <c r="I72" s="8">
        <v>313224</v>
      </c>
      <c r="J72" s="8"/>
      <c r="K72" s="8">
        <v>0</v>
      </c>
      <c r="L72" s="8"/>
      <c r="M72" s="8">
        <v>0</v>
      </c>
      <c r="N72" s="8"/>
      <c r="O72" s="8">
        <v>256579</v>
      </c>
      <c r="P72" s="8"/>
      <c r="Q72" s="8">
        <v>309289</v>
      </c>
      <c r="R72" s="8"/>
      <c r="S72" s="8">
        <v>207374</v>
      </c>
      <c r="T72" s="8"/>
      <c r="U72" s="8">
        <v>731768</v>
      </c>
      <c r="V72" s="8"/>
      <c r="W72" s="8">
        <v>152734</v>
      </c>
      <c r="X72" s="8"/>
      <c r="Y72" s="8">
        <v>0</v>
      </c>
      <c r="Z72" s="8"/>
      <c r="AA72" s="8">
        <v>526831</v>
      </c>
      <c r="AB72" s="8"/>
      <c r="AC72" s="8">
        <v>307594</v>
      </c>
      <c r="AD72" s="8"/>
      <c r="AE72" s="8">
        <v>8834</v>
      </c>
      <c r="AF72" s="138"/>
      <c r="AG72" s="12" t="s">
        <v>252</v>
      </c>
      <c r="AH72" s="12"/>
      <c r="AI72" s="12" t="s">
        <v>16</v>
      </c>
      <c r="AJ72" s="12"/>
      <c r="AK72" s="8">
        <v>316712</v>
      </c>
      <c r="AL72" s="8"/>
      <c r="AM72" s="8">
        <v>0</v>
      </c>
      <c r="AN72" s="8"/>
      <c r="AO72" s="8">
        <v>303850</v>
      </c>
      <c r="AP72" s="8"/>
      <c r="AQ72" s="8">
        <v>2434</v>
      </c>
      <c r="AR72" s="8"/>
      <c r="AS72" s="8"/>
      <c r="AT72" s="8"/>
      <c r="AU72" s="8">
        <v>0</v>
      </c>
      <c r="AV72" s="8"/>
      <c r="AW72" s="8">
        <f t="shared" si="0"/>
        <v>7514481</v>
      </c>
      <c r="AY72" s="8">
        <f>+'St of Activites - GA Rev'!AI72-'St of Activities - GA Exp'!AW72</f>
        <v>641933</v>
      </c>
      <c r="BA72" s="8">
        <v>4001226</v>
      </c>
      <c r="BC72" s="8">
        <f t="shared" si="1"/>
        <v>4643159</v>
      </c>
      <c r="BE72" s="8">
        <f>+'St of Net Assets - GA'!AA72-'St of Activities - GA Exp'!BC72</f>
        <v>0</v>
      </c>
    </row>
    <row r="73" spans="1:59">
      <c r="A73" s="12" t="s">
        <v>526</v>
      </c>
      <c r="B73" s="12"/>
      <c r="C73" s="12" t="s">
        <v>47</v>
      </c>
      <c r="D73" s="12"/>
      <c r="E73" s="32">
        <v>43661</v>
      </c>
      <c r="G73" s="8">
        <v>29539930</v>
      </c>
      <c r="H73" s="8"/>
      <c r="I73" s="8">
        <v>7562062</v>
      </c>
      <c r="J73" s="8"/>
      <c r="K73" s="8">
        <v>144448</v>
      </c>
      <c r="L73" s="8"/>
      <c r="M73" s="8">
        <v>1600660</v>
      </c>
      <c r="N73" s="8"/>
      <c r="O73" s="8">
        <v>5055213</v>
      </c>
      <c r="P73" s="8"/>
      <c r="Q73" s="8">
        <v>3241124</v>
      </c>
      <c r="R73" s="8"/>
      <c r="S73" s="8">
        <v>752590</v>
      </c>
      <c r="T73" s="8"/>
      <c r="U73" s="8">
        <v>4220205</v>
      </c>
      <c r="V73" s="8"/>
      <c r="W73" s="8">
        <v>1355689</v>
      </c>
      <c r="X73" s="8"/>
      <c r="Y73" s="8">
        <v>423220</v>
      </c>
      <c r="Z73" s="8"/>
      <c r="AA73" s="8">
        <v>5724509</v>
      </c>
      <c r="AB73" s="8"/>
      <c r="AC73" s="8">
        <v>3858167</v>
      </c>
      <c r="AD73" s="8"/>
      <c r="AE73" s="8">
        <v>265744</v>
      </c>
      <c r="AF73" s="138"/>
      <c r="AG73" s="12" t="s">
        <v>526</v>
      </c>
      <c r="AH73" s="12"/>
      <c r="AI73" s="12" t="s">
        <v>47</v>
      </c>
      <c r="AJ73" s="12"/>
      <c r="AK73" s="8">
        <v>1971824</v>
      </c>
      <c r="AL73" s="8"/>
      <c r="AM73" s="8">
        <v>493944</v>
      </c>
      <c r="AN73" s="8"/>
      <c r="AO73" s="8">
        <v>1683613</v>
      </c>
      <c r="AP73" s="8"/>
      <c r="AQ73" s="8">
        <v>909373</v>
      </c>
      <c r="AR73" s="8"/>
      <c r="AS73" s="8"/>
      <c r="AT73" s="8"/>
      <c r="AU73" s="8">
        <v>0</v>
      </c>
      <c r="AV73" s="8"/>
      <c r="AW73" s="8">
        <f t="shared" si="0"/>
        <v>68802315</v>
      </c>
      <c r="AY73" s="8">
        <f>+'St of Activites - GA Rev'!AI73-'St of Activities - GA Exp'!AW73</f>
        <v>9358614</v>
      </c>
      <c r="BA73" s="8">
        <v>-1313088</v>
      </c>
      <c r="BC73" s="8">
        <f t="shared" si="1"/>
        <v>8045526</v>
      </c>
      <c r="BE73" s="8">
        <f>+'St of Net Assets - GA'!AA73-'St of Activities - GA Exp'!BC73</f>
        <v>0</v>
      </c>
    </row>
    <row r="74" spans="1:59" ht="12" hidden="1" customHeight="1">
      <c r="A74" s="13" t="s">
        <v>966</v>
      </c>
      <c r="B74" s="12"/>
      <c r="C74" s="12" t="s">
        <v>727</v>
      </c>
      <c r="D74" s="12"/>
      <c r="E74" s="32">
        <v>43679</v>
      </c>
      <c r="G74" s="8">
        <v>8937292</v>
      </c>
      <c r="H74" s="8"/>
      <c r="I74" s="8">
        <v>3177606</v>
      </c>
      <c r="J74" s="8"/>
      <c r="K74" s="8">
        <v>128229</v>
      </c>
      <c r="L74" s="8"/>
      <c r="M74" s="8">
        <v>32552</v>
      </c>
      <c r="N74" s="8"/>
      <c r="O74" s="8">
        <v>976816</v>
      </c>
      <c r="P74" s="8"/>
      <c r="Q74" s="8">
        <v>1494163</v>
      </c>
      <c r="R74" s="8"/>
      <c r="S74" s="8">
        <v>18145</v>
      </c>
      <c r="T74" s="8"/>
      <c r="U74" s="8">
        <v>1450798</v>
      </c>
      <c r="V74" s="8"/>
      <c r="W74" s="8">
        <v>558974</v>
      </c>
      <c r="X74" s="8"/>
      <c r="Y74" s="8">
        <v>89862</v>
      </c>
      <c r="Z74" s="8"/>
      <c r="AA74" s="8">
        <v>1562239</v>
      </c>
      <c r="AB74" s="8"/>
      <c r="AC74" s="8">
        <v>622004</v>
      </c>
      <c r="AD74" s="8"/>
      <c r="AE74" s="8">
        <v>67523</v>
      </c>
      <c r="AF74" s="138"/>
      <c r="AG74" s="12" t="s">
        <v>726</v>
      </c>
      <c r="AH74" s="12"/>
      <c r="AI74" s="12" t="s">
        <v>727</v>
      </c>
      <c r="AJ74" s="12"/>
      <c r="AK74" s="8"/>
      <c r="AL74" s="8"/>
      <c r="AM74" s="8">
        <v>766307</v>
      </c>
      <c r="AN74" s="8"/>
      <c r="AO74" s="8">
        <v>764008</v>
      </c>
      <c r="AP74" s="8"/>
      <c r="AQ74" s="8"/>
      <c r="AR74" s="8"/>
      <c r="AS74" s="8"/>
      <c r="AT74" s="8"/>
      <c r="AU74" s="8">
        <f>369830+70997</f>
        <v>440827</v>
      </c>
      <c r="AV74" s="8"/>
      <c r="AW74" s="8">
        <f t="shared" si="0"/>
        <v>21087345</v>
      </c>
      <c r="AY74" s="8">
        <f>+'St of Activites - GA Rev'!AI74-'St of Activities - GA Exp'!AW74</f>
        <v>2478502</v>
      </c>
      <c r="BA74" s="8">
        <v>7313674</v>
      </c>
      <c r="BC74" s="8">
        <f t="shared" si="1"/>
        <v>9792176</v>
      </c>
      <c r="BE74" s="8">
        <f>+'St of Net Assets - GA'!AA74-'St of Activities - GA Exp'!BC74</f>
        <v>0</v>
      </c>
      <c r="BG74" s="8" t="s">
        <v>956</v>
      </c>
    </row>
    <row r="75" spans="1:59">
      <c r="A75" s="12" t="s">
        <v>290</v>
      </c>
      <c r="B75" s="12"/>
      <c r="C75" s="12" t="s">
        <v>113</v>
      </c>
      <c r="D75" s="12"/>
      <c r="E75" s="32">
        <v>46508</v>
      </c>
      <c r="G75" s="8">
        <v>4455937</v>
      </c>
      <c r="H75" s="8"/>
      <c r="I75" s="8">
        <v>613016</v>
      </c>
      <c r="J75" s="8"/>
      <c r="K75" s="8">
        <v>131353</v>
      </c>
      <c r="L75" s="8"/>
      <c r="M75" s="8">
        <v>25086</v>
      </c>
      <c r="N75" s="8"/>
      <c r="O75" s="8">
        <v>216057</v>
      </c>
      <c r="P75" s="8"/>
      <c r="Q75" s="8">
        <v>248335</v>
      </c>
      <c r="R75" s="8"/>
      <c r="S75" s="8">
        <v>21480</v>
      </c>
      <c r="T75" s="8"/>
      <c r="U75" s="8">
        <v>910699</v>
      </c>
      <c r="V75" s="8"/>
      <c r="W75" s="8">
        <v>256775</v>
      </c>
      <c r="X75" s="8"/>
      <c r="Y75" s="8">
        <v>29638</v>
      </c>
      <c r="Z75" s="8"/>
      <c r="AA75" s="8">
        <v>556756</v>
      </c>
      <c r="AB75" s="8"/>
      <c r="AC75" s="8">
        <v>540402</v>
      </c>
      <c r="AD75" s="8"/>
      <c r="AE75" s="8">
        <v>4958</v>
      </c>
      <c r="AF75" s="138"/>
      <c r="AG75" s="12" t="s">
        <v>290</v>
      </c>
      <c r="AH75" s="12"/>
      <c r="AI75" s="12" t="s">
        <v>113</v>
      </c>
      <c r="AJ75" s="12"/>
      <c r="AK75" s="8">
        <v>350987</v>
      </c>
      <c r="AL75" s="8"/>
      <c r="AM75" s="8">
        <v>78152</v>
      </c>
      <c r="AN75" s="8"/>
      <c r="AO75" s="8">
        <v>367126</v>
      </c>
      <c r="AP75" s="8"/>
      <c r="AQ75" s="8">
        <v>387757</v>
      </c>
      <c r="AR75" s="8"/>
      <c r="AS75" s="8"/>
      <c r="AT75" s="8"/>
      <c r="AU75" s="8">
        <v>0</v>
      </c>
      <c r="AV75" s="8"/>
      <c r="AW75" s="8">
        <f t="shared" si="0"/>
        <v>9194514</v>
      </c>
      <c r="AY75" s="8">
        <f>+'St of Activites - GA Rev'!AI75-'St of Activities - GA Exp'!AW75</f>
        <v>690919</v>
      </c>
      <c r="BA75" s="8">
        <v>21079023</v>
      </c>
      <c r="BC75" s="8">
        <f t="shared" si="1"/>
        <v>21769942</v>
      </c>
      <c r="BE75" s="8">
        <f>+'St of Net Assets - GA'!AA75-'St of Activities - GA Exp'!BC75</f>
        <v>0</v>
      </c>
    </row>
    <row r="76" spans="1:59">
      <c r="A76" s="12" t="s">
        <v>217</v>
      </c>
      <c r="B76" s="12"/>
      <c r="C76" s="12" t="s">
        <v>12</v>
      </c>
      <c r="D76" s="12"/>
      <c r="E76" s="32">
        <v>45856</v>
      </c>
      <c r="G76" s="8">
        <v>10091057</v>
      </c>
      <c r="H76" s="8"/>
      <c r="I76" s="8">
        <v>2100709</v>
      </c>
      <c r="J76" s="8"/>
      <c r="K76" s="8">
        <v>269931</v>
      </c>
      <c r="L76" s="8"/>
      <c r="M76" s="8">
        <v>4900</v>
      </c>
      <c r="N76" s="8"/>
      <c r="O76" s="8">
        <v>560482</v>
      </c>
      <c r="P76" s="8"/>
      <c r="Q76" s="8">
        <v>262441</v>
      </c>
      <c r="R76" s="8"/>
      <c r="S76" s="8">
        <v>26255</v>
      </c>
      <c r="T76" s="8"/>
      <c r="U76" s="8">
        <v>1356068</v>
      </c>
      <c r="V76" s="8"/>
      <c r="W76" s="8">
        <v>535365</v>
      </c>
      <c r="X76" s="8"/>
      <c r="Y76" s="8">
        <v>84981</v>
      </c>
      <c r="Z76" s="8"/>
      <c r="AA76" s="8">
        <v>2115818</v>
      </c>
      <c r="AB76" s="8"/>
      <c r="AC76" s="8">
        <v>1280216</v>
      </c>
      <c r="AD76" s="8"/>
      <c r="AE76" s="8">
        <v>36357</v>
      </c>
      <c r="AF76" s="138"/>
      <c r="AG76" s="12" t="s">
        <v>217</v>
      </c>
      <c r="AH76" s="12"/>
      <c r="AI76" s="12" t="s">
        <v>12</v>
      </c>
      <c r="AJ76" s="12"/>
      <c r="AK76" s="8">
        <v>968033</v>
      </c>
      <c r="AL76" s="8"/>
      <c r="AM76" s="8">
        <v>9749</v>
      </c>
      <c r="AN76" s="8"/>
      <c r="AO76" s="8">
        <v>469003</v>
      </c>
      <c r="AP76" s="8"/>
      <c r="AQ76" s="8">
        <v>8364</v>
      </c>
      <c r="AR76" s="8"/>
      <c r="AS76" s="8"/>
      <c r="AT76" s="8"/>
      <c r="AU76" s="8">
        <v>0</v>
      </c>
      <c r="AV76" s="8"/>
      <c r="AW76" s="8">
        <f t="shared" si="0"/>
        <v>20179729</v>
      </c>
      <c r="AY76" s="8">
        <f>+'St of Activites - GA Rev'!AI76-'St of Activities - GA Exp'!AW76</f>
        <v>810828</v>
      </c>
      <c r="BA76" s="8">
        <v>8230667</v>
      </c>
      <c r="BC76" s="8">
        <f t="shared" si="1"/>
        <v>9041495</v>
      </c>
      <c r="BE76" s="8">
        <f>+'St of Net Assets - GA'!AA76-'St of Activities - GA Exp'!BC76</f>
        <v>0</v>
      </c>
    </row>
    <row r="77" spans="1:59">
      <c r="A77" s="12" t="s">
        <v>217</v>
      </c>
      <c r="B77" s="12"/>
      <c r="C77" s="12" t="s">
        <v>39</v>
      </c>
      <c r="D77" s="12"/>
      <c r="E77" s="32">
        <v>47787</v>
      </c>
      <c r="G77" s="8">
        <v>9027055</v>
      </c>
      <c r="H77" s="8"/>
      <c r="I77" s="8">
        <v>2700051</v>
      </c>
      <c r="J77" s="8"/>
      <c r="K77" s="8">
        <v>753477</v>
      </c>
      <c r="L77" s="8"/>
      <c r="M77" s="8">
        <v>256058</v>
      </c>
      <c r="N77" s="8"/>
      <c r="O77" s="8">
        <v>681825</v>
      </c>
      <c r="P77" s="8"/>
      <c r="Q77" s="8">
        <v>588846</v>
      </c>
      <c r="R77" s="8"/>
      <c r="S77" s="8">
        <v>75131</v>
      </c>
      <c r="T77" s="8"/>
      <c r="U77" s="8">
        <v>2031945</v>
      </c>
      <c r="V77" s="8"/>
      <c r="W77" s="8">
        <v>457986</v>
      </c>
      <c r="X77" s="8"/>
      <c r="Y77" s="8">
        <v>61320</v>
      </c>
      <c r="Z77" s="8"/>
      <c r="AA77" s="8">
        <v>2208021</v>
      </c>
      <c r="AB77" s="8"/>
      <c r="AC77" s="8">
        <v>1619376</v>
      </c>
      <c r="AD77" s="8"/>
      <c r="AE77" s="8">
        <v>0</v>
      </c>
      <c r="AF77" s="138"/>
      <c r="AG77" s="12" t="s">
        <v>217</v>
      </c>
      <c r="AH77" s="12"/>
      <c r="AI77" s="12" t="s">
        <v>39</v>
      </c>
      <c r="AJ77" s="12"/>
      <c r="AK77" s="8">
        <v>980113</v>
      </c>
      <c r="AL77" s="8"/>
      <c r="AM77" s="8">
        <v>8103</v>
      </c>
      <c r="AN77" s="8"/>
      <c r="AO77" s="8">
        <v>393531</v>
      </c>
      <c r="AP77" s="8"/>
      <c r="AQ77" s="8">
        <v>106729</v>
      </c>
      <c r="AR77" s="8"/>
      <c r="AS77" s="8"/>
      <c r="AT77" s="8"/>
      <c r="AU77" s="8">
        <v>0</v>
      </c>
      <c r="AV77" s="8"/>
      <c r="AW77" s="8">
        <f t="shared" si="0"/>
        <v>21949567</v>
      </c>
      <c r="AY77" s="8">
        <f>+'St of Activites - GA Rev'!AI77-'St of Activities - GA Exp'!AW77</f>
        <v>86410</v>
      </c>
      <c r="BA77" s="8">
        <v>7475806</v>
      </c>
      <c r="BC77" s="8">
        <f t="shared" si="1"/>
        <v>7562216</v>
      </c>
      <c r="BE77" s="8">
        <f>+'St of Net Assets - GA'!AA80-'St of Activities - GA Exp'!BC77</f>
        <v>0</v>
      </c>
    </row>
    <row r="78" spans="1:59" ht="12" customHeight="1">
      <c r="A78" s="13" t="s">
        <v>968</v>
      </c>
      <c r="B78" s="12"/>
      <c r="C78" s="12" t="s">
        <v>47</v>
      </c>
      <c r="D78" s="12"/>
      <c r="E78" s="32">
        <v>48470</v>
      </c>
      <c r="G78" s="8">
        <v>12504077</v>
      </c>
      <c r="H78" s="8"/>
      <c r="I78" s="8">
        <v>0</v>
      </c>
      <c r="J78" s="8"/>
      <c r="K78" s="8">
        <v>728567</v>
      </c>
      <c r="L78" s="8"/>
      <c r="M78" s="8">
        <v>0</v>
      </c>
      <c r="N78" s="8"/>
      <c r="O78" s="8">
        <v>1135444</v>
      </c>
      <c r="P78" s="8"/>
      <c r="Q78" s="8">
        <v>1209910</v>
      </c>
      <c r="R78" s="8"/>
      <c r="S78" s="8">
        <v>0</v>
      </c>
      <c r="T78" s="8"/>
      <c r="U78" s="8">
        <v>1681754</v>
      </c>
      <c r="V78" s="8"/>
      <c r="W78" s="8">
        <v>745503</v>
      </c>
      <c r="X78" s="8"/>
      <c r="Y78" s="8">
        <v>0</v>
      </c>
      <c r="Z78" s="8"/>
      <c r="AA78" s="8">
        <v>1700022</v>
      </c>
      <c r="AB78" s="8"/>
      <c r="AC78" s="8">
        <v>1301115</v>
      </c>
      <c r="AD78" s="8"/>
      <c r="AE78" s="8">
        <v>21859</v>
      </c>
      <c r="AF78" s="138"/>
      <c r="AG78" s="12" t="s">
        <v>217</v>
      </c>
      <c r="AH78" s="12"/>
      <c r="AI78" s="12" t="s">
        <v>47</v>
      </c>
      <c r="AJ78" s="12"/>
      <c r="AK78" s="8">
        <v>535720</v>
      </c>
      <c r="AL78" s="8"/>
      <c r="AM78" s="8">
        <v>70124</v>
      </c>
      <c r="AN78" s="8"/>
      <c r="AO78" s="8">
        <v>749565</v>
      </c>
      <c r="AP78" s="8"/>
      <c r="AQ78" s="8">
        <v>1328382</v>
      </c>
      <c r="AR78" s="8"/>
      <c r="AS78" s="8"/>
      <c r="AT78" s="8"/>
      <c r="AU78" s="8">
        <v>0</v>
      </c>
      <c r="AV78" s="8"/>
      <c r="AW78" s="8">
        <f t="shared" ref="AW78:AW89" si="2">SUM(G78:AV78)</f>
        <v>23712042</v>
      </c>
      <c r="AY78" s="8">
        <f>+'St of Activites - GA Rev'!AI78-'St of Activities - GA Exp'!AW78</f>
        <v>-444778</v>
      </c>
      <c r="BA78" s="8">
        <v>11101215</v>
      </c>
      <c r="BC78" s="8">
        <f t="shared" ref="BC78:BC90" si="3">+AY78+BA78</f>
        <v>10656437</v>
      </c>
      <c r="BE78" s="8">
        <f>+'St of Net Assets - GA'!AA81-'St of Activities - GA Exp'!BC78</f>
        <v>0</v>
      </c>
      <c r="BG78" s="8"/>
    </row>
    <row r="79" spans="1:59" ht="12" hidden="1" customHeight="1">
      <c r="A79" s="8" t="s">
        <v>901</v>
      </c>
      <c r="B79" s="12"/>
      <c r="C79" s="12" t="s">
        <v>114</v>
      </c>
      <c r="D79" s="12"/>
      <c r="E79" s="32">
        <v>46755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138"/>
      <c r="AG79" s="12" t="s">
        <v>877</v>
      </c>
      <c r="AH79" s="12"/>
      <c r="AI79" s="12" t="s">
        <v>114</v>
      </c>
      <c r="AJ79" s="12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>
        <f t="shared" si="2"/>
        <v>0</v>
      </c>
      <c r="AY79" s="8">
        <f>+'St of Activites - GA Rev'!AI79-'St of Activities - GA Exp'!AW79</f>
        <v>0</v>
      </c>
      <c r="BC79" s="8">
        <f t="shared" si="3"/>
        <v>0</v>
      </c>
      <c r="BE79" s="8">
        <f>+'St of Net Assets - GA'!AA82-'St of Activities - GA Exp'!BC79</f>
        <v>0</v>
      </c>
      <c r="BG79" s="8" t="s">
        <v>967</v>
      </c>
    </row>
    <row r="80" spans="1:59" ht="12" customHeight="1">
      <c r="A80" s="12" t="s">
        <v>334</v>
      </c>
      <c r="B80" s="12"/>
      <c r="C80" s="12" t="s">
        <v>23</v>
      </c>
      <c r="D80" s="12"/>
      <c r="E80" s="32">
        <v>46755</v>
      </c>
      <c r="G80" s="8">
        <v>10592273</v>
      </c>
      <c r="H80" s="8"/>
      <c r="I80" s="8">
        <v>1994035</v>
      </c>
      <c r="J80" s="8"/>
      <c r="K80" s="8">
        <v>316432</v>
      </c>
      <c r="L80" s="8"/>
      <c r="M80" s="8">
        <v>1500</v>
      </c>
      <c r="N80" s="8"/>
      <c r="O80" s="8">
        <v>2086081</v>
      </c>
      <c r="P80" s="8"/>
      <c r="Q80" s="8">
        <v>547251</v>
      </c>
      <c r="R80" s="8"/>
      <c r="S80" s="8">
        <v>228771</v>
      </c>
      <c r="T80" s="8"/>
      <c r="U80" s="8">
        <v>1919387</v>
      </c>
      <c r="V80" s="8"/>
      <c r="W80" s="8">
        <v>562365</v>
      </c>
      <c r="X80" s="8"/>
      <c r="Y80" s="8">
        <v>0</v>
      </c>
      <c r="Z80" s="8"/>
      <c r="AA80" s="8">
        <v>2386605</v>
      </c>
      <c r="AB80" s="8"/>
      <c r="AC80" s="8">
        <v>1656759</v>
      </c>
      <c r="AD80" s="8"/>
      <c r="AE80" s="8">
        <v>37336</v>
      </c>
      <c r="AF80" s="138"/>
      <c r="AG80" s="12" t="s">
        <v>334</v>
      </c>
      <c r="AH80" s="12"/>
      <c r="AI80" s="12" t="s">
        <v>23</v>
      </c>
      <c r="AJ80" s="12"/>
      <c r="AK80" s="8">
        <v>734941</v>
      </c>
      <c r="AL80" s="8"/>
      <c r="AM80" s="8">
        <v>33088</v>
      </c>
      <c r="AN80" s="8"/>
      <c r="AO80" s="8">
        <v>592945</v>
      </c>
      <c r="AP80" s="8"/>
      <c r="AQ80" s="8">
        <v>765595</v>
      </c>
      <c r="AR80" s="8"/>
      <c r="AS80" s="8"/>
      <c r="AT80" s="8"/>
      <c r="AU80" s="8">
        <v>0</v>
      </c>
      <c r="AV80" s="8"/>
      <c r="AW80" s="8">
        <f t="shared" si="2"/>
        <v>24455364</v>
      </c>
      <c r="AY80" s="8">
        <f>+'St of Activites - GA Rev'!AI80-'St of Activities - GA Exp'!AW80</f>
        <v>569251</v>
      </c>
      <c r="BA80" s="8">
        <v>13440528</v>
      </c>
      <c r="BC80" s="8">
        <f t="shared" si="3"/>
        <v>14009779</v>
      </c>
      <c r="BE80" s="8">
        <f>+'St of Net Assets - GA'!AA83-'St of Activities - GA Exp'!BC80</f>
        <v>0</v>
      </c>
    </row>
    <row r="81" spans="1:57">
      <c r="A81" s="12" t="s">
        <v>291</v>
      </c>
      <c r="B81" s="12"/>
      <c r="C81" s="12" t="s">
        <v>113</v>
      </c>
      <c r="D81" s="12"/>
      <c r="E81" s="32">
        <v>43687</v>
      </c>
      <c r="G81" s="8">
        <v>8192628</v>
      </c>
      <c r="H81" s="8"/>
      <c r="I81" s="8">
        <v>2228641</v>
      </c>
      <c r="J81" s="8"/>
      <c r="K81" s="8">
        <v>227323</v>
      </c>
      <c r="L81" s="8"/>
      <c r="M81" s="8">
        <v>0</v>
      </c>
      <c r="N81" s="8"/>
      <c r="O81" s="8">
        <v>1061663</v>
      </c>
      <c r="P81" s="8"/>
      <c r="Q81" s="8">
        <v>1244707</v>
      </c>
      <c r="R81" s="8"/>
      <c r="S81" s="8">
        <v>120174</v>
      </c>
      <c r="T81" s="8"/>
      <c r="U81" s="8">
        <v>1452728</v>
      </c>
      <c r="V81" s="8"/>
      <c r="W81" s="8">
        <v>536857</v>
      </c>
      <c r="X81" s="8"/>
      <c r="Y81" s="8">
        <v>319766</v>
      </c>
      <c r="Z81" s="8"/>
      <c r="AA81" s="8">
        <v>1092370</v>
      </c>
      <c r="AB81" s="8"/>
      <c r="AC81" s="8">
        <v>264001</v>
      </c>
      <c r="AD81" s="8"/>
      <c r="AE81" s="8">
        <v>340404</v>
      </c>
      <c r="AF81" s="138"/>
      <c r="AG81" s="12" t="s">
        <v>291</v>
      </c>
      <c r="AH81" s="12"/>
      <c r="AI81" s="12" t="s">
        <v>113</v>
      </c>
      <c r="AJ81" s="12"/>
      <c r="AK81" s="8">
        <v>0</v>
      </c>
      <c r="AL81" s="8"/>
      <c r="AM81" s="8">
        <v>1072532</v>
      </c>
      <c r="AN81" s="8"/>
      <c r="AO81" s="8">
        <v>463107</v>
      </c>
      <c r="AP81" s="8"/>
      <c r="AQ81" s="8">
        <v>574219</v>
      </c>
      <c r="AR81" s="8"/>
      <c r="AS81" s="8"/>
      <c r="AT81" s="8"/>
      <c r="AU81" s="8">
        <v>0</v>
      </c>
      <c r="AV81" s="8"/>
      <c r="AW81" s="8">
        <f t="shared" si="2"/>
        <v>19191120</v>
      </c>
      <c r="AY81" s="8">
        <f>+'St of Activites - GA Rev'!AI81-'St of Activities - GA Exp'!AW81</f>
        <v>168094</v>
      </c>
      <c r="BA81" s="8">
        <v>37017542</v>
      </c>
      <c r="BC81" s="8">
        <f t="shared" si="3"/>
        <v>37185636</v>
      </c>
      <c r="BE81" s="8">
        <f>+'St of Net Assets - GA'!AA84-'St of Activities - GA Exp'!BC81</f>
        <v>0</v>
      </c>
    </row>
    <row r="82" spans="1:57">
      <c r="A82" s="12" t="s">
        <v>569</v>
      </c>
      <c r="B82" s="12"/>
      <c r="C82" s="12" t="s">
        <v>52</v>
      </c>
      <c r="D82" s="12"/>
      <c r="E82" s="32">
        <v>45252</v>
      </c>
      <c r="G82" s="8">
        <v>3271955</v>
      </c>
      <c r="H82" s="8"/>
      <c r="I82" s="8">
        <v>791033</v>
      </c>
      <c r="J82" s="8"/>
      <c r="K82" s="8">
        <v>73409</v>
      </c>
      <c r="L82" s="8"/>
      <c r="M82" s="8">
        <f>5096+76853</f>
        <v>81949</v>
      </c>
      <c r="N82" s="8"/>
      <c r="O82" s="8">
        <v>505501</v>
      </c>
      <c r="P82" s="8"/>
      <c r="Q82" s="8">
        <v>309831</v>
      </c>
      <c r="R82" s="8"/>
      <c r="S82" s="8">
        <v>46574</v>
      </c>
      <c r="T82" s="8"/>
      <c r="U82" s="8">
        <v>636319</v>
      </c>
      <c r="V82" s="8"/>
      <c r="W82" s="8">
        <v>288850</v>
      </c>
      <c r="X82" s="8"/>
      <c r="Y82" s="8">
        <v>0</v>
      </c>
      <c r="Z82" s="8"/>
      <c r="AA82" s="8">
        <v>505175</v>
      </c>
      <c r="AB82" s="8"/>
      <c r="AC82" s="8">
        <v>592519</v>
      </c>
      <c r="AD82" s="8"/>
      <c r="AE82" s="8">
        <v>0</v>
      </c>
      <c r="AF82" s="138"/>
      <c r="AG82" s="12" t="s">
        <v>569</v>
      </c>
      <c r="AH82" s="12"/>
      <c r="AI82" s="12" t="s">
        <v>52</v>
      </c>
      <c r="AJ82" s="12"/>
      <c r="AK82" s="8">
        <v>0</v>
      </c>
      <c r="AL82" s="8"/>
      <c r="AM82" s="8">
        <v>381146</v>
      </c>
      <c r="AN82" s="8"/>
      <c r="AO82" s="8">
        <v>249487</v>
      </c>
      <c r="AP82" s="8"/>
      <c r="AQ82" s="8">
        <v>0</v>
      </c>
      <c r="AR82" s="8"/>
      <c r="AS82" s="8"/>
      <c r="AT82" s="8"/>
      <c r="AU82" s="8">
        <v>0</v>
      </c>
      <c r="AV82" s="8"/>
      <c r="AW82" s="8">
        <f t="shared" ref="AW82" si="4">SUM(G82:AV82)</f>
        <v>7733748</v>
      </c>
      <c r="AY82" s="8">
        <f>+'St of Activites - GA Rev'!AI85-'St of Activities - GA Exp'!AW82</f>
        <v>771263</v>
      </c>
      <c r="BA82" s="8">
        <v>7421193</v>
      </c>
      <c r="BC82" s="8">
        <f t="shared" ref="BC82" si="5">+AY82+BA82</f>
        <v>8192456</v>
      </c>
      <c r="BE82" s="8">
        <f>+'St of Net Assets - GA'!AA85-'St of Activities - GA Exp'!BC82</f>
        <v>0</v>
      </c>
    </row>
    <row r="83" spans="1:57">
      <c r="A83" s="12"/>
      <c r="B83" s="12"/>
      <c r="C83" s="12"/>
      <c r="D83" s="12"/>
      <c r="E83" s="32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138"/>
      <c r="AG83" s="12"/>
      <c r="AH83" s="12"/>
      <c r="AI83" s="12"/>
      <c r="AJ83" s="12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</row>
    <row r="84" spans="1:57">
      <c r="A84" s="12"/>
      <c r="B84" s="12"/>
      <c r="C84" s="12"/>
      <c r="D84" s="12"/>
      <c r="E84" s="32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 t="s">
        <v>805</v>
      </c>
      <c r="AF84" s="138"/>
      <c r="AG84" s="12"/>
      <c r="AH84" s="12"/>
      <c r="AI84" s="12"/>
      <c r="AJ84" s="12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BC84" s="8" t="s">
        <v>805</v>
      </c>
    </row>
    <row r="85" spans="1:57">
      <c r="A85" s="12"/>
      <c r="B85" s="12"/>
      <c r="C85" s="12"/>
      <c r="D85" s="12"/>
      <c r="E85" s="32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138"/>
      <c r="AG85" s="12"/>
      <c r="AH85" s="12"/>
      <c r="AI85" s="12"/>
      <c r="AJ85" s="12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</row>
    <row r="86" spans="1:57">
      <c r="A86" s="12" t="s">
        <v>389</v>
      </c>
      <c r="B86" s="12"/>
      <c r="C86" s="12" t="s">
        <v>31</v>
      </c>
      <c r="D86" s="12"/>
      <c r="E86" s="32">
        <v>43695</v>
      </c>
      <c r="G86" s="35">
        <v>9837188</v>
      </c>
      <c r="H86" s="35"/>
      <c r="I86" s="35">
        <v>4239135</v>
      </c>
      <c r="J86" s="35"/>
      <c r="K86" s="35">
        <v>195131</v>
      </c>
      <c r="L86" s="35"/>
      <c r="M86" s="35">
        <f>13288+306351</f>
        <v>319639</v>
      </c>
      <c r="N86" s="35"/>
      <c r="O86" s="35">
        <v>967372</v>
      </c>
      <c r="P86" s="35"/>
      <c r="Q86" s="35">
        <v>1491408</v>
      </c>
      <c r="R86" s="35"/>
      <c r="S86" s="35">
        <v>42603</v>
      </c>
      <c r="T86" s="35"/>
      <c r="U86" s="35">
        <v>1559828</v>
      </c>
      <c r="V86" s="35"/>
      <c r="W86" s="35">
        <v>516289</v>
      </c>
      <c r="X86" s="35"/>
      <c r="Y86" s="35">
        <v>160053</v>
      </c>
      <c r="Z86" s="35"/>
      <c r="AA86" s="35">
        <v>2406953</v>
      </c>
      <c r="AB86" s="35"/>
      <c r="AC86" s="35">
        <v>1070833</v>
      </c>
      <c r="AD86" s="35"/>
      <c r="AE86" s="35">
        <v>200077</v>
      </c>
      <c r="AF86" s="138"/>
      <c r="AG86" s="12" t="s">
        <v>389</v>
      </c>
      <c r="AH86" s="12"/>
      <c r="AI86" s="12" t="s">
        <v>31</v>
      </c>
      <c r="AJ86" s="12"/>
      <c r="AK86" s="35">
        <v>1362942</v>
      </c>
      <c r="AL86" s="35"/>
      <c r="AM86" s="35">
        <v>162085</v>
      </c>
      <c r="AN86" s="35"/>
      <c r="AO86" s="35">
        <v>559323</v>
      </c>
      <c r="AP86" s="35"/>
      <c r="AQ86" s="35">
        <v>315406</v>
      </c>
      <c r="AR86" s="35"/>
      <c r="AS86" s="35"/>
      <c r="AT86" s="35"/>
      <c r="AU86" s="35">
        <v>0</v>
      </c>
      <c r="AV86" s="35"/>
      <c r="AW86" s="35">
        <f t="shared" si="2"/>
        <v>25406265</v>
      </c>
      <c r="AX86" s="35"/>
      <c r="AY86" s="35">
        <f>+'St of Activites - GA Rev'!AI86-'St of Activities - GA Exp'!AW86</f>
        <v>-997362</v>
      </c>
      <c r="AZ86" s="35"/>
      <c r="BA86" s="35">
        <v>42210376</v>
      </c>
      <c r="BB86" s="35"/>
      <c r="BC86" s="35">
        <f t="shared" si="3"/>
        <v>41213014</v>
      </c>
      <c r="BE86" s="8">
        <f>+'St of Net Assets - GA'!AA86-'St of Activities - GA Exp'!BC86</f>
        <v>0</v>
      </c>
    </row>
    <row r="87" spans="1:57" ht="12" customHeight="1">
      <c r="A87" s="12" t="s">
        <v>510</v>
      </c>
      <c r="B87" s="12"/>
      <c r="C87" s="12" t="s">
        <v>45</v>
      </c>
      <c r="D87" s="12"/>
      <c r="E87" s="32">
        <v>43703</v>
      </c>
      <c r="G87" s="8">
        <v>6639127</v>
      </c>
      <c r="H87" s="8"/>
      <c r="I87" s="8">
        <v>2240217</v>
      </c>
      <c r="J87" s="8"/>
      <c r="K87" s="8">
        <v>274494</v>
      </c>
      <c r="L87" s="8"/>
      <c r="M87" s="8">
        <v>1297592</v>
      </c>
      <c r="N87" s="8"/>
      <c r="O87" s="8">
        <v>377808</v>
      </c>
      <c r="P87" s="8"/>
      <c r="Q87" s="8">
        <v>302318</v>
      </c>
      <c r="R87" s="8"/>
      <c r="S87" s="8">
        <v>21813</v>
      </c>
      <c r="T87" s="8"/>
      <c r="U87" s="8">
        <v>972703</v>
      </c>
      <c r="V87" s="8"/>
      <c r="W87" s="8">
        <v>319547</v>
      </c>
      <c r="X87" s="8"/>
      <c r="Y87" s="8">
        <v>69101</v>
      </c>
      <c r="Z87" s="8"/>
      <c r="AA87" s="8">
        <v>1940358</v>
      </c>
      <c r="AB87" s="8"/>
      <c r="AC87" s="8">
        <v>436894</v>
      </c>
      <c r="AD87" s="8"/>
      <c r="AE87" s="8">
        <v>0</v>
      </c>
      <c r="AF87" s="138"/>
      <c r="AG87" s="12" t="s">
        <v>510</v>
      </c>
      <c r="AH87" s="12"/>
      <c r="AI87" s="12" t="s">
        <v>45</v>
      </c>
      <c r="AJ87" s="12"/>
      <c r="AK87" s="8">
        <v>569511</v>
      </c>
      <c r="AL87" s="8"/>
      <c r="AM87" s="8">
        <v>75177</v>
      </c>
      <c r="AN87" s="8"/>
      <c r="AO87" s="8">
        <v>623712</v>
      </c>
      <c r="AP87" s="8"/>
      <c r="AQ87" s="8">
        <v>259921</v>
      </c>
      <c r="AR87" s="8"/>
      <c r="AS87" s="8"/>
      <c r="AT87" s="8"/>
      <c r="AU87" s="8">
        <v>0</v>
      </c>
      <c r="AV87" s="8"/>
      <c r="AW87" s="8">
        <f t="shared" si="2"/>
        <v>16420293</v>
      </c>
      <c r="AY87" s="8">
        <f>+'St of Activites - GA Rev'!AI87-'St of Activities - GA Exp'!AW87</f>
        <v>-1388581</v>
      </c>
      <c r="BA87" s="8">
        <v>32648622</v>
      </c>
      <c r="BC87" s="8">
        <f t="shared" si="3"/>
        <v>31260041</v>
      </c>
      <c r="BE87" s="8">
        <f>+'St of Net Assets - GA'!AA87-'St of Activities - GA Exp'!BC87</f>
        <v>0</v>
      </c>
    </row>
    <row r="88" spans="1:57">
      <c r="A88" s="12" t="s">
        <v>353</v>
      </c>
      <c r="B88" s="12"/>
      <c r="C88" s="12" t="s">
        <v>27</v>
      </c>
      <c r="D88" s="12"/>
      <c r="E88" s="32">
        <v>46946</v>
      </c>
      <c r="G88" s="8">
        <v>14640159</v>
      </c>
      <c r="H88" s="8"/>
      <c r="I88" s="8">
        <v>4350332</v>
      </c>
      <c r="J88" s="8"/>
      <c r="K88" s="8">
        <v>715563</v>
      </c>
      <c r="L88" s="8"/>
      <c r="M88" s="8">
        <v>69882</v>
      </c>
      <c r="N88" s="8"/>
      <c r="O88" s="8">
        <v>1656026</v>
      </c>
      <c r="P88" s="8"/>
      <c r="Q88" s="8">
        <v>1348514</v>
      </c>
      <c r="R88" s="8"/>
      <c r="S88" s="8">
        <v>340736</v>
      </c>
      <c r="T88" s="8"/>
      <c r="U88" s="8">
        <v>2590566</v>
      </c>
      <c r="V88" s="8"/>
      <c r="W88" s="8">
        <v>720482</v>
      </c>
      <c r="X88" s="8"/>
      <c r="Y88" s="8">
        <v>0</v>
      </c>
      <c r="Z88" s="8"/>
      <c r="AA88" s="8">
        <v>3713631</v>
      </c>
      <c r="AB88" s="8"/>
      <c r="AC88" s="8">
        <v>2138885</v>
      </c>
      <c r="AD88" s="8"/>
      <c r="AE88" s="8">
        <v>204754</v>
      </c>
      <c r="AF88" s="138"/>
      <c r="AG88" s="12" t="s">
        <v>353</v>
      </c>
      <c r="AH88" s="12"/>
      <c r="AI88" s="12" t="s">
        <v>27</v>
      </c>
      <c r="AJ88" s="12"/>
      <c r="AK88" s="8">
        <v>0</v>
      </c>
      <c r="AL88" s="8"/>
      <c r="AM88" s="8">
        <v>18912</v>
      </c>
      <c r="AN88" s="8"/>
      <c r="AO88" s="8">
        <v>977461</v>
      </c>
      <c r="AP88" s="8"/>
      <c r="AQ88" s="8">
        <v>3021730</v>
      </c>
      <c r="AR88" s="8"/>
      <c r="AS88" s="8"/>
      <c r="AT88" s="8"/>
      <c r="AU88" s="8">
        <v>0</v>
      </c>
      <c r="AV88" s="8"/>
      <c r="AW88" s="8">
        <f t="shared" si="2"/>
        <v>36507633</v>
      </c>
      <c r="AY88" s="8">
        <f>+'St of Activites - GA Rev'!AI88-'St of Activities - GA Exp'!AW88</f>
        <v>-662503</v>
      </c>
      <c r="BA88" s="8">
        <v>14607804</v>
      </c>
      <c r="BC88" s="8">
        <f t="shared" si="3"/>
        <v>13945301</v>
      </c>
      <c r="BE88" s="8">
        <f>+'St of Net Assets - GA'!AA88-'St of Activities - GA Exp'!BC88</f>
        <v>0</v>
      </c>
    </row>
    <row r="89" spans="1:57">
      <c r="A89" s="12" t="s">
        <v>511</v>
      </c>
      <c r="B89" s="12"/>
      <c r="C89" s="12" t="s">
        <v>45</v>
      </c>
      <c r="D89" s="12"/>
      <c r="E89" s="32">
        <v>48314</v>
      </c>
      <c r="G89" s="8">
        <v>13483117</v>
      </c>
      <c r="H89" s="8"/>
      <c r="I89" s="8">
        <v>2012044</v>
      </c>
      <c r="J89" s="8"/>
      <c r="K89" s="8">
        <v>275633</v>
      </c>
      <c r="L89" s="8"/>
      <c r="M89" s="8">
        <v>0</v>
      </c>
      <c r="N89" s="8"/>
      <c r="O89" s="8">
        <v>1180607</v>
      </c>
      <c r="P89" s="8"/>
      <c r="Q89" s="8">
        <v>1429051</v>
      </c>
      <c r="R89" s="8"/>
      <c r="S89" s="8">
        <v>35596</v>
      </c>
      <c r="T89" s="8"/>
      <c r="U89" s="8">
        <v>1702073</v>
      </c>
      <c r="V89" s="8"/>
      <c r="W89" s="8">
        <v>555264</v>
      </c>
      <c r="X89" s="8"/>
      <c r="Y89" s="8">
        <v>259435</v>
      </c>
      <c r="Z89" s="8"/>
      <c r="AA89" s="8">
        <v>2312757</v>
      </c>
      <c r="AB89" s="8"/>
      <c r="AC89" s="8">
        <v>1865947</v>
      </c>
      <c r="AD89" s="8"/>
      <c r="AE89" s="8">
        <v>146319</v>
      </c>
      <c r="AF89" s="138"/>
      <c r="AG89" s="12" t="s">
        <v>511</v>
      </c>
      <c r="AH89" s="12"/>
      <c r="AI89" s="12" t="s">
        <v>45</v>
      </c>
      <c r="AJ89" s="12"/>
      <c r="AK89" s="8">
        <v>979860</v>
      </c>
      <c r="AL89" s="8"/>
      <c r="AM89" s="8">
        <v>53873</v>
      </c>
      <c r="AN89" s="8"/>
      <c r="AO89" s="8">
        <v>981860</v>
      </c>
      <c r="AP89" s="8"/>
      <c r="AQ89" s="8">
        <v>154342</v>
      </c>
      <c r="AR89" s="8"/>
      <c r="AS89" s="8"/>
      <c r="AT89" s="8"/>
      <c r="AU89" s="8">
        <v>0</v>
      </c>
      <c r="AV89" s="8"/>
      <c r="AW89" s="8">
        <f t="shared" si="2"/>
        <v>27427778</v>
      </c>
      <c r="AY89" s="8">
        <f>+'St of Activites - GA Rev'!AI89-'St of Activities - GA Exp'!AW89</f>
        <v>802242</v>
      </c>
      <c r="BA89" s="8">
        <v>15522358</v>
      </c>
      <c r="BC89" s="8">
        <f t="shared" si="3"/>
        <v>16324600</v>
      </c>
      <c r="BE89" s="8">
        <f>+'St of Net Assets - GA'!AA89-'St of Activities - GA Exp'!BC89</f>
        <v>0</v>
      </c>
    </row>
    <row r="90" spans="1:57" ht="12" customHeight="1">
      <c r="A90" s="13" t="s">
        <v>650</v>
      </c>
      <c r="B90" s="12"/>
      <c r="C90" s="12" t="s">
        <v>62</v>
      </c>
      <c r="D90" s="12"/>
      <c r="E90" s="32">
        <v>43711</v>
      </c>
      <c r="G90" s="8">
        <v>10828031</v>
      </c>
      <c r="H90" s="8"/>
      <c r="I90" s="8">
        <v>2263433</v>
      </c>
      <c r="J90" s="8"/>
      <c r="K90" s="8">
        <v>1976367</v>
      </c>
      <c r="L90" s="8"/>
      <c r="M90" s="8">
        <f>250+1356496</f>
        <v>1356746</v>
      </c>
      <c r="N90" s="8"/>
      <c r="O90" s="8">
        <v>1703888</v>
      </c>
      <c r="P90" s="8"/>
      <c r="Q90" s="8">
        <v>1225432</v>
      </c>
      <c r="R90" s="8"/>
      <c r="S90" s="8">
        <v>25268</v>
      </c>
      <c r="T90" s="8"/>
      <c r="U90" s="8">
        <v>1977557</v>
      </c>
      <c r="V90" s="8"/>
      <c r="W90" s="8">
        <v>304439</v>
      </c>
      <c r="X90" s="8"/>
      <c r="Y90" s="8">
        <v>316318</v>
      </c>
      <c r="Z90" s="8"/>
      <c r="AA90" s="8">
        <v>2587654</v>
      </c>
      <c r="AB90" s="8"/>
      <c r="AC90" s="8">
        <v>1089768</v>
      </c>
      <c r="AD90" s="8"/>
      <c r="AE90" s="8">
        <v>380329</v>
      </c>
      <c r="AF90" s="139"/>
      <c r="AG90" s="34" t="s">
        <v>649</v>
      </c>
      <c r="AH90" s="34"/>
      <c r="AI90" s="34" t="s">
        <v>62</v>
      </c>
      <c r="AJ90" s="34"/>
      <c r="AK90" s="8">
        <v>1237710</v>
      </c>
      <c r="AL90" s="8"/>
      <c r="AM90" s="8">
        <v>56463</v>
      </c>
      <c r="AN90" s="8"/>
      <c r="AO90" s="8">
        <v>719548</v>
      </c>
      <c r="AP90" s="8"/>
      <c r="AQ90" s="8">
        <v>83338</v>
      </c>
      <c r="AR90" s="8"/>
      <c r="AS90" s="8"/>
      <c r="AT90" s="8"/>
      <c r="AU90" s="8">
        <v>0</v>
      </c>
      <c r="AV90" s="8"/>
      <c r="AW90" s="8">
        <f t="shared" ref="AW90:AW151" si="6">SUM(G90:AV90)</f>
        <v>28132289</v>
      </c>
      <c r="AY90" s="8">
        <f>+'St of Activites - GA Rev'!AI90-'St of Activities - GA Exp'!AW90</f>
        <v>-668699</v>
      </c>
      <c r="BA90" s="8">
        <v>1060096</v>
      </c>
      <c r="BC90" s="8">
        <f t="shared" si="3"/>
        <v>391397</v>
      </c>
      <c r="BD90" s="35"/>
      <c r="BE90" s="8">
        <f>+'St of Net Assets - GA'!AA90-'St of Activities - GA Exp'!BC90</f>
        <v>0</v>
      </c>
    </row>
    <row r="91" spans="1:57" s="8" customFormat="1">
      <c r="A91" s="13" t="s">
        <v>649</v>
      </c>
      <c r="B91" s="13"/>
      <c r="C91" s="13" t="s">
        <v>62</v>
      </c>
      <c r="D91" s="13"/>
      <c r="E91" s="13">
        <v>49833</v>
      </c>
      <c r="G91" s="8">
        <v>45335000</v>
      </c>
      <c r="I91" s="8">
        <v>15491000</v>
      </c>
      <c r="K91" s="8">
        <v>1831000</v>
      </c>
      <c r="M91" s="8">
        <f>691000+10280000</f>
        <v>10971000</v>
      </c>
      <c r="O91" s="8">
        <v>6808000</v>
      </c>
      <c r="Q91" s="8">
        <v>6809000</v>
      </c>
      <c r="S91" s="8">
        <v>26000</v>
      </c>
      <c r="U91" s="8">
        <v>8211000</v>
      </c>
      <c r="W91" s="8">
        <v>1707000</v>
      </c>
      <c r="Y91" s="8">
        <v>531000</v>
      </c>
      <c r="AA91" s="8">
        <v>13041000</v>
      </c>
      <c r="AC91" s="8">
        <v>2997000</v>
      </c>
      <c r="AE91" s="8">
        <v>3666000</v>
      </c>
      <c r="AF91" s="138"/>
      <c r="AG91" s="13" t="s">
        <v>650</v>
      </c>
      <c r="AH91" s="13"/>
      <c r="AI91" s="13" t="s">
        <v>62</v>
      </c>
      <c r="AJ91" s="13"/>
      <c r="AK91" s="8">
        <v>0</v>
      </c>
      <c r="AM91" s="8">
        <v>2580000</v>
      </c>
      <c r="AO91" s="8">
        <v>2254000</v>
      </c>
      <c r="AQ91" s="8">
        <v>1844000</v>
      </c>
      <c r="AU91" s="8">
        <v>0</v>
      </c>
      <c r="AW91" s="8">
        <f t="shared" si="6"/>
        <v>124102000</v>
      </c>
      <c r="AY91" s="8">
        <f>+'St of Activites - GA Rev'!AI91-'St of Activities - GA Exp'!AW91</f>
        <v>2926000</v>
      </c>
      <c r="BA91" s="8">
        <v>163778000</v>
      </c>
      <c r="BC91" s="8">
        <f t="shared" ref="BC91:BC147" si="7">+AY91+BA91</f>
        <v>166704000</v>
      </c>
      <c r="BE91" s="8">
        <f>+'St of Net Assets - GA'!AA91-'St of Activities - GA Exp'!BC91</f>
        <v>0</v>
      </c>
    </row>
    <row r="92" spans="1:57" ht="12" customHeight="1">
      <c r="A92" s="12" t="s">
        <v>378</v>
      </c>
      <c r="B92" s="12"/>
      <c r="C92" s="12" t="s">
        <v>30</v>
      </c>
      <c r="D92" s="12"/>
      <c r="E92" s="32">
        <v>47175</v>
      </c>
      <c r="G92" s="8">
        <v>6634479</v>
      </c>
      <c r="H92" s="8"/>
      <c r="I92" s="8">
        <v>2853744</v>
      </c>
      <c r="J92" s="8"/>
      <c r="K92" s="8">
        <v>0</v>
      </c>
      <c r="L92" s="8"/>
      <c r="M92" s="8">
        <v>0</v>
      </c>
      <c r="N92" s="8"/>
      <c r="O92" s="8">
        <v>783787</v>
      </c>
      <c r="P92" s="8"/>
      <c r="Q92" s="8">
        <v>566807</v>
      </c>
      <c r="R92" s="8"/>
      <c r="S92" s="8">
        <v>40087</v>
      </c>
      <c r="T92" s="8"/>
      <c r="U92" s="8">
        <v>1107478</v>
      </c>
      <c r="V92" s="8"/>
      <c r="W92" s="8">
        <v>463448</v>
      </c>
      <c r="X92" s="8"/>
      <c r="Y92" s="8">
        <v>58308</v>
      </c>
      <c r="Z92" s="8"/>
      <c r="AA92" s="8">
        <v>1561540</v>
      </c>
      <c r="AB92" s="8"/>
      <c r="AC92" s="8">
        <v>1292680</v>
      </c>
      <c r="AD92" s="8"/>
      <c r="AE92" s="8">
        <v>245720</v>
      </c>
      <c r="AF92" s="138"/>
      <c r="AG92" s="12" t="s">
        <v>378</v>
      </c>
      <c r="AH92" s="12"/>
      <c r="AI92" s="12" t="s">
        <v>30</v>
      </c>
      <c r="AJ92" s="12"/>
      <c r="AK92" s="8">
        <v>567415</v>
      </c>
      <c r="AL92" s="8"/>
      <c r="AM92" s="8">
        <v>20508</v>
      </c>
      <c r="AN92" s="8"/>
      <c r="AO92" s="8">
        <v>339322</v>
      </c>
      <c r="AP92" s="8"/>
      <c r="AQ92" s="8">
        <v>550480</v>
      </c>
      <c r="AR92" s="8"/>
      <c r="AS92" s="8"/>
      <c r="AT92" s="8"/>
      <c r="AU92" s="8">
        <v>0</v>
      </c>
      <c r="AV92" s="8"/>
      <c r="AW92" s="8">
        <f t="shared" si="6"/>
        <v>17085803</v>
      </c>
      <c r="AY92" s="8">
        <f>+'St of Activites - GA Rev'!AI92-'St of Activities - GA Exp'!AW92</f>
        <v>-677348</v>
      </c>
      <c r="BA92" s="8">
        <v>2625137</v>
      </c>
      <c r="BC92" s="8">
        <f t="shared" si="7"/>
        <v>1947789</v>
      </c>
      <c r="BE92" s="8">
        <f>+'St of Net Assets - GA'!AA92-'St of Activities - GA Exp'!BC92</f>
        <v>0</v>
      </c>
    </row>
    <row r="93" spans="1:57">
      <c r="A93" s="12" t="s">
        <v>560</v>
      </c>
      <c r="B93" s="12"/>
      <c r="C93" s="12" t="s">
        <v>78</v>
      </c>
      <c r="D93" s="12"/>
      <c r="E93" s="32">
        <v>48793</v>
      </c>
      <c r="G93" s="8">
        <v>5827947</v>
      </c>
      <c r="H93" s="8"/>
      <c r="I93" s="8">
        <v>1357723</v>
      </c>
      <c r="J93" s="8"/>
      <c r="K93" s="8">
        <v>327129</v>
      </c>
      <c r="L93" s="8"/>
      <c r="M93" s="8">
        <v>1443034</v>
      </c>
      <c r="N93" s="8"/>
      <c r="O93" s="8">
        <v>467419</v>
      </c>
      <c r="P93" s="8"/>
      <c r="Q93" s="8">
        <v>471952</v>
      </c>
      <c r="R93" s="8"/>
      <c r="S93" s="8">
        <v>31799</v>
      </c>
      <c r="T93" s="8"/>
      <c r="U93" s="8">
        <v>1014911</v>
      </c>
      <c r="V93" s="8"/>
      <c r="W93" s="8">
        <v>233011</v>
      </c>
      <c r="X93" s="8"/>
      <c r="Y93" s="8">
        <v>0</v>
      </c>
      <c r="Z93" s="8"/>
      <c r="AA93" s="8">
        <v>1717239</v>
      </c>
      <c r="AB93" s="8"/>
      <c r="AC93" s="8">
        <v>514140</v>
      </c>
      <c r="AD93" s="8"/>
      <c r="AE93" s="8">
        <v>0</v>
      </c>
      <c r="AF93" s="138"/>
      <c r="AG93" s="12" t="s">
        <v>560</v>
      </c>
      <c r="AH93" s="12"/>
      <c r="AI93" s="12" t="s">
        <v>78</v>
      </c>
      <c r="AJ93" s="12"/>
      <c r="AK93" s="8">
        <v>545026</v>
      </c>
      <c r="AL93" s="8"/>
      <c r="AM93" s="8">
        <v>1810</v>
      </c>
      <c r="AN93" s="8"/>
      <c r="AO93" s="8">
        <v>353214</v>
      </c>
      <c r="AP93" s="8"/>
      <c r="AQ93" s="8">
        <v>242647</v>
      </c>
      <c r="AR93" s="8"/>
      <c r="AS93" s="8"/>
      <c r="AT93" s="8"/>
      <c r="AU93" s="8">
        <v>0</v>
      </c>
      <c r="AV93" s="8"/>
      <c r="AW93" s="8">
        <f t="shared" si="6"/>
        <v>14549001</v>
      </c>
      <c r="AY93" s="8">
        <f>+'St of Activites - GA Rev'!AI93-'St of Activities - GA Exp'!AW93</f>
        <v>-2662027</v>
      </c>
      <c r="BA93" s="8">
        <v>28422967</v>
      </c>
      <c r="BC93" s="8">
        <f t="shared" si="7"/>
        <v>25760940</v>
      </c>
      <c r="BE93" s="8">
        <f>+'St of Net Assets - GA'!AA93-'St of Activities - GA Exp'!BC93</f>
        <v>0</v>
      </c>
    </row>
    <row r="94" spans="1:57" ht="12" hidden="1" customHeight="1">
      <c r="A94" s="13" t="s">
        <v>838</v>
      </c>
      <c r="B94" s="12"/>
      <c r="C94" s="12" t="s">
        <v>740</v>
      </c>
      <c r="D94" s="12"/>
      <c r="E94" s="32">
        <v>45260</v>
      </c>
      <c r="G94" s="8">
        <v>3233924</v>
      </c>
      <c r="H94" s="8"/>
      <c r="I94" s="8">
        <v>957668</v>
      </c>
      <c r="J94" s="8"/>
      <c r="K94" s="8">
        <v>393160</v>
      </c>
      <c r="L94" s="8"/>
      <c r="M94" s="8">
        <v>373708</v>
      </c>
      <c r="N94" s="8"/>
      <c r="O94" s="8">
        <v>332643</v>
      </c>
      <c r="P94" s="8"/>
      <c r="Q94" s="8">
        <v>380915</v>
      </c>
      <c r="R94" s="8"/>
      <c r="S94" s="8">
        <v>55159</v>
      </c>
      <c r="T94" s="8"/>
      <c r="U94" s="8">
        <v>595436</v>
      </c>
      <c r="V94" s="8"/>
      <c r="W94" s="8">
        <v>292013</v>
      </c>
      <c r="X94" s="8"/>
      <c r="Y94" s="8"/>
      <c r="Z94" s="8"/>
      <c r="AA94" s="8">
        <v>488147</v>
      </c>
      <c r="AB94" s="8"/>
      <c r="AC94" s="8">
        <v>300717</v>
      </c>
      <c r="AD94" s="8"/>
      <c r="AE94" s="8">
        <v>37276</v>
      </c>
      <c r="AF94" s="138"/>
      <c r="AG94" s="12" t="s">
        <v>838</v>
      </c>
      <c r="AH94" s="12"/>
      <c r="AI94" s="12" t="s">
        <v>740</v>
      </c>
      <c r="AJ94" s="12"/>
      <c r="AK94" s="8">
        <v>311922</v>
      </c>
      <c r="AL94" s="8"/>
      <c r="AM94" s="8">
        <v>127373</v>
      </c>
      <c r="AN94" s="8"/>
      <c r="AO94" s="8">
        <v>374088</v>
      </c>
      <c r="AP94" s="8"/>
      <c r="AQ94" s="8"/>
      <c r="AR94" s="8"/>
      <c r="AS94" s="8"/>
      <c r="AT94" s="8"/>
      <c r="AU94" s="8"/>
      <c r="AV94" s="8"/>
      <c r="AW94" s="8">
        <f t="shared" si="6"/>
        <v>8254149</v>
      </c>
      <c r="AY94" s="8">
        <f>+'St of Activites - GA Rev'!AI94-'St of Activities - GA Exp'!AW94</f>
        <v>887709</v>
      </c>
      <c r="BA94" s="8">
        <v>5251552</v>
      </c>
      <c r="BC94" s="8">
        <f t="shared" si="7"/>
        <v>6139261</v>
      </c>
      <c r="BE94" s="8">
        <f>+'St of Net Assets - GA'!AA94-'St of Activities - GA Exp'!BC94</f>
        <v>0</v>
      </c>
    </row>
    <row r="95" spans="1:57" ht="12" customHeight="1">
      <c r="A95" s="12" t="s">
        <v>708</v>
      </c>
      <c r="B95" s="12"/>
      <c r="C95" s="12" t="s">
        <v>69</v>
      </c>
      <c r="D95" s="12"/>
      <c r="E95" s="32">
        <v>50419</v>
      </c>
      <c r="G95" s="8">
        <v>7739556</v>
      </c>
      <c r="H95" s="8"/>
      <c r="I95" s="8">
        <v>2135500</v>
      </c>
      <c r="J95" s="8"/>
      <c r="K95" s="8">
        <v>228162</v>
      </c>
      <c r="L95" s="8"/>
      <c r="M95" s="8">
        <v>119924</v>
      </c>
      <c r="N95" s="8"/>
      <c r="O95" s="8">
        <v>651885</v>
      </c>
      <c r="P95" s="8"/>
      <c r="Q95" s="8">
        <v>903905</v>
      </c>
      <c r="R95" s="8"/>
      <c r="S95" s="8">
        <v>22778</v>
      </c>
      <c r="T95" s="8"/>
      <c r="U95" s="8">
        <v>942386</v>
      </c>
      <c r="V95" s="8"/>
      <c r="W95" s="8">
        <v>485984</v>
      </c>
      <c r="X95" s="8"/>
      <c r="Y95" s="8">
        <v>18216</v>
      </c>
      <c r="Z95" s="8"/>
      <c r="AA95" s="8">
        <v>1378493</v>
      </c>
      <c r="AB95" s="8"/>
      <c r="AC95" s="8">
        <v>830063</v>
      </c>
      <c r="AD95" s="8"/>
      <c r="AE95" s="8">
        <v>55256</v>
      </c>
      <c r="AF95" s="138"/>
      <c r="AG95" s="12" t="s">
        <v>708</v>
      </c>
      <c r="AH95" s="12"/>
      <c r="AI95" s="12" t="s">
        <v>69</v>
      </c>
      <c r="AJ95" s="12"/>
      <c r="AK95" s="8">
        <v>556744</v>
      </c>
      <c r="AL95" s="8"/>
      <c r="AM95" s="8">
        <v>510</v>
      </c>
      <c r="AN95" s="8"/>
      <c r="AO95" s="8">
        <v>492303</v>
      </c>
      <c r="AP95" s="8"/>
      <c r="AQ95" s="8">
        <v>12377</v>
      </c>
      <c r="AR95" s="8"/>
      <c r="AS95" s="8"/>
      <c r="AT95" s="8"/>
      <c r="AU95" s="8">
        <v>0</v>
      </c>
      <c r="AV95" s="8"/>
      <c r="AW95" s="8">
        <f t="shared" si="6"/>
        <v>16574042</v>
      </c>
      <c r="AY95" s="8">
        <f>+'St of Activites - GA Rev'!AI95-'St of Activities - GA Exp'!AW95</f>
        <v>143457</v>
      </c>
      <c r="BA95" s="8">
        <v>1494583</v>
      </c>
      <c r="BC95" s="8">
        <f t="shared" si="7"/>
        <v>1638040</v>
      </c>
      <c r="BE95" s="8">
        <f>+'St of Net Assets - GA'!AA95-'St of Activities - GA Exp'!BC95</f>
        <v>0</v>
      </c>
    </row>
    <row r="96" spans="1:57" ht="11.25" customHeight="1">
      <c r="A96" s="12" t="s">
        <v>253</v>
      </c>
      <c r="B96" s="12"/>
      <c r="C96" s="12" t="s">
        <v>16</v>
      </c>
      <c r="D96" s="12"/>
      <c r="E96" s="32">
        <v>45278</v>
      </c>
      <c r="G96" s="8">
        <v>8839601</v>
      </c>
      <c r="H96" s="8"/>
      <c r="I96" s="8">
        <v>2199056</v>
      </c>
      <c r="J96" s="8"/>
      <c r="K96" s="8">
        <v>261812</v>
      </c>
      <c r="L96" s="8"/>
      <c r="M96" s="8">
        <f>29317+207665+5272</f>
        <v>242254</v>
      </c>
      <c r="N96" s="8"/>
      <c r="O96" s="8">
        <v>1047345</v>
      </c>
      <c r="P96" s="8"/>
      <c r="Q96" s="8">
        <v>1009526</v>
      </c>
      <c r="R96" s="8"/>
      <c r="S96" s="8">
        <v>25766</v>
      </c>
      <c r="T96" s="8"/>
      <c r="U96" s="8">
        <v>1504915</v>
      </c>
      <c r="V96" s="8"/>
      <c r="W96" s="8">
        <v>572535</v>
      </c>
      <c r="X96" s="8"/>
      <c r="Y96" s="8">
        <v>67888</v>
      </c>
      <c r="Z96" s="8"/>
      <c r="AA96" s="8">
        <v>1835745</v>
      </c>
      <c r="AB96" s="8"/>
      <c r="AC96" s="8">
        <v>1710160</v>
      </c>
      <c r="AD96" s="8"/>
      <c r="AE96" s="8">
        <v>50996</v>
      </c>
      <c r="AF96" s="138"/>
      <c r="AG96" s="12" t="s">
        <v>253</v>
      </c>
      <c r="AH96" s="12"/>
      <c r="AI96" s="12" t="s">
        <v>16</v>
      </c>
      <c r="AJ96" s="12"/>
      <c r="AK96" s="8">
        <v>898375</v>
      </c>
      <c r="AL96" s="8"/>
      <c r="AM96" s="8">
        <v>44206</v>
      </c>
      <c r="AN96" s="8"/>
      <c r="AO96" s="8">
        <v>527142</v>
      </c>
      <c r="AP96" s="8"/>
      <c r="AQ96" s="8">
        <v>3542</v>
      </c>
      <c r="AR96" s="8"/>
      <c r="AS96" s="8"/>
      <c r="AT96" s="8"/>
      <c r="AU96" s="8">
        <v>0</v>
      </c>
      <c r="AV96" s="8"/>
      <c r="AW96" s="8">
        <f t="shared" si="6"/>
        <v>20840864</v>
      </c>
      <c r="AY96" s="8">
        <f>+'St of Activites - GA Rev'!AI96-'St of Activities - GA Exp'!AW96</f>
        <v>-108875</v>
      </c>
      <c r="BA96" s="8">
        <v>8942822</v>
      </c>
      <c r="BC96" s="8">
        <f t="shared" si="7"/>
        <v>8833947</v>
      </c>
      <c r="BE96" s="8">
        <f>+'St of Net Assets - GA'!AA96-'St of Activities - GA Exp'!BC96</f>
        <v>0</v>
      </c>
    </row>
    <row r="97" spans="1:59">
      <c r="A97" s="12" t="s">
        <v>385</v>
      </c>
      <c r="B97" s="12"/>
      <c r="C97" s="12" t="s">
        <v>116</v>
      </c>
      <c r="D97" s="12"/>
      <c r="E97" s="32">
        <v>47258</v>
      </c>
      <c r="G97" s="8">
        <v>2489102</v>
      </c>
      <c r="H97" s="8"/>
      <c r="I97" s="8">
        <v>506659</v>
      </c>
      <c r="J97" s="8"/>
      <c r="K97" s="8">
        <v>1388</v>
      </c>
      <c r="L97" s="8"/>
      <c r="M97" s="8">
        <v>383189</v>
      </c>
      <c r="N97" s="8"/>
      <c r="O97" s="8">
        <v>472323</v>
      </c>
      <c r="P97" s="8"/>
      <c r="Q97" s="8">
        <v>354600</v>
      </c>
      <c r="R97" s="8"/>
      <c r="S97" s="8">
        <v>36826</v>
      </c>
      <c r="T97" s="8"/>
      <c r="U97" s="8">
        <v>603005</v>
      </c>
      <c r="V97" s="8"/>
      <c r="W97" s="8">
        <v>267109</v>
      </c>
      <c r="X97" s="8"/>
      <c r="Y97" s="8">
        <v>0</v>
      </c>
      <c r="Z97" s="8"/>
      <c r="AA97" s="8">
        <v>576009</v>
      </c>
      <c r="AB97" s="8"/>
      <c r="AC97" s="8">
        <v>270067</v>
      </c>
      <c r="AD97" s="8"/>
      <c r="AE97" s="8">
        <v>17555</v>
      </c>
      <c r="AF97" s="138"/>
      <c r="AG97" s="12" t="s">
        <v>385</v>
      </c>
      <c r="AH97" s="12"/>
      <c r="AI97" s="12" t="s">
        <v>116</v>
      </c>
      <c r="AJ97" s="12"/>
      <c r="AK97" s="8">
        <v>0</v>
      </c>
      <c r="AL97" s="8"/>
      <c r="AM97" s="8">
        <v>168870</v>
      </c>
      <c r="AN97" s="8"/>
      <c r="AO97" s="8">
        <v>237331</v>
      </c>
      <c r="AP97" s="8"/>
      <c r="AQ97" s="8">
        <v>0</v>
      </c>
      <c r="AR97" s="8"/>
      <c r="AS97" s="8"/>
      <c r="AT97" s="8"/>
      <c r="AU97" s="8">
        <v>0</v>
      </c>
      <c r="AV97" s="8"/>
      <c r="AW97" s="8">
        <f t="shared" si="6"/>
        <v>6384033</v>
      </c>
      <c r="AY97" s="8">
        <f>+'St of Activites - GA Rev'!AI97-'St of Activities - GA Exp'!AW97</f>
        <v>485628</v>
      </c>
      <c r="BA97" s="8">
        <v>2464569</v>
      </c>
      <c r="BC97" s="8">
        <f t="shared" si="7"/>
        <v>2950197</v>
      </c>
      <c r="BE97" s="8">
        <f>+'St of Net Assets - GA'!AA97-'St of Activities - GA Exp'!BC97</f>
        <v>0</v>
      </c>
    </row>
    <row r="98" spans="1:59" ht="12" hidden="1" customHeight="1">
      <c r="A98" s="13" t="s">
        <v>839</v>
      </c>
      <c r="B98" s="12"/>
      <c r="C98" s="12" t="s">
        <v>534</v>
      </c>
      <c r="D98" s="12"/>
      <c r="E98" s="32">
        <v>43729</v>
      </c>
      <c r="G98" s="8">
        <v>13901342</v>
      </c>
      <c r="H98" s="8"/>
      <c r="I98" s="8">
        <v>3604137</v>
      </c>
      <c r="J98" s="8"/>
      <c r="K98" s="8">
        <v>1473342</v>
      </c>
      <c r="L98" s="8"/>
      <c r="M98" s="8">
        <v>4070</v>
      </c>
      <c r="N98" s="8"/>
      <c r="O98" s="8">
        <v>1883462</v>
      </c>
      <c r="P98" s="8"/>
      <c r="Q98" s="8">
        <v>1459331</v>
      </c>
      <c r="R98" s="8"/>
      <c r="S98" s="8">
        <v>72483</v>
      </c>
      <c r="T98" s="8"/>
      <c r="U98" s="8">
        <v>2057679</v>
      </c>
      <c r="V98" s="8"/>
      <c r="W98" s="8">
        <v>730496</v>
      </c>
      <c r="X98" s="8"/>
      <c r="Y98" s="8">
        <v>206306</v>
      </c>
      <c r="Z98" s="8"/>
      <c r="AA98" s="8">
        <v>2626428</v>
      </c>
      <c r="AB98" s="8"/>
      <c r="AC98" s="8">
        <v>1354178</v>
      </c>
      <c r="AD98" s="8"/>
      <c r="AE98" s="8">
        <v>66468</v>
      </c>
      <c r="AF98" s="138"/>
      <c r="AG98" s="12" t="s">
        <v>533</v>
      </c>
      <c r="AH98" s="12"/>
      <c r="AI98" s="12" t="s">
        <v>534</v>
      </c>
      <c r="AJ98" s="12"/>
      <c r="AK98" s="8"/>
      <c r="AL98" s="8"/>
      <c r="AM98" s="8">
        <v>1392786</v>
      </c>
      <c r="AN98" s="8"/>
      <c r="AO98" s="8">
        <v>943127</v>
      </c>
      <c r="AP98" s="8"/>
      <c r="AQ98" s="8"/>
      <c r="AR98" s="8"/>
      <c r="AS98" s="8"/>
      <c r="AT98" s="8"/>
      <c r="AU98" s="8">
        <f>12316+1498+871944+453529</f>
        <v>1339287</v>
      </c>
      <c r="AV98" s="8"/>
      <c r="AW98" s="8">
        <f t="shared" si="6"/>
        <v>33114922</v>
      </c>
      <c r="AY98" s="8">
        <f>+'St of Activites - GA Rev'!AI98-'St of Activities - GA Exp'!AW98</f>
        <v>1173953</v>
      </c>
      <c r="BA98" s="8">
        <v>14151311</v>
      </c>
      <c r="BC98" s="8">
        <f t="shared" si="7"/>
        <v>15325264</v>
      </c>
      <c r="BE98" s="8">
        <f>+'St of Net Assets - GA'!AA98-'St of Activities - GA Exp'!BC98</f>
        <v>0</v>
      </c>
      <c r="BG98" s="8" t="s">
        <v>956</v>
      </c>
    </row>
    <row r="99" spans="1:59">
      <c r="A99" s="13" t="s">
        <v>906</v>
      </c>
      <c r="B99" s="12"/>
      <c r="C99" s="12" t="s">
        <v>40</v>
      </c>
      <c r="D99" s="12"/>
      <c r="E99" s="32">
        <v>47829</v>
      </c>
      <c r="G99" s="8">
        <v>4959439</v>
      </c>
      <c r="H99" s="8"/>
      <c r="I99" s="8">
        <v>1703595</v>
      </c>
      <c r="J99" s="8"/>
      <c r="K99" s="8">
        <v>198506</v>
      </c>
      <c r="L99" s="8"/>
      <c r="M99" s="8">
        <v>15524</v>
      </c>
      <c r="N99" s="8"/>
      <c r="O99" s="8">
        <v>428105</v>
      </c>
      <c r="P99" s="8"/>
      <c r="Q99" s="8">
        <v>174156</v>
      </c>
      <c r="R99" s="8"/>
      <c r="S99" s="8">
        <v>13088</v>
      </c>
      <c r="T99" s="8"/>
      <c r="U99" s="8">
        <v>902627</v>
      </c>
      <c r="V99" s="8"/>
      <c r="W99" s="8">
        <v>348247</v>
      </c>
      <c r="X99" s="8"/>
      <c r="Y99" s="8">
        <v>0</v>
      </c>
      <c r="Z99" s="8"/>
      <c r="AA99" s="8">
        <v>1106482</v>
      </c>
      <c r="AB99" s="8"/>
      <c r="AC99" s="8">
        <v>855443</v>
      </c>
      <c r="AD99" s="8"/>
      <c r="AE99" s="8">
        <v>16433</v>
      </c>
      <c r="AF99" s="138"/>
      <c r="AG99" s="12" t="s">
        <v>454</v>
      </c>
      <c r="AH99" s="12"/>
      <c r="AI99" s="12" t="s">
        <v>40</v>
      </c>
      <c r="AJ99" s="12"/>
      <c r="AK99" s="8">
        <v>0</v>
      </c>
      <c r="AL99" s="8"/>
      <c r="AM99" s="8">
        <v>307814</v>
      </c>
      <c r="AN99" s="8"/>
      <c r="AO99" s="8">
        <v>371518</v>
      </c>
      <c r="AP99" s="8"/>
      <c r="AQ99" s="8">
        <v>274336</v>
      </c>
      <c r="AR99" s="8"/>
      <c r="AS99" s="8"/>
      <c r="AT99" s="8"/>
      <c r="AU99" s="8">
        <v>0</v>
      </c>
      <c r="AV99" s="8"/>
      <c r="AW99" s="8">
        <f t="shared" si="6"/>
        <v>11675313</v>
      </c>
      <c r="AY99" s="8">
        <f>+'St of Activites - GA Rev'!AI99-'St of Activities - GA Exp'!AW99</f>
        <v>-631446</v>
      </c>
      <c r="BA99" s="8">
        <v>20825391</v>
      </c>
      <c r="BC99" s="8">
        <f t="shared" si="7"/>
        <v>20193945</v>
      </c>
      <c r="BE99" s="8">
        <f>+'St of Net Assets - GA'!AA99-'St of Activities - GA Exp'!BC99</f>
        <v>0</v>
      </c>
    </row>
    <row r="100" spans="1:59">
      <c r="A100" s="34" t="s">
        <v>545</v>
      </c>
      <c r="B100" s="12"/>
      <c r="C100" s="12" t="s">
        <v>50</v>
      </c>
      <c r="D100" s="12"/>
      <c r="E100" s="32">
        <v>43737</v>
      </c>
      <c r="G100" s="8">
        <v>40396937</v>
      </c>
      <c r="H100" s="8"/>
      <c r="I100" s="8">
        <v>8380002</v>
      </c>
      <c r="J100" s="8"/>
      <c r="K100" s="8">
        <v>2539172</v>
      </c>
      <c r="L100" s="8"/>
      <c r="M100" s="8">
        <v>943725</v>
      </c>
      <c r="N100" s="8"/>
      <c r="O100" s="8">
        <v>4051547</v>
      </c>
      <c r="P100" s="8"/>
      <c r="Q100" s="8">
        <v>6996959</v>
      </c>
      <c r="R100" s="8"/>
      <c r="S100" s="8">
        <v>33370</v>
      </c>
      <c r="T100" s="8"/>
      <c r="U100" s="8">
        <v>4579795</v>
      </c>
      <c r="V100" s="8"/>
      <c r="W100" s="8">
        <v>1479988</v>
      </c>
      <c r="X100" s="8"/>
      <c r="Y100" s="8">
        <v>660909</v>
      </c>
      <c r="Z100" s="8"/>
      <c r="AA100" s="8">
        <v>5991427</v>
      </c>
      <c r="AB100" s="8"/>
      <c r="AC100" s="8">
        <v>6258860</v>
      </c>
      <c r="AD100" s="8"/>
      <c r="AE100" s="8">
        <v>99859</v>
      </c>
      <c r="AF100" s="138"/>
      <c r="AG100" s="12" t="s">
        <v>545</v>
      </c>
      <c r="AH100" s="12"/>
      <c r="AI100" s="12" t="s">
        <v>50</v>
      </c>
      <c r="AJ100" s="12"/>
      <c r="AK100" s="8">
        <v>0</v>
      </c>
      <c r="AL100" s="8"/>
      <c r="AM100" s="8">
        <v>4647458</v>
      </c>
      <c r="AN100" s="8"/>
      <c r="AO100" s="8">
        <v>663382</v>
      </c>
      <c r="AP100" s="8"/>
      <c r="AQ100" s="8">
        <v>3296412</v>
      </c>
      <c r="AR100" s="8"/>
      <c r="AS100" s="8"/>
      <c r="AT100" s="8"/>
      <c r="AU100" s="8">
        <v>1652651</v>
      </c>
      <c r="AV100" s="8"/>
      <c r="AW100" s="8">
        <f t="shared" si="6"/>
        <v>92672453</v>
      </c>
      <c r="AY100" s="8">
        <f>+'St of Activites - GA Rev'!AI100-'St of Activities - GA Exp'!AW100</f>
        <v>-4074959</v>
      </c>
      <c r="BA100" s="8">
        <v>48186156</v>
      </c>
      <c r="BC100" s="8">
        <f t="shared" si="7"/>
        <v>44111197</v>
      </c>
      <c r="BE100" s="8">
        <f>+'St of Net Assets - GA'!AA100-'St of Activities - GA Exp'!BC100</f>
        <v>0</v>
      </c>
    </row>
    <row r="101" spans="1:59">
      <c r="A101" s="13" t="s">
        <v>794</v>
      </c>
      <c r="B101" s="12"/>
      <c r="C101" s="12" t="s">
        <v>22</v>
      </c>
      <c r="D101" s="12"/>
      <c r="E101" s="32">
        <v>46714</v>
      </c>
      <c r="G101" s="8">
        <v>4478147</v>
      </c>
      <c r="H101" s="8"/>
      <c r="I101" s="8">
        <v>1114376</v>
      </c>
      <c r="J101" s="8"/>
      <c r="K101" s="8">
        <v>204682</v>
      </c>
      <c r="L101" s="8"/>
      <c r="M101" s="8">
        <f>31581+113166+570972</f>
        <v>715719</v>
      </c>
      <c r="N101" s="8"/>
      <c r="O101" s="8">
        <v>540876</v>
      </c>
      <c r="P101" s="8"/>
      <c r="Q101" s="8">
        <v>240606</v>
      </c>
      <c r="R101" s="8"/>
      <c r="S101" s="8">
        <v>19251</v>
      </c>
      <c r="T101" s="8"/>
      <c r="U101" s="8">
        <v>895114</v>
      </c>
      <c r="V101" s="8"/>
      <c r="W101" s="8">
        <v>232577</v>
      </c>
      <c r="X101" s="8"/>
      <c r="Y101" s="8">
        <v>59932</v>
      </c>
      <c r="Z101" s="8"/>
      <c r="AA101" s="8">
        <v>733271</v>
      </c>
      <c r="AB101" s="8"/>
      <c r="AC101" s="8">
        <v>932535</v>
      </c>
      <c r="AD101" s="8"/>
      <c r="AE101" s="8">
        <v>166395</v>
      </c>
      <c r="AF101" s="138"/>
      <c r="AG101" s="12" t="s">
        <v>794</v>
      </c>
      <c r="AH101" s="12"/>
      <c r="AI101" s="12" t="s">
        <v>22</v>
      </c>
      <c r="AJ101" s="12"/>
      <c r="AK101" s="8">
        <v>0</v>
      </c>
      <c r="AL101" s="8"/>
      <c r="AM101" s="8">
        <v>558688</v>
      </c>
      <c r="AN101" s="8"/>
      <c r="AO101" s="8">
        <v>565121</v>
      </c>
      <c r="AP101" s="8"/>
      <c r="AQ101" s="8">
        <v>126022</v>
      </c>
      <c r="AR101" s="8"/>
      <c r="AS101" s="8"/>
      <c r="AT101" s="8"/>
      <c r="AU101" s="8">
        <v>339553</v>
      </c>
      <c r="AV101" s="8"/>
      <c r="AW101" s="8">
        <f t="shared" si="6"/>
        <v>11922865</v>
      </c>
      <c r="AY101" s="8">
        <f>+'St of Activites - GA Rev'!AI101-'St of Activities - GA Exp'!AW101</f>
        <v>-351854</v>
      </c>
      <c r="BA101" s="8">
        <v>9374196</v>
      </c>
      <c r="BC101" s="8">
        <f>+AY101+BA101</f>
        <v>9022342</v>
      </c>
      <c r="BE101" s="8">
        <f>+'St of Net Assets - GA'!AA101-'St of Activities - GA Exp'!BC101</f>
        <v>0</v>
      </c>
    </row>
    <row r="102" spans="1:59">
      <c r="A102" s="12" t="s">
        <v>302</v>
      </c>
      <c r="B102" s="12"/>
      <c r="C102" s="12" t="s">
        <v>20</v>
      </c>
      <c r="D102" s="12"/>
      <c r="E102" s="32">
        <v>45286</v>
      </c>
      <c r="G102" s="8">
        <v>11527572</v>
      </c>
      <c r="H102" s="8"/>
      <c r="I102" s="8">
        <v>1998884</v>
      </c>
      <c r="J102" s="8"/>
      <c r="K102" s="8">
        <v>112692</v>
      </c>
      <c r="L102" s="8"/>
      <c r="M102" s="8">
        <v>20131</v>
      </c>
      <c r="N102" s="8"/>
      <c r="O102" s="8">
        <v>899849</v>
      </c>
      <c r="P102" s="8"/>
      <c r="Q102" s="8">
        <v>1426196</v>
      </c>
      <c r="R102" s="8"/>
      <c r="S102" s="8">
        <v>80176</v>
      </c>
      <c r="T102" s="8"/>
      <c r="U102" s="8">
        <v>2015517</v>
      </c>
      <c r="V102" s="8"/>
      <c r="W102" s="8">
        <v>828131</v>
      </c>
      <c r="X102" s="8"/>
      <c r="Y102" s="8">
        <v>400</v>
      </c>
      <c r="Z102" s="8"/>
      <c r="AA102" s="8">
        <v>2473588</v>
      </c>
      <c r="AB102" s="8"/>
      <c r="AC102" s="8">
        <v>1127451</v>
      </c>
      <c r="AD102" s="8"/>
      <c r="AE102" s="8">
        <v>16632</v>
      </c>
      <c r="AF102" s="138"/>
      <c r="AG102" s="12" t="s">
        <v>302</v>
      </c>
      <c r="AH102" s="12"/>
      <c r="AI102" s="12" t="s">
        <v>20</v>
      </c>
      <c r="AJ102" s="12"/>
      <c r="AK102" s="8">
        <v>0</v>
      </c>
      <c r="AL102" s="8"/>
      <c r="AM102" s="8">
        <v>283041</v>
      </c>
      <c r="AN102" s="8"/>
      <c r="AO102" s="8">
        <v>801231</v>
      </c>
      <c r="AP102" s="8"/>
      <c r="AQ102" s="8">
        <v>1320426</v>
      </c>
      <c r="AR102" s="8"/>
      <c r="AS102" s="8"/>
      <c r="AT102" s="8"/>
      <c r="AU102" s="8">
        <v>0</v>
      </c>
      <c r="AV102" s="8"/>
      <c r="AW102" s="8">
        <f t="shared" si="6"/>
        <v>24931917</v>
      </c>
      <c r="AY102" s="8">
        <f>+'St of Activites - GA Rev'!AI102-'St of Activities - GA Exp'!AW102</f>
        <v>2782903</v>
      </c>
      <c r="BA102" s="8">
        <v>6625658</v>
      </c>
      <c r="BC102" s="8">
        <f t="shared" si="7"/>
        <v>9408561</v>
      </c>
      <c r="BE102" s="8">
        <f>+'St of Net Assets - GA'!AA102-'St of Activities - GA Exp'!BC102</f>
        <v>0</v>
      </c>
    </row>
    <row r="103" spans="1:59">
      <c r="A103" s="12" t="s">
        <v>678</v>
      </c>
      <c r="B103" s="12"/>
      <c r="C103" s="12" t="s">
        <v>64</v>
      </c>
      <c r="D103" s="12"/>
      <c r="E103" s="32">
        <v>50138</v>
      </c>
      <c r="G103" s="8">
        <v>5975027</v>
      </c>
      <c r="H103" s="8"/>
      <c r="I103" s="8">
        <v>1746279</v>
      </c>
      <c r="J103" s="8"/>
      <c r="K103" s="8">
        <v>191387</v>
      </c>
      <c r="L103" s="8"/>
      <c r="M103" s="8">
        <v>543597</v>
      </c>
      <c r="N103" s="8"/>
      <c r="O103" s="8">
        <v>620792</v>
      </c>
      <c r="P103" s="8"/>
      <c r="Q103" s="8">
        <v>520748</v>
      </c>
      <c r="R103" s="8"/>
      <c r="S103" s="8">
        <v>42312</v>
      </c>
      <c r="T103" s="8"/>
      <c r="U103" s="8">
        <v>1837214</v>
      </c>
      <c r="V103" s="8"/>
      <c r="W103" s="8">
        <v>395888</v>
      </c>
      <c r="X103" s="8"/>
      <c r="Y103" s="8">
        <v>0</v>
      </c>
      <c r="Z103" s="8"/>
      <c r="AA103" s="8">
        <v>1641605</v>
      </c>
      <c r="AB103" s="8"/>
      <c r="AC103" s="8">
        <v>804338</v>
      </c>
      <c r="AD103" s="8"/>
      <c r="AE103" s="8">
        <v>11285</v>
      </c>
      <c r="AF103" s="138"/>
      <c r="AG103" s="12" t="s">
        <v>678</v>
      </c>
      <c r="AH103" s="12"/>
      <c r="AI103" s="12" t="s">
        <v>64</v>
      </c>
      <c r="AJ103" s="12"/>
      <c r="AK103" s="8">
        <v>471487</v>
      </c>
      <c r="AL103" s="8"/>
      <c r="AM103" s="8">
        <v>0</v>
      </c>
      <c r="AN103" s="8"/>
      <c r="AO103" s="8">
        <v>495261</v>
      </c>
      <c r="AP103" s="8"/>
      <c r="AQ103" s="8">
        <v>77123</v>
      </c>
      <c r="AR103" s="8"/>
      <c r="AS103" s="8"/>
      <c r="AT103" s="8"/>
      <c r="AU103" s="8">
        <v>0</v>
      </c>
      <c r="AV103" s="8"/>
      <c r="AW103" s="8">
        <f t="shared" si="6"/>
        <v>15374343</v>
      </c>
      <c r="AY103" s="8">
        <f>+'St of Activites - GA Rev'!AI103-'St of Activities - GA Exp'!AW103</f>
        <v>-357996</v>
      </c>
      <c r="BA103" s="8">
        <v>569742</v>
      </c>
      <c r="BC103" s="8">
        <f t="shared" si="7"/>
        <v>211746</v>
      </c>
      <c r="BE103" s="8">
        <f>+'St of Net Assets - GA'!AA103-'St of Activities - GA Exp'!BC103</f>
        <v>0</v>
      </c>
    </row>
    <row r="104" spans="1:59">
      <c r="A104" s="12" t="s">
        <v>379</v>
      </c>
      <c r="B104" s="12"/>
      <c r="C104" s="12" t="s">
        <v>30</v>
      </c>
      <c r="D104" s="12"/>
      <c r="E104" s="32">
        <v>47183</v>
      </c>
      <c r="G104" s="8">
        <v>13748914</v>
      </c>
      <c r="H104" s="8"/>
      <c r="I104" s="8">
        <v>4369127</v>
      </c>
      <c r="J104" s="8"/>
      <c r="K104" s="8">
        <v>228292</v>
      </c>
      <c r="L104" s="8"/>
      <c r="M104" s="8">
        <f>5618+445513</f>
        <v>451131</v>
      </c>
      <c r="N104" s="8"/>
      <c r="O104" s="8">
        <v>1395863</v>
      </c>
      <c r="P104" s="8"/>
      <c r="Q104" s="8">
        <v>1458478</v>
      </c>
      <c r="R104" s="8"/>
      <c r="S104" s="8">
        <v>139153</v>
      </c>
      <c r="T104" s="8"/>
      <c r="U104" s="8">
        <v>2526270</v>
      </c>
      <c r="V104" s="8"/>
      <c r="W104" s="8">
        <v>883723</v>
      </c>
      <c r="X104" s="8"/>
      <c r="Y104" s="8">
        <v>343481</v>
      </c>
      <c r="Z104" s="8"/>
      <c r="AA104" s="8">
        <v>2753558</v>
      </c>
      <c r="AB104" s="8"/>
      <c r="AC104" s="8">
        <v>2784937</v>
      </c>
      <c r="AD104" s="8"/>
      <c r="AE104" s="8">
        <v>270535</v>
      </c>
      <c r="AF104" s="138"/>
      <c r="AG104" s="12" t="s">
        <v>379</v>
      </c>
      <c r="AH104" s="12"/>
      <c r="AI104" s="12" t="s">
        <v>30</v>
      </c>
      <c r="AJ104" s="12"/>
      <c r="AK104" s="8">
        <v>990944</v>
      </c>
      <c r="AL104" s="8"/>
      <c r="AM104" s="8">
        <v>1143787</v>
      </c>
      <c r="AN104" s="8"/>
      <c r="AO104" s="8">
        <v>669024</v>
      </c>
      <c r="AP104" s="8"/>
      <c r="AQ104" s="8">
        <v>207</v>
      </c>
      <c r="AR104" s="8"/>
      <c r="AS104" s="8"/>
      <c r="AT104" s="8"/>
      <c r="AU104" s="8">
        <v>0</v>
      </c>
      <c r="AV104" s="8"/>
      <c r="AW104" s="8">
        <f t="shared" si="6"/>
        <v>34157424</v>
      </c>
      <c r="AY104" s="8">
        <f>+'St of Activites - GA Rev'!AI104-'St of Activities - GA Exp'!AW104</f>
        <v>2512741</v>
      </c>
      <c r="BA104" s="8">
        <v>8217335</v>
      </c>
      <c r="BC104" s="8">
        <f t="shared" si="7"/>
        <v>10730076</v>
      </c>
      <c r="BE104" s="8">
        <f>+'St of Net Assets - GA'!AA104-'St of Activities - GA Exp'!BC104</f>
        <v>0</v>
      </c>
    </row>
    <row r="105" spans="1:59">
      <c r="A105" s="12" t="s">
        <v>465</v>
      </c>
      <c r="B105" s="12"/>
      <c r="C105" s="12" t="s">
        <v>466</v>
      </c>
      <c r="D105" s="12"/>
      <c r="E105" s="32">
        <v>45294</v>
      </c>
      <c r="G105" s="8">
        <v>7712402</v>
      </c>
      <c r="H105" s="8"/>
      <c r="I105" s="8">
        <v>1107911</v>
      </c>
      <c r="J105" s="8"/>
      <c r="K105" s="8">
        <v>0</v>
      </c>
      <c r="L105" s="8"/>
      <c r="M105" s="8">
        <v>473337</v>
      </c>
      <c r="N105" s="8"/>
      <c r="O105" s="8">
        <v>597460</v>
      </c>
      <c r="P105" s="8"/>
      <c r="Q105" s="8">
        <v>626341</v>
      </c>
      <c r="R105" s="8"/>
      <c r="S105" s="8">
        <v>117973</v>
      </c>
      <c r="T105" s="8"/>
      <c r="U105" s="8">
        <v>1163615</v>
      </c>
      <c r="V105" s="8"/>
      <c r="W105" s="8">
        <v>315651</v>
      </c>
      <c r="X105" s="8"/>
      <c r="Y105" s="8">
        <v>0</v>
      </c>
      <c r="Z105" s="8"/>
      <c r="AA105" s="8">
        <v>1122834</v>
      </c>
      <c r="AB105" s="8"/>
      <c r="AC105" s="8">
        <v>709367</v>
      </c>
      <c r="AD105" s="8"/>
      <c r="AE105" s="8">
        <v>179119</v>
      </c>
      <c r="AF105" s="138"/>
      <c r="AG105" s="12" t="s">
        <v>465</v>
      </c>
      <c r="AH105" s="12"/>
      <c r="AI105" s="12" t="s">
        <v>466</v>
      </c>
      <c r="AJ105" s="12"/>
      <c r="AK105" s="8">
        <v>0</v>
      </c>
      <c r="AL105" s="8"/>
      <c r="AM105" s="8">
        <v>590334</v>
      </c>
      <c r="AN105" s="8"/>
      <c r="AO105" s="8">
        <v>314793</v>
      </c>
      <c r="AP105" s="8"/>
      <c r="AQ105" s="8">
        <v>97908</v>
      </c>
      <c r="AR105" s="8"/>
      <c r="AS105" s="8"/>
      <c r="AT105" s="8"/>
      <c r="AU105" s="8">
        <v>0</v>
      </c>
      <c r="AV105" s="8"/>
      <c r="AW105" s="8">
        <f t="shared" si="6"/>
        <v>15129045</v>
      </c>
      <c r="AY105" s="8">
        <f>+'St of Activites - GA Rev'!AI105-'St of Activities - GA Exp'!AW105</f>
        <v>-853068</v>
      </c>
      <c r="BA105" s="8">
        <v>22361337</v>
      </c>
      <c r="BC105" s="8">
        <f t="shared" si="7"/>
        <v>21508269</v>
      </c>
      <c r="BE105" s="8">
        <f>+'St of Net Assets - GA'!AA105-'St of Activities - GA Exp'!BC105</f>
        <v>0</v>
      </c>
    </row>
    <row r="106" spans="1:59">
      <c r="A106" s="12" t="s">
        <v>617</v>
      </c>
      <c r="B106" s="12"/>
      <c r="C106" s="12" t="s">
        <v>58</v>
      </c>
      <c r="D106" s="12"/>
      <c r="E106" s="32">
        <v>43745</v>
      </c>
      <c r="G106" s="8">
        <v>16775233</v>
      </c>
      <c r="H106" s="8"/>
      <c r="I106" s="8">
        <v>3311588</v>
      </c>
      <c r="J106" s="8"/>
      <c r="K106" s="8">
        <v>7094</v>
      </c>
      <c r="L106" s="8"/>
      <c r="M106" s="8">
        <v>724819</v>
      </c>
      <c r="N106" s="8"/>
      <c r="O106" s="8">
        <v>1867359</v>
      </c>
      <c r="P106" s="8"/>
      <c r="Q106" s="8">
        <v>1455774</v>
      </c>
      <c r="R106" s="8"/>
      <c r="S106" s="8">
        <v>49970</v>
      </c>
      <c r="T106" s="8"/>
      <c r="U106" s="8">
        <v>2007302</v>
      </c>
      <c r="V106" s="8"/>
      <c r="W106" s="8">
        <v>906210</v>
      </c>
      <c r="X106" s="8"/>
      <c r="Y106" s="8">
        <v>0</v>
      </c>
      <c r="Z106" s="8"/>
      <c r="AA106" s="8">
        <v>3084136</v>
      </c>
      <c r="AB106" s="8"/>
      <c r="AC106" s="8">
        <v>902757</v>
      </c>
      <c r="AD106" s="8"/>
      <c r="AE106" s="8">
        <v>283936</v>
      </c>
      <c r="AF106" s="138"/>
      <c r="AG106" s="12" t="s">
        <v>617</v>
      </c>
      <c r="AH106" s="12"/>
      <c r="AI106" s="12" t="s">
        <v>58</v>
      </c>
      <c r="AJ106" s="12"/>
      <c r="AK106" s="8">
        <v>0</v>
      </c>
      <c r="AL106" s="8"/>
      <c r="AM106" s="8">
        <v>1594325</v>
      </c>
      <c r="AN106" s="8"/>
      <c r="AO106" s="8">
        <v>562207</v>
      </c>
      <c r="AP106" s="8"/>
      <c r="AQ106" s="8">
        <v>1640534</v>
      </c>
      <c r="AR106" s="8"/>
      <c r="AS106" s="8"/>
      <c r="AT106" s="8"/>
      <c r="AU106" s="8">
        <v>0</v>
      </c>
      <c r="AV106" s="8"/>
      <c r="AW106" s="8">
        <f t="shared" si="6"/>
        <v>35173244</v>
      </c>
      <c r="AY106" s="8">
        <f>+'St of Activites - GA Rev'!AI106-'St of Activities - GA Exp'!AW106</f>
        <v>-805522</v>
      </c>
      <c r="BA106" s="8">
        <v>10240937</v>
      </c>
      <c r="BC106" s="8">
        <f t="shared" si="7"/>
        <v>9435415</v>
      </c>
      <c r="BE106" s="8">
        <f>+'St of Net Assets - GA'!AA106-'St of Activities - GA Exp'!BC106</f>
        <v>0</v>
      </c>
    </row>
    <row r="107" spans="1:59" ht="12" customHeight="1">
      <c r="A107" s="13" t="s">
        <v>721</v>
      </c>
      <c r="B107" s="12"/>
      <c r="C107" s="12" t="s">
        <v>71</v>
      </c>
      <c r="D107" s="12"/>
      <c r="E107" s="32">
        <v>50534</v>
      </c>
      <c r="G107" s="8">
        <v>5221426</v>
      </c>
      <c r="H107" s="8"/>
      <c r="I107" s="8">
        <v>835230</v>
      </c>
      <c r="J107" s="8"/>
      <c r="K107" s="8">
        <v>30100</v>
      </c>
      <c r="L107" s="8"/>
      <c r="M107" s="8">
        <v>279698</v>
      </c>
      <c r="N107" s="8"/>
      <c r="O107" s="8">
        <v>201411</v>
      </c>
      <c r="P107" s="8"/>
      <c r="Q107" s="8">
        <v>458860</v>
      </c>
      <c r="R107" s="8"/>
      <c r="S107" s="8">
        <v>26075</v>
      </c>
      <c r="T107" s="8"/>
      <c r="U107" s="8">
        <v>1084670</v>
      </c>
      <c r="V107" s="8"/>
      <c r="W107" s="8">
        <v>365607</v>
      </c>
      <c r="X107" s="8"/>
      <c r="Y107" s="8">
        <v>0</v>
      </c>
      <c r="Z107" s="8"/>
      <c r="AA107" s="8">
        <v>1217297</v>
      </c>
      <c r="AB107" s="8"/>
      <c r="AC107" s="8">
        <v>603396</v>
      </c>
      <c r="AD107" s="8"/>
      <c r="AE107" s="8">
        <v>153691</v>
      </c>
      <c r="AF107" s="138"/>
      <c r="AG107" s="12" t="s">
        <v>721</v>
      </c>
      <c r="AH107" s="12"/>
      <c r="AI107" s="12" t="s">
        <v>71</v>
      </c>
      <c r="AJ107" s="12"/>
      <c r="AK107" s="8">
        <v>457596</v>
      </c>
      <c r="AL107" s="8"/>
      <c r="AM107" s="8">
        <v>113512</v>
      </c>
      <c r="AN107" s="8"/>
      <c r="AO107" s="8">
        <v>480591</v>
      </c>
      <c r="AP107" s="8"/>
      <c r="AQ107" s="8">
        <v>0</v>
      </c>
      <c r="AR107" s="8"/>
      <c r="AS107" s="8"/>
      <c r="AT107" s="8"/>
      <c r="AU107" s="8">
        <v>0</v>
      </c>
      <c r="AV107" s="8"/>
      <c r="AW107" s="8">
        <f t="shared" si="6"/>
        <v>11529160</v>
      </c>
      <c r="AY107" s="8">
        <f>+'St of Activites - GA Rev'!AI107-'St of Activities - GA Exp'!AW107</f>
        <v>1779963</v>
      </c>
      <c r="BA107" s="8">
        <v>6572582</v>
      </c>
      <c r="BC107" s="8">
        <f t="shared" si="7"/>
        <v>8352545</v>
      </c>
      <c r="BE107" s="8">
        <f>+'St of Net Assets - GA'!AA107-'St of Activities - GA Exp'!BC107</f>
        <v>0</v>
      </c>
      <c r="BG107" s="8"/>
    </row>
    <row r="108" spans="1:59" ht="12" customHeight="1">
      <c r="A108" s="13" t="s">
        <v>910</v>
      </c>
      <c r="B108" s="12"/>
      <c r="C108" s="12" t="s">
        <v>32</v>
      </c>
      <c r="D108" s="12"/>
      <c r="E108" s="32">
        <v>43752</v>
      </c>
      <c r="G108" s="8">
        <v>218216256</v>
      </c>
      <c r="H108" s="8"/>
      <c r="I108" s="8">
        <v>72987430</v>
      </c>
      <c r="J108" s="8"/>
      <c r="K108" s="8">
        <v>5796782</v>
      </c>
      <c r="L108" s="8"/>
      <c r="M108" s="8">
        <v>677824</v>
      </c>
      <c r="N108" s="8"/>
      <c r="O108" s="8">
        <v>25454794</v>
      </c>
      <c r="P108" s="8"/>
      <c r="Q108" s="8">
        <v>44172580</v>
      </c>
      <c r="R108" s="8"/>
      <c r="S108" s="8">
        <v>443575</v>
      </c>
      <c r="T108" s="8"/>
      <c r="U108" s="8">
        <v>33399805</v>
      </c>
      <c r="V108" s="8"/>
      <c r="W108" s="8">
        <v>2982641</v>
      </c>
      <c r="X108" s="8"/>
      <c r="Y108" s="8">
        <v>1382889</v>
      </c>
      <c r="Z108" s="8"/>
      <c r="AA108" s="8">
        <v>41344253</v>
      </c>
      <c r="AB108" s="8"/>
      <c r="AC108" s="8">
        <v>29877750</v>
      </c>
      <c r="AD108" s="8"/>
      <c r="AE108" s="8">
        <v>19309398</v>
      </c>
      <c r="AF108" s="138"/>
      <c r="AG108" s="13" t="s">
        <v>910</v>
      </c>
      <c r="AH108" s="12"/>
      <c r="AI108" s="12" t="s">
        <v>32</v>
      </c>
      <c r="AJ108" s="12"/>
      <c r="AK108" s="8">
        <v>0</v>
      </c>
      <c r="AL108" s="8"/>
      <c r="AM108" s="8">
        <v>34574667</v>
      </c>
      <c r="AN108" s="8"/>
      <c r="AO108" s="8">
        <v>6727253</v>
      </c>
      <c r="AP108" s="8"/>
      <c r="AQ108" s="8">
        <v>35008872</v>
      </c>
      <c r="AR108" s="8"/>
      <c r="AS108" s="8"/>
      <c r="AT108" s="8"/>
      <c r="AU108" s="8">
        <v>0</v>
      </c>
      <c r="AV108" s="8"/>
      <c r="AW108" s="8">
        <f t="shared" si="6"/>
        <v>572356769</v>
      </c>
      <c r="AY108" s="8">
        <f>+'St of Activites - GA Rev'!AI108-'St of Activities - GA Exp'!AW108</f>
        <v>49170953</v>
      </c>
      <c r="BA108" s="8">
        <v>437538572</v>
      </c>
      <c r="BC108" s="8">
        <f t="shared" si="7"/>
        <v>486709525</v>
      </c>
      <c r="BE108" s="8">
        <f>+'St of Net Assets - GA'!AA108-'St of Activities - GA Exp'!BC108</f>
        <v>0</v>
      </c>
    </row>
    <row r="109" spans="1:59" s="35" customFormat="1">
      <c r="A109" s="34" t="s">
        <v>581</v>
      </c>
      <c r="B109" s="34"/>
      <c r="C109" s="34" t="s">
        <v>54</v>
      </c>
      <c r="D109" s="34"/>
      <c r="E109" s="34">
        <v>43760</v>
      </c>
      <c r="G109" s="8">
        <v>10148114</v>
      </c>
      <c r="H109" s="8"/>
      <c r="I109" s="8">
        <v>2663832</v>
      </c>
      <c r="J109" s="8"/>
      <c r="K109" s="8">
        <v>19603</v>
      </c>
      <c r="L109" s="8"/>
      <c r="M109" s="8">
        <v>391738</v>
      </c>
      <c r="N109" s="8"/>
      <c r="O109" s="8">
        <v>922949</v>
      </c>
      <c r="P109" s="8"/>
      <c r="Q109" s="8">
        <v>2785112</v>
      </c>
      <c r="R109" s="8"/>
      <c r="S109" s="8">
        <v>149774</v>
      </c>
      <c r="T109" s="8"/>
      <c r="U109" s="8">
        <v>1962750</v>
      </c>
      <c r="V109" s="8"/>
      <c r="W109" s="8">
        <v>598182</v>
      </c>
      <c r="X109" s="8"/>
      <c r="Y109" s="8">
        <v>0</v>
      </c>
      <c r="Z109" s="8"/>
      <c r="AA109" s="8">
        <v>2075049</v>
      </c>
      <c r="AB109" s="8"/>
      <c r="AC109" s="8">
        <v>677855</v>
      </c>
      <c r="AD109" s="8"/>
      <c r="AE109" s="8">
        <v>0</v>
      </c>
      <c r="AF109" s="139"/>
      <c r="AG109" s="34" t="s">
        <v>581</v>
      </c>
      <c r="AH109" s="34"/>
      <c r="AI109" s="34" t="s">
        <v>54</v>
      </c>
      <c r="AJ109" s="34"/>
      <c r="AK109" s="8">
        <v>1015751</v>
      </c>
      <c r="AL109" s="8"/>
      <c r="AM109" s="8">
        <v>118277</v>
      </c>
      <c r="AN109" s="8"/>
      <c r="AO109" s="8">
        <v>485066</v>
      </c>
      <c r="AP109" s="8"/>
      <c r="AQ109" s="8">
        <v>48866</v>
      </c>
      <c r="AR109" s="8"/>
      <c r="AS109" s="8"/>
      <c r="AT109" s="8"/>
      <c r="AU109" s="8">
        <v>0</v>
      </c>
      <c r="AV109" s="8"/>
      <c r="AW109" s="8">
        <f t="shared" si="6"/>
        <v>24062918</v>
      </c>
      <c r="AX109" s="8"/>
      <c r="AY109" s="8">
        <f>+'St of Activites - GA Rev'!AI109-'St of Activities - GA Exp'!AW109</f>
        <v>2289150</v>
      </c>
      <c r="AZ109" s="8"/>
      <c r="BA109" s="8">
        <v>15503759</v>
      </c>
      <c r="BB109" s="8"/>
      <c r="BC109" s="8">
        <f t="shared" si="7"/>
        <v>17792909</v>
      </c>
      <c r="BE109" s="35">
        <f>+'St of Net Assets - GA'!AA109-'St of Activities - GA Exp'!BC109</f>
        <v>0</v>
      </c>
    </row>
    <row r="110" spans="1:59">
      <c r="A110" s="12" t="s">
        <v>260</v>
      </c>
      <c r="B110" s="12"/>
      <c r="C110" s="12" t="s">
        <v>17</v>
      </c>
      <c r="D110" s="12"/>
      <c r="E110" s="32">
        <v>46284</v>
      </c>
      <c r="G110" s="8">
        <v>9731365</v>
      </c>
      <c r="H110" s="8"/>
      <c r="I110" s="8">
        <v>2133356</v>
      </c>
      <c r="J110" s="8"/>
      <c r="K110" s="8">
        <v>208560</v>
      </c>
      <c r="L110" s="8"/>
      <c r="M110" s="8">
        <f>24760+325111</f>
        <v>349871</v>
      </c>
      <c r="N110" s="8"/>
      <c r="O110" s="8">
        <v>818744</v>
      </c>
      <c r="P110" s="8"/>
      <c r="Q110" s="8">
        <v>618638</v>
      </c>
      <c r="R110" s="8"/>
      <c r="S110" s="8">
        <v>104144</v>
      </c>
      <c r="T110" s="8"/>
      <c r="U110" s="8">
        <v>1588650</v>
      </c>
      <c r="V110" s="8"/>
      <c r="W110" s="8">
        <v>483995</v>
      </c>
      <c r="X110" s="8"/>
      <c r="Y110" s="8">
        <v>17577</v>
      </c>
      <c r="Z110" s="8"/>
      <c r="AA110" s="8">
        <v>1949892</v>
      </c>
      <c r="AB110" s="8"/>
      <c r="AC110" s="8">
        <v>1086968</v>
      </c>
      <c r="AD110" s="8"/>
      <c r="AE110" s="8">
        <v>71134</v>
      </c>
      <c r="AF110" s="138"/>
      <c r="AG110" s="12" t="s">
        <v>260</v>
      </c>
      <c r="AH110" s="12"/>
      <c r="AI110" s="12" t="s">
        <v>17</v>
      </c>
      <c r="AJ110" s="12"/>
      <c r="AK110" s="8">
        <v>0</v>
      </c>
      <c r="AL110" s="8"/>
      <c r="AM110" s="8">
        <v>948524</v>
      </c>
      <c r="AN110" s="8"/>
      <c r="AO110" s="8">
        <v>790749</v>
      </c>
      <c r="AP110" s="8"/>
      <c r="AQ110" s="8">
        <v>2545</v>
      </c>
      <c r="AR110" s="8"/>
      <c r="AS110" s="8"/>
      <c r="AT110" s="8"/>
      <c r="AU110" s="8">
        <v>0</v>
      </c>
      <c r="AV110" s="8"/>
      <c r="AW110" s="8">
        <f t="shared" si="6"/>
        <v>20904712</v>
      </c>
      <c r="AY110" s="8">
        <f>+'St of Activites - GA Rev'!AI110-'St of Activities - GA Exp'!AW110</f>
        <v>717408</v>
      </c>
      <c r="BA110" s="8">
        <v>15160798</v>
      </c>
      <c r="BC110" s="8">
        <f t="shared" si="7"/>
        <v>15878206</v>
      </c>
      <c r="BE110" s="8">
        <f>+'St of Net Assets - GA'!AA110-'St of Activities - GA Exp'!BC110</f>
        <v>0</v>
      </c>
    </row>
    <row r="111" spans="1:59">
      <c r="A111" s="12" t="s">
        <v>627</v>
      </c>
      <c r="B111" s="12"/>
      <c r="C111" s="12" t="s">
        <v>59</v>
      </c>
      <c r="D111" s="12"/>
      <c r="E111" s="32">
        <v>49601</v>
      </c>
      <c r="G111" s="8">
        <v>3460819</v>
      </c>
      <c r="H111" s="8"/>
      <c r="I111" s="8">
        <v>561700</v>
      </c>
      <c r="J111" s="8"/>
      <c r="K111" s="8">
        <v>14679</v>
      </c>
      <c r="L111" s="8"/>
      <c r="M111" s="8">
        <v>110914</v>
      </c>
      <c r="N111" s="8"/>
      <c r="O111" s="8">
        <v>367831</v>
      </c>
      <c r="P111" s="8"/>
      <c r="Q111" s="8">
        <v>344386</v>
      </c>
      <c r="R111" s="8"/>
      <c r="S111" s="8">
        <v>17505</v>
      </c>
      <c r="T111" s="8"/>
      <c r="U111" s="8">
        <v>577352</v>
      </c>
      <c r="V111" s="8"/>
      <c r="W111" s="8">
        <v>239616</v>
      </c>
      <c r="X111" s="8"/>
      <c r="Y111" s="8">
        <v>0</v>
      </c>
      <c r="Z111" s="8"/>
      <c r="AA111" s="8">
        <v>473970</v>
      </c>
      <c r="AB111" s="8"/>
      <c r="AC111" s="8">
        <v>341362</v>
      </c>
      <c r="AD111" s="8"/>
      <c r="AE111" s="8">
        <v>33086</v>
      </c>
      <c r="AF111" s="138"/>
      <c r="AG111" s="12" t="s">
        <v>627</v>
      </c>
      <c r="AH111" s="12"/>
      <c r="AI111" s="12" t="s">
        <v>59</v>
      </c>
      <c r="AJ111" s="12"/>
      <c r="AK111" s="8">
        <v>305997</v>
      </c>
      <c r="AL111" s="8"/>
      <c r="AM111" s="8">
        <v>0</v>
      </c>
      <c r="AN111" s="8"/>
      <c r="AO111" s="8">
        <v>121133</v>
      </c>
      <c r="AP111" s="8"/>
      <c r="AQ111" s="8">
        <v>280848</v>
      </c>
      <c r="AR111" s="8"/>
      <c r="AS111" s="8"/>
      <c r="AT111" s="8"/>
      <c r="AU111" s="8">
        <v>0</v>
      </c>
      <c r="AV111" s="8"/>
      <c r="AW111" s="8">
        <f t="shared" si="6"/>
        <v>7251198</v>
      </c>
      <c r="AY111" s="8">
        <f>+'St of Activites - GA Rev'!AI111-'St of Activities - GA Exp'!AW111</f>
        <v>17532665</v>
      </c>
      <c r="BA111" s="8">
        <v>1778780</v>
      </c>
      <c r="BC111" s="8">
        <f t="shared" si="7"/>
        <v>19311445</v>
      </c>
      <c r="BE111" s="8">
        <f>+'St of Net Assets - GA'!AA111-'St of Activities - GA Exp'!BC111</f>
        <v>0</v>
      </c>
    </row>
    <row r="112" spans="1:59">
      <c r="A112" s="12" t="s">
        <v>694</v>
      </c>
      <c r="B112" s="12"/>
      <c r="C112" s="12" t="s">
        <v>65</v>
      </c>
      <c r="D112" s="12"/>
      <c r="E112" s="32">
        <v>43778</v>
      </c>
      <c r="G112" s="8">
        <v>10035539</v>
      </c>
      <c r="H112" s="8"/>
      <c r="I112" s="8">
        <v>2545944</v>
      </c>
      <c r="J112" s="8"/>
      <c r="K112" s="8">
        <v>240376</v>
      </c>
      <c r="L112" s="8"/>
      <c r="M112" s="8">
        <v>0</v>
      </c>
      <c r="N112" s="8"/>
      <c r="O112" s="8">
        <v>932639</v>
      </c>
      <c r="P112" s="8"/>
      <c r="Q112" s="8">
        <v>1111252</v>
      </c>
      <c r="R112" s="8"/>
      <c r="S112" s="8">
        <v>24539</v>
      </c>
      <c r="T112" s="8"/>
      <c r="U112" s="8">
        <v>1509002</v>
      </c>
      <c r="V112" s="8"/>
      <c r="W112" s="8">
        <v>369208</v>
      </c>
      <c r="X112" s="8"/>
      <c r="Y112" s="8">
        <v>51319</v>
      </c>
      <c r="Z112" s="8"/>
      <c r="AA112" s="8">
        <v>2269048</v>
      </c>
      <c r="AB112" s="8"/>
      <c r="AC112" s="8">
        <v>767308</v>
      </c>
      <c r="AD112" s="8"/>
      <c r="AE112" s="8">
        <v>351352</v>
      </c>
      <c r="AF112" s="138"/>
      <c r="AG112" s="12" t="s">
        <v>694</v>
      </c>
      <c r="AH112" s="12"/>
      <c r="AI112" s="12" t="s">
        <v>65</v>
      </c>
      <c r="AJ112" s="12"/>
      <c r="AK112" s="8">
        <v>870901</v>
      </c>
      <c r="AL112" s="8"/>
      <c r="AM112" s="8">
        <v>125640</v>
      </c>
      <c r="AN112" s="8"/>
      <c r="AO112" s="8">
        <v>619939</v>
      </c>
      <c r="AP112" s="8"/>
      <c r="AQ112" s="8">
        <v>174202</v>
      </c>
      <c r="AR112" s="8"/>
      <c r="AS112" s="8"/>
      <c r="AT112" s="8"/>
      <c r="AU112" s="8">
        <v>0</v>
      </c>
      <c r="AV112" s="8"/>
      <c r="AW112" s="8">
        <f t="shared" si="6"/>
        <v>21998208</v>
      </c>
      <c r="AY112" s="8">
        <f>+'St of Activites - GA Rev'!AI112-'St of Activities - GA Exp'!AW112</f>
        <v>-987479</v>
      </c>
      <c r="BA112" s="8">
        <v>22012642</v>
      </c>
      <c r="BC112" s="8">
        <f t="shared" si="7"/>
        <v>21025163</v>
      </c>
      <c r="BE112" s="8">
        <f>+'St of Net Assets - GA'!AA112-'St of Activities - GA Exp'!BC112</f>
        <v>0</v>
      </c>
    </row>
    <row r="113" spans="1:59">
      <c r="A113" s="12" t="s">
        <v>609</v>
      </c>
      <c r="B113" s="12"/>
      <c r="C113" s="12" t="s">
        <v>112</v>
      </c>
      <c r="D113" s="12"/>
      <c r="E113" s="32">
        <v>49411</v>
      </c>
      <c r="G113" s="8">
        <v>6196571</v>
      </c>
      <c r="H113" s="8"/>
      <c r="I113" s="8">
        <v>1447266</v>
      </c>
      <c r="J113" s="8"/>
      <c r="K113" s="8">
        <v>156135</v>
      </c>
      <c r="L113" s="8"/>
      <c r="M113" s="8">
        <v>652227</v>
      </c>
      <c r="N113" s="8"/>
      <c r="O113" s="8">
        <v>585004</v>
      </c>
      <c r="P113" s="8"/>
      <c r="Q113" s="8">
        <v>685542</v>
      </c>
      <c r="R113" s="8"/>
      <c r="S113" s="8">
        <v>35171</v>
      </c>
      <c r="T113" s="8"/>
      <c r="U113" s="8">
        <v>899230</v>
      </c>
      <c r="V113" s="8"/>
      <c r="W113" s="8">
        <v>307579</v>
      </c>
      <c r="X113" s="8"/>
      <c r="Y113" s="8">
        <v>0</v>
      </c>
      <c r="Z113" s="8"/>
      <c r="AA113" s="8">
        <v>1569390</v>
      </c>
      <c r="AB113" s="8"/>
      <c r="AC113" s="8">
        <v>1150019</v>
      </c>
      <c r="AD113" s="8"/>
      <c r="AE113" s="8">
        <v>85765</v>
      </c>
      <c r="AF113" s="138"/>
      <c r="AG113" s="12" t="s">
        <v>609</v>
      </c>
      <c r="AH113" s="12"/>
      <c r="AI113" s="12" t="s">
        <v>112</v>
      </c>
      <c r="AJ113" s="12"/>
      <c r="AK113" s="8">
        <v>750238</v>
      </c>
      <c r="AL113" s="8"/>
      <c r="AM113" s="8">
        <v>24435</v>
      </c>
      <c r="AN113" s="8"/>
      <c r="AO113" s="8">
        <v>503263</v>
      </c>
      <c r="AP113" s="8"/>
      <c r="AQ113" s="8">
        <v>408830</v>
      </c>
      <c r="AR113" s="8"/>
      <c r="AS113" s="8"/>
      <c r="AT113" s="8"/>
      <c r="AU113" s="8">
        <v>0</v>
      </c>
      <c r="AV113" s="8"/>
      <c r="AW113" s="8">
        <f t="shared" si="6"/>
        <v>15456665</v>
      </c>
      <c r="AY113" s="8">
        <f>+'St of Activites - GA Rev'!AI113-'St of Activities - GA Exp'!AW113</f>
        <v>875221</v>
      </c>
      <c r="BA113" s="8">
        <v>8792969</v>
      </c>
      <c r="BC113" s="8">
        <f t="shared" si="7"/>
        <v>9668190</v>
      </c>
      <c r="BE113" s="8">
        <f>+'St of Net Assets - GA'!AA113-'St of Activities - GA Exp'!BC113</f>
        <v>0</v>
      </c>
    </row>
    <row r="114" spans="1:59">
      <c r="A114" s="12" t="s">
        <v>485</v>
      </c>
      <c r="B114" s="12"/>
      <c r="C114" s="12" t="s">
        <v>44</v>
      </c>
      <c r="D114" s="12"/>
      <c r="E114" s="32">
        <v>48132</v>
      </c>
      <c r="G114" s="8">
        <v>6705263</v>
      </c>
      <c r="H114" s="8"/>
      <c r="I114" s="8">
        <v>1388469</v>
      </c>
      <c r="J114" s="8"/>
      <c r="K114" s="8">
        <v>161575</v>
      </c>
      <c r="L114" s="8"/>
      <c r="M114" s="8">
        <v>0</v>
      </c>
      <c r="N114" s="8"/>
      <c r="O114" s="8">
        <v>858649</v>
      </c>
      <c r="P114" s="8"/>
      <c r="Q114" s="8">
        <v>646453</v>
      </c>
      <c r="R114" s="8"/>
      <c r="S114" s="8">
        <v>49617</v>
      </c>
      <c r="T114" s="8"/>
      <c r="U114" s="8">
        <v>1083479</v>
      </c>
      <c r="V114" s="8"/>
      <c r="W114" s="8">
        <v>437085</v>
      </c>
      <c r="X114" s="8"/>
      <c r="Y114" s="8">
        <v>190132</v>
      </c>
      <c r="Z114" s="8"/>
      <c r="AA114" s="8">
        <v>1664340</v>
      </c>
      <c r="AB114" s="8"/>
      <c r="AC114" s="8">
        <v>428792</v>
      </c>
      <c r="AD114" s="8"/>
      <c r="AE114" s="8">
        <v>116807</v>
      </c>
      <c r="AF114" s="138"/>
      <c r="AG114" s="12" t="s">
        <v>485</v>
      </c>
      <c r="AH114" s="12"/>
      <c r="AI114" s="12" t="s">
        <v>44</v>
      </c>
      <c r="AJ114" s="12"/>
      <c r="AK114" s="8">
        <v>879500</v>
      </c>
      <c r="AL114" s="8"/>
      <c r="AM114" s="8">
        <f>21465+37908</f>
        <v>59373</v>
      </c>
      <c r="AN114" s="8"/>
      <c r="AO114" s="8">
        <v>449294</v>
      </c>
      <c r="AP114" s="8"/>
      <c r="AQ114" s="8">
        <v>280722</v>
      </c>
      <c r="AR114" s="8"/>
      <c r="AS114" s="8"/>
      <c r="AT114" s="8"/>
      <c r="AU114" s="8">
        <v>0</v>
      </c>
      <c r="AV114" s="8"/>
      <c r="AW114" s="8">
        <f t="shared" si="6"/>
        <v>15399550</v>
      </c>
      <c r="AY114" s="8">
        <f>+'St of Activites - GA Rev'!AI114-'St of Activities - GA Exp'!AW114</f>
        <v>246245</v>
      </c>
      <c r="BA114" s="8">
        <v>13974345</v>
      </c>
      <c r="BC114" s="8">
        <f t="shared" si="7"/>
        <v>14220590</v>
      </c>
      <c r="BE114" s="8">
        <f>+'St of Net Assets - GA'!AA114-'St of Activities - GA Exp'!BC114</f>
        <v>0</v>
      </c>
    </row>
    <row r="115" spans="1:59">
      <c r="A115" s="12" t="s">
        <v>911</v>
      </c>
      <c r="B115" s="12"/>
      <c r="C115" s="12" t="s">
        <v>115</v>
      </c>
      <c r="D115" s="12"/>
      <c r="E115" s="32"/>
      <c r="G115" s="8">
        <v>7408229</v>
      </c>
      <c r="H115" s="8"/>
      <c r="I115" s="8">
        <v>2185237</v>
      </c>
      <c r="J115" s="8"/>
      <c r="K115" s="8">
        <v>0</v>
      </c>
      <c r="L115" s="8"/>
      <c r="M115" s="8">
        <v>242541</v>
      </c>
      <c r="N115" s="8"/>
      <c r="O115" s="8">
        <v>869319</v>
      </c>
      <c r="P115" s="8"/>
      <c r="Q115" s="8">
        <v>718493</v>
      </c>
      <c r="R115" s="8"/>
      <c r="S115" s="8">
        <v>67580</v>
      </c>
      <c r="T115" s="8"/>
      <c r="U115" s="8">
        <v>1413538</v>
      </c>
      <c r="V115" s="8"/>
      <c r="W115" s="8">
        <v>533808</v>
      </c>
      <c r="X115" s="8"/>
      <c r="Y115" s="8">
        <v>52529</v>
      </c>
      <c r="Z115" s="8"/>
      <c r="AA115" s="8">
        <v>1734519</v>
      </c>
      <c r="AB115" s="8"/>
      <c r="AC115" s="8">
        <v>1576236</v>
      </c>
      <c r="AD115" s="8"/>
      <c r="AE115" s="8">
        <v>297196</v>
      </c>
      <c r="AF115" s="138"/>
      <c r="AG115" s="12" t="s">
        <v>911</v>
      </c>
      <c r="AH115" s="12"/>
      <c r="AI115" s="12" t="s">
        <v>115</v>
      </c>
      <c r="AJ115" s="12"/>
      <c r="AK115" s="8">
        <v>690655</v>
      </c>
      <c r="AL115" s="8"/>
      <c r="AM115" s="8">
        <v>645451</v>
      </c>
      <c r="AN115" s="8"/>
      <c r="AO115" s="8">
        <v>0</v>
      </c>
      <c r="AP115" s="8"/>
      <c r="AQ115" s="8">
        <v>45027</v>
      </c>
      <c r="AR115" s="8"/>
      <c r="AS115" s="8"/>
      <c r="AT115" s="8"/>
      <c r="AU115" s="8">
        <v>0</v>
      </c>
      <c r="AV115" s="8"/>
      <c r="AW115" s="8">
        <f t="shared" si="6"/>
        <v>18480358</v>
      </c>
      <c r="AY115" s="8">
        <f>+'St of Activites - GA Rev'!AI115-'St of Activities - GA Exp'!AW115</f>
        <v>-302046</v>
      </c>
      <c r="BA115" s="8">
        <v>6953728</v>
      </c>
      <c r="BC115" s="8">
        <f t="shared" si="7"/>
        <v>6651682</v>
      </c>
      <c r="BE115" s="8">
        <f>+'St of Net Assets - GA'!AA115-'St of Activities - GA Exp'!BC115</f>
        <v>0</v>
      </c>
    </row>
    <row r="116" spans="1:59">
      <c r="A116" s="13" t="s">
        <v>908</v>
      </c>
      <c r="B116" s="12"/>
      <c r="C116" s="12" t="s">
        <v>20</v>
      </c>
      <c r="D116" s="12"/>
      <c r="E116" s="32">
        <v>43794</v>
      </c>
      <c r="G116" s="8">
        <v>35816557</v>
      </c>
      <c r="H116" s="8"/>
      <c r="I116" s="8">
        <v>10463382</v>
      </c>
      <c r="J116" s="8"/>
      <c r="K116" s="8">
        <v>2033266</v>
      </c>
      <c r="L116" s="8"/>
      <c r="M116" s="8">
        <f>620287+4018831</f>
        <v>4639118</v>
      </c>
      <c r="N116" s="8"/>
      <c r="O116" s="8">
        <v>8651483</v>
      </c>
      <c r="P116" s="8"/>
      <c r="Q116" s="8">
        <v>6464766</v>
      </c>
      <c r="R116" s="8"/>
      <c r="S116" s="8">
        <v>460684</v>
      </c>
      <c r="T116" s="8"/>
      <c r="U116" s="8">
        <v>6557021</v>
      </c>
      <c r="V116" s="8"/>
      <c r="W116" s="8">
        <v>2185544</v>
      </c>
      <c r="X116" s="8"/>
      <c r="Y116" s="8">
        <v>1533645</v>
      </c>
      <c r="Z116" s="8"/>
      <c r="AA116" s="8">
        <v>11392037</v>
      </c>
      <c r="AB116" s="8"/>
      <c r="AC116" s="8">
        <v>4269391</v>
      </c>
      <c r="AD116" s="8"/>
      <c r="AE116" s="8">
        <v>3318696</v>
      </c>
      <c r="AF116" s="138"/>
      <c r="AG116" s="13" t="s">
        <v>908</v>
      </c>
      <c r="AH116" s="12"/>
      <c r="AI116" s="12" t="s">
        <v>20</v>
      </c>
      <c r="AJ116" s="12"/>
      <c r="AK116" s="8">
        <v>2352105</v>
      </c>
      <c r="AL116" s="8"/>
      <c r="AM116" s="8">
        <v>2664776</v>
      </c>
      <c r="AN116" s="8"/>
      <c r="AO116" s="8">
        <v>1641907</v>
      </c>
      <c r="AP116" s="8"/>
      <c r="AQ116" s="8">
        <v>736771</v>
      </c>
      <c r="AR116" s="8"/>
      <c r="AS116" s="8"/>
      <c r="AT116" s="8"/>
      <c r="AU116" s="8">
        <f>61717+10805+635218+3169419</f>
        <v>3877159</v>
      </c>
      <c r="AV116" s="8"/>
      <c r="AW116" s="8">
        <f t="shared" si="6"/>
        <v>109058308</v>
      </c>
      <c r="AY116" s="8">
        <f>+'St of Activites - GA Rev'!AI116-'St of Activities - GA Exp'!AW116</f>
        <v>6777576</v>
      </c>
      <c r="BA116" s="8">
        <f>92264076-3351603</f>
        <v>88912473</v>
      </c>
      <c r="BC116" s="8">
        <f t="shared" si="7"/>
        <v>95690049</v>
      </c>
      <c r="BE116" s="8">
        <f>+'St of Net Assets - GA'!AA116-'St of Activities - GA Exp'!BC116</f>
        <v>0</v>
      </c>
    </row>
    <row r="117" spans="1:59">
      <c r="A117" s="12" t="s">
        <v>303</v>
      </c>
      <c r="B117" s="12"/>
      <c r="C117" s="12" t="s">
        <v>20</v>
      </c>
      <c r="D117" s="12"/>
      <c r="E117" s="32">
        <v>43786</v>
      </c>
      <c r="G117" s="8">
        <v>328162328</v>
      </c>
      <c r="H117" s="8"/>
      <c r="I117" s="8">
        <v>180413911</v>
      </c>
      <c r="J117" s="8"/>
      <c r="K117" s="8">
        <v>11895564</v>
      </c>
      <c r="L117" s="8"/>
      <c r="M117" s="8">
        <f>2856799+19497068</f>
        <v>22353867</v>
      </c>
      <c r="N117" s="8"/>
      <c r="O117" s="8">
        <v>27746864</v>
      </c>
      <c r="P117" s="8"/>
      <c r="Q117" s="8">
        <v>57621095</v>
      </c>
      <c r="R117" s="8"/>
      <c r="S117" s="8">
        <v>284153</v>
      </c>
      <c r="T117" s="8"/>
      <c r="U117" s="8">
        <v>44605981</v>
      </c>
      <c r="V117" s="8"/>
      <c r="W117" s="8">
        <v>12212820</v>
      </c>
      <c r="X117" s="8"/>
      <c r="Y117" s="8">
        <v>2645732</v>
      </c>
      <c r="Z117" s="8"/>
      <c r="AA117" s="8">
        <v>74505273</v>
      </c>
      <c r="AB117" s="8"/>
      <c r="AC117" s="8">
        <v>31991149</v>
      </c>
      <c r="AD117" s="8"/>
      <c r="AE117" s="8">
        <v>19272538</v>
      </c>
      <c r="AF117" s="138"/>
      <c r="AG117" s="12" t="s">
        <v>303</v>
      </c>
      <c r="AH117" s="12"/>
      <c r="AI117" s="12" t="s">
        <v>20</v>
      </c>
      <c r="AJ117" s="12"/>
      <c r="AK117" s="8">
        <v>0</v>
      </c>
      <c r="AL117" s="8"/>
      <c r="AM117" s="8">
        <v>42225005</v>
      </c>
      <c r="AN117" s="8"/>
      <c r="AO117" s="8">
        <v>6910474</v>
      </c>
      <c r="AP117" s="8"/>
      <c r="AQ117" s="8">
        <v>8078738</v>
      </c>
      <c r="AR117" s="8"/>
      <c r="AS117" s="8"/>
      <c r="AT117" s="8"/>
      <c r="AU117" s="8">
        <v>0</v>
      </c>
      <c r="AV117" s="8"/>
      <c r="AW117" s="8">
        <f t="shared" si="6"/>
        <v>870925492</v>
      </c>
      <c r="AY117" s="8">
        <f>+'St of Activites - GA Rev'!AI117-'St of Activities - GA Exp'!AW117</f>
        <v>129888665</v>
      </c>
      <c r="BA117" s="8">
        <v>788307169</v>
      </c>
      <c r="BC117" s="8">
        <f t="shared" si="7"/>
        <v>918195834</v>
      </c>
      <c r="BE117" s="8">
        <f>+'St of Net Assets - GA'!AA117-'St of Activities - GA Exp'!BC117</f>
        <v>4166</v>
      </c>
      <c r="BG117" s="36" t="s">
        <v>909</v>
      </c>
    </row>
    <row r="118" spans="1:59">
      <c r="A118" s="12" t="s">
        <v>275</v>
      </c>
      <c r="B118" s="12"/>
      <c r="C118" s="12" t="s">
        <v>18</v>
      </c>
      <c r="D118" s="12"/>
      <c r="E118" s="32">
        <v>46391</v>
      </c>
      <c r="G118" s="8">
        <v>7386093</v>
      </c>
      <c r="H118" s="8"/>
      <c r="I118" s="8">
        <v>1098870</v>
      </c>
      <c r="J118" s="8"/>
      <c r="K118" s="8">
        <v>0</v>
      </c>
      <c r="L118" s="8"/>
      <c r="M118" s="8">
        <v>1081162</v>
      </c>
      <c r="N118" s="8"/>
      <c r="O118" s="8">
        <v>948978</v>
      </c>
      <c r="P118" s="8"/>
      <c r="Q118" s="8">
        <v>1319874</v>
      </c>
      <c r="R118" s="8"/>
      <c r="S118" s="8">
        <v>17452</v>
      </c>
      <c r="T118" s="8"/>
      <c r="U118" s="8">
        <v>998314</v>
      </c>
      <c r="V118" s="8"/>
      <c r="W118" s="8">
        <v>472491</v>
      </c>
      <c r="X118" s="8"/>
      <c r="Y118" s="8">
        <v>38939</v>
      </c>
      <c r="Z118" s="8"/>
      <c r="AA118" s="8">
        <v>1921443</v>
      </c>
      <c r="AB118" s="8"/>
      <c r="AC118" s="8">
        <v>944467</v>
      </c>
      <c r="AD118" s="8"/>
      <c r="AE118" s="8">
        <v>5310</v>
      </c>
      <c r="AF118" s="138"/>
      <c r="AG118" s="12" t="s">
        <v>275</v>
      </c>
      <c r="AH118" s="12"/>
      <c r="AI118" s="12" t="s">
        <v>18</v>
      </c>
      <c r="AJ118" s="12"/>
      <c r="AK118" s="8">
        <v>675557</v>
      </c>
      <c r="AL118" s="8"/>
      <c r="AM118" s="8">
        <v>4000</v>
      </c>
      <c r="AN118" s="8"/>
      <c r="AO118" s="8">
        <v>660888</v>
      </c>
      <c r="AP118" s="8"/>
      <c r="AQ118" s="8">
        <v>799806</v>
      </c>
      <c r="AR118" s="8"/>
      <c r="AS118" s="8"/>
      <c r="AT118" s="8"/>
      <c r="AU118" s="8">
        <v>0</v>
      </c>
      <c r="AV118" s="8"/>
      <c r="AW118" s="8">
        <f t="shared" si="6"/>
        <v>18373644</v>
      </c>
      <c r="AY118" s="8">
        <f>+'St of Activites - GA Rev'!AI118-'St of Activities - GA Exp'!AW118</f>
        <v>-715708</v>
      </c>
      <c r="BA118" s="8">
        <v>48836172</v>
      </c>
      <c r="BC118" s="8">
        <f t="shared" si="7"/>
        <v>48120464</v>
      </c>
      <c r="BE118" s="8">
        <f>+'St of Net Assets - GA'!AA118-'St of Activities - GA Exp'!BC118</f>
        <v>0</v>
      </c>
    </row>
    <row r="119" spans="1:59">
      <c r="A119" s="12" t="s">
        <v>527</v>
      </c>
      <c r="B119" s="12"/>
      <c r="C119" s="12" t="s">
        <v>47</v>
      </c>
      <c r="D119" s="12"/>
      <c r="E119" s="32">
        <v>48488</v>
      </c>
      <c r="G119" s="8">
        <v>16962183</v>
      </c>
      <c r="H119" s="8"/>
      <c r="I119" s="8">
        <v>0</v>
      </c>
      <c r="J119" s="8"/>
      <c r="K119" s="8">
        <v>0</v>
      </c>
      <c r="L119" s="8"/>
      <c r="M119" s="8">
        <v>0</v>
      </c>
      <c r="N119" s="8"/>
      <c r="O119" s="8">
        <v>1363814</v>
      </c>
      <c r="P119" s="8"/>
      <c r="Q119" s="8">
        <v>1674707</v>
      </c>
      <c r="R119" s="8"/>
      <c r="S119" s="8">
        <v>37979</v>
      </c>
      <c r="T119" s="8"/>
      <c r="U119" s="8">
        <v>1556605</v>
      </c>
      <c r="V119" s="8"/>
      <c r="W119" s="8">
        <v>714009</v>
      </c>
      <c r="X119" s="8"/>
      <c r="Y119" s="8">
        <v>451892</v>
      </c>
      <c r="Z119" s="8"/>
      <c r="AA119" s="8">
        <v>2713142</v>
      </c>
      <c r="AB119" s="8"/>
      <c r="AC119" s="8">
        <v>2380252</v>
      </c>
      <c r="AD119" s="8"/>
      <c r="AE119" s="8">
        <v>233623</v>
      </c>
      <c r="AF119" s="138"/>
      <c r="AG119" s="12" t="s">
        <v>527</v>
      </c>
      <c r="AH119" s="12"/>
      <c r="AI119" s="12" t="s">
        <v>47</v>
      </c>
      <c r="AJ119" s="12"/>
      <c r="AK119" s="8">
        <v>935356</v>
      </c>
      <c r="AL119" s="8"/>
      <c r="AM119" s="8">
        <v>612695</v>
      </c>
      <c r="AN119" s="8"/>
      <c r="AO119" s="8">
        <v>931379</v>
      </c>
      <c r="AP119" s="8"/>
      <c r="AQ119" s="8">
        <v>10267</v>
      </c>
      <c r="AR119" s="8"/>
      <c r="AS119" s="8"/>
      <c r="AT119" s="8"/>
      <c r="AU119" s="8">
        <v>0</v>
      </c>
      <c r="AV119" s="8"/>
      <c r="AW119" s="8">
        <f t="shared" si="6"/>
        <v>30577903</v>
      </c>
      <c r="AY119" s="8">
        <f>+'St of Activites - GA Rev'!AI119-'St of Activities - GA Exp'!AW119</f>
        <v>2031011</v>
      </c>
      <c r="BA119" s="8">
        <v>10116337</v>
      </c>
      <c r="BC119" s="8">
        <f t="shared" si="7"/>
        <v>12147348</v>
      </c>
      <c r="BE119" s="8">
        <f>+'St of Net Assets - GA'!AA119-'St of Activities - GA Exp'!BC119</f>
        <v>0</v>
      </c>
      <c r="BG119" s="10" t="s">
        <v>912</v>
      </c>
    </row>
    <row r="120" spans="1:59">
      <c r="A120" s="12" t="s">
        <v>622</v>
      </c>
      <c r="B120" s="12"/>
      <c r="C120" s="12" t="s">
        <v>79</v>
      </c>
      <c r="D120" s="12"/>
      <c r="E120" s="32">
        <v>45302</v>
      </c>
      <c r="G120" s="8">
        <v>10320982</v>
      </c>
      <c r="H120" s="8"/>
      <c r="I120" s="8">
        <v>2677138</v>
      </c>
      <c r="J120" s="8"/>
      <c r="K120" s="8">
        <v>1377</v>
      </c>
      <c r="L120" s="8"/>
      <c r="M120" s="8">
        <v>587932</v>
      </c>
      <c r="N120" s="8"/>
      <c r="O120" s="8">
        <v>1156702</v>
      </c>
      <c r="P120" s="8"/>
      <c r="Q120" s="8">
        <v>529119</v>
      </c>
      <c r="R120" s="8"/>
      <c r="S120" s="8">
        <v>28055</v>
      </c>
      <c r="T120" s="8"/>
      <c r="U120" s="8">
        <v>1721528</v>
      </c>
      <c r="V120" s="8"/>
      <c r="W120" s="8">
        <v>597430</v>
      </c>
      <c r="X120" s="8"/>
      <c r="Y120" s="8">
        <v>8807</v>
      </c>
      <c r="Z120" s="8"/>
      <c r="AA120" s="8">
        <v>1941304</v>
      </c>
      <c r="AB120" s="8"/>
      <c r="AC120" s="8">
        <v>1016959</v>
      </c>
      <c r="AD120" s="8"/>
      <c r="AE120" s="8">
        <v>100240</v>
      </c>
      <c r="AF120" s="138"/>
      <c r="AG120" s="12" t="s">
        <v>622</v>
      </c>
      <c r="AH120" s="12"/>
      <c r="AI120" s="12" t="s">
        <v>79</v>
      </c>
      <c r="AJ120" s="12"/>
      <c r="AK120" s="8">
        <v>936092</v>
      </c>
      <c r="AL120" s="8"/>
      <c r="AM120" s="8">
        <v>30445</v>
      </c>
      <c r="AN120" s="8"/>
      <c r="AO120" s="8">
        <v>273183</v>
      </c>
      <c r="AP120" s="8"/>
      <c r="AQ120" s="8">
        <v>1347929</v>
      </c>
      <c r="AR120" s="8"/>
      <c r="AS120" s="8"/>
      <c r="AT120" s="8"/>
      <c r="AU120" s="8">
        <v>0</v>
      </c>
      <c r="AV120" s="8"/>
      <c r="AW120" s="8">
        <f t="shared" si="6"/>
        <v>23275222</v>
      </c>
      <c r="AY120" s="8">
        <f>+'St of Activites - GA Rev'!AI120-'St of Activities - GA Exp'!AW120</f>
        <v>36716876</v>
      </c>
      <c r="BA120" s="8">
        <v>7656370</v>
      </c>
      <c r="BC120" s="8">
        <f t="shared" si="7"/>
        <v>44373246</v>
      </c>
      <c r="BE120" s="8">
        <f>+'St of Net Assets - GA'!AA120-'St of Activities - GA Exp'!BC120</f>
        <v>0</v>
      </c>
    </row>
    <row r="121" spans="1:59" hidden="1">
      <c r="A121" s="13" t="s">
        <v>914</v>
      </c>
      <c r="B121" s="12"/>
      <c r="C121" s="12" t="s">
        <v>534</v>
      </c>
      <c r="D121" s="12"/>
      <c r="E121" s="32"/>
      <c r="G121" s="8">
        <v>6525475</v>
      </c>
      <c r="H121" s="8"/>
      <c r="I121" s="8">
        <v>1736261</v>
      </c>
      <c r="J121" s="8"/>
      <c r="K121" s="8">
        <v>649196</v>
      </c>
      <c r="L121" s="8"/>
      <c r="M121" s="8"/>
      <c r="N121" s="8"/>
      <c r="O121" s="8">
        <v>415800</v>
      </c>
      <c r="P121" s="8"/>
      <c r="Q121" s="8">
        <v>303213</v>
      </c>
      <c r="R121" s="8"/>
      <c r="S121" s="8">
        <v>18977</v>
      </c>
      <c r="T121" s="8"/>
      <c r="U121" s="8">
        <v>1159992</v>
      </c>
      <c r="V121" s="8"/>
      <c r="W121" s="8">
        <v>343447</v>
      </c>
      <c r="X121" s="8"/>
      <c r="Y121" s="8"/>
      <c r="Z121" s="8"/>
      <c r="AA121" s="8">
        <v>1032196</v>
      </c>
      <c r="AB121" s="8"/>
      <c r="AC121" s="8">
        <v>570120</v>
      </c>
      <c r="AD121" s="8"/>
      <c r="AE121" s="8">
        <v>29094</v>
      </c>
      <c r="AF121" s="138"/>
      <c r="AG121" s="13" t="s">
        <v>914</v>
      </c>
      <c r="AH121" s="12"/>
      <c r="AI121" s="12" t="s">
        <v>534</v>
      </c>
      <c r="AJ121" s="12"/>
      <c r="AK121" s="8">
        <v>449953</v>
      </c>
      <c r="AL121" s="8"/>
      <c r="AM121" s="8">
        <v>80388</v>
      </c>
      <c r="AN121" s="8"/>
      <c r="AO121" s="8">
        <v>610785</v>
      </c>
      <c r="AP121" s="8"/>
      <c r="AQ121" s="8"/>
      <c r="AR121" s="8"/>
      <c r="AS121" s="8"/>
      <c r="AT121" s="8"/>
      <c r="AU121" s="8">
        <f>37748+440705+686048</f>
        <v>1164501</v>
      </c>
      <c r="AV121" s="8"/>
      <c r="AW121" s="8">
        <f t="shared" si="6"/>
        <v>15089398</v>
      </c>
      <c r="AY121" s="8">
        <f>+'St of Activites - GA Rev'!AI121-'St of Activities - GA Exp'!AW121</f>
        <v>-282256</v>
      </c>
      <c r="BA121" s="8">
        <v>5599024</v>
      </c>
      <c r="BC121" s="8">
        <f t="shared" si="7"/>
        <v>5316768</v>
      </c>
      <c r="BE121" s="8">
        <f>+'St of Net Assets - GA'!AA121-'St of Activities - GA Exp'!BC121</f>
        <v>0</v>
      </c>
    </row>
    <row r="122" spans="1:59" ht="12" hidden="1" customHeight="1">
      <c r="A122" s="12" t="s">
        <v>829</v>
      </c>
      <c r="B122" s="12"/>
      <c r="C122" s="12" t="s">
        <v>57</v>
      </c>
      <c r="D122" s="12"/>
      <c r="E122" s="32">
        <v>64964</v>
      </c>
      <c r="G122" s="8">
        <v>520713</v>
      </c>
      <c r="H122" s="8"/>
      <c r="I122" s="8">
        <v>248292</v>
      </c>
      <c r="J122" s="8"/>
      <c r="K122" s="8"/>
      <c r="L122" s="8"/>
      <c r="M122" s="8"/>
      <c r="N122" s="8"/>
      <c r="O122" s="8">
        <v>16409</v>
      </c>
      <c r="P122" s="8"/>
      <c r="Q122" s="8">
        <v>12234</v>
      </c>
      <c r="R122" s="8"/>
      <c r="S122" s="8">
        <v>18033</v>
      </c>
      <c r="T122" s="8"/>
      <c r="U122" s="8">
        <v>76743</v>
      </c>
      <c r="V122" s="8"/>
      <c r="W122" s="8">
        <v>71586</v>
      </c>
      <c r="X122" s="8"/>
      <c r="Y122" s="8"/>
      <c r="Z122" s="8"/>
      <c r="AA122" s="8">
        <v>23609</v>
      </c>
      <c r="AB122" s="8"/>
      <c r="AC122" s="8"/>
      <c r="AD122" s="8"/>
      <c r="AE122" s="8">
        <v>12618</v>
      </c>
      <c r="AF122" s="138"/>
      <c r="AG122" s="12" t="s">
        <v>598</v>
      </c>
      <c r="AH122" s="12"/>
      <c r="AI122" s="12" t="s">
        <v>57</v>
      </c>
      <c r="AJ122" s="12"/>
      <c r="AK122" s="8"/>
      <c r="AL122" s="8"/>
      <c r="AM122" s="8">
        <v>4190</v>
      </c>
      <c r="AN122" s="8"/>
      <c r="AO122" s="8"/>
      <c r="AP122" s="8"/>
      <c r="AQ122" s="8"/>
      <c r="AR122" s="8"/>
      <c r="AS122" s="8"/>
      <c r="AT122" s="8"/>
      <c r="AU122" s="8"/>
      <c r="AV122" s="8"/>
      <c r="AW122" s="8">
        <f t="shared" si="6"/>
        <v>1004427</v>
      </c>
      <c r="AY122" s="8">
        <f>+'St of Activites - GA Rev'!AI122-'St of Activities - GA Exp'!AW122</f>
        <v>314989</v>
      </c>
      <c r="BA122" s="8">
        <v>4518362</v>
      </c>
      <c r="BC122" s="8">
        <f t="shared" si="7"/>
        <v>4833351</v>
      </c>
      <c r="BE122" s="8">
        <f>+'St of Net Assets - GA'!AA122-'St of Activities - GA Exp'!BC122</f>
        <v>0</v>
      </c>
    </row>
    <row r="123" spans="1:59">
      <c r="A123" s="12" t="s">
        <v>292</v>
      </c>
      <c r="B123" s="12"/>
      <c r="C123" s="12" t="s">
        <v>113</v>
      </c>
      <c r="D123" s="12"/>
      <c r="E123" s="32">
        <v>46516</v>
      </c>
      <c r="G123" s="8">
        <v>4194327</v>
      </c>
      <c r="H123" s="8"/>
      <c r="I123" s="8">
        <v>1141612</v>
      </c>
      <c r="J123" s="8"/>
      <c r="K123" s="8">
        <v>24625</v>
      </c>
      <c r="L123" s="8"/>
      <c r="M123" s="8">
        <v>5115</v>
      </c>
      <c r="N123" s="8"/>
      <c r="O123" s="8">
        <v>475784</v>
      </c>
      <c r="P123" s="8"/>
      <c r="Q123" s="8">
        <v>290781</v>
      </c>
      <c r="R123" s="8"/>
      <c r="S123" s="8">
        <v>24881</v>
      </c>
      <c r="T123" s="8"/>
      <c r="U123" s="8">
        <v>577529</v>
      </c>
      <c r="V123" s="8"/>
      <c r="W123" s="8">
        <v>393043</v>
      </c>
      <c r="X123" s="8"/>
      <c r="Y123" s="8">
        <v>52</v>
      </c>
      <c r="Z123" s="8"/>
      <c r="AA123" s="8">
        <v>1148739</v>
      </c>
      <c r="AB123" s="8"/>
      <c r="AC123" s="8">
        <v>678410</v>
      </c>
      <c r="AD123" s="8"/>
      <c r="AE123" s="8">
        <v>61581</v>
      </c>
      <c r="AF123" s="138"/>
      <c r="AG123" s="12" t="s">
        <v>292</v>
      </c>
      <c r="AH123" s="12"/>
      <c r="AI123" s="12" t="s">
        <v>113</v>
      </c>
      <c r="AJ123" s="12"/>
      <c r="AK123" s="8">
        <v>404085</v>
      </c>
      <c r="AL123" s="8"/>
      <c r="AM123" s="8">
        <v>31164</v>
      </c>
      <c r="AN123" s="8"/>
      <c r="AO123" s="8">
        <v>394698</v>
      </c>
      <c r="AP123" s="8"/>
      <c r="AQ123" s="8">
        <v>653348</v>
      </c>
      <c r="AR123" s="8"/>
      <c r="AS123" s="8"/>
      <c r="AT123" s="8"/>
      <c r="AU123" s="8">
        <v>0</v>
      </c>
      <c r="AV123" s="8"/>
      <c r="AW123" s="8">
        <f t="shared" si="6"/>
        <v>10499774</v>
      </c>
      <c r="AY123" s="8">
        <f>+'St of Activites - GA Rev'!AI123-'St of Activities - GA Exp'!AW123</f>
        <v>-182357</v>
      </c>
      <c r="BA123" s="8">
        <v>4778090</v>
      </c>
      <c r="BC123" s="8">
        <f t="shared" si="7"/>
        <v>4595733</v>
      </c>
      <c r="BE123" s="8">
        <f>+'St of Net Assets - GA'!AA123-'St of Activities - GA Exp'!BC123</f>
        <v>0</v>
      </c>
    </row>
    <row r="124" spans="1:59">
      <c r="A124" s="12" t="s">
        <v>486</v>
      </c>
      <c r="B124" s="12"/>
      <c r="C124" s="12" t="s">
        <v>44</v>
      </c>
      <c r="D124" s="12"/>
      <c r="E124" s="32">
        <v>48140</v>
      </c>
      <c r="G124" s="8">
        <v>5462086</v>
      </c>
      <c r="H124" s="8"/>
      <c r="I124" s="8">
        <v>822009</v>
      </c>
      <c r="J124" s="8"/>
      <c r="K124" s="8">
        <v>95314</v>
      </c>
      <c r="L124" s="8"/>
      <c r="M124" s="8">
        <v>476412</v>
      </c>
      <c r="N124" s="8"/>
      <c r="O124" s="8">
        <v>630128</v>
      </c>
      <c r="P124" s="8"/>
      <c r="Q124" s="8">
        <v>362643</v>
      </c>
      <c r="R124" s="8"/>
      <c r="S124" s="8">
        <v>26963</v>
      </c>
      <c r="T124" s="8"/>
      <c r="U124" s="8">
        <v>1005511</v>
      </c>
      <c r="V124" s="8"/>
      <c r="W124" s="8">
        <v>379753</v>
      </c>
      <c r="X124" s="8"/>
      <c r="Y124" s="8">
        <v>0</v>
      </c>
      <c r="Z124" s="8"/>
      <c r="AA124" s="8">
        <v>1074939</v>
      </c>
      <c r="AB124" s="8"/>
      <c r="AC124" s="8">
        <v>841711</v>
      </c>
      <c r="AD124" s="8"/>
      <c r="AE124" s="8">
        <v>130756</v>
      </c>
      <c r="AF124" s="138"/>
      <c r="AG124" s="12" t="s">
        <v>486</v>
      </c>
      <c r="AH124" s="12"/>
      <c r="AI124" s="12" t="s">
        <v>44</v>
      </c>
      <c r="AJ124" s="12"/>
      <c r="AK124" s="8">
        <v>406687</v>
      </c>
      <c r="AL124" s="8"/>
      <c r="AM124" s="8">
        <v>0</v>
      </c>
      <c r="AN124" s="8"/>
      <c r="AO124" s="8">
        <v>421396</v>
      </c>
      <c r="AP124" s="8"/>
      <c r="AQ124" s="8">
        <v>4675</v>
      </c>
      <c r="AR124" s="8"/>
      <c r="AS124" s="8"/>
      <c r="AT124" s="8"/>
      <c r="AU124" s="8">
        <v>0</v>
      </c>
      <c r="AV124" s="8"/>
      <c r="AW124" s="8">
        <f t="shared" si="6"/>
        <v>12140983</v>
      </c>
      <c r="AY124" s="8">
        <f>+'St of Activites - GA Rev'!AI124-'St of Activities - GA Exp'!AW124</f>
        <v>-1188854</v>
      </c>
      <c r="BA124" s="8">
        <v>4389744</v>
      </c>
      <c r="BC124" s="8">
        <f t="shared" si="7"/>
        <v>3200890</v>
      </c>
      <c r="BE124" s="8">
        <f>+'St of Net Assets - GA'!AA124-'St of Activities - GA Exp'!BC124</f>
        <v>0</v>
      </c>
    </row>
    <row r="125" spans="1:59">
      <c r="A125" s="12" t="s">
        <v>279</v>
      </c>
      <c r="B125" s="12"/>
      <c r="C125" s="12" t="s">
        <v>114</v>
      </c>
      <c r="D125" s="12"/>
      <c r="E125" s="32">
        <v>45328</v>
      </c>
      <c r="G125" s="8">
        <v>5229677</v>
      </c>
      <c r="H125" s="8"/>
      <c r="I125" s="8">
        <v>1406928</v>
      </c>
      <c r="J125" s="8"/>
      <c r="K125" s="8">
        <v>0</v>
      </c>
      <c r="L125" s="8"/>
      <c r="M125" s="8">
        <v>69029</v>
      </c>
      <c r="N125" s="8"/>
      <c r="O125" s="8">
        <v>374387</v>
      </c>
      <c r="P125" s="8"/>
      <c r="Q125" s="8">
        <v>125957</v>
      </c>
      <c r="R125" s="8"/>
      <c r="S125" s="8">
        <v>21079</v>
      </c>
      <c r="T125" s="8"/>
      <c r="U125" s="8">
        <v>758418</v>
      </c>
      <c r="V125" s="8"/>
      <c r="W125" s="8">
        <v>355062</v>
      </c>
      <c r="X125" s="8"/>
      <c r="Y125" s="8">
        <v>0</v>
      </c>
      <c r="Z125" s="8"/>
      <c r="AA125" s="8">
        <v>730067</v>
      </c>
      <c r="AB125" s="8"/>
      <c r="AC125" s="8">
        <v>296060</v>
      </c>
      <c r="AD125" s="8"/>
      <c r="AE125" s="8">
        <v>0</v>
      </c>
      <c r="AF125" s="138"/>
      <c r="AG125" s="12" t="s">
        <v>279</v>
      </c>
      <c r="AH125" s="12"/>
      <c r="AI125" s="12" t="s">
        <v>114</v>
      </c>
      <c r="AJ125" s="12"/>
      <c r="AK125" s="8">
        <v>329146</v>
      </c>
      <c r="AL125" s="8"/>
      <c r="AM125" s="8">
        <v>0</v>
      </c>
      <c r="AN125" s="8"/>
      <c r="AO125" s="8">
        <v>296575</v>
      </c>
      <c r="AP125" s="8"/>
      <c r="AQ125" s="8">
        <v>490353</v>
      </c>
      <c r="AR125" s="8"/>
      <c r="AS125" s="8"/>
      <c r="AT125" s="8"/>
      <c r="AU125" s="8">
        <v>0</v>
      </c>
      <c r="AV125" s="8"/>
      <c r="AW125" s="8">
        <f t="shared" si="6"/>
        <v>10482738</v>
      </c>
      <c r="AY125" s="8">
        <f>+'St of Activites - GA Rev'!AI125-'St of Activities - GA Exp'!AW125</f>
        <v>709675</v>
      </c>
      <c r="BA125" s="8">
        <v>1475779</v>
      </c>
      <c r="BC125" s="8">
        <f t="shared" si="7"/>
        <v>2185454</v>
      </c>
      <c r="BE125" s="8">
        <f>+'St of Net Assets - GA'!AA125-'St of Activities - GA Exp'!BC125</f>
        <v>0</v>
      </c>
    </row>
    <row r="126" spans="1:59">
      <c r="A126" s="12" t="s">
        <v>354</v>
      </c>
      <c r="B126" s="12"/>
      <c r="C126" s="12" t="s">
        <v>27</v>
      </c>
      <c r="D126" s="12"/>
      <c r="E126" s="32">
        <v>43802</v>
      </c>
      <c r="G126" s="8">
        <v>339881279</v>
      </c>
      <c r="H126" s="8"/>
      <c r="I126" s="8">
        <v>101040134</v>
      </c>
      <c r="J126" s="8"/>
      <c r="K126" s="8">
        <v>10550511</v>
      </c>
      <c r="L126" s="8"/>
      <c r="M126" s="8">
        <f>2530779+2612552</f>
        <v>5143331</v>
      </c>
      <c r="N126" s="8"/>
      <c r="O126" s="8">
        <v>56390136</v>
      </c>
      <c r="P126" s="8"/>
      <c r="Q126" s="8">
        <v>75697511</v>
      </c>
      <c r="R126" s="8"/>
      <c r="S126" s="8">
        <v>186196</v>
      </c>
      <c r="T126" s="8"/>
      <c r="U126" s="8">
        <v>52949866</v>
      </c>
      <c r="V126" s="8"/>
      <c r="W126" s="8">
        <v>13673008</v>
      </c>
      <c r="X126" s="8"/>
      <c r="Y126" s="8">
        <v>25696</v>
      </c>
      <c r="Z126" s="8"/>
      <c r="AA126" s="8">
        <v>66921441</v>
      </c>
      <c r="AB126" s="8"/>
      <c r="AC126" s="8">
        <v>54001204</v>
      </c>
      <c r="AD126" s="8"/>
      <c r="AE126" s="8">
        <v>29087926</v>
      </c>
      <c r="AF126" s="138"/>
      <c r="AG126" s="12" t="s">
        <v>354</v>
      </c>
      <c r="AH126" s="12"/>
      <c r="AI126" s="12" t="s">
        <v>27</v>
      </c>
      <c r="AJ126" s="12"/>
      <c r="AK126" s="8">
        <v>37882087</v>
      </c>
      <c r="AL126" s="8"/>
      <c r="AM126" s="8">
        <v>0</v>
      </c>
      <c r="AN126" s="8"/>
      <c r="AO126" s="8">
        <v>7808576</v>
      </c>
      <c r="AP126" s="8"/>
      <c r="AQ126" s="8">
        <v>18547101</v>
      </c>
      <c r="AR126" s="8"/>
      <c r="AS126" s="8"/>
      <c r="AT126" s="8"/>
      <c r="AU126" s="8">
        <v>0</v>
      </c>
      <c r="AV126" s="8"/>
      <c r="AW126" s="8">
        <f t="shared" si="6"/>
        <v>869786003</v>
      </c>
      <c r="AY126" s="8">
        <f>+'St of Activites - GA Rev'!AI126-'St of Activities - GA Exp'!AW126</f>
        <v>74038096</v>
      </c>
      <c r="BA126" s="8">
        <v>399850551</v>
      </c>
      <c r="BC126" s="8">
        <f t="shared" si="7"/>
        <v>473888647</v>
      </c>
      <c r="BE126" s="8">
        <f>+'St of Net Assets - GA'!AA126-'St of Activities - GA Exp'!BC126</f>
        <v>0</v>
      </c>
    </row>
    <row r="127" spans="1:59" ht="12" hidden="1" customHeight="1">
      <c r="A127" s="13" t="s">
        <v>830</v>
      </c>
      <c r="B127" s="12"/>
      <c r="C127" s="12" t="s">
        <v>603</v>
      </c>
      <c r="D127" s="12"/>
      <c r="E127" s="32">
        <v>49312</v>
      </c>
      <c r="G127" s="8">
        <v>3952434</v>
      </c>
      <c r="H127" s="8"/>
      <c r="I127" s="8">
        <v>728263</v>
      </c>
      <c r="J127" s="8"/>
      <c r="K127" s="8">
        <v>117208</v>
      </c>
      <c r="L127" s="8"/>
      <c r="M127" s="8"/>
      <c r="N127" s="8"/>
      <c r="O127" s="8">
        <v>277183</v>
      </c>
      <c r="P127" s="8"/>
      <c r="Q127" s="8">
        <v>124393</v>
      </c>
      <c r="R127" s="8"/>
      <c r="S127" s="8">
        <v>21874</v>
      </c>
      <c r="T127" s="8"/>
      <c r="U127" s="8">
        <v>506545</v>
      </c>
      <c r="V127" s="8"/>
      <c r="W127" s="8">
        <v>223804</v>
      </c>
      <c r="X127" s="8"/>
      <c r="Y127" s="8"/>
      <c r="Z127" s="8"/>
      <c r="AA127" s="8">
        <v>523380</v>
      </c>
      <c r="AB127" s="8"/>
      <c r="AC127" s="8">
        <v>428512</v>
      </c>
      <c r="AD127" s="8"/>
      <c r="AE127" s="8">
        <v>75352</v>
      </c>
      <c r="AF127" s="138"/>
      <c r="AG127" s="12" t="s">
        <v>602</v>
      </c>
      <c r="AH127" s="12"/>
      <c r="AI127" s="12" t="s">
        <v>603</v>
      </c>
      <c r="AJ127" s="12"/>
      <c r="AK127" s="8">
        <v>283504</v>
      </c>
      <c r="AL127" s="8"/>
      <c r="AM127" s="8">
        <v>119808</v>
      </c>
      <c r="AN127" s="8"/>
      <c r="AO127" s="8">
        <v>461384</v>
      </c>
      <c r="AP127" s="8"/>
      <c r="AQ127" s="8"/>
      <c r="AR127" s="8"/>
      <c r="AS127" s="8"/>
      <c r="AT127" s="8"/>
      <c r="AU127" s="8">
        <f>724806+139500</f>
        <v>864306</v>
      </c>
      <c r="AV127" s="8"/>
      <c r="AW127" s="8">
        <f t="shared" si="6"/>
        <v>8707950</v>
      </c>
      <c r="AY127" s="8">
        <f>+'St of Activites - GA Rev'!AI127-'St of Activities - GA Exp'!AW127</f>
        <v>-598885</v>
      </c>
      <c r="BA127" s="8">
        <v>4713980</v>
      </c>
      <c r="BC127" s="8">
        <f t="shared" si="7"/>
        <v>4115095</v>
      </c>
      <c r="BE127" s="8">
        <f>+'St of Net Assets - GA'!AA127-'St of Activities - GA Exp'!BC127</f>
        <v>0</v>
      </c>
    </row>
    <row r="128" spans="1:59">
      <c r="A128" s="12" t="s">
        <v>218</v>
      </c>
      <c r="B128" s="12"/>
      <c r="C128" s="12" t="s">
        <v>12</v>
      </c>
      <c r="D128" s="12"/>
      <c r="E128" s="32">
        <v>43810</v>
      </c>
      <c r="G128" s="8">
        <v>9957999</v>
      </c>
      <c r="H128" s="8"/>
      <c r="I128" s="8">
        <v>1765687</v>
      </c>
      <c r="J128" s="8"/>
      <c r="K128" s="8">
        <v>48087</v>
      </c>
      <c r="L128" s="8"/>
      <c r="M128" s="8">
        <v>661505</v>
      </c>
      <c r="N128" s="8"/>
      <c r="O128" s="8">
        <v>1215982</v>
      </c>
      <c r="P128" s="8"/>
      <c r="Q128" s="8">
        <v>1403277</v>
      </c>
      <c r="R128" s="8"/>
      <c r="S128" s="8">
        <v>40105</v>
      </c>
      <c r="T128" s="8"/>
      <c r="U128" s="8">
        <v>1522466</v>
      </c>
      <c r="V128" s="8"/>
      <c r="W128" s="8">
        <v>401431</v>
      </c>
      <c r="X128" s="8"/>
      <c r="Y128" s="8">
        <v>0</v>
      </c>
      <c r="Z128" s="8"/>
      <c r="AA128" s="8">
        <v>2109884</v>
      </c>
      <c r="AB128" s="8"/>
      <c r="AC128" s="8">
        <v>922936</v>
      </c>
      <c r="AD128" s="8"/>
      <c r="AE128" s="8">
        <v>168587</v>
      </c>
      <c r="AF128" s="138"/>
      <c r="AG128" s="12" t="s">
        <v>218</v>
      </c>
      <c r="AH128" s="12"/>
      <c r="AI128" s="12" t="s">
        <v>12</v>
      </c>
      <c r="AJ128" s="12"/>
      <c r="AK128" s="8">
        <v>837132</v>
      </c>
      <c r="AL128" s="8"/>
      <c r="AM128" s="8">
        <v>0</v>
      </c>
      <c r="AN128" s="8"/>
      <c r="AO128" s="8">
        <v>363811</v>
      </c>
      <c r="AP128" s="8"/>
      <c r="AQ128" s="8">
        <v>283869</v>
      </c>
      <c r="AR128" s="8"/>
      <c r="AS128" s="8"/>
      <c r="AT128" s="8"/>
      <c r="AU128" s="8">
        <v>0</v>
      </c>
      <c r="AV128" s="8"/>
      <c r="AW128" s="8">
        <f t="shared" si="6"/>
        <v>21702758</v>
      </c>
      <c r="AY128" s="8">
        <f>+'St of Activites - GA Rev'!AI128-'St of Activities - GA Exp'!AW128</f>
        <v>91198</v>
      </c>
      <c r="BA128" s="8">
        <v>42890272</v>
      </c>
      <c r="BC128" s="8">
        <f t="shared" si="7"/>
        <v>42981470</v>
      </c>
      <c r="BE128" s="8">
        <f>+'St of Net Assets - GA'!AA128-'St of Activities - GA Exp'!BC128</f>
        <v>0</v>
      </c>
    </row>
    <row r="129" spans="1:59">
      <c r="A129" s="12" t="s">
        <v>427</v>
      </c>
      <c r="B129" s="12"/>
      <c r="C129" s="12" t="s">
        <v>428</v>
      </c>
      <c r="D129" s="12"/>
      <c r="E129" s="32">
        <v>47548</v>
      </c>
      <c r="G129" s="8">
        <v>2620909</v>
      </c>
      <c r="H129" s="8"/>
      <c r="I129" s="8">
        <v>671648</v>
      </c>
      <c r="J129" s="8"/>
      <c r="K129" s="8">
        <v>70600</v>
      </c>
      <c r="L129" s="8"/>
      <c r="M129" s="8">
        <v>20063</v>
      </c>
      <c r="N129" s="8"/>
      <c r="O129" s="8">
        <v>223039</v>
      </c>
      <c r="P129" s="8"/>
      <c r="Q129" s="8">
        <v>313007</v>
      </c>
      <c r="R129" s="8"/>
      <c r="S129" s="8">
        <v>14088</v>
      </c>
      <c r="T129" s="8"/>
      <c r="U129" s="8">
        <v>564111</v>
      </c>
      <c r="V129" s="8"/>
      <c r="W129" s="8">
        <v>215706</v>
      </c>
      <c r="X129" s="8"/>
      <c r="Y129" s="8">
        <v>0</v>
      </c>
      <c r="Z129" s="8"/>
      <c r="AA129" s="8">
        <v>495602</v>
      </c>
      <c r="AB129" s="8"/>
      <c r="AC129" s="8">
        <v>491063</v>
      </c>
      <c r="AD129" s="8"/>
      <c r="AE129" s="8">
        <v>26877</v>
      </c>
      <c r="AF129" s="138"/>
      <c r="AG129" s="12" t="s">
        <v>427</v>
      </c>
      <c r="AH129" s="12"/>
      <c r="AI129" s="12" t="s">
        <v>428</v>
      </c>
      <c r="AJ129" s="12"/>
      <c r="AK129" s="8">
        <v>270044</v>
      </c>
      <c r="AL129" s="8"/>
      <c r="AM129" s="8">
        <v>0</v>
      </c>
      <c r="AN129" s="8"/>
      <c r="AO129" s="8">
        <v>131247</v>
      </c>
      <c r="AP129" s="8"/>
      <c r="AQ129" s="8">
        <v>3067</v>
      </c>
      <c r="AR129" s="8"/>
      <c r="AS129" s="8"/>
      <c r="AT129" s="8"/>
      <c r="AU129" s="8">
        <v>0</v>
      </c>
      <c r="AV129" s="8"/>
      <c r="AW129" s="8">
        <f t="shared" si="6"/>
        <v>6131071</v>
      </c>
      <c r="AY129" s="8">
        <f>+'St of Activites - GA Rev'!AI129-'St of Activities - GA Exp'!AW129</f>
        <v>-696705</v>
      </c>
      <c r="BA129" s="8">
        <v>2073179</v>
      </c>
      <c r="BC129" s="8">
        <f t="shared" si="7"/>
        <v>1376474</v>
      </c>
      <c r="BE129" s="8">
        <f>+'St of Net Assets - GA'!AA129-'St of Activities - GA Exp'!BC129</f>
        <v>0</v>
      </c>
    </row>
    <row r="130" spans="1:59" ht="12" hidden="1" customHeight="1">
      <c r="A130" s="88" t="s">
        <v>969</v>
      </c>
      <c r="B130" s="12"/>
      <c r="C130" s="12" t="s">
        <v>603</v>
      </c>
      <c r="D130" s="12"/>
      <c r="E130" s="32">
        <v>49320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138"/>
      <c r="AG130" s="12" t="s">
        <v>604</v>
      </c>
      <c r="AH130" s="12"/>
      <c r="AI130" s="12" t="s">
        <v>603</v>
      </c>
      <c r="AJ130" s="12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>
        <f t="shared" si="6"/>
        <v>0</v>
      </c>
      <c r="AY130" s="8">
        <f>+'St of Activites - GA Rev'!AI130-'St of Activities - GA Exp'!AW130</f>
        <v>0</v>
      </c>
      <c r="BC130" s="8">
        <f t="shared" si="7"/>
        <v>0</v>
      </c>
      <c r="BE130" s="8">
        <f>+'St of Net Assets - GA'!AA130-'St of Activities - GA Exp'!BC130</f>
        <v>0</v>
      </c>
    </row>
    <row r="131" spans="1:59">
      <c r="A131" s="12" t="s">
        <v>664</v>
      </c>
      <c r="B131" s="12"/>
      <c r="C131" s="12" t="s">
        <v>63</v>
      </c>
      <c r="D131" s="12"/>
      <c r="E131" s="32">
        <v>49981</v>
      </c>
      <c r="G131" s="8">
        <v>16925020</v>
      </c>
      <c r="H131" s="8"/>
      <c r="I131" s="8">
        <v>2591823</v>
      </c>
      <c r="J131" s="8"/>
      <c r="K131" s="8">
        <v>656224</v>
      </c>
      <c r="L131" s="8"/>
      <c r="M131" s="8">
        <v>600</v>
      </c>
      <c r="N131" s="8"/>
      <c r="O131" s="8">
        <v>1776718</v>
      </c>
      <c r="P131" s="8"/>
      <c r="Q131" s="8">
        <v>1491859</v>
      </c>
      <c r="R131" s="8"/>
      <c r="S131" s="8">
        <v>169565</v>
      </c>
      <c r="T131" s="8"/>
      <c r="U131" s="8">
        <v>1707251</v>
      </c>
      <c r="V131" s="8"/>
      <c r="W131" s="8">
        <v>973973</v>
      </c>
      <c r="X131" s="8"/>
      <c r="Y131" s="8">
        <v>135806</v>
      </c>
      <c r="Z131" s="8"/>
      <c r="AA131" s="8">
        <v>3409485</v>
      </c>
      <c r="AB131" s="8"/>
      <c r="AC131" s="8">
        <v>1595041</v>
      </c>
      <c r="AD131" s="8"/>
      <c r="AE131" s="8">
        <v>250722</v>
      </c>
      <c r="AF131" s="138"/>
      <c r="AG131" s="12" t="s">
        <v>664</v>
      </c>
      <c r="AH131" s="12"/>
      <c r="AI131" s="12" t="s">
        <v>63</v>
      </c>
      <c r="AJ131" s="12"/>
      <c r="AK131" s="8">
        <v>943293</v>
      </c>
      <c r="AL131" s="8"/>
      <c r="AM131" s="8">
        <v>759121</v>
      </c>
      <c r="AN131" s="8"/>
      <c r="AO131" s="8">
        <v>1127289</v>
      </c>
      <c r="AP131" s="8"/>
      <c r="AQ131" s="8">
        <v>241011</v>
      </c>
      <c r="AR131" s="8"/>
      <c r="AS131" s="8"/>
      <c r="AT131" s="8"/>
      <c r="AU131" s="8">
        <v>0</v>
      </c>
      <c r="AV131" s="8"/>
      <c r="AW131" s="8">
        <f t="shared" si="6"/>
        <v>34754801</v>
      </c>
      <c r="AY131" s="8">
        <f>+'St of Activites - GA Rev'!AI131-'St of Activities - GA Exp'!AW131</f>
        <v>2448882</v>
      </c>
      <c r="BA131" s="8">
        <v>21143468</v>
      </c>
      <c r="BC131" s="8">
        <f t="shared" si="7"/>
        <v>23592350</v>
      </c>
      <c r="BE131" s="8">
        <f>+'St of Net Assets - GA'!AA131-'St of Activities - GA Exp'!BC131</f>
        <v>0</v>
      </c>
    </row>
    <row r="132" spans="1:59" ht="12" customHeight="1">
      <c r="A132" s="12" t="s">
        <v>415</v>
      </c>
      <c r="B132" s="12"/>
      <c r="C132" s="12" t="s">
        <v>33</v>
      </c>
      <c r="D132" s="12"/>
      <c r="E132" s="32">
        <v>47431</v>
      </c>
      <c r="G132" s="8">
        <v>3225171</v>
      </c>
      <c r="H132" s="8"/>
      <c r="I132" s="8">
        <v>643919</v>
      </c>
      <c r="J132" s="8"/>
      <c r="K132" s="8">
        <v>333037</v>
      </c>
      <c r="L132" s="8"/>
      <c r="M132" s="8">
        <v>0</v>
      </c>
      <c r="N132" s="8"/>
      <c r="O132" s="8">
        <v>299093</v>
      </c>
      <c r="P132" s="8"/>
      <c r="Q132" s="8">
        <v>447766</v>
      </c>
      <c r="R132" s="8"/>
      <c r="S132" s="8">
        <v>44162</v>
      </c>
      <c r="T132" s="8"/>
      <c r="U132" s="8">
        <v>813535</v>
      </c>
      <c r="V132" s="8"/>
      <c r="W132" s="8">
        <v>193404</v>
      </c>
      <c r="X132" s="8"/>
      <c r="Y132" s="8">
        <v>0</v>
      </c>
      <c r="Z132" s="8"/>
      <c r="AA132" s="8">
        <v>716208</v>
      </c>
      <c r="AB132" s="8"/>
      <c r="AC132" s="8">
        <v>372953</v>
      </c>
      <c r="AD132" s="8"/>
      <c r="AE132" s="8">
        <v>11246</v>
      </c>
      <c r="AF132" s="138"/>
      <c r="AG132" s="12" t="s">
        <v>415</v>
      </c>
      <c r="AH132" s="12"/>
      <c r="AI132" s="12" t="s">
        <v>33</v>
      </c>
      <c r="AJ132" s="12"/>
      <c r="AK132" s="8">
        <v>0</v>
      </c>
      <c r="AL132" s="8"/>
      <c r="AM132" s="8">
        <v>306067</v>
      </c>
      <c r="AN132" s="8"/>
      <c r="AO132" s="8">
        <v>300391</v>
      </c>
      <c r="AP132" s="8"/>
      <c r="AQ132" s="8">
        <v>613</v>
      </c>
      <c r="AR132" s="8"/>
      <c r="AS132" s="8"/>
      <c r="AT132" s="8"/>
      <c r="AU132" s="8">
        <v>0</v>
      </c>
      <c r="AV132" s="8"/>
      <c r="AW132" s="8">
        <f t="shared" si="6"/>
        <v>7707565</v>
      </c>
      <c r="AY132" s="8">
        <f>+'St of Activites - GA Rev'!AI132-'St of Activities - GA Exp'!AW132</f>
        <v>-575268</v>
      </c>
      <c r="BA132" s="8">
        <v>2898009</v>
      </c>
      <c r="BC132" s="8">
        <f t="shared" si="7"/>
        <v>2322741</v>
      </c>
      <c r="BE132" s="8">
        <f>+'St of Net Assets - GA'!AA132-'St of Activities - GA Exp'!BC132</f>
        <v>0</v>
      </c>
    </row>
    <row r="133" spans="1:59">
      <c r="A133" s="12" t="s">
        <v>287</v>
      </c>
      <c r="B133" s="12"/>
      <c r="C133" s="12" t="s">
        <v>19</v>
      </c>
      <c r="D133" s="12"/>
      <c r="E133" s="32">
        <v>43828</v>
      </c>
      <c r="G133" s="8">
        <v>10038315</v>
      </c>
      <c r="H133" s="8"/>
      <c r="I133" s="8">
        <v>0</v>
      </c>
      <c r="J133" s="8"/>
      <c r="K133" s="8">
        <v>0</v>
      </c>
      <c r="L133" s="8"/>
      <c r="M133" s="8">
        <v>0</v>
      </c>
      <c r="N133" s="8"/>
      <c r="O133" s="8">
        <v>612459</v>
      </c>
      <c r="P133" s="8"/>
      <c r="Q133" s="8">
        <v>791665</v>
      </c>
      <c r="R133" s="8"/>
      <c r="S133" s="8">
        <v>2054</v>
      </c>
      <c r="T133" s="8"/>
      <c r="U133" s="8">
        <v>1230325</v>
      </c>
      <c r="V133" s="8"/>
      <c r="W133" s="8">
        <v>388534</v>
      </c>
      <c r="X133" s="8"/>
      <c r="Y133" s="8">
        <v>177166</v>
      </c>
      <c r="Z133" s="8"/>
      <c r="AA133" s="8">
        <v>1656227</v>
      </c>
      <c r="AB133" s="8"/>
      <c r="AC133" s="8">
        <v>272653</v>
      </c>
      <c r="AD133" s="8"/>
      <c r="AE133" s="8">
        <v>23427</v>
      </c>
      <c r="AF133" s="138"/>
      <c r="AG133" s="12" t="s">
        <v>287</v>
      </c>
      <c r="AH133" s="12"/>
      <c r="AI133" s="12" t="s">
        <v>19</v>
      </c>
      <c r="AJ133" s="12"/>
      <c r="AK133" s="8">
        <v>778234</v>
      </c>
      <c r="AL133" s="8"/>
      <c r="AM133" s="8">
        <v>75112</v>
      </c>
      <c r="AN133" s="8"/>
      <c r="AO133" s="8">
        <v>384604</v>
      </c>
      <c r="AP133" s="8"/>
      <c r="AQ133" s="8">
        <v>0</v>
      </c>
      <c r="AR133" s="8"/>
      <c r="AS133" s="8"/>
      <c r="AT133" s="8"/>
      <c r="AU133" s="8">
        <v>0</v>
      </c>
      <c r="AV133" s="8"/>
      <c r="AW133" s="8">
        <f t="shared" si="6"/>
        <v>16430775</v>
      </c>
      <c r="AY133" s="8">
        <f>+'St of Activites - GA Rev'!AI133-'St of Activities - GA Exp'!AW133</f>
        <v>1745828</v>
      </c>
      <c r="BA133" s="8">
        <v>4520695</v>
      </c>
      <c r="BC133" s="8">
        <f t="shared" si="7"/>
        <v>6266523</v>
      </c>
      <c r="BE133" s="8">
        <f>+'St of Net Assets - GA'!AA133-'St of Activities - GA Exp'!BC133</f>
        <v>0</v>
      </c>
      <c r="BG133" s="10" t="s">
        <v>913</v>
      </c>
    </row>
    <row r="134" spans="1:59">
      <c r="A134" s="12" t="s">
        <v>816</v>
      </c>
      <c r="B134" s="12"/>
      <c r="C134" s="12" t="s">
        <v>63</v>
      </c>
      <c r="D134" s="12"/>
      <c r="E134" s="32"/>
      <c r="G134" s="8">
        <v>9779016</v>
      </c>
      <c r="H134" s="8"/>
      <c r="I134" s="8">
        <v>2197552</v>
      </c>
      <c r="J134" s="8"/>
      <c r="K134" s="8">
        <v>150753</v>
      </c>
      <c r="L134" s="8"/>
      <c r="M134" s="8">
        <f>9343+525266</f>
        <v>534609</v>
      </c>
      <c r="N134" s="8"/>
      <c r="O134" s="8">
        <v>1197658</v>
      </c>
      <c r="P134" s="8"/>
      <c r="Q134" s="8">
        <v>1213056</v>
      </c>
      <c r="R134" s="8"/>
      <c r="S134" s="8">
        <v>53683</v>
      </c>
      <c r="T134" s="8"/>
      <c r="U134" s="8">
        <v>1918874</v>
      </c>
      <c r="V134" s="8"/>
      <c r="W134" s="8">
        <v>488614</v>
      </c>
      <c r="X134" s="8"/>
      <c r="Y134" s="8">
        <v>68102</v>
      </c>
      <c r="Z134" s="8"/>
      <c r="AA134" s="8">
        <v>2584910</v>
      </c>
      <c r="AB134" s="8"/>
      <c r="AC134" s="8">
        <v>1043378</v>
      </c>
      <c r="AD134" s="8"/>
      <c r="AE134" s="8">
        <v>161104</v>
      </c>
      <c r="AF134" s="138"/>
      <c r="AG134" s="12" t="s">
        <v>816</v>
      </c>
      <c r="AH134" s="12"/>
      <c r="AI134" s="12" t="s">
        <v>63</v>
      </c>
      <c r="AJ134" s="12"/>
      <c r="AK134" s="8">
        <v>818458</v>
      </c>
      <c r="AL134" s="8"/>
      <c r="AM134" s="8">
        <v>312478</v>
      </c>
      <c r="AN134" s="8"/>
      <c r="AO134" s="8">
        <v>475619</v>
      </c>
      <c r="AP134" s="8"/>
      <c r="AQ134" s="8">
        <v>281132</v>
      </c>
      <c r="AR134" s="8"/>
      <c r="AS134" s="8"/>
      <c r="AT134" s="8"/>
      <c r="AU134" s="8">
        <v>0</v>
      </c>
      <c r="AV134" s="8"/>
      <c r="AW134" s="8">
        <f t="shared" si="6"/>
        <v>23278996</v>
      </c>
      <c r="AY134" s="8">
        <f>+'St of Activites - GA Rev'!AI134-'St of Activities - GA Exp'!AW134</f>
        <v>-1106206</v>
      </c>
      <c r="BA134" s="8">
        <v>-2148169</v>
      </c>
      <c r="BC134" s="8">
        <f t="shared" si="7"/>
        <v>-3254375</v>
      </c>
      <c r="BE134" s="8">
        <f>+'St of Net Assets - GA'!AA134-'St of Activities - GA Exp'!BC134</f>
        <v>0</v>
      </c>
    </row>
    <row r="135" spans="1:59">
      <c r="A135" s="13" t="s">
        <v>915</v>
      </c>
      <c r="B135" s="12"/>
      <c r="C135" s="12" t="s">
        <v>48</v>
      </c>
      <c r="D135" s="12"/>
      <c r="E135" s="32">
        <v>45336</v>
      </c>
      <c r="G135" s="8">
        <v>3625711</v>
      </c>
      <c r="H135" s="8"/>
      <c r="I135" s="8">
        <v>685221</v>
      </c>
      <c r="J135" s="8"/>
      <c r="K135" s="8">
        <v>0</v>
      </c>
      <c r="L135" s="8"/>
      <c r="M135" s="8">
        <v>6591</v>
      </c>
      <c r="N135" s="8"/>
      <c r="O135" s="8">
        <v>318816</v>
      </c>
      <c r="P135" s="8"/>
      <c r="Q135" s="8">
        <v>360524</v>
      </c>
      <c r="R135" s="8"/>
      <c r="S135" s="8">
        <v>9675</v>
      </c>
      <c r="T135" s="8"/>
      <c r="U135" s="8">
        <v>765592</v>
      </c>
      <c r="V135" s="8"/>
      <c r="W135" s="8">
        <v>247601</v>
      </c>
      <c r="X135" s="8"/>
      <c r="Y135" s="8">
        <v>2743</v>
      </c>
      <c r="Z135" s="8"/>
      <c r="AA135" s="8">
        <v>606933</v>
      </c>
      <c r="AB135" s="8"/>
      <c r="AC135" s="8">
        <v>302051</v>
      </c>
      <c r="AD135" s="8"/>
      <c r="AE135" s="8">
        <v>134240</v>
      </c>
      <c r="AF135" s="138"/>
      <c r="AG135" s="13" t="s">
        <v>915</v>
      </c>
      <c r="AH135" s="12"/>
      <c r="AI135" s="12" t="s">
        <v>48</v>
      </c>
      <c r="AJ135" s="12"/>
      <c r="AK135" s="8">
        <v>307801</v>
      </c>
      <c r="AL135" s="8"/>
      <c r="AM135" s="8">
        <v>123864</v>
      </c>
      <c r="AN135" s="8"/>
      <c r="AO135" s="8">
        <v>496054</v>
      </c>
      <c r="AP135" s="8"/>
      <c r="AQ135" s="8">
        <v>11486</v>
      </c>
      <c r="AR135" s="8"/>
      <c r="AS135" s="8"/>
      <c r="AT135" s="8"/>
      <c r="AU135" s="8">
        <v>0</v>
      </c>
      <c r="AV135" s="8"/>
      <c r="AW135" s="8">
        <f t="shared" si="6"/>
        <v>8004903</v>
      </c>
      <c r="AY135" s="8">
        <f>+'St of Activites - GA Rev'!AI135-'St of Activities - GA Exp'!AW135</f>
        <v>282486</v>
      </c>
      <c r="BA135" s="8">
        <v>2571005</v>
      </c>
      <c r="BC135" s="8">
        <f t="shared" si="7"/>
        <v>2853491</v>
      </c>
      <c r="BE135" s="8">
        <f>+'St of Net Assets - GA'!AA135-'St of Activities - GA Exp'!BC135</f>
        <v>0</v>
      </c>
    </row>
    <row r="136" spans="1:59">
      <c r="A136" s="13" t="s">
        <v>916</v>
      </c>
      <c r="B136" s="12"/>
      <c r="C136" s="12" t="s">
        <v>113</v>
      </c>
      <c r="D136" s="12"/>
      <c r="E136" s="32">
        <v>45344</v>
      </c>
      <c r="G136" s="8">
        <v>3574872</v>
      </c>
      <c r="H136" s="8"/>
      <c r="I136" s="8">
        <v>933431</v>
      </c>
      <c r="J136" s="8"/>
      <c r="K136" s="8">
        <v>30109</v>
      </c>
      <c r="L136" s="8"/>
      <c r="M136" s="8">
        <v>498805</v>
      </c>
      <c r="N136" s="8"/>
      <c r="O136" s="8">
        <v>448129</v>
      </c>
      <c r="P136" s="8"/>
      <c r="Q136" s="8">
        <v>437950</v>
      </c>
      <c r="R136" s="8"/>
      <c r="S136" s="8">
        <v>39065</v>
      </c>
      <c r="T136" s="8"/>
      <c r="U136" s="8">
        <v>772800</v>
      </c>
      <c r="V136" s="8"/>
      <c r="W136" s="8">
        <v>258481</v>
      </c>
      <c r="X136" s="8"/>
      <c r="Y136" s="8">
        <v>0</v>
      </c>
      <c r="Z136" s="8"/>
      <c r="AA136" s="8">
        <v>742331</v>
      </c>
      <c r="AB136" s="8"/>
      <c r="AC136" s="8">
        <v>297048</v>
      </c>
      <c r="AD136" s="8"/>
      <c r="AE136" s="8">
        <v>29202</v>
      </c>
      <c r="AF136" s="138"/>
      <c r="AG136" s="13" t="s">
        <v>916</v>
      </c>
      <c r="AH136" s="12"/>
      <c r="AI136" s="12" t="s">
        <v>113</v>
      </c>
      <c r="AJ136" s="12"/>
      <c r="AK136" s="8">
        <v>289539</v>
      </c>
      <c r="AL136" s="8"/>
      <c r="AM136" s="8">
        <v>44756</v>
      </c>
      <c r="AN136" s="8"/>
      <c r="AO136" s="8">
        <v>390244</v>
      </c>
      <c r="AP136" s="8"/>
      <c r="AQ136" s="8">
        <v>0</v>
      </c>
      <c r="AR136" s="8"/>
      <c r="AS136" s="8"/>
      <c r="AT136" s="8"/>
      <c r="AU136" s="8">
        <v>0</v>
      </c>
      <c r="AV136" s="8"/>
      <c r="AW136" s="8">
        <f t="shared" si="6"/>
        <v>8786762</v>
      </c>
      <c r="AY136" s="8">
        <f>+'St of Activites - GA Rev'!AI136-'St of Activities - GA Exp'!AW136</f>
        <v>-257900</v>
      </c>
      <c r="BA136" s="8">
        <v>4289414</v>
      </c>
      <c r="BC136" s="8">
        <f t="shared" si="7"/>
        <v>4031514</v>
      </c>
      <c r="BE136" s="8">
        <f>+'St of Net Assets - GA'!AA136-'St of Activities - GA Exp'!BC136</f>
        <v>0</v>
      </c>
    </row>
    <row r="137" spans="1:59">
      <c r="A137" s="12" t="s">
        <v>280</v>
      </c>
      <c r="B137" s="12"/>
      <c r="C137" s="12" t="s">
        <v>114</v>
      </c>
      <c r="D137" s="12"/>
      <c r="E137" s="32">
        <v>46433</v>
      </c>
      <c r="G137" s="8">
        <v>5687970</v>
      </c>
      <c r="H137" s="8"/>
      <c r="I137" s="8">
        <v>1009764</v>
      </c>
      <c r="J137" s="8"/>
      <c r="K137" s="8">
        <v>158017</v>
      </c>
      <c r="L137" s="8"/>
      <c r="M137" s="8">
        <v>31838</v>
      </c>
      <c r="N137" s="8"/>
      <c r="O137" s="8">
        <v>577749</v>
      </c>
      <c r="P137" s="8"/>
      <c r="Q137" s="8">
        <v>505729</v>
      </c>
      <c r="R137" s="8"/>
      <c r="S137" s="8">
        <v>28158</v>
      </c>
      <c r="T137" s="8"/>
      <c r="U137" s="8">
        <v>831759</v>
      </c>
      <c r="V137" s="8"/>
      <c r="W137" s="8">
        <v>333645</v>
      </c>
      <c r="X137" s="8"/>
      <c r="Y137" s="8">
        <v>345</v>
      </c>
      <c r="Z137" s="8"/>
      <c r="AA137" s="8">
        <v>1211744</v>
      </c>
      <c r="AB137" s="8"/>
      <c r="AC137" s="8">
        <v>673836</v>
      </c>
      <c r="AD137" s="8"/>
      <c r="AE137" s="8">
        <v>18979</v>
      </c>
      <c r="AF137" s="138"/>
      <c r="AG137" s="12" t="s">
        <v>280</v>
      </c>
      <c r="AH137" s="12"/>
      <c r="AI137" s="12" t="s">
        <v>114</v>
      </c>
      <c r="AJ137" s="12"/>
      <c r="AK137" s="8">
        <v>571924</v>
      </c>
      <c r="AL137" s="8"/>
      <c r="AM137" s="8">
        <v>580</v>
      </c>
      <c r="AN137" s="8"/>
      <c r="AO137" s="8">
        <v>394259</v>
      </c>
      <c r="AP137" s="8"/>
      <c r="AQ137" s="8">
        <v>83956</v>
      </c>
      <c r="AR137" s="8"/>
      <c r="AS137" s="8"/>
      <c r="AT137" s="8"/>
      <c r="AU137" s="8">
        <v>0</v>
      </c>
      <c r="AV137" s="8"/>
      <c r="AW137" s="8">
        <f t="shared" si="6"/>
        <v>12120252</v>
      </c>
      <c r="AY137" s="8">
        <f>+'St of Activites - GA Rev'!AI137-'St of Activities - GA Exp'!AW137</f>
        <v>-622042</v>
      </c>
      <c r="BA137" s="8">
        <v>12417424</v>
      </c>
      <c r="BC137" s="8">
        <f t="shared" si="7"/>
        <v>11795382</v>
      </c>
      <c r="BE137" s="8">
        <f>+'St of Net Assets - GA'!AA137-'St of Activities - GA Exp'!BC137</f>
        <v>0</v>
      </c>
    </row>
    <row r="138" spans="1:59">
      <c r="A138" s="12" t="s">
        <v>280</v>
      </c>
      <c r="B138" s="12"/>
      <c r="C138" s="12" t="s">
        <v>112</v>
      </c>
      <c r="D138" s="12"/>
      <c r="E138" s="32">
        <v>49429</v>
      </c>
      <c r="G138" s="8">
        <v>5215292</v>
      </c>
      <c r="H138" s="8"/>
      <c r="I138" s="8">
        <v>1395976</v>
      </c>
      <c r="J138" s="8"/>
      <c r="K138" s="8">
        <v>249988</v>
      </c>
      <c r="L138" s="8"/>
      <c r="M138" s="8">
        <v>34942</v>
      </c>
      <c r="N138" s="8"/>
      <c r="O138" s="8">
        <v>409179</v>
      </c>
      <c r="P138" s="8"/>
      <c r="Q138" s="8">
        <v>373686</v>
      </c>
      <c r="R138" s="8"/>
      <c r="S138" s="8">
        <v>62112</v>
      </c>
      <c r="T138" s="8"/>
      <c r="U138" s="8">
        <v>702929</v>
      </c>
      <c r="V138" s="8"/>
      <c r="W138" s="8">
        <v>256240</v>
      </c>
      <c r="X138" s="8"/>
      <c r="Y138" s="8">
        <v>895</v>
      </c>
      <c r="Z138" s="8"/>
      <c r="AA138" s="8">
        <v>1217723</v>
      </c>
      <c r="AB138" s="8"/>
      <c r="AC138" s="8">
        <v>827269</v>
      </c>
      <c r="AD138" s="8"/>
      <c r="AE138" s="8">
        <v>80713</v>
      </c>
      <c r="AF138" s="138"/>
      <c r="AG138" s="12" t="s">
        <v>280</v>
      </c>
      <c r="AH138" s="12"/>
      <c r="AI138" s="12" t="s">
        <v>112</v>
      </c>
      <c r="AJ138" s="12"/>
      <c r="AK138" s="8">
        <v>454645</v>
      </c>
      <c r="AL138" s="8"/>
      <c r="AM138" s="8">
        <v>44189</v>
      </c>
      <c r="AN138" s="8"/>
      <c r="AO138" s="8">
        <v>491346</v>
      </c>
      <c r="AP138" s="8"/>
      <c r="AQ138" s="8">
        <v>247060</v>
      </c>
      <c r="AR138" s="8"/>
      <c r="AS138" s="8"/>
      <c r="AT138" s="8"/>
      <c r="AU138" s="8">
        <v>0</v>
      </c>
      <c r="AV138" s="8"/>
      <c r="AW138" s="8">
        <f t="shared" si="6"/>
        <v>12064184</v>
      </c>
      <c r="AY138" s="8">
        <f>+'St of Activites - GA Rev'!AI138-'St of Activities - GA Exp'!AW138</f>
        <v>129001</v>
      </c>
      <c r="BA138" s="8">
        <v>26550312</v>
      </c>
      <c r="BC138" s="8">
        <f t="shared" si="7"/>
        <v>26679313</v>
      </c>
      <c r="BE138" s="8">
        <f>+'St of Net Assets - GA'!AA138-'St of Activities - GA Exp'!BC138</f>
        <v>0</v>
      </c>
    </row>
    <row r="139" spans="1:59" hidden="1">
      <c r="A139" s="13" t="s">
        <v>917</v>
      </c>
      <c r="B139" s="13"/>
      <c r="C139" s="13" t="s">
        <v>67</v>
      </c>
      <c r="D139" s="12"/>
      <c r="E139" s="32"/>
      <c r="G139" s="8">
        <v>3813209</v>
      </c>
      <c r="H139" s="8"/>
      <c r="I139" s="8">
        <v>979807</v>
      </c>
      <c r="J139" s="8"/>
      <c r="K139" s="8">
        <v>186957</v>
      </c>
      <c r="L139" s="8"/>
      <c r="M139" s="8">
        <f>458286+31253</f>
        <v>489539</v>
      </c>
      <c r="N139" s="8"/>
      <c r="O139" s="8">
        <v>511092</v>
      </c>
      <c r="P139" s="8"/>
      <c r="Q139" s="8">
        <v>226456</v>
      </c>
      <c r="R139" s="8"/>
      <c r="S139" s="8">
        <v>27884</v>
      </c>
      <c r="T139" s="8"/>
      <c r="U139" s="8">
        <v>625766</v>
      </c>
      <c r="V139" s="8"/>
      <c r="W139" s="8">
        <v>251834</v>
      </c>
      <c r="X139" s="8"/>
      <c r="Y139" s="8"/>
      <c r="Z139" s="8"/>
      <c r="AA139" s="8">
        <v>569324</v>
      </c>
      <c r="AB139" s="8"/>
      <c r="AC139" s="8">
        <v>305313</v>
      </c>
      <c r="AD139" s="8"/>
      <c r="AE139" s="8">
        <v>193627</v>
      </c>
      <c r="AF139" s="138"/>
      <c r="AG139" s="13" t="s">
        <v>917</v>
      </c>
      <c r="AH139" s="13"/>
      <c r="AI139" s="13" t="s">
        <v>67</v>
      </c>
      <c r="AJ139" s="12"/>
      <c r="AK139" s="8"/>
      <c r="AL139" s="8"/>
      <c r="AM139" s="8">
        <v>443097</v>
      </c>
      <c r="AN139" s="8"/>
      <c r="AO139" s="8">
        <v>446783</v>
      </c>
      <c r="AP139" s="8"/>
      <c r="AQ139" s="8"/>
      <c r="AR139" s="8"/>
      <c r="AS139" s="8"/>
      <c r="AT139" s="8"/>
      <c r="AU139" s="8">
        <f>2344601+72406+499079+1281351</f>
        <v>4197437</v>
      </c>
      <c r="AV139" s="8"/>
      <c r="AW139" s="8">
        <f t="shared" si="6"/>
        <v>13268125</v>
      </c>
      <c r="AY139" s="8">
        <f>+'St of Activites - GA Rev'!AI139-'St of Activities - GA Exp'!AW139</f>
        <v>1879068</v>
      </c>
      <c r="BA139" s="8">
        <v>10759993</v>
      </c>
      <c r="BC139" s="8">
        <f t="shared" si="7"/>
        <v>12639061</v>
      </c>
      <c r="BE139" s="8">
        <f>+'St of Net Assets - GA'!AA139-'St of Activities - GA Exp'!BC139</f>
        <v>0</v>
      </c>
    </row>
    <row r="140" spans="1:59">
      <c r="A140" s="12" t="s">
        <v>589</v>
      </c>
      <c r="B140" s="12"/>
      <c r="C140" s="12" t="s">
        <v>56</v>
      </c>
      <c r="D140" s="12"/>
      <c r="E140" s="32">
        <v>49189</v>
      </c>
      <c r="G140" s="8">
        <v>9524639</v>
      </c>
      <c r="H140" s="8"/>
      <c r="I140" s="8">
        <v>1544952</v>
      </c>
      <c r="J140" s="8"/>
      <c r="K140" s="8">
        <v>218447</v>
      </c>
      <c r="L140" s="8"/>
      <c r="M140" s="8">
        <v>1245246</v>
      </c>
      <c r="N140" s="8"/>
      <c r="O140" s="8">
        <v>1062906</v>
      </c>
      <c r="P140" s="8"/>
      <c r="Q140" s="8">
        <v>986931</v>
      </c>
      <c r="R140" s="8"/>
      <c r="S140" s="8">
        <v>17682</v>
      </c>
      <c r="T140" s="8"/>
      <c r="U140" s="8">
        <v>2093839</v>
      </c>
      <c r="V140" s="8"/>
      <c r="W140" s="8">
        <v>458038</v>
      </c>
      <c r="X140" s="8"/>
      <c r="Y140" s="8">
        <v>31252</v>
      </c>
      <c r="Z140" s="8"/>
      <c r="AA140" s="8">
        <v>1991252</v>
      </c>
      <c r="AB140" s="8"/>
      <c r="AC140" s="8">
        <v>1660686</v>
      </c>
      <c r="AD140" s="8"/>
      <c r="AE140" s="8">
        <v>393380</v>
      </c>
      <c r="AF140" s="138"/>
      <c r="AG140" s="12" t="s">
        <v>589</v>
      </c>
      <c r="AH140" s="12"/>
      <c r="AI140" s="12" t="s">
        <v>56</v>
      </c>
      <c r="AJ140" s="12"/>
      <c r="AK140" s="8">
        <v>619417</v>
      </c>
      <c r="AL140" s="8"/>
      <c r="AM140" s="8">
        <v>108979</v>
      </c>
      <c r="AN140" s="8"/>
      <c r="AO140" s="8">
        <v>530100</v>
      </c>
      <c r="AP140" s="8"/>
      <c r="AQ140" s="8">
        <v>394932</v>
      </c>
      <c r="AR140" s="8"/>
      <c r="AS140" s="8"/>
      <c r="AT140" s="8"/>
      <c r="AU140" s="8">
        <v>0</v>
      </c>
      <c r="AV140" s="8"/>
      <c r="AW140" s="8">
        <f t="shared" si="6"/>
        <v>22882678</v>
      </c>
      <c r="AY140" s="8">
        <f>+'St of Activites - GA Rev'!AI140-'St of Activities - GA Exp'!AW140</f>
        <v>755698</v>
      </c>
      <c r="BA140" s="8">
        <v>22109524</v>
      </c>
      <c r="BC140" s="8">
        <f t="shared" si="7"/>
        <v>22865222</v>
      </c>
      <c r="BE140" s="8">
        <f>+'St of Net Assets - GA'!AA140-'St of Activities - GA Exp'!BC140</f>
        <v>0</v>
      </c>
    </row>
    <row r="141" spans="1:59">
      <c r="A141" s="12" t="s">
        <v>817</v>
      </c>
      <c r="B141" s="12"/>
      <c r="C141" s="12" t="s">
        <v>579</v>
      </c>
      <c r="D141" s="12"/>
      <c r="E141" s="32"/>
      <c r="G141" s="8">
        <v>6832829</v>
      </c>
      <c r="H141" s="8"/>
      <c r="I141" s="8">
        <v>0</v>
      </c>
      <c r="J141" s="8"/>
      <c r="K141" s="8">
        <v>0</v>
      </c>
      <c r="L141" s="8"/>
      <c r="M141" s="8">
        <v>0</v>
      </c>
      <c r="N141" s="8"/>
      <c r="O141" s="8">
        <v>767116</v>
      </c>
      <c r="P141" s="8"/>
      <c r="Q141" s="8">
        <v>490173</v>
      </c>
      <c r="R141" s="8"/>
      <c r="S141" s="8">
        <v>35710</v>
      </c>
      <c r="T141" s="8"/>
      <c r="U141" s="8">
        <v>913728</v>
      </c>
      <c r="V141" s="8"/>
      <c r="W141" s="8">
        <v>256602</v>
      </c>
      <c r="X141" s="8"/>
      <c r="Y141" s="8">
        <v>0</v>
      </c>
      <c r="Z141" s="8"/>
      <c r="AA141" s="8">
        <v>1175772</v>
      </c>
      <c r="AB141" s="8"/>
      <c r="AC141" s="8">
        <v>704112</v>
      </c>
      <c r="AD141" s="8"/>
      <c r="AE141" s="8">
        <v>0</v>
      </c>
      <c r="AF141" s="138"/>
      <c r="AG141" s="12" t="s">
        <v>817</v>
      </c>
      <c r="AH141" s="12"/>
      <c r="AI141" s="12" t="s">
        <v>579</v>
      </c>
      <c r="AJ141" s="12"/>
      <c r="AK141" s="8">
        <v>0</v>
      </c>
      <c r="AL141" s="8"/>
      <c r="AM141" s="8">
        <v>552335</v>
      </c>
      <c r="AN141" s="8"/>
      <c r="AO141" s="8">
        <v>383506</v>
      </c>
      <c r="AP141" s="8"/>
      <c r="AQ141" s="8">
        <v>69533</v>
      </c>
      <c r="AR141" s="8"/>
      <c r="AS141" s="8"/>
      <c r="AT141" s="8"/>
      <c r="AU141" s="8">
        <v>0</v>
      </c>
      <c r="AV141" s="8"/>
      <c r="AW141" s="8">
        <f t="shared" si="6"/>
        <v>12181416</v>
      </c>
      <c r="AY141" s="8">
        <f>+'St of Activites - GA Rev'!AI141-'St of Activities - GA Exp'!AW141</f>
        <v>-1759141</v>
      </c>
      <c r="BA141" s="8">
        <v>12871768</v>
      </c>
      <c r="BC141" s="8">
        <f t="shared" si="7"/>
        <v>11112627</v>
      </c>
      <c r="BE141" s="8">
        <f>+'St of Net Assets - GA'!AA141-'St of Activities - GA Exp'!BC141</f>
        <v>0</v>
      </c>
      <c r="BG141" s="10" t="s">
        <v>913</v>
      </c>
    </row>
    <row r="142" spans="1:59">
      <c r="A142" s="12" t="s">
        <v>665</v>
      </c>
      <c r="B142" s="12"/>
      <c r="C142" s="12" t="s">
        <v>63</v>
      </c>
      <c r="D142" s="12"/>
      <c r="E142" s="32">
        <v>43836</v>
      </c>
      <c r="G142" s="8">
        <v>22300441</v>
      </c>
      <c r="H142" s="8"/>
      <c r="I142" s="8">
        <v>5897455</v>
      </c>
      <c r="J142" s="8"/>
      <c r="K142" s="8">
        <v>1101166</v>
      </c>
      <c r="L142" s="8"/>
      <c r="M142" s="8">
        <v>4119790</v>
      </c>
      <c r="N142" s="8"/>
      <c r="O142" s="8">
        <v>2888655</v>
      </c>
      <c r="P142" s="8"/>
      <c r="Q142" s="8">
        <v>1045497</v>
      </c>
      <c r="R142" s="8"/>
      <c r="S142" s="8">
        <v>71923</v>
      </c>
      <c r="T142" s="8"/>
      <c r="U142" s="8">
        <v>3230266</v>
      </c>
      <c r="V142" s="8"/>
      <c r="W142" s="8">
        <v>848697</v>
      </c>
      <c r="X142" s="8"/>
      <c r="Y142" s="8">
        <v>371033</v>
      </c>
      <c r="Z142" s="8"/>
      <c r="AA142" s="8">
        <v>4967648</v>
      </c>
      <c r="AB142" s="8"/>
      <c r="AC142" s="8">
        <v>1269347</v>
      </c>
      <c r="AD142" s="8"/>
      <c r="AE142" s="8">
        <v>439543</v>
      </c>
      <c r="AF142" s="138"/>
      <c r="AG142" s="12" t="s">
        <v>665</v>
      </c>
      <c r="AH142" s="12"/>
      <c r="AI142" s="12" t="s">
        <v>63</v>
      </c>
      <c r="AJ142" s="12"/>
      <c r="AK142" s="8">
        <v>1416540</v>
      </c>
      <c r="AL142" s="8"/>
      <c r="AM142" s="8">
        <v>1292049</v>
      </c>
      <c r="AN142" s="8"/>
      <c r="AO142" s="8">
        <v>1089223</v>
      </c>
      <c r="AP142" s="8"/>
      <c r="AQ142" s="8">
        <v>277203</v>
      </c>
      <c r="AR142" s="8"/>
      <c r="AS142" s="8"/>
      <c r="AT142" s="8"/>
      <c r="AU142" s="8">
        <v>0</v>
      </c>
      <c r="AV142" s="8"/>
      <c r="AW142" s="8">
        <f t="shared" si="6"/>
        <v>52626476</v>
      </c>
      <c r="AY142" s="8">
        <f>+'St of Activites - GA Rev'!AI142-'St of Activities - GA Exp'!AW142</f>
        <v>1476769</v>
      </c>
      <c r="BA142" s="8">
        <v>5897748</v>
      </c>
      <c r="BC142" s="8">
        <f t="shared" si="7"/>
        <v>7374517</v>
      </c>
      <c r="BE142" s="8">
        <f>+'St of Net Assets - GA'!AA142-'St of Activities - GA Exp'!BC142</f>
        <v>0</v>
      </c>
    </row>
    <row r="143" spans="1:59">
      <c r="A143" s="13" t="s">
        <v>1053</v>
      </c>
      <c r="B143" s="12"/>
      <c r="C143" s="12" t="s">
        <v>20</v>
      </c>
      <c r="D143" s="12"/>
      <c r="E143" s="32">
        <v>46557</v>
      </c>
      <c r="G143" s="8">
        <v>5985013</v>
      </c>
      <c r="H143" s="8"/>
      <c r="I143" s="8">
        <v>1424469</v>
      </c>
      <c r="J143" s="8"/>
      <c r="K143" s="8">
        <v>0</v>
      </c>
      <c r="L143" s="8"/>
      <c r="M143" s="8">
        <v>92437</v>
      </c>
      <c r="N143" s="8"/>
      <c r="O143" s="8">
        <v>1555626</v>
      </c>
      <c r="P143" s="8"/>
      <c r="Q143" s="8">
        <v>874662</v>
      </c>
      <c r="R143" s="8"/>
      <c r="S143" s="8">
        <v>75439</v>
      </c>
      <c r="T143" s="8"/>
      <c r="U143" s="8">
        <v>1392474</v>
      </c>
      <c r="V143" s="8"/>
      <c r="W143" s="8">
        <v>583129</v>
      </c>
      <c r="X143" s="8"/>
      <c r="Y143" s="8">
        <v>143977</v>
      </c>
      <c r="Z143" s="8"/>
      <c r="AA143" s="8">
        <v>1856780</v>
      </c>
      <c r="AB143" s="8"/>
      <c r="AC143" s="8">
        <v>867377</v>
      </c>
      <c r="AD143" s="8"/>
      <c r="AE143" s="8">
        <v>817592</v>
      </c>
      <c r="AF143" s="138"/>
      <c r="AG143" s="12" t="s">
        <v>304</v>
      </c>
      <c r="AH143" s="12"/>
      <c r="AI143" s="12" t="s">
        <v>20</v>
      </c>
      <c r="AJ143" s="12"/>
      <c r="AK143" s="8">
        <v>324871</v>
      </c>
      <c r="AL143" s="8"/>
      <c r="AM143" s="8">
        <v>140346</v>
      </c>
      <c r="AN143" s="8"/>
      <c r="AO143" s="8">
        <v>954582</v>
      </c>
      <c r="AP143" s="8"/>
      <c r="AQ143" s="8">
        <v>127003</v>
      </c>
      <c r="AR143" s="8"/>
      <c r="AS143" s="8"/>
      <c r="AT143" s="8"/>
      <c r="AU143" s="8">
        <v>0</v>
      </c>
      <c r="AV143" s="8"/>
      <c r="AW143" s="8">
        <f t="shared" si="6"/>
        <v>17215777</v>
      </c>
      <c r="AY143" s="8">
        <f>+'St of Activites - GA Rev'!AI143-'St of Activities - GA Exp'!AW143</f>
        <v>-923877</v>
      </c>
      <c r="BA143" s="8">
        <v>12011797</v>
      </c>
      <c r="BC143" s="8">
        <f t="shared" si="7"/>
        <v>11087920</v>
      </c>
      <c r="BE143" s="8">
        <f>+'St of Net Assets - GA'!AA143-'St of Activities - GA Exp'!BC143</f>
        <v>0</v>
      </c>
      <c r="BG143" s="15" t="s">
        <v>919</v>
      </c>
    </row>
    <row r="144" spans="1:59">
      <c r="A144" s="12" t="s">
        <v>828</v>
      </c>
      <c r="B144" s="12"/>
      <c r="C144" s="12" t="s">
        <v>71</v>
      </c>
      <c r="D144" s="12"/>
      <c r="E144" s="32"/>
      <c r="G144" s="8">
        <v>3789181</v>
      </c>
      <c r="H144" s="8"/>
      <c r="I144" s="8">
        <v>692278</v>
      </c>
      <c r="J144" s="8"/>
      <c r="K144" s="8">
        <v>131730</v>
      </c>
      <c r="L144" s="8"/>
      <c r="M144" s="8">
        <v>353781</v>
      </c>
      <c r="N144" s="8"/>
      <c r="O144" s="8">
        <v>336310</v>
      </c>
      <c r="P144" s="8"/>
      <c r="Q144" s="8">
        <v>474989</v>
      </c>
      <c r="R144" s="8"/>
      <c r="S144" s="8">
        <v>26003</v>
      </c>
      <c r="T144" s="8"/>
      <c r="U144" s="8">
        <v>860754</v>
      </c>
      <c r="V144" s="8"/>
      <c r="W144" s="8">
        <v>297544</v>
      </c>
      <c r="X144" s="8"/>
      <c r="Y144" s="8">
        <v>0</v>
      </c>
      <c r="Z144" s="8"/>
      <c r="AA144" s="8">
        <v>801976</v>
      </c>
      <c r="AB144" s="8"/>
      <c r="AC144" s="8">
        <v>426932</v>
      </c>
      <c r="AD144" s="8"/>
      <c r="AE144" s="8">
        <v>27325</v>
      </c>
      <c r="AF144" s="138"/>
      <c r="AG144" s="12" t="s">
        <v>828</v>
      </c>
      <c r="AH144" s="12"/>
      <c r="AI144" s="12" t="s">
        <v>71</v>
      </c>
      <c r="AJ144" s="12"/>
      <c r="AK144" s="8">
        <v>277849</v>
      </c>
      <c r="AL144" s="8"/>
      <c r="AM144" s="8">
        <v>197900</v>
      </c>
      <c r="AN144" s="8"/>
      <c r="AO144" s="8">
        <v>350188</v>
      </c>
      <c r="AP144" s="8"/>
      <c r="AQ144" s="8">
        <v>5151</v>
      </c>
      <c r="AR144" s="8"/>
      <c r="AS144" s="8"/>
      <c r="AT144" s="8"/>
      <c r="AU144" s="8">
        <v>0</v>
      </c>
      <c r="AV144" s="8"/>
      <c r="AW144" s="8">
        <f t="shared" si="6"/>
        <v>9049891</v>
      </c>
      <c r="AY144" s="8">
        <f>+'St of Activites - GA Rev'!AI144-'St of Activities - GA Exp'!AW144</f>
        <v>37708</v>
      </c>
      <c r="BA144" s="8">
        <v>2080725</v>
      </c>
      <c r="BC144" s="8">
        <f t="shared" si="7"/>
        <v>2118433</v>
      </c>
      <c r="BE144" s="8">
        <f>+'St of Net Assets - GA'!AA144-'St of Activities - GA Exp'!BC144</f>
        <v>0</v>
      </c>
    </row>
    <row r="145" spans="1:59" ht="12" customHeight="1">
      <c r="A145" s="12" t="s">
        <v>572</v>
      </c>
      <c r="B145" s="12"/>
      <c r="C145" s="12" t="s">
        <v>53</v>
      </c>
      <c r="D145" s="12"/>
      <c r="E145" s="32">
        <v>48934</v>
      </c>
      <c r="G145" s="8">
        <v>4326711</v>
      </c>
      <c r="H145" s="8"/>
      <c r="I145" s="8">
        <v>683441</v>
      </c>
      <c r="J145" s="8"/>
      <c r="K145" s="8">
        <v>0</v>
      </c>
      <c r="L145" s="8"/>
      <c r="M145" s="8">
        <f>53690+17758</f>
        <v>71448</v>
      </c>
      <c r="N145" s="8"/>
      <c r="O145" s="8">
        <v>359067</v>
      </c>
      <c r="P145" s="8"/>
      <c r="Q145" s="8">
        <v>664839</v>
      </c>
      <c r="R145" s="8"/>
      <c r="S145" s="8">
        <v>77475</v>
      </c>
      <c r="T145" s="8"/>
      <c r="U145" s="8">
        <v>934706</v>
      </c>
      <c r="V145" s="8"/>
      <c r="W145" s="8">
        <v>387237</v>
      </c>
      <c r="X145" s="8"/>
      <c r="Y145" s="8">
        <v>0</v>
      </c>
      <c r="Z145" s="8"/>
      <c r="AA145" s="8">
        <v>1202353</v>
      </c>
      <c r="AB145" s="8"/>
      <c r="AC145" s="8">
        <v>414360</v>
      </c>
      <c r="AD145" s="8"/>
      <c r="AE145" s="8">
        <v>9913</v>
      </c>
      <c r="AF145" s="138"/>
      <c r="AG145" s="12" t="s">
        <v>572</v>
      </c>
      <c r="AH145" s="12"/>
      <c r="AI145" s="12" t="s">
        <v>53</v>
      </c>
      <c r="AJ145" s="12"/>
      <c r="AK145" s="8">
        <v>270743</v>
      </c>
      <c r="AL145" s="8"/>
      <c r="AM145" s="8">
        <v>14130</v>
      </c>
      <c r="AN145" s="8"/>
      <c r="AO145" s="8">
        <v>301587</v>
      </c>
      <c r="AP145" s="8"/>
      <c r="AQ145" s="8">
        <v>23</v>
      </c>
      <c r="AR145" s="8"/>
      <c r="AS145" s="8"/>
      <c r="AT145" s="8"/>
      <c r="AU145" s="8">
        <v>0</v>
      </c>
      <c r="AV145" s="8"/>
      <c r="AW145" s="8">
        <f t="shared" si="6"/>
        <v>9718033</v>
      </c>
      <c r="AY145" s="8">
        <f>+'St of Activites - GA Rev'!AI145-'St of Activities - GA Exp'!AW145</f>
        <v>288435</v>
      </c>
      <c r="BA145" s="8">
        <v>9506465</v>
      </c>
      <c r="BC145" s="8">
        <f t="shared" si="7"/>
        <v>9794900</v>
      </c>
      <c r="BE145" s="8">
        <f>+'St of Net Assets - GA'!AA148-'St of Activities - GA Exp'!BC145</f>
        <v>0</v>
      </c>
    </row>
    <row r="146" spans="1:59" hidden="1">
      <c r="A146" s="13" t="s">
        <v>921</v>
      </c>
      <c r="B146" s="12"/>
      <c r="C146" s="12" t="s">
        <v>40</v>
      </c>
      <c r="D146" s="12"/>
      <c r="E146" s="32">
        <v>47837</v>
      </c>
      <c r="G146" s="8">
        <v>2823406</v>
      </c>
      <c r="H146" s="8"/>
      <c r="I146" s="8">
        <v>862699</v>
      </c>
      <c r="J146" s="8"/>
      <c r="K146" s="8">
        <v>127014</v>
      </c>
      <c r="L146" s="8"/>
      <c r="M146" s="8">
        <v>116104</v>
      </c>
      <c r="N146" s="8"/>
      <c r="O146" s="8">
        <v>364586</v>
      </c>
      <c r="P146" s="8"/>
      <c r="Q146" s="8">
        <v>536989</v>
      </c>
      <c r="R146" s="8"/>
      <c r="S146" s="8">
        <v>23514</v>
      </c>
      <c r="T146" s="8"/>
      <c r="U146" s="8">
        <v>634852</v>
      </c>
      <c r="V146" s="8"/>
      <c r="W146" s="8">
        <v>165197</v>
      </c>
      <c r="X146" s="8"/>
      <c r="Y146" s="8"/>
      <c r="Z146" s="8"/>
      <c r="AA146" s="8">
        <v>710733</v>
      </c>
      <c r="AB146" s="8"/>
      <c r="AC146" s="8">
        <v>238792</v>
      </c>
      <c r="AD146" s="8"/>
      <c r="AE146" s="8">
        <v>70779</v>
      </c>
      <c r="AF146" s="138"/>
      <c r="AG146" s="12" t="s">
        <v>455</v>
      </c>
      <c r="AH146" s="12"/>
      <c r="AI146" s="12" t="s">
        <v>40</v>
      </c>
      <c r="AJ146" s="12"/>
      <c r="AK146" s="8"/>
      <c r="AL146" s="8"/>
      <c r="AM146" s="8">
        <v>285724</v>
      </c>
      <c r="AN146" s="8"/>
      <c r="AO146" s="8">
        <v>180975</v>
      </c>
      <c r="AP146" s="8"/>
      <c r="AQ146" s="8"/>
      <c r="AR146" s="8"/>
      <c r="AS146" s="8"/>
      <c r="AT146" s="8"/>
      <c r="AU146" s="8">
        <v>130174</v>
      </c>
      <c r="AV146" s="8"/>
      <c r="AW146" s="8">
        <f t="shared" si="6"/>
        <v>7271538</v>
      </c>
      <c r="AY146" s="8">
        <f>+'St of Activites - GA Rev'!AI146-'St of Activities - GA Exp'!AW146</f>
        <v>110610</v>
      </c>
      <c r="BA146" s="8">
        <v>2619260</v>
      </c>
      <c r="BC146" s="8">
        <f t="shared" si="7"/>
        <v>2729870</v>
      </c>
      <c r="BE146" s="8">
        <f>+'St of Net Assets - GA'!AA149-'St of Activities - GA Exp'!BC146</f>
        <v>0</v>
      </c>
    </row>
    <row r="147" spans="1:59">
      <c r="A147" s="12" t="s">
        <v>467</v>
      </c>
      <c r="B147" s="12"/>
      <c r="C147" s="12" t="s">
        <v>466</v>
      </c>
      <c r="D147" s="12"/>
      <c r="E147" s="32">
        <v>47928</v>
      </c>
      <c r="G147" s="8">
        <v>6694306</v>
      </c>
      <c r="H147" s="8"/>
      <c r="I147" s="8">
        <v>877002</v>
      </c>
      <c r="J147" s="8"/>
      <c r="K147" s="8">
        <v>112667</v>
      </c>
      <c r="L147" s="8"/>
      <c r="M147" s="8">
        <v>0</v>
      </c>
      <c r="N147" s="8"/>
      <c r="O147" s="8">
        <v>587136</v>
      </c>
      <c r="P147" s="8"/>
      <c r="Q147" s="8">
        <v>384435</v>
      </c>
      <c r="R147" s="8"/>
      <c r="S147" s="8">
        <v>45528</v>
      </c>
      <c r="T147" s="8"/>
      <c r="U147" s="8">
        <v>1058709</v>
      </c>
      <c r="V147" s="8"/>
      <c r="W147" s="8">
        <v>412084</v>
      </c>
      <c r="X147" s="8"/>
      <c r="Y147" s="8">
        <v>17967</v>
      </c>
      <c r="Z147" s="8"/>
      <c r="AA147" s="8">
        <v>1345029</v>
      </c>
      <c r="AB147" s="8"/>
      <c r="AC147" s="8">
        <v>690317</v>
      </c>
      <c r="AD147" s="8"/>
      <c r="AE147" s="8">
        <v>112838</v>
      </c>
      <c r="AF147" s="138"/>
      <c r="AG147" s="12" t="s">
        <v>467</v>
      </c>
      <c r="AH147" s="12"/>
      <c r="AI147" s="12" t="s">
        <v>466</v>
      </c>
      <c r="AJ147" s="12"/>
      <c r="AK147" s="8">
        <v>666062</v>
      </c>
      <c r="AL147" s="8"/>
      <c r="AM147" s="8">
        <v>62246</v>
      </c>
      <c r="AN147" s="8"/>
      <c r="AO147" s="8">
        <v>458521</v>
      </c>
      <c r="AP147" s="8"/>
      <c r="AQ147" s="8">
        <v>86036</v>
      </c>
      <c r="AR147" s="8"/>
      <c r="AS147" s="8"/>
      <c r="AT147" s="8"/>
      <c r="AU147" s="8">
        <v>0</v>
      </c>
      <c r="AV147" s="8"/>
      <c r="AW147" s="8">
        <f t="shared" si="6"/>
        <v>13610883</v>
      </c>
      <c r="AY147" s="8">
        <f>+'St of Activites - GA Rev'!AI147-'St of Activities - GA Exp'!AW147</f>
        <v>-1065104</v>
      </c>
      <c r="BA147" s="8">
        <v>35822979</v>
      </c>
      <c r="BC147" s="8">
        <f t="shared" si="7"/>
        <v>34757875</v>
      </c>
      <c r="BE147" s="8">
        <f>+'St of Net Assets - GA'!AA150-'St of Activities - GA Exp'!BC147</f>
        <v>0</v>
      </c>
    </row>
    <row r="148" spans="1:59">
      <c r="A148" s="12" t="s">
        <v>546</v>
      </c>
      <c r="B148" s="12"/>
      <c r="C148" s="12" t="s">
        <v>50</v>
      </c>
      <c r="D148" s="12"/>
      <c r="E148" s="32">
        <v>43844</v>
      </c>
      <c r="G148" s="8">
        <v>98856000</v>
      </c>
      <c r="H148" s="8"/>
      <c r="I148" s="8">
        <v>0</v>
      </c>
      <c r="J148" s="8"/>
      <c r="K148" s="8">
        <v>0</v>
      </c>
      <c r="L148" s="8"/>
      <c r="M148" s="8">
        <v>0</v>
      </c>
      <c r="N148" s="8"/>
      <c r="O148" s="8">
        <v>26519000</v>
      </c>
      <c r="P148" s="8"/>
      <c r="Q148" s="8">
        <v>0</v>
      </c>
      <c r="R148" s="8"/>
      <c r="S148" s="8">
        <v>22471000</v>
      </c>
      <c r="T148" s="8"/>
      <c r="U148" s="8">
        <v>0</v>
      </c>
      <c r="V148" s="8"/>
      <c r="W148" s="8">
        <v>0</v>
      </c>
      <c r="X148" s="8"/>
      <c r="Y148" s="8">
        <v>0</v>
      </c>
      <c r="Z148" s="8"/>
      <c r="AA148" s="8">
        <v>22092000</v>
      </c>
      <c r="AB148" s="8"/>
      <c r="AC148" s="8">
        <v>15992000</v>
      </c>
      <c r="AD148" s="8"/>
      <c r="AE148" s="8">
        <v>7754000</v>
      </c>
      <c r="AF148" s="138"/>
      <c r="AG148" s="12" t="s">
        <v>546</v>
      </c>
      <c r="AH148" s="12"/>
      <c r="AI148" s="12" t="s">
        <v>50</v>
      </c>
      <c r="AJ148" s="12"/>
      <c r="AK148" s="8">
        <v>0</v>
      </c>
      <c r="AL148" s="8"/>
      <c r="AM148" s="8">
        <v>72023000</v>
      </c>
      <c r="AN148" s="8"/>
      <c r="AO148" s="8">
        <v>1932000</v>
      </c>
      <c r="AP148" s="8"/>
      <c r="AQ148" s="8">
        <v>11693000</v>
      </c>
      <c r="AR148" s="8"/>
      <c r="AS148" s="8"/>
      <c r="AT148" s="8"/>
      <c r="AU148" s="8">
        <v>3393000</v>
      </c>
      <c r="AV148" s="8"/>
      <c r="AW148" s="8">
        <f t="shared" si="6"/>
        <v>282725000</v>
      </c>
      <c r="AY148" s="8">
        <f>+'St of Activites - GA Rev'!AI148-'St of Activities - GA Exp'!AW148</f>
        <v>22875000</v>
      </c>
      <c r="BA148" s="8">
        <v>341922000</v>
      </c>
      <c r="BC148" s="8">
        <f t="shared" ref="BC148:BC178" si="8">+AY148+BA148</f>
        <v>364797000</v>
      </c>
      <c r="BE148" s="8">
        <f>+'St of Net Assets - GA'!AA151-'St of Activities - GA Exp'!BC148</f>
        <v>0</v>
      </c>
      <c r="BG148" s="10" t="s">
        <v>923</v>
      </c>
    </row>
    <row r="149" spans="1:59">
      <c r="A149" s="13" t="s">
        <v>924</v>
      </c>
      <c r="B149" s="12"/>
      <c r="C149" s="12" t="s">
        <v>32</v>
      </c>
      <c r="D149" s="12"/>
      <c r="E149" s="32">
        <v>43851</v>
      </c>
      <c r="G149" s="8">
        <v>7971084</v>
      </c>
      <c r="H149" s="8"/>
      <c r="I149" s="8">
        <v>0</v>
      </c>
      <c r="J149" s="8"/>
      <c r="K149" s="8">
        <v>0</v>
      </c>
      <c r="L149" s="8"/>
      <c r="M149" s="8">
        <v>0</v>
      </c>
      <c r="N149" s="8"/>
      <c r="O149" s="8">
        <v>1852852</v>
      </c>
      <c r="P149" s="8"/>
      <c r="Q149" s="8">
        <v>0</v>
      </c>
      <c r="R149" s="8"/>
      <c r="S149" s="8">
        <v>1972709</v>
      </c>
      <c r="T149" s="8"/>
      <c r="U149" s="8">
        <v>0</v>
      </c>
      <c r="V149" s="8"/>
      <c r="W149" s="8">
        <v>0</v>
      </c>
      <c r="X149" s="8"/>
      <c r="Y149" s="8">
        <v>0</v>
      </c>
      <c r="Z149" s="8"/>
      <c r="AA149" s="8">
        <v>1300659</v>
      </c>
      <c r="AB149" s="8"/>
      <c r="AC149" s="8">
        <v>283865</v>
      </c>
      <c r="AD149" s="8"/>
      <c r="AE149" s="8">
        <v>155123</v>
      </c>
      <c r="AF149" s="138"/>
      <c r="AG149" s="12" t="s">
        <v>392</v>
      </c>
      <c r="AH149" s="12"/>
      <c r="AI149" s="12" t="s">
        <v>32</v>
      </c>
      <c r="AJ149" s="12"/>
      <c r="AK149" s="8">
        <v>0</v>
      </c>
      <c r="AL149" s="8"/>
      <c r="AM149" s="8">
        <v>642622</v>
      </c>
      <c r="AN149" s="8"/>
      <c r="AO149" s="8">
        <v>564148</v>
      </c>
      <c r="AP149" s="8"/>
      <c r="AQ149" s="8">
        <v>30684</v>
      </c>
      <c r="AR149" s="8"/>
      <c r="AS149" s="8"/>
      <c r="AT149" s="8"/>
      <c r="AU149" s="8">
        <v>0</v>
      </c>
      <c r="AV149" s="8"/>
      <c r="AW149" s="8">
        <f t="shared" si="6"/>
        <v>14773746</v>
      </c>
      <c r="AY149" s="8">
        <f>+'St of Activites - GA Rev'!AI149-'St of Activities - GA Exp'!AW149</f>
        <v>840542</v>
      </c>
      <c r="BA149" s="8">
        <v>7059813</v>
      </c>
      <c r="BC149" s="8">
        <f t="shared" si="8"/>
        <v>7900355</v>
      </c>
      <c r="BE149" s="8">
        <f>+'St of Net Assets - GA'!AA152-'St of Activities - GA Exp'!BC149</f>
        <v>0</v>
      </c>
      <c r="BG149" s="10" t="s">
        <v>935</v>
      </c>
    </row>
    <row r="150" spans="1:59" ht="12" hidden="1" customHeight="1">
      <c r="A150" s="13" t="s">
        <v>925</v>
      </c>
      <c r="B150" s="12"/>
      <c r="C150" s="12" t="s">
        <v>22</v>
      </c>
      <c r="D150" s="12"/>
      <c r="E150" s="32">
        <v>43869</v>
      </c>
      <c r="G150" s="8">
        <v>9428099</v>
      </c>
      <c r="H150" s="8"/>
      <c r="I150" s="8">
        <v>2773865</v>
      </c>
      <c r="J150" s="8"/>
      <c r="K150" s="8">
        <v>400923</v>
      </c>
      <c r="L150" s="8"/>
      <c r="M150" s="8">
        <v>1608079</v>
      </c>
      <c r="N150" s="8"/>
      <c r="O150" s="8">
        <v>1207929</v>
      </c>
      <c r="P150" s="8"/>
      <c r="Q150" s="8">
        <v>1367098</v>
      </c>
      <c r="R150" s="8"/>
      <c r="S150" s="8">
        <v>46104</v>
      </c>
      <c r="T150" s="8"/>
      <c r="U150" s="8">
        <v>1726525</v>
      </c>
      <c r="V150" s="8"/>
      <c r="W150" s="8">
        <v>570347</v>
      </c>
      <c r="X150" s="8"/>
      <c r="Y150" s="8"/>
      <c r="Z150" s="8"/>
      <c r="AA150" s="8">
        <v>2440415</v>
      </c>
      <c r="AB150" s="8"/>
      <c r="AC150" s="8">
        <v>822520</v>
      </c>
      <c r="AD150" s="8"/>
      <c r="AE150" s="8">
        <v>23334</v>
      </c>
      <c r="AF150" s="138"/>
      <c r="AG150" s="12" t="s">
        <v>331</v>
      </c>
      <c r="AH150" s="12"/>
      <c r="AI150" s="12" t="s">
        <v>22</v>
      </c>
      <c r="AJ150" s="12"/>
      <c r="AK150" s="8">
        <v>1108616</v>
      </c>
      <c r="AL150" s="8"/>
      <c r="AM150" s="8">
        <v>362410</v>
      </c>
      <c r="AN150" s="8"/>
      <c r="AO150" s="8">
        <v>779876</v>
      </c>
      <c r="AP150" s="8"/>
      <c r="AQ150" s="8"/>
      <c r="AR150" s="8"/>
      <c r="AS150" s="8"/>
      <c r="AT150" s="8"/>
      <c r="AU150" s="8">
        <f>8911631+1399161</f>
        <v>10310792</v>
      </c>
      <c r="AV150" s="8"/>
      <c r="AW150" s="8">
        <f t="shared" si="6"/>
        <v>34976932</v>
      </c>
      <c r="AY150" s="8">
        <f>+'St of Activites - GA Rev'!AI150-'St of Activities - GA Exp'!AW150</f>
        <v>-6348436</v>
      </c>
      <c r="BA150" s="8">
        <v>12479149</v>
      </c>
      <c r="BC150" s="8">
        <f t="shared" si="8"/>
        <v>6130713</v>
      </c>
      <c r="BE150" s="8">
        <f>+'St of Net Assets - GA'!AA153-'St of Activities - GA Exp'!BC150</f>
        <v>0</v>
      </c>
    </row>
    <row r="151" spans="1:59">
      <c r="A151" s="13" t="s">
        <v>926</v>
      </c>
      <c r="B151" s="13"/>
      <c r="C151" s="13" t="s">
        <v>23</v>
      </c>
      <c r="D151" s="12"/>
      <c r="E151" s="32"/>
      <c r="G151" s="8">
        <v>28403440</v>
      </c>
      <c r="H151" s="8"/>
      <c r="I151" s="8">
        <v>0</v>
      </c>
      <c r="J151" s="8"/>
      <c r="K151" s="8">
        <v>0</v>
      </c>
      <c r="L151" s="8"/>
      <c r="M151" s="8">
        <v>0</v>
      </c>
      <c r="N151" s="8"/>
      <c r="O151" s="8">
        <v>5215177</v>
      </c>
      <c r="P151" s="8"/>
      <c r="Q151" s="8">
        <v>0</v>
      </c>
      <c r="R151" s="8"/>
      <c r="S151" s="8">
        <v>4577531</v>
      </c>
      <c r="T151" s="8"/>
      <c r="U151" s="8">
        <v>0</v>
      </c>
      <c r="V151" s="8"/>
      <c r="W151" s="8">
        <v>0</v>
      </c>
      <c r="X151" s="8"/>
      <c r="Y151" s="8">
        <v>0</v>
      </c>
      <c r="Z151" s="8"/>
      <c r="AA151" s="8">
        <v>4576377</v>
      </c>
      <c r="AB151" s="8"/>
      <c r="AC151" s="8">
        <v>2983616</v>
      </c>
      <c r="AD151" s="8"/>
      <c r="AE151" s="8">
        <v>159258</v>
      </c>
      <c r="AF151" s="138"/>
      <c r="AG151" s="13" t="s">
        <v>926</v>
      </c>
      <c r="AH151" s="13"/>
      <c r="AI151" s="13" t="s">
        <v>23</v>
      </c>
      <c r="AJ151" s="12"/>
      <c r="AK151" s="8">
        <v>0</v>
      </c>
      <c r="AL151" s="8"/>
      <c r="AM151" s="8">
        <v>2048717</v>
      </c>
      <c r="AN151" s="8"/>
      <c r="AO151" s="8">
        <v>1161904</v>
      </c>
      <c r="AP151" s="8"/>
      <c r="AQ151" s="8">
        <v>1604734</v>
      </c>
      <c r="AR151" s="8"/>
      <c r="AS151" s="8"/>
      <c r="AT151" s="8"/>
      <c r="AU151" s="8">
        <v>951516</v>
      </c>
      <c r="AV151" s="8"/>
      <c r="AW151" s="8">
        <f t="shared" si="6"/>
        <v>51682270</v>
      </c>
      <c r="AY151" s="8">
        <f>+'St of Activites - GA Rev'!AI151-'St of Activities - GA Exp'!AW151</f>
        <v>-346713</v>
      </c>
      <c r="BA151" s="8">
        <v>14765578</v>
      </c>
      <c r="BC151" s="8">
        <f t="shared" si="8"/>
        <v>14418865</v>
      </c>
      <c r="BE151" s="8">
        <f>+'St of Net Assets - GA'!AA154-'St of Activities - GA Exp'!BC151</f>
        <v>0</v>
      </c>
      <c r="BG151" s="10" t="s">
        <v>935</v>
      </c>
    </row>
    <row r="152" spans="1:59">
      <c r="A152" s="12" t="s">
        <v>210</v>
      </c>
      <c r="B152" s="12"/>
      <c r="C152" s="12" t="s">
        <v>10</v>
      </c>
      <c r="D152" s="12"/>
      <c r="E152" s="32">
        <v>43885</v>
      </c>
      <c r="F152" s="8"/>
      <c r="G152" s="8">
        <v>4625900</v>
      </c>
      <c r="H152" s="8"/>
      <c r="I152" s="8">
        <v>936926</v>
      </c>
      <c r="J152" s="8"/>
      <c r="K152" s="8">
        <v>465988</v>
      </c>
      <c r="L152" s="8"/>
      <c r="M152" s="8">
        <v>574</v>
      </c>
      <c r="N152" s="8"/>
      <c r="O152" s="8">
        <v>484090</v>
      </c>
      <c r="P152" s="8"/>
      <c r="Q152" s="8">
        <v>496770</v>
      </c>
      <c r="R152" s="8"/>
      <c r="S152" s="8">
        <v>20043</v>
      </c>
      <c r="T152" s="8"/>
      <c r="U152" s="8">
        <v>876754</v>
      </c>
      <c r="V152" s="8"/>
      <c r="W152" s="8">
        <v>352303</v>
      </c>
      <c r="X152" s="8"/>
      <c r="Y152" s="8">
        <v>0</v>
      </c>
      <c r="Z152" s="8"/>
      <c r="AA152" s="8">
        <v>639815</v>
      </c>
      <c r="AB152" s="8"/>
      <c r="AC152" s="8">
        <v>481538</v>
      </c>
      <c r="AD152" s="8"/>
      <c r="AE152" s="8">
        <v>11523</v>
      </c>
      <c r="AF152" s="138"/>
      <c r="AG152" s="13" t="s">
        <v>210</v>
      </c>
      <c r="AH152" s="13"/>
      <c r="AI152" s="13" t="s">
        <v>10</v>
      </c>
      <c r="AJ152" s="13"/>
      <c r="AK152" s="8">
        <v>0</v>
      </c>
      <c r="AL152" s="8"/>
      <c r="AM152" s="8">
        <v>1164065</v>
      </c>
      <c r="AN152" s="8"/>
      <c r="AO152" s="8">
        <v>406721</v>
      </c>
      <c r="AP152" s="8"/>
      <c r="AQ152" s="8">
        <v>0</v>
      </c>
      <c r="AR152" s="8"/>
      <c r="AS152" s="8"/>
      <c r="AT152" s="8"/>
      <c r="AU152" s="8">
        <v>10963</v>
      </c>
      <c r="AV152" s="8"/>
      <c r="AW152" s="8">
        <f t="shared" ref="AW152" si="9">SUM(G152:AV152)</f>
        <v>10973973</v>
      </c>
      <c r="AY152" s="8">
        <f>+'St of Activites - GA Rev'!AI152-'St of Activities - GA Exp'!AW152</f>
        <v>109736</v>
      </c>
      <c r="BA152" s="8">
        <v>3977702</v>
      </c>
      <c r="BC152" s="8">
        <f t="shared" si="8"/>
        <v>4087438</v>
      </c>
      <c r="BE152" s="8">
        <f>+'St of Net Assets - GA'!AA155-'St of Activities - GA Exp'!BC152</f>
        <v>0</v>
      </c>
    </row>
    <row r="153" spans="1:59">
      <c r="A153" s="12" t="s">
        <v>695</v>
      </c>
      <c r="B153" s="12"/>
      <c r="C153" s="12" t="s">
        <v>65</v>
      </c>
      <c r="D153" s="12"/>
      <c r="E153" s="32">
        <v>43893</v>
      </c>
      <c r="G153" s="8">
        <v>9968064</v>
      </c>
      <c r="H153" s="8"/>
      <c r="I153" s="8">
        <v>2210769</v>
      </c>
      <c r="J153" s="8"/>
      <c r="K153" s="8">
        <v>86833</v>
      </c>
      <c r="L153" s="8"/>
      <c r="M153" s="8">
        <v>116437</v>
      </c>
      <c r="N153" s="8"/>
      <c r="O153" s="8">
        <v>1148062</v>
      </c>
      <c r="P153" s="8"/>
      <c r="Q153" s="8">
        <v>1121905</v>
      </c>
      <c r="R153" s="8"/>
      <c r="S153" s="8">
        <v>43754</v>
      </c>
      <c r="T153" s="8"/>
      <c r="U153" s="8">
        <v>1730845</v>
      </c>
      <c r="V153" s="8"/>
      <c r="W153" s="8">
        <v>735556</v>
      </c>
      <c r="X153" s="8"/>
      <c r="Y153" s="8">
        <v>0</v>
      </c>
      <c r="Z153" s="8"/>
      <c r="AA153" s="8">
        <v>2042424</v>
      </c>
      <c r="AB153" s="8"/>
      <c r="AC153" s="8">
        <v>565606</v>
      </c>
      <c r="AD153" s="8"/>
      <c r="AE153" s="8">
        <v>0</v>
      </c>
      <c r="AF153" s="138"/>
      <c r="AG153" s="12" t="s">
        <v>695</v>
      </c>
      <c r="AH153" s="12"/>
      <c r="AI153" s="12" t="s">
        <v>65</v>
      </c>
      <c r="AJ153" s="12"/>
      <c r="AK153" s="8">
        <v>777375</v>
      </c>
      <c r="AL153" s="8"/>
      <c r="AM153" s="8">
        <v>219081</v>
      </c>
      <c r="AN153" s="8"/>
      <c r="AO153" s="8">
        <v>917218</v>
      </c>
      <c r="AP153" s="8"/>
      <c r="AQ153" s="8">
        <v>243128</v>
      </c>
      <c r="AR153" s="8"/>
      <c r="AS153" s="8"/>
      <c r="AT153" s="8"/>
      <c r="AU153" s="8">
        <v>0</v>
      </c>
      <c r="AV153" s="8"/>
      <c r="AW153" s="8">
        <f t="shared" ref="AW153:AW178" si="10">SUM(G153:AV153)</f>
        <v>21927057</v>
      </c>
      <c r="AY153" s="8">
        <f>+'St of Activites - GA Rev'!AI153-'St of Activities - GA Exp'!AW153</f>
        <v>2413950</v>
      </c>
      <c r="BA153" s="8">
        <v>5460538</v>
      </c>
      <c r="BC153" s="8">
        <f t="shared" si="8"/>
        <v>7874488</v>
      </c>
      <c r="BE153" s="8">
        <f>+'St of Net Assets - GA'!AA156-'St of Activities - GA Exp'!BC153</f>
        <v>0</v>
      </c>
    </row>
    <row r="154" spans="1:59">
      <c r="A154" s="12" t="s">
        <v>355</v>
      </c>
      <c r="B154" s="12"/>
      <c r="C154" s="12" t="s">
        <v>27</v>
      </c>
      <c r="D154" s="12"/>
      <c r="E154" s="32">
        <v>47027</v>
      </c>
      <c r="G154" s="8">
        <v>72113000</v>
      </c>
      <c r="H154" s="8"/>
      <c r="I154" s="8">
        <v>19349000</v>
      </c>
      <c r="J154" s="8"/>
      <c r="K154" s="8">
        <v>228000</v>
      </c>
      <c r="L154" s="8"/>
      <c r="M154" s="8">
        <v>0</v>
      </c>
      <c r="N154" s="8"/>
      <c r="O154" s="8">
        <v>9559000</v>
      </c>
      <c r="P154" s="8"/>
      <c r="Q154" s="8">
        <v>15098000</v>
      </c>
      <c r="R154" s="8"/>
      <c r="S154" s="8">
        <v>136000</v>
      </c>
      <c r="T154" s="8"/>
      <c r="U154" s="8">
        <v>10486000</v>
      </c>
      <c r="V154" s="8"/>
      <c r="W154" s="8">
        <v>2622000</v>
      </c>
      <c r="X154" s="8"/>
      <c r="Y154" s="8">
        <v>973000</v>
      </c>
      <c r="Z154" s="8"/>
      <c r="AA154" s="8">
        <v>14336000</v>
      </c>
      <c r="AB154" s="8"/>
      <c r="AC154" s="8">
        <v>7873000</v>
      </c>
      <c r="AD154" s="8"/>
      <c r="AE154" s="8">
        <v>6320000</v>
      </c>
      <c r="AF154" s="138"/>
      <c r="AG154" s="12" t="s">
        <v>355</v>
      </c>
      <c r="AH154" s="12"/>
      <c r="AI154" s="12" t="s">
        <v>27</v>
      </c>
      <c r="AJ154" s="12"/>
      <c r="AK154" s="8">
        <v>4692000</v>
      </c>
      <c r="AL154" s="8"/>
      <c r="AM154" s="8">
        <v>560000</v>
      </c>
      <c r="AN154" s="8"/>
      <c r="AO154" s="8">
        <v>5017000</v>
      </c>
      <c r="AP154" s="8"/>
      <c r="AQ154" s="8">
        <v>8984000</v>
      </c>
      <c r="AR154" s="8"/>
      <c r="AS154" s="8"/>
      <c r="AT154" s="8"/>
      <c r="AU154" s="8">
        <f>20000+232000</f>
        <v>252000</v>
      </c>
      <c r="AV154" s="8"/>
      <c r="AW154" s="8">
        <f t="shared" si="10"/>
        <v>178598000</v>
      </c>
      <c r="AY154" s="8">
        <f>+'St of Activites - GA Rev'!AI154-'St of Activities - GA Exp'!AW154</f>
        <v>-1533000</v>
      </c>
      <c r="BA154" s="8">
        <f>61543329+822309</f>
        <v>62365638</v>
      </c>
      <c r="BC154" s="8">
        <f t="shared" si="8"/>
        <v>60832638</v>
      </c>
      <c r="BE154" s="8">
        <f>+'St of Net Assets - GA'!AA157-'St of Activities - GA Exp'!BC154</f>
        <v>362</v>
      </c>
      <c r="BG154" s="10" t="s">
        <v>928</v>
      </c>
    </row>
    <row r="155" spans="1:59" ht="12" customHeight="1">
      <c r="A155" s="13" t="s">
        <v>305</v>
      </c>
      <c r="B155" s="12"/>
      <c r="C155" s="12" t="s">
        <v>20</v>
      </c>
      <c r="D155" s="12"/>
      <c r="E155" s="32">
        <v>43901</v>
      </c>
      <c r="G155" s="8">
        <v>18305425</v>
      </c>
      <c r="H155" s="8"/>
      <c r="I155" s="8">
        <v>10814594</v>
      </c>
      <c r="J155" s="8"/>
      <c r="K155" s="8">
        <v>1621437</v>
      </c>
      <c r="L155" s="8"/>
      <c r="M155" s="8">
        <f>72691+5118658</f>
        <v>5191349</v>
      </c>
      <c r="N155" s="8"/>
      <c r="O155" s="8">
        <v>2777960</v>
      </c>
      <c r="P155" s="8"/>
      <c r="Q155" s="8">
        <v>4372890</v>
      </c>
      <c r="R155" s="8"/>
      <c r="S155" s="8">
        <v>45672</v>
      </c>
      <c r="T155" s="8"/>
      <c r="U155" s="8">
        <v>4931575</v>
      </c>
      <c r="V155" s="8"/>
      <c r="W155" s="8">
        <v>1984768</v>
      </c>
      <c r="X155" s="8"/>
      <c r="Y155" s="8">
        <v>313552</v>
      </c>
      <c r="Z155" s="8"/>
      <c r="AA155" s="8">
        <v>4382508</v>
      </c>
      <c r="AB155" s="8"/>
      <c r="AC155" s="8">
        <v>1288473</v>
      </c>
      <c r="AD155" s="8"/>
      <c r="AE155" s="8">
        <v>2248125</v>
      </c>
      <c r="AF155" s="138"/>
      <c r="AG155" s="12" t="s">
        <v>305</v>
      </c>
      <c r="AH155" s="12"/>
      <c r="AI155" s="12" t="s">
        <v>20</v>
      </c>
      <c r="AJ155" s="12"/>
      <c r="AK155" s="8">
        <v>1808898</v>
      </c>
      <c r="AL155" s="8"/>
      <c r="AM155" s="8">
        <v>37682</v>
      </c>
      <c r="AN155" s="8"/>
      <c r="AO155" s="8">
        <v>438574</v>
      </c>
      <c r="AP155" s="8"/>
      <c r="AQ155" s="8">
        <v>356557</v>
      </c>
      <c r="AR155" s="8"/>
      <c r="AS155" s="8"/>
      <c r="AT155" s="8"/>
      <c r="AU155" s="8">
        <v>0</v>
      </c>
      <c r="AV155" s="8"/>
      <c r="AW155" s="8">
        <f t="shared" si="10"/>
        <v>60920039</v>
      </c>
      <c r="AY155" s="8">
        <f>+'St of Activites - GA Rev'!AI158-'St of Activities - GA Exp'!AW155</f>
        <v>5266627</v>
      </c>
      <c r="BA155" s="8">
        <v>116300686</v>
      </c>
      <c r="BC155" s="8">
        <f t="shared" si="8"/>
        <v>121567313</v>
      </c>
      <c r="BE155" s="8">
        <f>+'St of Net Assets - GA'!AA158-'St of Activities - GA Exp'!BC155</f>
        <v>0</v>
      </c>
      <c r="BG155" s="8" t="s">
        <v>956</v>
      </c>
    </row>
    <row r="156" spans="1:59">
      <c r="A156" s="12" t="s">
        <v>276</v>
      </c>
      <c r="B156" s="12"/>
      <c r="C156" s="12" t="s">
        <v>18</v>
      </c>
      <c r="D156" s="12"/>
      <c r="E156" s="32">
        <v>46409</v>
      </c>
      <c r="G156" s="8">
        <v>6296693</v>
      </c>
      <c r="H156" s="8"/>
      <c r="I156" s="8">
        <v>1105397</v>
      </c>
      <c r="J156" s="8"/>
      <c r="K156" s="8">
        <v>94056</v>
      </c>
      <c r="L156" s="8"/>
      <c r="M156" s="8">
        <v>0</v>
      </c>
      <c r="N156" s="8"/>
      <c r="O156" s="8">
        <v>468918</v>
      </c>
      <c r="P156" s="8"/>
      <c r="Q156" s="8">
        <v>880181</v>
      </c>
      <c r="R156" s="8"/>
      <c r="S156" s="8">
        <v>54253</v>
      </c>
      <c r="T156" s="8"/>
      <c r="U156" s="8">
        <v>914188</v>
      </c>
      <c r="V156" s="8"/>
      <c r="W156" s="8">
        <v>300980</v>
      </c>
      <c r="X156" s="8"/>
      <c r="Y156" s="8">
        <v>6338</v>
      </c>
      <c r="Z156" s="8"/>
      <c r="AA156" s="8">
        <v>1266590</v>
      </c>
      <c r="AB156" s="8"/>
      <c r="AC156" s="8">
        <v>866932</v>
      </c>
      <c r="AD156" s="8"/>
      <c r="AE156" s="8">
        <v>85273</v>
      </c>
      <c r="AF156" s="138"/>
      <c r="AG156" s="12" t="s">
        <v>276</v>
      </c>
      <c r="AH156" s="12"/>
      <c r="AI156" s="12" t="s">
        <v>18</v>
      </c>
      <c r="AJ156" s="12"/>
      <c r="AK156" s="8">
        <v>579518</v>
      </c>
      <c r="AL156" s="8"/>
      <c r="AM156" s="8">
        <v>1000</v>
      </c>
      <c r="AN156" s="8"/>
      <c r="AO156" s="8">
        <v>353894</v>
      </c>
      <c r="AP156" s="8"/>
      <c r="AQ156" s="8">
        <v>135547</v>
      </c>
      <c r="AR156" s="8"/>
      <c r="AS156" s="8"/>
      <c r="AT156" s="8"/>
      <c r="AU156" s="8">
        <v>0</v>
      </c>
      <c r="AV156" s="8"/>
      <c r="AW156" s="8">
        <f t="shared" si="10"/>
        <v>13409758</v>
      </c>
      <c r="AY156" s="8">
        <f>+'St of Activites - GA Rev'!AI159-'St of Activities - GA Exp'!AW156</f>
        <v>260647</v>
      </c>
      <c r="BA156" s="8">
        <v>14971968</v>
      </c>
      <c r="BC156" s="8">
        <f t="shared" si="8"/>
        <v>15232615</v>
      </c>
      <c r="BE156" s="8">
        <f>+'St of Net Assets - GA'!AA159-'St of Activities - GA Exp'!BC156</f>
        <v>0</v>
      </c>
    </row>
    <row r="157" spans="1:59">
      <c r="A157" s="12"/>
      <c r="B157" s="12"/>
      <c r="C157" s="12"/>
      <c r="D157" s="12"/>
      <c r="E157" s="32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138"/>
      <c r="AG157" s="12"/>
      <c r="AH157" s="12"/>
      <c r="AI157" s="12"/>
      <c r="AJ157" s="12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</row>
    <row r="158" spans="1:59">
      <c r="A158" s="12"/>
      <c r="B158" s="12"/>
      <c r="C158" s="12"/>
      <c r="D158" s="12"/>
      <c r="E158" s="32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 t="s">
        <v>805</v>
      </c>
      <c r="AF158" s="138"/>
      <c r="AG158" s="12"/>
      <c r="AH158" s="12"/>
      <c r="AI158" s="12"/>
      <c r="AJ158" s="12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BC158" s="8" t="s">
        <v>805</v>
      </c>
    </row>
    <row r="159" spans="1:59">
      <c r="A159" s="12"/>
      <c r="B159" s="12"/>
      <c r="C159" s="12"/>
      <c r="D159" s="12"/>
      <c r="E159" s="32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138"/>
      <c r="AG159" s="12"/>
      <c r="AH159" s="12"/>
      <c r="AI159" s="12"/>
      <c r="AJ159" s="12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</row>
    <row r="160" spans="1:59">
      <c r="A160" s="12" t="s">
        <v>390</v>
      </c>
      <c r="B160" s="12"/>
      <c r="C160" s="12" t="s">
        <v>31</v>
      </c>
      <c r="D160" s="12"/>
      <c r="E160" s="32">
        <v>69682</v>
      </c>
      <c r="G160" s="35">
        <v>5156011</v>
      </c>
      <c r="H160" s="35"/>
      <c r="I160" s="35">
        <v>1075255</v>
      </c>
      <c r="J160" s="35"/>
      <c r="K160" s="35">
        <v>284161</v>
      </c>
      <c r="L160" s="35"/>
      <c r="M160" s="35">
        <f>6250+235389</f>
        <v>241639</v>
      </c>
      <c r="N160" s="35"/>
      <c r="O160" s="35">
        <v>585866</v>
      </c>
      <c r="P160" s="35"/>
      <c r="Q160" s="35">
        <v>516060</v>
      </c>
      <c r="R160" s="35"/>
      <c r="S160" s="35">
        <v>29582</v>
      </c>
      <c r="T160" s="35"/>
      <c r="U160" s="35">
        <v>1016656</v>
      </c>
      <c r="V160" s="35"/>
      <c r="W160" s="35">
        <v>335063</v>
      </c>
      <c r="X160" s="35"/>
      <c r="Y160" s="35">
        <v>0</v>
      </c>
      <c r="Z160" s="35"/>
      <c r="AA160" s="35">
        <v>1191706</v>
      </c>
      <c r="AB160" s="35"/>
      <c r="AC160" s="35">
        <v>661250</v>
      </c>
      <c r="AD160" s="35"/>
      <c r="AE160" s="35">
        <v>37569</v>
      </c>
      <c r="AF160" s="138"/>
      <c r="AG160" s="12" t="s">
        <v>390</v>
      </c>
      <c r="AH160" s="12"/>
      <c r="AI160" s="12" t="s">
        <v>31</v>
      </c>
      <c r="AJ160" s="12"/>
      <c r="AK160" s="35">
        <v>467151</v>
      </c>
      <c r="AL160" s="35"/>
      <c r="AM160" s="35">
        <v>0</v>
      </c>
      <c r="AN160" s="35"/>
      <c r="AO160" s="35">
        <v>418596</v>
      </c>
      <c r="AP160" s="35"/>
      <c r="AQ160" s="35">
        <v>188563</v>
      </c>
      <c r="AR160" s="35"/>
      <c r="AS160" s="35"/>
      <c r="AT160" s="35"/>
      <c r="AU160" s="35">
        <v>0</v>
      </c>
      <c r="AV160" s="35"/>
      <c r="AW160" s="35">
        <f t="shared" si="10"/>
        <v>12205128</v>
      </c>
      <c r="AX160" s="35"/>
      <c r="AY160" s="35">
        <f>+'St of Activites - GA Rev'!AI160-'St of Activities - GA Exp'!AW160</f>
        <v>-224514</v>
      </c>
      <c r="AZ160" s="35"/>
      <c r="BA160" s="35">
        <v>23980359</v>
      </c>
      <c r="BB160" s="35"/>
      <c r="BC160" s="35">
        <f t="shared" si="8"/>
        <v>23755845</v>
      </c>
      <c r="BE160" s="8">
        <f>+'St of Net Assets - GA'!AA160-'St of Activities - GA Exp'!BC160</f>
        <v>0</v>
      </c>
    </row>
    <row r="161" spans="1:59" ht="12" customHeight="1">
      <c r="A161" s="12" t="s">
        <v>441</v>
      </c>
      <c r="B161" s="12"/>
      <c r="C161" s="12" t="s">
        <v>36</v>
      </c>
      <c r="D161" s="12"/>
      <c r="E161" s="32">
        <v>47688</v>
      </c>
      <c r="G161" s="8">
        <v>8613897</v>
      </c>
      <c r="H161" s="8"/>
      <c r="I161" s="8">
        <v>1746924</v>
      </c>
      <c r="J161" s="8"/>
      <c r="K161" s="8">
        <v>611687</v>
      </c>
      <c r="L161" s="8"/>
      <c r="M161" s="8">
        <v>49107</v>
      </c>
      <c r="N161" s="8"/>
      <c r="O161" s="8">
        <v>702467</v>
      </c>
      <c r="P161" s="8"/>
      <c r="Q161" s="8">
        <v>967492</v>
      </c>
      <c r="R161" s="8"/>
      <c r="S161" s="8">
        <v>29109</v>
      </c>
      <c r="T161" s="8"/>
      <c r="U161" s="8">
        <v>1676775</v>
      </c>
      <c r="V161" s="8"/>
      <c r="W161" s="8">
        <v>438382</v>
      </c>
      <c r="X161" s="8"/>
      <c r="Y161" s="8">
        <v>0</v>
      </c>
      <c r="Z161" s="8"/>
      <c r="AA161" s="8">
        <v>1786365</v>
      </c>
      <c r="AB161" s="8"/>
      <c r="AC161" s="8">
        <v>1220582</v>
      </c>
      <c r="AD161" s="8"/>
      <c r="AE161" s="8">
        <v>122411</v>
      </c>
      <c r="AF161" s="138"/>
      <c r="AG161" s="12" t="s">
        <v>441</v>
      </c>
      <c r="AH161" s="12"/>
      <c r="AI161" s="12" t="s">
        <v>36</v>
      </c>
      <c r="AJ161" s="12"/>
      <c r="AK161" s="8">
        <v>0</v>
      </c>
      <c r="AL161" s="8"/>
      <c r="AM161" s="8">
        <v>803720</v>
      </c>
      <c r="AN161" s="8"/>
      <c r="AO161" s="8">
        <v>343681</v>
      </c>
      <c r="AP161" s="8"/>
      <c r="AQ161" s="8">
        <v>111312</v>
      </c>
      <c r="AR161" s="8"/>
      <c r="AS161" s="8"/>
      <c r="AT161" s="8"/>
      <c r="AU161" s="8">
        <v>0</v>
      </c>
      <c r="AV161" s="8"/>
      <c r="AW161" s="8">
        <f t="shared" si="10"/>
        <v>19223911</v>
      </c>
      <c r="AY161" s="8">
        <f>+'St of Activites - GA Rev'!AI161-'St of Activities - GA Exp'!AW161</f>
        <v>-723376</v>
      </c>
      <c r="BA161" s="8">
        <v>14388628</v>
      </c>
      <c r="BC161" s="8">
        <f t="shared" si="8"/>
        <v>13665252</v>
      </c>
      <c r="BE161" s="8">
        <f>+'St of Net Assets - GA'!AA161-'St of Activities - GA Exp'!BC161</f>
        <v>0</v>
      </c>
    </row>
    <row r="162" spans="1:59" ht="12" hidden="1" customHeight="1">
      <c r="A162" s="13" t="s">
        <v>929</v>
      </c>
      <c r="B162" s="13"/>
      <c r="C162" s="13" t="s">
        <v>40</v>
      </c>
      <c r="D162" s="12"/>
      <c r="E162" s="32"/>
      <c r="G162" s="8">
        <v>7598100</v>
      </c>
      <c r="H162" s="8"/>
      <c r="I162" s="8"/>
      <c r="J162" s="8"/>
      <c r="K162" s="8"/>
      <c r="L162" s="8"/>
      <c r="M162" s="8"/>
      <c r="N162" s="8"/>
      <c r="O162" s="8">
        <v>4210459</v>
      </c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138"/>
      <c r="AG162" s="13" t="s">
        <v>929</v>
      </c>
      <c r="AH162" s="13"/>
      <c r="AI162" s="13" t="s">
        <v>40</v>
      </c>
      <c r="AJ162" s="12"/>
      <c r="AK162" s="8">
        <v>543949</v>
      </c>
      <c r="AL162" s="8"/>
      <c r="AM162" s="8"/>
      <c r="AN162" s="8"/>
      <c r="AO162" s="8">
        <v>331371</v>
      </c>
      <c r="AP162" s="8"/>
      <c r="AQ162" s="8"/>
      <c r="AR162" s="8"/>
      <c r="AS162" s="8"/>
      <c r="AT162" s="8"/>
      <c r="AU162" s="8">
        <f>3586544+3593681</f>
        <v>7180225</v>
      </c>
      <c r="AV162" s="8"/>
      <c r="AW162" s="8">
        <f t="shared" si="10"/>
        <v>19864104</v>
      </c>
      <c r="AY162" s="8">
        <f>+'St of Activites - GA Rev'!AI162-'St of Activities - GA Exp'!AW162</f>
        <v>-3862094</v>
      </c>
      <c r="BA162" s="8">
        <v>7447982</v>
      </c>
      <c r="BC162" s="8">
        <f t="shared" si="8"/>
        <v>3585888</v>
      </c>
      <c r="BE162" s="8">
        <f>+'St of Net Assets - GA'!AA162-'St of Activities - GA Exp'!BC162</f>
        <v>0</v>
      </c>
      <c r="BG162" s="10" t="s">
        <v>935</v>
      </c>
    </row>
    <row r="163" spans="1:59">
      <c r="A163" s="12" t="s">
        <v>281</v>
      </c>
      <c r="B163" s="12"/>
      <c r="C163" s="12" t="s">
        <v>114</v>
      </c>
      <c r="D163" s="12"/>
      <c r="E163" s="32">
        <v>43919</v>
      </c>
      <c r="G163" s="8">
        <v>12622873</v>
      </c>
      <c r="H163" s="8"/>
      <c r="I163" s="8">
        <v>2513366</v>
      </c>
      <c r="J163" s="8"/>
      <c r="K163" s="8">
        <v>797638</v>
      </c>
      <c r="L163" s="8"/>
      <c r="M163" s="8">
        <f>6668+114732+189924</f>
        <v>311324</v>
      </c>
      <c r="N163" s="8"/>
      <c r="O163" s="8">
        <v>909395</v>
      </c>
      <c r="P163" s="8"/>
      <c r="Q163" s="8">
        <v>1176493</v>
      </c>
      <c r="R163" s="8"/>
      <c r="S163" s="8">
        <v>190352</v>
      </c>
      <c r="T163" s="8"/>
      <c r="U163" s="8">
        <v>1487434</v>
      </c>
      <c r="V163" s="8"/>
      <c r="W163" s="8">
        <v>587900</v>
      </c>
      <c r="X163" s="8"/>
      <c r="Y163" s="8">
        <v>74629</v>
      </c>
      <c r="Z163" s="8"/>
      <c r="AA163" s="8">
        <v>2414604</v>
      </c>
      <c r="AB163" s="8"/>
      <c r="AC163" s="8">
        <v>1019641</v>
      </c>
      <c r="AD163" s="8"/>
      <c r="AE163" s="8">
        <v>19677</v>
      </c>
      <c r="AF163" s="138"/>
      <c r="AG163" s="12" t="s">
        <v>281</v>
      </c>
      <c r="AH163" s="12"/>
      <c r="AI163" s="12" t="s">
        <v>114</v>
      </c>
      <c r="AJ163" s="12"/>
      <c r="AK163" s="8">
        <v>841724</v>
      </c>
      <c r="AL163" s="8"/>
      <c r="AM163" s="8">
        <v>188366</v>
      </c>
      <c r="AN163" s="8"/>
      <c r="AO163" s="8">
        <v>370998</v>
      </c>
      <c r="AP163" s="8"/>
      <c r="AQ163" s="8">
        <v>18528</v>
      </c>
      <c r="AR163" s="8"/>
      <c r="AS163" s="8"/>
      <c r="AT163" s="8"/>
      <c r="AU163" s="8">
        <v>0</v>
      </c>
      <c r="AV163" s="8"/>
      <c r="AW163" s="8">
        <f t="shared" si="10"/>
        <v>25544942</v>
      </c>
      <c r="AY163" s="8">
        <f>+'St of Activites - GA Rev'!AI163-'St of Activities - GA Exp'!AW163</f>
        <v>-3013055</v>
      </c>
      <c r="BA163" s="8">
        <v>55088807</v>
      </c>
      <c r="BC163" s="8">
        <f t="shared" si="8"/>
        <v>52075752</v>
      </c>
      <c r="BE163" s="8">
        <f>+'St of Net Assets - GA'!AA163-'St of Activities - GA Exp'!BC163</f>
        <v>0</v>
      </c>
      <c r="BG163" s="8"/>
    </row>
    <row r="164" spans="1:59">
      <c r="A164" s="12" t="s">
        <v>563</v>
      </c>
      <c r="B164" s="12"/>
      <c r="C164" s="12" t="s">
        <v>51</v>
      </c>
      <c r="D164" s="12"/>
      <c r="E164" s="32">
        <v>48835</v>
      </c>
      <c r="G164" s="8">
        <v>8676196</v>
      </c>
      <c r="H164" s="8"/>
      <c r="I164" s="8">
        <v>1356197</v>
      </c>
      <c r="J164" s="8"/>
      <c r="K164" s="8">
        <v>253069</v>
      </c>
      <c r="L164" s="8"/>
      <c r="M164" s="8">
        <v>13446</v>
      </c>
      <c r="N164" s="8"/>
      <c r="O164" s="8">
        <v>405340</v>
      </c>
      <c r="P164" s="8"/>
      <c r="Q164" s="8">
        <v>1337851</v>
      </c>
      <c r="R164" s="8"/>
      <c r="S164" s="8">
        <v>56655</v>
      </c>
      <c r="T164" s="8"/>
      <c r="U164" s="8">
        <v>1834120</v>
      </c>
      <c r="V164" s="8"/>
      <c r="W164" s="8">
        <v>391201</v>
      </c>
      <c r="X164" s="8"/>
      <c r="Y164" s="8">
        <v>0</v>
      </c>
      <c r="Z164" s="8"/>
      <c r="AA164" s="8">
        <v>1831528</v>
      </c>
      <c r="AB164" s="8"/>
      <c r="AC164" s="8">
        <v>1246238</v>
      </c>
      <c r="AD164" s="8"/>
      <c r="AE164" s="8">
        <v>174146</v>
      </c>
      <c r="AF164" s="138"/>
      <c r="AG164" s="12" t="s">
        <v>563</v>
      </c>
      <c r="AH164" s="12"/>
      <c r="AI164" s="12" t="s">
        <v>51</v>
      </c>
      <c r="AJ164" s="12"/>
      <c r="AK164" s="8">
        <v>1041223</v>
      </c>
      <c r="AL164" s="8"/>
      <c r="AM164" s="8">
        <v>0</v>
      </c>
      <c r="AN164" s="8"/>
      <c r="AO164" s="8">
        <v>454995</v>
      </c>
      <c r="AP164" s="8"/>
      <c r="AQ164" s="8">
        <v>341834</v>
      </c>
      <c r="AR164" s="8"/>
      <c r="AS164" s="8"/>
      <c r="AT164" s="8"/>
      <c r="AU164" s="8">
        <v>0</v>
      </c>
      <c r="AV164" s="8"/>
      <c r="AW164" s="8">
        <f t="shared" si="10"/>
        <v>19414039</v>
      </c>
      <c r="AY164" s="8">
        <f>+'St of Activites - GA Rev'!AI164-'St of Activities - GA Exp'!AW164</f>
        <v>347257</v>
      </c>
      <c r="BA164" s="8">
        <v>27042961</v>
      </c>
      <c r="BC164" s="8">
        <f t="shared" si="8"/>
        <v>27390218</v>
      </c>
      <c r="BE164" s="8">
        <f>+'St of Net Assets - GA'!AA164-'St of Activities - GA Exp'!BC164</f>
        <v>0</v>
      </c>
    </row>
    <row r="165" spans="1:59">
      <c r="A165" s="12" t="s">
        <v>282</v>
      </c>
      <c r="B165" s="12"/>
      <c r="C165" s="12" t="s">
        <v>114</v>
      </c>
      <c r="D165" s="12"/>
      <c r="E165" s="32">
        <v>43927</v>
      </c>
      <c r="G165" s="8">
        <v>5071965</v>
      </c>
      <c r="H165" s="8"/>
      <c r="I165" s="8">
        <v>2189544</v>
      </c>
      <c r="J165" s="8"/>
      <c r="K165" s="8">
        <v>56892</v>
      </c>
      <c r="L165" s="8"/>
      <c r="M165" s="8">
        <v>0</v>
      </c>
      <c r="N165" s="8"/>
      <c r="O165" s="8">
        <v>660712</v>
      </c>
      <c r="P165" s="8"/>
      <c r="Q165" s="8">
        <v>430967</v>
      </c>
      <c r="R165" s="8"/>
      <c r="S165" s="8">
        <v>32088</v>
      </c>
      <c r="T165" s="8"/>
      <c r="U165" s="8">
        <v>724212</v>
      </c>
      <c r="V165" s="8"/>
      <c r="W165" s="8">
        <v>277142</v>
      </c>
      <c r="X165" s="8"/>
      <c r="Y165" s="8">
        <v>435215</v>
      </c>
      <c r="Z165" s="8"/>
      <c r="AA165" s="8">
        <v>1204602</v>
      </c>
      <c r="AB165" s="8"/>
      <c r="AC165" s="8">
        <v>524470</v>
      </c>
      <c r="AD165" s="8"/>
      <c r="AE165" s="8">
        <v>0</v>
      </c>
      <c r="AF165" s="138"/>
      <c r="AG165" s="12" t="s">
        <v>282</v>
      </c>
      <c r="AH165" s="12"/>
      <c r="AI165" s="12" t="s">
        <v>114</v>
      </c>
      <c r="AJ165" s="12"/>
      <c r="AK165" s="8">
        <v>509948</v>
      </c>
      <c r="AL165" s="8"/>
      <c r="AM165" s="8">
        <v>12630</v>
      </c>
      <c r="AN165" s="8"/>
      <c r="AO165" s="8">
        <v>583195</v>
      </c>
      <c r="AP165" s="8"/>
      <c r="AQ165" s="8">
        <v>175355</v>
      </c>
      <c r="AR165" s="8"/>
      <c r="AS165" s="8"/>
      <c r="AT165" s="8"/>
      <c r="AU165" s="8">
        <v>0</v>
      </c>
      <c r="AV165" s="8"/>
      <c r="AW165" s="8">
        <f t="shared" si="10"/>
        <v>12888937</v>
      </c>
      <c r="AY165" s="8">
        <f>+'St of Activites - GA Rev'!AI165-'St of Activities - GA Exp'!AW165</f>
        <v>-153208</v>
      </c>
      <c r="BA165" s="8">
        <v>22697820</v>
      </c>
      <c r="BC165" s="8">
        <f t="shared" si="8"/>
        <v>22544612</v>
      </c>
      <c r="BE165" s="8">
        <f>+'St of Net Assets - GA'!AA165-'St of Activities - GA Exp'!BC165</f>
        <v>0</v>
      </c>
    </row>
    <row r="166" spans="1:59">
      <c r="A166" s="12" t="s">
        <v>237</v>
      </c>
      <c r="B166" s="12"/>
      <c r="C166" s="12" t="s">
        <v>77</v>
      </c>
      <c r="D166" s="12"/>
      <c r="E166" s="32">
        <v>46037</v>
      </c>
      <c r="G166" s="8">
        <v>6495027</v>
      </c>
      <c r="H166" s="8"/>
      <c r="I166" s="8">
        <v>1367623</v>
      </c>
      <c r="J166" s="8"/>
      <c r="K166" s="8">
        <v>161243</v>
      </c>
      <c r="L166" s="8"/>
      <c r="M166" s="8">
        <v>876516</v>
      </c>
      <c r="N166" s="8"/>
      <c r="O166" s="8">
        <v>421661</v>
      </c>
      <c r="P166" s="8"/>
      <c r="Q166" s="8">
        <v>1117964</v>
      </c>
      <c r="R166" s="8"/>
      <c r="S166" s="8">
        <v>19321</v>
      </c>
      <c r="T166" s="8"/>
      <c r="U166" s="8">
        <v>1028145</v>
      </c>
      <c r="V166" s="8"/>
      <c r="W166" s="8">
        <v>422146</v>
      </c>
      <c r="X166" s="8"/>
      <c r="Y166" s="8">
        <v>5762</v>
      </c>
      <c r="Z166" s="8"/>
      <c r="AA166" s="8">
        <v>971000</v>
      </c>
      <c r="AB166" s="8"/>
      <c r="AC166" s="8">
        <v>940984</v>
      </c>
      <c r="AD166" s="8"/>
      <c r="AE166" s="8">
        <v>33260</v>
      </c>
      <c r="AF166" s="138"/>
      <c r="AG166" s="12" t="s">
        <v>237</v>
      </c>
      <c r="AH166" s="12"/>
      <c r="AI166" s="12" t="s">
        <v>77</v>
      </c>
      <c r="AJ166" s="12"/>
      <c r="AK166" s="8">
        <v>0</v>
      </c>
      <c r="AL166" s="8"/>
      <c r="AM166" s="8">
        <v>561555</v>
      </c>
      <c r="AN166" s="8"/>
      <c r="AO166" s="8">
        <v>216576</v>
      </c>
      <c r="AP166" s="8"/>
      <c r="AQ166" s="8">
        <v>436352</v>
      </c>
      <c r="AR166" s="8"/>
      <c r="AS166" s="8"/>
      <c r="AT166" s="8"/>
      <c r="AU166" s="8">
        <v>0</v>
      </c>
      <c r="AV166" s="8"/>
      <c r="AW166" s="8">
        <f t="shared" si="10"/>
        <v>15075135</v>
      </c>
      <c r="AY166" s="8">
        <f>+'St of Activites - GA Rev'!AI166-'St of Activities - GA Exp'!AW166</f>
        <v>-777087</v>
      </c>
      <c r="BA166" s="8">
        <v>42072617</v>
      </c>
      <c r="BC166" s="8">
        <f t="shared" si="8"/>
        <v>41295530</v>
      </c>
      <c r="BE166" s="8">
        <f>+'St of Net Assets - GA'!AA166-'St of Activities - GA Exp'!BC166</f>
        <v>0</v>
      </c>
    </row>
    <row r="167" spans="1:59">
      <c r="A167" s="12" t="s">
        <v>237</v>
      </c>
      <c r="B167" s="12"/>
      <c r="C167" s="12" t="s">
        <v>531</v>
      </c>
      <c r="D167" s="12"/>
      <c r="E167" s="32">
        <v>48512</v>
      </c>
      <c r="G167" s="8">
        <v>4083584</v>
      </c>
      <c r="H167" s="8"/>
      <c r="I167" s="8">
        <v>897300</v>
      </c>
      <c r="J167" s="8"/>
      <c r="K167" s="8">
        <v>0</v>
      </c>
      <c r="L167" s="8"/>
      <c r="M167" s="8">
        <v>3091</v>
      </c>
      <c r="N167" s="8"/>
      <c r="O167" s="8">
        <v>488460</v>
      </c>
      <c r="P167" s="8"/>
      <c r="Q167" s="8">
        <v>324734</v>
      </c>
      <c r="R167" s="8"/>
      <c r="S167" s="8">
        <v>38289</v>
      </c>
      <c r="T167" s="8"/>
      <c r="U167" s="8">
        <v>699820</v>
      </c>
      <c r="V167" s="8"/>
      <c r="W167" s="8">
        <v>310151</v>
      </c>
      <c r="X167" s="8"/>
      <c r="Y167" s="8">
        <v>0</v>
      </c>
      <c r="Z167" s="8"/>
      <c r="AA167" s="8">
        <v>799672</v>
      </c>
      <c r="AB167" s="8"/>
      <c r="AC167" s="8">
        <v>558921</v>
      </c>
      <c r="AD167" s="8"/>
      <c r="AE167" s="8">
        <v>90052</v>
      </c>
      <c r="AF167" s="138"/>
      <c r="AG167" s="12" t="s">
        <v>237</v>
      </c>
      <c r="AH167" s="12"/>
      <c r="AI167" s="12" t="s">
        <v>531</v>
      </c>
      <c r="AJ167" s="12"/>
      <c r="AK167" s="8">
        <v>428753</v>
      </c>
      <c r="AL167" s="8"/>
      <c r="AM167" s="8">
        <v>17198</v>
      </c>
      <c r="AN167" s="8"/>
      <c r="AO167" s="8">
        <v>217301</v>
      </c>
      <c r="AP167" s="8"/>
      <c r="AQ167" s="8">
        <v>52637</v>
      </c>
      <c r="AR167" s="8"/>
      <c r="AS167" s="8"/>
      <c r="AT167" s="8"/>
      <c r="AU167" s="8">
        <v>0</v>
      </c>
      <c r="AV167" s="8"/>
      <c r="AW167" s="8">
        <f t="shared" si="10"/>
        <v>9009963</v>
      </c>
      <c r="AY167" s="8">
        <f>+'St of Activites - GA Rev'!AI167-'St of Activities - GA Exp'!AW167</f>
        <v>460776</v>
      </c>
      <c r="BA167" s="8">
        <v>9118116</v>
      </c>
      <c r="BC167" s="8">
        <f t="shared" si="8"/>
        <v>9578892</v>
      </c>
      <c r="BE167" s="8">
        <f>+'St of Net Assets - GA'!AA167-'St of Activities - GA Exp'!BC167</f>
        <v>0</v>
      </c>
      <c r="BG167" s="36" t="s">
        <v>930</v>
      </c>
    </row>
    <row r="168" spans="1:59" ht="12" hidden="1" customHeight="1">
      <c r="A168" s="13" t="s">
        <v>931</v>
      </c>
      <c r="B168" s="12"/>
      <c r="C168" s="12" t="s">
        <v>55</v>
      </c>
      <c r="D168" s="12"/>
      <c r="E168" s="32">
        <v>49122</v>
      </c>
      <c r="G168" s="8">
        <v>3358207</v>
      </c>
      <c r="H168" s="8"/>
      <c r="I168" s="8">
        <v>1001183</v>
      </c>
      <c r="J168" s="8"/>
      <c r="K168" s="8">
        <v>26469</v>
      </c>
      <c r="L168" s="8"/>
      <c r="M168" s="8">
        <v>1075229</v>
      </c>
      <c r="N168" s="8"/>
      <c r="O168" s="8">
        <v>252302</v>
      </c>
      <c r="P168" s="8"/>
      <c r="Q168" s="8">
        <v>177400</v>
      </c>
      <c r="R168" s="8"/>
      <c r="S168" s="8">
        <v>32039</v>
      </c>
      <c r="T168" s="8"/>
      <c r="U168" s="8">
        <v>673431</v>
      </c>
      <c r="V168" s="8"/>
      <c r="W168" s="8">
        <v>222403</v>
      </c>
      <c r="X168" s="8"/>
      <c r="Y168" s="8"/>
      <c r="Z168" s="8"/>
      <c r="AA168" s="8">
        <v>762187</v>
      </c>
      <c r="AB168" s="8"/>
      <c r="AC168" s="8">
        <v>706552</v>
      </c>
      <c r="AD168" s="8"/>
      <c r="AE168" s="8">
        <v>130853</v>
      </c>
      <c r="AF168" s="138"/>
      <c r="AG168" s="13" t="s">
        <v>931</v>
      </c>
      <c r="AH168" s="12"/>
      <c r="AI168" s="12" t="s">
        <v>55</v>
      </c>
      <c r="AJ168" s="12"/>
      <c r="AK168" s="8"/>
      <c r="AL168" s="8"/>
      <c r="AM168" s="8">
        <v>346523</v>
      </c>
      <c r="AN168" s="8"/>
      <c r="AO168" s="8">
        <v>116317</v>
      </c>
      <c r="AP168" s="8"/>
      <c r="AQ168" s="8"/>
      <c r="AR168" s="8"/>
      <c r="AS168" s="8"/>
      <c r="AT168" s="8"/>
      <c r="AU168" s="8">
        <f>11239+55000+50065</f>
        <v>116304</v>
      </c>
      <c r="AV168" s="8"/>
      <c r="AW168" s="8">
        <f t="shared" si="10"/>
        <v>8997399</v>
      </c>
      <c r="AY168" s="8">
        <f>+'St of Activites - GA Rev'!AI168-'St of Activities - GA Exp'!AW168</f>
        <v>-33596</v>
      </c>
      <c r="BA168" s="8">
        <v>2308365</v>
      </c>
      <c r="BC168" s="8">
        <f t="shared" si="8"/>
        <v>2274769</v>
      </c>
      <c r="BE168" s="8">
        <f>+'St of Net Assets - GA'!AA168-'St of Activities - GA Exp'!BC168</f>
        <v>0</v>
      </c>
    </row>
    <row r="169" spans="1:59">
      <c r="A169" s="12" t="s">
        <v>734</v>
      </c>
      <c r="B169" s="12"/>
      <c r="C169" s="12" t="s">
        <v>72</v>
      </c>
      <c r="D169" s="12"/>
      <c r="E169" s="32">
        <v>50674</v>
      </c>
      <c r="G169" s="8">
        <v>7550703</v>
      </c>
      <c r="H169" s="8"/>
      <c r="I169" s="8">
        <v>1667476</v>
      </c>
      <c r="J169" s="8"/>
      <c r="K169" s="8">
        <v>206572</v>
      </c>
      <c r="L169" s="8"/>
      <c r="M169" s="8">
        <v>64</v>
      </c>
      <c r="N169" s="8"/>
      <c r="O169" s="8">
        <v>457045</v>
      </c>
      <c r="P169" s="8"/>
      <c r="Q169" s="8">
        <v>466299</v>
      </c>
      <c r="R169" s="8"/>
      <c r="S169" s="8">
        <v>59173</v>
      </c>
      <c r="T169" s="8"/>
      <c r="U169" s="8">
        <v>1266749</v>
      </c>
      <c r="V169" s="8"/>
      <c r="W169" s="8">
        <v>523489</v>
      </c>
      <c r="X169" s="8"/>
      <c r="Y169" s="8">
        <v>64</v>
      </c>
      <c r="Z169" s="8"/>
      <c r="AA169" s="8">
        <v>1452517</v>
      </c>
      <c r="AB169" s="8"/>
      <c r="AC169" s="8">
        <v>1118488</v>
      </c>
      <c r="AD169" s="8"/>
      <c r="AE169" s="8">
        <v>1648</v>
      </c>
      <c r="AF169" s="138"/>
      <c r="AG169" s="12" t="s">
        <v>734</v>
      </c>
      <c r="AH169" s="12"/>
      <c r="AI169" s="12" t="s">
        <v>72</v>
      </c>
      <c r="AJ169" s="12"/>
      <c r="AK169" s="8">
        <v>0</v>
      </c>
      <c r="AL169" s="8"/>
      <c r="AM169" s="8">
        <v>723224</v>
      </c>
      <c r="AN169" s="8"/>
      <c r="AO169" s="8">
        <v>530895</v>
      </c>
      <c r="AP169" s="8"/>
      <c r="AQ169" s="8">
        <v>181778</v>
      </c>
      <c r="AR169" s="8"/>
      <c r="AS169" s="8"/>
      <c r="AT169" s="8"/>
      <c r="AU169" s="8">
        <v>0</v>
      </c>
      <c r="AV169" s="8"/>
      <c r="AW169" s="8">
        <f t="shared" si="10"/>
        <v>16206184</v>
      </c>
      <c r="AY169" s="8">
        <f>+'St of Activites - GA Rev'!AI169-'St of Activities - GA Exp'!AW169</f>
        <v>1333571</v>
      </c>
      <c r="BA169" s="8">
        <v>5054219</v>
      </c>
      <c r="BC169" s="8">
        <f t="shared" si="8"/>
        <v>6387790</v>
      </c>
      <c r="BE169" s="8">
        <f>+'St of Net Assets - GA'!AA169-'St of Activities - GA Exp'!BC169</f>
        <v>0</v>
      </c>
    </row>
    <row r="170" spans="1:59">
      <c r="A170" s="12" t="s">
        <v>974</v>
      </c>
      <c r="B170" s="12"/>
      <c r="C170" s="12" t="s">
        <v>57</v>
      </c>
      <c r="D170" s="12"/>
      <c r="E170" s="32">
        <v>43935</v>
      </c>
      <c r="G170" s="8">
        <v>12093136</v>
      </c>
      <c r="H170" s="8"/>
      <c r="I170" s="8">
        <v>0</v>
      </c>
      <c r="J170" s="8"/>
      <c r="K170" s="8">
        <v>0</v>
      </c>
      <c r="L170" s="8"/>
      <c r="M170" s="8">
        <v>0</v>
      </c>
      <c r="N170" s="8"/>
      <c r="O170" s="8">
        <v>909468</v>
      </c>
      <c r="P170" s="8"/>
      <c r="Q170" s="8">
        <v>494050</v>
      </c>
      <c r="R170" s="8"/>
      <c r="S170" s="8">
        <v>16830</v>
      </c>
      <c r="T170" s="8"/>
      <c r="U170" s="8">
        <v>1613166</v>
      </c>
      <c r="V170" s="8"/>
      <c r="W170" s="8">
        <v>629400</v>
      </c>
      <c r="X170" s="8"/>
      <c r="Y170" s="8">
        <v>2407</v>
      </c>
      <c r="Z170" s="8"/>
      <c r="AA170" s="8">
        <v>2021257</v>
      </c>
      <c r="AB170" s="8"/>
      <c r="AC170" s="8">
        <v>1126717</v>
      </c>
      <c r="AD170" s="8"/>
      <c r="AE170" s="8">
        <v>131613</v>
      </c>
      <c r="AF170" s="138"/>
      <c r="AG170" s="12" t="s">
        <v>974</v>
      </c>
      <c r="AH170" s="12"/>
      <c r="AI170" s="12" t="s">
        <v>57</v>
      </c>
      <c r="AJ170" s="12"/>
      <c r="AK170" s="8">
        <v>887353</v>
      </c>
      <c r="AL170" s="8"/>
      <c r="AM170" s="8">
        <v>5939</v>
      </c>
      <c r="AN170" s="8"/>
      <c r="AO170" s="8">
        <v>680213</v>
      </c>
      <c r="AP170" s="8"/>
      <c r="AQ170" s="8">
        <v>1356070</v>
      </c>
      <c r="AR170" s="8"/>
      <c r="AS170" s="8"/>
      <c r="AT170" s="8"/>
      <c r="AU170" s="8">
        <v>0</v>
      </c>
      <c r="AV170" s="8"/>
      <c r="AW170" s="8">
        <f t="shared" si="10"/>
        <v>21967619</v>
      </c>
      <c r="AY170" s="8">
        <f>+'St of Activites - GA Rev'!AI170-'St of Activities - GA Exp'!AW170</f>
        <v>1368480</v>
      </c>
      <c r="BA170" s="8">
        <v>14812329</v>
      </c>
      <c r="BC170" s="8">
        <f t="shared" si="8"/>
        <v>16180809</v>
      </c>
      <c r="BE170" s="8">
        <f>+'St of Net Assets - GA'!AA170-'St of Activities - GA Exp'!BC170</f>
        <v>0</v>
      </c>
      <c r="BG170" s="8" t="s">
        <v>975</v>
      </c>
    </row>
    <row r="171" spans="1:59" hidden="1">
      <c r="A171" s="12" t="s">
        <v>932</v>
      </c>
      <c r="B171" s="12"/>
      <c r="C171" s="12" t="s">
        <v>727</v>
      </c>
      <c r="D171" s="12"/>
      <c r="E171" s="32">
        <v>50617</v>
      </c>
      <c r="G171" s="8">
        <v>2342347</v>
      </c>
      <c r="H171" s="8"/>
      <c r="I171" s="8">
        <v>510238</v>
      </c>
      <c r="J171" s="8"/>
      <c r="K171" s="8">
        <v>51230</v>
      </c>
      <c r="L171" s="8"/>
      <c r="M171" s="8">
        <f>16280+383848</f>
        <v>400128</v>
      </c>
      <c r="N171" s="8"/>
      <c r="O171" s="8">
        <v>232073</v>
      </c>
      <c r="P171" s="8"/>
      <c r="Q171" s="8">
        <v>284705</v>
      </c>
      <c r="R171" s="8"/>
      <c r="S171" s="8">
        <v>55097</v>
      </c>
      <c r="T171" s="8"/>
      <c r="U171" s="8">
        <v>459782</v>
      </c>
      <c r="V171" s="8"/>
      <c r="W171" s="8">
        <v>263976</v>
      </c>
      <c r="X171" s="8"/>
      <c r="Y171" s="8"/>
      <c r="Z171" s="8"/>
      <c r="AA171" s="8">
        <v>587600</v>
      </c>
      <c r="AB171" s="8"/>
      <c r="AC171" s="8">
        <v>233322</v>
      </c>
      <c r="AD171" s="8"/>
      <c r="AE171" s="8">
        <v>35351</v>
      </c>
      <c r="AF171" s="138"/>
      <c r="AG171" s="12" t="s">
        <v>728</v>
      </c>
      <c r="AH171" s="12"/>
      <c r="AI171" s="12" t="s">
        <v>727</v>
      </c>
      <c r="AJ171" s="12"/>
      <c r="AK171" s="8"/>
      <c r="AL171" s="8"/>
      <c r="AM171" s="8">
        <v>309531</v>
      </c>
      <c r="AN171" s="8"/>
      <c r="AO171" s="8">
        <v>230793</v>
      </c>
      <c r="AP171" s="8"/>
      <c r="AQ171" s="8">
        <v>197528</v>
      </c>
      <c r="AR171" s="8"/>
      <c r="AS171" s="8"/>
      <c r="AT171" s="8"/>
      <c r="AU171" s="8">
        <f>800+355383+271032</f>
        <v>627215</v>
      </c>
      <c r="AV171" s="8"/>
      <c r="AW171" s="8">
        <f t="shared" si="10"/>
        <v>6820916</v>
      </c>
      <c r="AY171" s="8">
        <f>+'St of Activites - GA Rev'!AI171-'St of Activities - GA Exp'!AW171</f>
        <v>2822810</v>
      </c>
      <c r="BA171" s="8">
        <v>2433933</v>
      </c>
      <c r="BC171" s="8">
        <f t="shared" si="8"/>
        <v>5256743</v>
      </c>
      <c r="BE171" s="8">
        <f>+'St of Net Assets - GA'!AA171-'St of Activities - GA Exp'!BC171</f>
        <v>0</v>
      </c>
    </row>
    <row r="172" spans="1:59" ht="12" customHeight="1">
      <c r="A172" s="12" t="s">
        <v>241</v>
      </c>
      <c r="B172" s="12"/>
      <c r="C172" s="12" t="s">
        <v>242</v>
      </c>
      <c r="D172" s="12"/>
      <c r="E172" s="32">
        <v>46094</v>
      </c>
      <c r="G172" s="8">
        <v>14988259</v>
      </c>
      <c r="H172" s="8"/>
      <c r="I172" s="8">
        <v>4201959</v>
      </c>
      <c r="J172" s="8"/>
      <c r="K172" s="8">
        <v>0</v>
      </c>
      <c r="L172" s="8"/>
      <c r="M172" s="8">
        <v>39890</v>
      </c>
      <c r="N172" s="8"/>
      <c r="O172" s="8">
        <v>2436677</v>
      </c>
      <c r="P172" s="8"/>
      <c r="Q172" s="8">
        <v>3334032</v>
      </c>
      <c r="R172" s="8"/>
      <c r="S172" s="8">
        <v>343239</v>
      </c>
      <c r="T172" s="8"/>
      <c r="U172" s="8">
        <v>2332845</v>
      </c>
      <c r="V172" s="8"/>
      <c r="W172" s="8">
        <v>864576</v>
      </c>
      <c r="X172" s="8"/>
      <c r="Y172" s="8">
        <v>179410</v>
      </c>
      <c r="Z172" s="8"/>
      <c r="AA172" s="8">
        <v>2786273</v>
      </c>
      <c r="AB172" s="8"/>
      <c r="AC172" s="8">
        <v>1437885</v>
      </c>
      <c r="AD172" s="8"/>
      <c r="AE172" s="8">
        <v>202678</v>
      </c>
      <c r="AF172" s="138"/>
      <c r="AG172" s="12" t="s">
        <v>241</v>
      </c>
      <c r="AH172" s="12"/>
      <c r="AI172" s="12" t="s">
        <v>242</v>
      </c>
      <c r="AJ172" s="12"/>
      <c r="AK172" s="8">
        <v>1450354</v>
      </c>
      <c r="AL172" s="8"/>
      <c r="AM172" s="8">
        <v>20654</v>
      </c>
      <c r="AN172" s="8"/>
      <c r="AO172" s="8">
        <v>648562</v>
      </c>
      <c r="AP172" s="8"/>
      <c r="AQ172" s="8">
        <v>1259204</v>
      </c>
      <c r="AR172" s="8"/>
      <c r="AS172" s="8"/>
      <c r="AT172" s="8"/>
      <c r="AU172" s="8">
        <v>0</v>
      </c>
      <c r="AV172" s="8"/>
      <c r="AW172" s="8">
        <f t="shared" si="10"/>
        <v>36526497</v>
      </c>
      <c r="AY172" s="8">
        <f>+'St of Activites - GA Rev'!AI172-'St of Activities - GA Exp'!AW172</f>
        <v>-1063554</v>
      </c>
      <c r="BA172" s="8">
        <v>11725101</v>
      </c>
      <c r="BC172" s="8">
        <f t="shared" si="8"/>
        <v>10661547</v>
      </c>
      <c r="BE172" s="8">
        <f>+'St of Net Assets - GA'!AA172-'St of Activities - GA Exp'!BC172</f>
        <v>0</v>
      </c>
    </row>
    <row r="173" spans="1:59">
      <c r="A173" s="12" t="s">
        <v>450</v>
      </c>
      <c r="B173" s="12"/>
      <c r="C173" s="12" t="s">
        <v>39</v>
      </c>
      <c r="D173" s="12"/>
      <c r="E173" s="32">
        <v>47795</v>
      </c>
      <c r="G173" s="8">
        <v>7485168</v>
      </c>
      <c r="H173" s="8"/>
      <c r="I173" s="8">
        <v>1648661</v>
      </c>
      <c r="J173" s="8"/>
      <c r="K173" s="8">
        <v>117719</v>
      </c>
      <c r="L173" s="8"/>
      <c r="M173" s="8">
        <f>4250+2106597</f>
        <v>2110847</v>
      </c>
      <c r="N173" s="8"/>
      <c r="O173" s="8">
        <v>778717</v>
      </c>
      <c r="P173" s="8"/>
      <c r="Q173" s="8">
        <v>1240556</v>
      </c>
      <c r="R173" s="8"/>
      <c r="S173" s="8">
        <v>179447</v>
      </c>
      <c r="T173" s="8"/>
      <c r="U173" s="8">
        <v>1591751</v>
      </c>
      <c r="V173" s="8"/>
      <c r="W173" s="8">
        <v>349383</v>
      </c>
      <c r="X173" s="8"/>
      <c r="Y173" s="8">
        <v>125138</v>
      </c>
      <c r="Z173" s="8"/>
      <c r="AA173" s="8">
        <v>2018314</v>
      </c>
      <c r="AB173" s="8"/>
      <c r="AC173" s="8">
        <v>2292644</v>
      </c>
      <c r="AD173" s="8"/>
      <c r="AE173" s="8">
        <v>205349</v>
      </c>
      <c r="AF173" s="138"/>
      <c r="AG173" s="12" t="s">
        <v>450</v>
      </c>
      <c r="AH173" s="12"/>
      <c r="AI173" s="12" t="s">
        <v>39</v>
      </c>
      <c r="AJ173" s="12"/>
      <c r="AK173" s="8">
        <v>840166</v>
      </c>
      <c r="AL173" s="8"/>
      <c r="AM173" s="8">
        <v>20071</v>
      </c>
      <c r="AN173" s="8"/>
      <c r="AO173" s="8">
        <v>415371</v>
      </c>
      <c r="AP173" s="8"/>
      <c r="AQ173" s="8">
        <v>39354</v>
      </c>
      <c r="AR173" s="8"/>
      <c r="AS173" s="8"/>
      <c r="AT173" s="8"/>
      <c r="AU173" s="8">
        <v>0</v>
      </c>
      <c r="AV173" s="8"/>
      <c r="AW173" s="8">
        <f t="shared" si="10"/>
        <v>21458656</v>
      </c>
      <c r="AY173" s="8">
        <f>+'St of Activites - GA Rev'!AI173-'St of Activities - GA Exp'!AW173</f>
        <v>-430549</v>
      </c>
      <c r="BA173" s="8">
        <v>3019719</v>
      </c>
      <c r="BC173" s="8">
        <f t="shared" si="8"/>
        <v>2589170</v>
      </c>
      <c r="BE173" s="8">
        <f>+'St of Net Assets - GA'!AA173-'St of Activities - GA Exp'!BC173</f>
        <v>0</v>
      </c>
    </row>
    <row r="174" spans="1:59" s="35" customFormat="1">
      <c r="A174" s="34" t="s">
        <v>729</v>
      </c>
      <c r="B174" s="34"/>
      <c r="C174" s="34" t="s">
        <v>727</v>
      </c>
      <c r="D174" s="34"/>
      <c r="E174" s="32">
        <v>50625</v>
      </c>
      <c r="G174" s="8">
        <v>2851474</v>
      </c>
      <c r="H174" s="8"/>
      <c r="I174" s="8">
        <v>690024</v>
      </c>
      <c r="J174" s="8"/>
      <c r="K174" s="8">
        <v>205828</v>
      </c>
      <c r="L174" s="8"/>
      <c r="M174" s="8">
        <f>53+12272</f>
        <v>12325</v>
      </c>
      <c r="N174" s="8"/>
      <c r="O174" s="8">
        <v>281819</v>
      </c>
      <c r="P174" s="8"/>
      <c r="Q174" s="8">
        <v>481057</v>
      </c>
      <c r="R174" s="8"/>
      <c r="S174" s="8">
        <v>12802</v>
      </c>
      <c r="T174" s="8"/>
      <c r="U174" s="8">
        <v>487287</v>
      </c>
      <c r="V174" s="8"/>
      <c r="W174" s="8">
        <v>249849</v>
      </c>
      <c r="X174" s="8"/>
      <c r="Y174" s="8">
        <v>4826</v>
      </c>
      <c r="Z174" s="8"/>
      <c r="AA174" s="8">
        <v>721609</v>
      </c>
      <c r="AB174" s="8"/>
      <c r="AC174" s="8">
        <v>296897</v>
      </c>
      <c r="AD174" s="8"/>
      <c r="AE174" s="8">
        <v>50703</v>
      </c>
      <c r="AF174" s="139"/>
      <c r="AG174" s="34" t="s">
        <v>729</v>
      </c>
      <c r="AH174" s="34"/>
      <c r="AI174" s="34" t="s">
        <v>727</v>
      </c>
      <c r="AJ174" s="34"/>
      <c r="AK174" s="8">
        <v>0</v>
      </c>
      <c r="AL174" s="8"/>
      <c r="AM174" s="8">
        <v>300157</v>
      </c>
      <c r="AN174" s="8"/>
      <c r="AO174" s="8">
        <v>335628</v>
      </c>
      <c r="AP174" s="8"/>
      <c r="AQ174" s="8">
        <v>21536</v>
      </c>
      <c r="AR174" s="8"/>
      <c r="AS174" s="8"/>
      <c r="AT174" s="8"/>
      <c r="AU174" s="8">
        <v>174778</v>
      </c>
      <c r="AV174" s="8"/>
      <c r="AW174" s="8">
        <f t="shared" si="10"/>
        <v>7178599</v>
      </c>
      <c r="AX174" s="8"/>
      <c r="AY174" s="8">
        <f>+'St of Activites - GA Rev'!AI174-'St of Activities - GA Exp'!AW174</f>
        <v>-695208</v>
      </c>
      <c r="AZ174" s="8"/>
      <c r="BA174" s="8">
        <v>17816674</v>
      </c>
      <c r="BB174" s="8"/>
      <c r="BC174" s="8">
        <f t="shared" si="8"/>
        <v>17121466</v>
      </c>
      <c r="BD174" s="8"/>
      <c r="BE174" s="8">
        <f>+'St of Net Assets - GA'!AA174-'St of Activities - GA Exp'!BC174</f>
        <v>0</v>
      </c>
    </row>
    <row r="175" spans="1:59" s="35" customFormat="1" hidden="1">
      <c r="A175" s="13" t="s">
        <v>934</v>
      </c>
      <c r="B175" s="13"/>
      <c r="C175" s="13" t="s">
        <v>10</v>
      </c>
      <c r="D175" s="34"/>
      <c r="E175" s="32"/>
      <c r="G175" s="8">
        <v>11795595</v>
      </c>
      <c r="H175" s="8"/>
      <c r="I175" s="8">
        <v>1934523</v>
      </c>
      <c r="J175" s="8"/>
      <c r="K175" s="8">
        <v>28953</v>
      </c>
      <c r="L175" s="8"/>
      <c r="M175" s="8">
        <v>2970</v>
      </c>
      <c r="N175" s="8"/>
      <c r="O175" s="8">
        <v>950159</v>
      </c>
      <c r="P175" s="8"/>
      <c r="Q175" s="8">
        <v>746199</v>
      </c>
      <c r="R175" s="8"/>
      <c r="S175" s="8">
        <v>27048</v>
      </c>
      <c r="T175" s="8"/>
      <c r="U175" s="8">
        <v>1472155</v>
      </c>
      <c r="V175" s="8"/>
      <c r="W175" s="8">
        <v>508156</v>
      </c>
      <c r="X175" s="8"/>
      <c r="Y175" s="8">
        <v>191347</v>
      </c>
      <c r="Z175" s="8"/>
      <c r="AA175" s="8">
        <v>1766184</v>
      </c>
      <c r="AB175" s="8"/>
      <c r="AC175" s="8">
        <v>1560226</v>
      </c>
      <c r="AD175" s="8"/>
      <c r="AE175" s="8"/>
      <c r="AF175" s="139"/>
      <c r="AG175" s="13" t="s">
        <v>934</v>
      </c>
      <c r="AH175" s="13"/>
      <c r="AI175" s="13" t="s">
        <v>10</v>
      </c>
      <c r="AJ175" s="34"/>
      <c r="AK175" s="8">
        <v>920901</v>
      </c>
      <c r="AL175" s="8"/>
      <c r="AM175" s="8">
        <v>356816</v>
      </c>
      <c r="AN175" s="8"/>
      <c r="AO175" s="8">
        <v>700766</v>
      </c>
      <c r="AP175" s="8"/>
      <c r="AQ175" s="8">
        <v>1988393</v>
      </c>
      <c r="AR175" s="8"/>
      <c r="AS175" s="8"/>
      <c r="AT175" s="8"/>
      <c r="AU175" s="8">
        <f>38305193+3077475</f>
        <v>41382668</v>
      </c>
      <c r="AV175" s="8"/>
      <c r="AW175" s="8">
        <f t="shared" si="10"/>
        <v>66333059</v>
      </c>
      <c r="AX175" s="8"/>
      <c r="AY175" s="8">
        <f>+'St of Activites - GA Rev'!AI175-'St of Activities - GA Exp'!AW175</f>
        <v>-1448667</v>
      </c>
      <c r="AZ175" s="8"/>
      <c r="BA175" s="8">
        <v>42865840</v>
      </c>
      <c r="BB175" s="8"/>
      <c r="BC175" s="8">
        <f t="shared" si="8"/>
        <v>41417173</v>
      </c>
      <c r="BD175" s="8"/>
      <c r="BE175" s="8">
        <f>+'St of Net Assets - GA'!AA175-'St of Activities - GA Exp'!BC175</f>
        <v>0</v>
      </c>
    </row>
    <row r="176" spans="1:59" s="8" customFormat="1">
      <c r="A176" s="12" t="s">
        <v>977</v>
      </c>
      <c r="B176" s="13"/>
      <c r="C176" s="13" t="s">
        <v>46</v>
      </c>
      <c r="D176" s="13"/>
      <c r="E176" s="13">
        <v>48413</v>
      </c>
      <c r="G176" s="8">
        <v>6963182</v>
      </c>
      <c r="I176" s="8">
        <v>1457520</v>
      </c>
      <c r="K176" s="8">
        <v>76741</v>
      </c>
      <c r="M176" s="8">
        <v>0</v>
      </c>
      <c r="O176" s="8">
        <v>673313</v>
      </c>
      <c r="Q176" s="8">
        <v>447211</v>
      </c>
      <c r="S176" s="8">
        <v>29744</v>
      </c>
      <c r="U176" s="8">
        <v>1114121</v>
      </c>
      <c r="W176" s="8">
        <v>405396</v>
      </c>
      <c r="Y176" s="8">
        <v>0</v>
      </c>
      <c r="AA176" s="8">
        <v>1095458</v>
      </c>
      <c r="AC176" s="8">
        <v>868216</v>
      </c>
      <c r="AE176" s="8">
        <v>0</v>
      </c>
      <c r="AF176" s="138"/>
      <c r="AG176" s="13" t="s">
        <v>520</v>
      </c>
      <c r="AH176" s="13"/>
      <c r="AI176" s="13" t="s">
        <v>46</v>
      </c>
      <c r="AJ176" s="13"/>
      <c r="AK176" s="8">
        <v>0</v>
      </c>
      <c r="AM176" s="8">
        <v>601198</v>
      </c>
      <c r="AO176" s="8">
        <v>342360</v>
      </c>
      <c r="AQ176" s="8">
        <v>0</v>
      </c>
      <c r="AU176" s="8">
        <v>0</v>
      </c>
      <c r="AW176" s="8">
        <f t="shared" si="10"/>
        <v>14074460</v>
      </c>
      <c r="AY176" s="8">
        <f>+'St of Activites - GA Rev'!AI176-'St of Activities - GA Exp'!AW176</f>
        <v>-318264</v>
      </c>
      <c r="BA176" s="8">
        <v>3204562</v>
      </c>
      <c r="BC176" s="8">
        <f t="shared" si="8"/>
        <v>2886298</v>
      </c>
      <c r="BE176" s="8">
        <f>+'St of Net Assets - GA'!AA176-'St of Activities - GA Exp'!BC176</f>
        <v>0</v>
      </c>
    </row>
    <row r="177" spans="1:59" s="8" customFormat="1" hidden="1">
      <c r="A177" s="12" t="s">
        <v>1020</v>
      </c>
      <c r="B177" s="13"/>
      <c r="C177" s="13" t="s">
        <v>72</v>
      </c>
      <c r="D177" s="13"/>
      <c r="E177" s="13"/>
      <c r="G177" s="8">
        <v>4991193</v>
      </c>
      <c r="I177" s="8">
        <v>1185971</v>
      </c>
      <c r="K177" s="8">
        <v>265501</v>
      </c>
      <c r="M177" s="8">
        <v>55754</v>
      </c>
      <c r="O177" s="8">
        <v>390218</v>
      </c>
      <c r="Q177" s="8">
        <v>967546</v>
      </c>
      <c r="S177" s="8">
        <v>83177</v>
      </c>
      <c r="U177" s="8">
        <v>785096</v>
      </c>
      <c r="W177" s="8">
        <v>290188</v>
      </c>
      <c r="Y177" s="8">
        <v>15677</v>
      </c>
      <c r="AA177" s="8">
        <v>1374070</v>
      </c>
      <c r="AC177" s="8">
        <v>725201</v>
      </c>
      <c r="AE177" s="8">
        <v>53017</v>
      </c>
      <c r="AF177" s="138"/>
      <c r="AG177" s="12" t="s">
        <v>1020</v>
      </c>
      <c r="AH177" s="13"/>
      <c r="AI177" s="13" t="s">
        <v>72</v>
      </c>
      <c r="AJ177" s="13"/>
      <c r="AM177" s="8">
        <v>64073</v>
      </c>
      <c r="AO177" s="8">
        <v>592603</v>
      </c>
      <c r="AQ177" s="8">
        <v>147533</v>
      </c>
      <c r="AU177" s="8">
        <f>125000+716643</f>
        <v>841643</v>
      </c>
      <c r="AW177" s="8">
        <f t="shared" si="10"/>
        <v>12828461</v>
      </c>
      <c r="AY177" s="8">
        <f>+'St of Activites - GA Rev'!AI177-'St of Activities - GA Exp'!AW177</f>
        <v>48824</v>
      </c>
      <c r="BA177" s="8">
        <f>6138976+152192</f>
        <v>6291168</v>
      </c>
      <c r="BC177" s="8">
        <f t="shared" si="8"/>
        <v>6339992</v>
      </c>
      <c r="BE177" s="8">
        <f>+'St of Net Assets - GA'!AA177-'St of Activities - GA Exp'!BC177</f>
        <v>0</v>
      </c>
      <c r="BG177" s="8" t="s">
        <v>967</v>
      </c>
    </row>
    <row r="178" spans="1:59">
      <c r="A178" s="12" t="s">
        <v>487</v>
      </c>
      <c r="B178" s="12"/>
      <c r="C178" s="12" t="s">
        <v>44</v>
      </c>
      <c r="D178" s="12"/>
      <c r="E178" s="32">
        <v>43943</v>
      </c>
      <c r="G178" s="8">
        <v>29988091</v>
      </c>
      <c r="H178" s="8"/>
      <c r="I178" s="8">
        <v>10743208</v>
      </c>
      <c r="J178" s="8"/>
      <c r="K178" s="8">
        <v>227995</v>
      </c>
      <c r="L178" s="8"/>
      <c r="M178" s="8">
        <f>73475+675918+6673943</f>
        <v>7423336</v>
      </c>
      <c r="N178" s="8"/>
      <c r="O178" s="8">
        <v>4181230</v>
      </c>
      <c r="P178" s="8"/>
      <c r="Q178" s="8">
        <v>5166058</v>
      </c>
      <c r="R178" s="8"/>
      <c r="S178" s="8">
        <v>104943</v>
      </c>
      <c r="T178" s="8"/>
      <c r="U178" s="8">
        <v>5000144</v>
      </c>
      <c r="V178" s="8"/>
      <c r="W178" s="8">
        <v>1730690</v>
      </c>
      <c r="X178" s="8"/>
      <c r="Y178" s="8">
        <v>664862</v>
      </c>
      <c r="Z178" s="8"/>
      <c r="AA178" s="8">
        <v>7833498</v>
      </c>
      <c r="AB178" s="8"/>
      <c r="AC178" s="8">
        <v>3184262</v>
      </c>
      <c r="AD178" s="8"/>
      <c r="AE178" s="8">
        <v>1364039</v>
      </c>
      <c r="AF178" s="138"/>
      <c r="AG178" s="12" t="s">
        <v>487</v>
      </c>
      <c r="AH178" s="12"/>
      <c r="AI178" s="12" t="s">
        <v>44</v>
      </c>
      <c r="AJ178" s="12"/>
      <c r="AK178" s="8">
        <v>3253678</v>
      </c>
      <c r="AL178" s="8"/>
      <c r="AM178" s="8">
        <v>1760690</v>
      </c>
      <c r="AN178" s="8"/>
      <c r="AO178" s="8">
        <v>1425981</v>
      </c>
      <c r="AP178" s="8"/>
      <c r="AQ178" s="8">
        <v>2503678</v>
      </c>
      <c r="AR178" s="8"/>
      <c r="AS178" s="8"/>
      <c r="AT178" s="8"/>
      <c r="AU178" s="8">
        <v>0</v>
      </c>
      <c r="AV178" s="8"/>
      <c r="AW178" s="8">
        <f t="shared" si="10"/>
        <v>86556383</v>
      </c>
      <c r="AY178" s="8">
        <f>+'St of Activites - GA Rev'!AI178-'St of Activities - GA Exp'!AW178</f>
        <v>1818550</v>
      </c>
      <c r="BA178" s="8">
        <v>25455061</v>
      </c>
      <c r="BC178" s="8">
        <f t="shared" si="8"/>
        <v>27273611</v>
      </c>
      <c r="BE178" s="8">
        <f>+'St of Net Assets - GA'!AA178-'St of Activities - GA Exp'!BC178</f>
        <v>0</v>
      </c>
    </row>
    <row r="179" spans="1:59">
      <c r="A179" s="12" t="s">
        <v>306</v>
      </c>
      <c r="B179" s="12"/>
      <c r="C179" s="12" t="s">
        <v>20</v>
      </c>
      <c r="D179" s="12"/>
      <c r="E179" s="32">
        <v>43950</v>
      </c>
      <c r="G179" s="8">
        <v>29685825</v>
      </c>
      <c r="H179" s="8"/>
      <c r="I179" s="8">
        <v>14747557</v>
      </c>
      <c r="J179" s="8"/>
      <c r="K179" s="8">
        <v>1292997</v>
      </c>
      <c r="L179" s="8"/>
      <c r="M179" s="8">
        <f>80245+737533</f>
        <v>817778</v>
      </c>
      <c r="N179" s="8"/>
      <c r="O179" s="8">
        <v>4102032</v>
      </c>
      <c r="P179" s="8"/>
      <c r="Q179" s="8">
        <v>5349115</v>
      </c>
      <c r="R179" s="8"/>
      <c r="S179" s="8">
        <v>63413</v>
      </c>
      <c r="T179" s="8"/>
      <c r="U179" s="8">
        <v>5325009</v>
      </c>
      <c r="V179" s="8"/>
      <c r="W179" s="8">
        <v>2013309</v>
      </c>
      <c r="X179" s="8"/>
      <c r="Y179" s="8">
        <v>758527</v>
      </c>
      <c r="Z179" s="8"/>
      <c r="AA179" s="8">
        <v>8039562</v>
      </c>
      <c r="AB179" s="8"/>
      <c r="AC179" s="8">
        <v>3801548</v>
      </c>
      <c r="AD179" s="8"/>
      <c r="AE179" s="8">
        <v>1240344</v>
      </c>
      <c r="AF179" s="138"/>
      <c r="AG179" s="12" t="s">
        <v>306</v>
      </c>
      <c r="AH179" s="12"/>
      <c r="AI179" s="12" t="s">
        <v>20</v>
      </c>
      <c r="AJ179" s="12"/>
      <c r="AK179" s="8">
        <v>2450210</v>
      </c>
      <c r="AL179" s="8"/>
      <c r="AM179" s="8">
        <v>1152878</v>
      </c>
      <c r="AN179" s="8"/>
      <c r="AO179" s="8">
        <v>1281346</v>
      </c>
      <c r="AP179" s="8"/>
      <c r="AQ179" s="8">
        <v>537331</v>
      </c>
      <c r="AR179" s="8"/>
      <c r="AS179" s="8"/>
      <c r="AT179" s="8"/>
      <c r="AU179" s="8">
        <f>5909+816342</f>
        <v>822251</v>
      </c>
      <c r="AV179" s="8"/>
      <c r="AW179" s="8">
        <f t="shared" ref="AW179:AW249" si="11">SUM(G179:AV179)</f>
        <v>83481032</v>
      </c>
      <c r="AY179" s="8">
        <f>+'St of Activites - GA Rev'!AI179-'St of Activities - GA Exp'!AW179</f>
        <v>3336345</v>
      </c>
      <c r="BA179" s="8">
        <v>28479703</v>
      </c>
      <c r="BC179" s="8">
        <f t="shared" ref="BC179:BC250" si="12">+AY179+BA179</f>
        <v>31816048</v>
      </c>
      <c r="BE179" s="8">
        <f>+'St of Net Assets - GA'!AA179-'St of Activities - GA Exp'!BC179</f>
        <v>0</v>
      </c>
    </row>
    <row r="180" spans="1:59" ht="12" hidden="1" customHeight="1">
      <c r="A180" s="13" t="s">
        <v>840</v>
      </c>
      <c r="B180" s="12"/>
      <c r="C180" s="12" t="s">
        <v>28</v>
      </c>
      <c r="D180" s="12"/>
      <c r="E180" s="32">
        <v>47050</v>
      </c>
      <c r="G180" s="8">
        <v>4847321</v>
      </c>
      <c r="H180" s="8"/>
      <c r="I180" s="8">
        <v>1542547</v>
      </c>
      <c r="J180" s="8"/>
      <c r="K180" s="8">
        <v>134545</v>
      </c>
      <c r="L180" s="8"/>
      <c r="M180" s="8">
        <v>604716</v>
      </c>
      <c r="N180" s="8"/>
      <c r="O180" s="8">
        <v>595499</v>
      </c>
      <c r="P180" s="8"/>
      <c r="Q180" s="8">
        <v>790095</v>
      </c>
      <c r="R180" s="8"/>
      <c r="S180" s="8">
        <v>35441</v>
      </c>
      <c r="T180" s="8"/>
      <c r="U180" s="8">
        <v>988015</v>
      </c>
      <c r="V180" s="8"/>
      <c r="W180" s="8">
        <v>337945</v>
      </c>
      <c r="X180" s="8"/>
      <c r="Y180" s="8">
        <v>18000</v>
      </c>
      <c r="Z180" s="8"/>
      <c r="AA180" s="8">
        <v>1226198</v>
      </c>
      <c r="AB180" s="8"/>
      <c r="AC180" s="8">
        <v>1110910</v>
      </c>
      <c r="AD180" s="8"/>
      <c r="AE180" s="8">
        <v>86321</v>
      </c>
      <c r="AF180" s="138"/>
      <c r="AG180" s="12" t="s">
        <v>369</v>
      </c>
      <c r="AH180" s="12"/>
      <c r="AI180" s="12" t="s">
        <v>28</v>
      </c>
      <c r="AJ180" s="12"/>
      <c r="AK180" s="8"/>
      <c r="AL180" s="8"/>
      <c r="AM180" s="8">
        <v>610805</v>
      </c>
      <c r="AN180" s="8"/>
      <c r="AO180" s="8">
        <v>466174</v>
      </c>
      <c r="AP180" s="8"/>
      <c r="AQ180" s="8">
        <v>913106</v>
      </c>
      <c r="AR180" s="8"/>
      <c r="AS180" s="8"/>
      <c r="AT180" s="8"/>
      <c r="AU180" s="8">
        <f>325264+6740</f>
        <v>332004</v>
      </c>
      <c r="AV180" s="8"/>
      <c r="AW180" s="8">
        <f t="shared" si="11"/>
        <v>14639642</v>
      </c>
      <c r="AY180" s="8">
        <f>+'St of Activites - GA Rev'!AI180-'St of Activities - GA Exp'!AW180</f>
        <v>721738</v>
      </c>
      <c r="BA180" s="8">
        <v>5249866</v>
      </c>
      <c r="BC180" s="8">
        <f t="shared" si="12"/>
        <v>5971604</v>
      </c>
      <c r="BE180" s="8">
        <f>+'St of Net Assets - GA'!AA180-'St of Activities - GA Exp'!BC180</f>
        <v>0</v>
      </c>
    </row>
    <row r="181" spans="1:59">
      <c r="A181" s="12" t="s">
        <v>702</v>
      </c>
      <c r="B181" s="12"/>
      <c r="C181" s="12" t="s">
        <v>66</v>
      </c>
      <c r="D181" s="12"/>
      <c r="E181" s="32">
        <v>50328</v>
      </c>
      <c r="G181" s="8">
        <v>4466300</v>
      </c>
      <c r="H181" s="8"/>
      <c r="I181" s="8">
        <v>839447</v>
      </c>
      <c r="J181" s="8"/>
      <c r="K181" s="8">
        <v>38831</v>
      </c>
      <c r="L181" s="8"/>
      <c r="M181" s="8">
        <v>58931</v>
      </c>
      <c r="N181" s="8"/>
      <c r="O181" s="8">
        <v>699671</v>
      </c>
      <c r="P181" s="8"/>
      <c r="Q181" s="8">
        <v>505272</v>
      </c>
      <c r="R181" s="8"/>
      <c r="S181" s="8">
        <v>99343</v>
      </c>
      <c r="T181" s="8"/>
      <c r="U181" s="8">
        <v>893515</v>
      </c>
      <c r="V181" s="8"/>
      <c r="W181" s="8">
        <v>376270</v>
      </c>
      <c r="X181" s="8"/>
      <c r="Y181" s="8">
        <v>0</v>
      </c>
      <c r="Z181" s="8"/>
      <c r="AA181" s="8">
        <v>1228597</v>
      </c>
      <c r="AB181" s="8"/>
      <c r="AC181" s="8">
        <v>795935</v>
      </c>
      <c r="AD181" s="8"/>
      <c r="AE181" s="8">
        <v>9000</v>
      </c>
      <c r="AF181" s="138"/>
      <c r="AG181" s="12" t="s">
        <v>702</v>
      </c>
      <c r="AH181" s="12"/>
      <c r="AI181" s="12" t="s">
        <v>66</v>
      </c>
      <c r="AJ181" s="12"/>
      <c r="AK181" s="8">
        <v>249295</v>
      </c>
      <c r="AL181" s="8"/>
      <c r="AM181" s="8">
        <f>162925+73095</f>
        <v>236020</v>
      </c>
      <c r="AN181" s="8"/>
      <c r="AO181" s="8">
        <v>308307</v>
      </c>
      <c r="AP181" s="8"/>
      <c r="AQ181" s="8">
        <v>599548</v>
      </c>
      <c r="AR181" s="8"/>
      <c r="AS181" s="8"/>
      <c r="AT181" s="8"/>
      <c r="AU181" s="8">
        <v>0</v>
      </c>
      <c r="AV181" s="8"/>
      <c r="AW181" s="8">
        <f t="shared" si="11"/>
        <v>11404282</v>
      </c>
      <c r="AY181" s="8">
        <f>+'St of Activites - GA Rev'!AI181-'St of Activities - GA Exp'!AW181</f>
        <v>345944</v>
      </c>
      <c r="BA181" s="8">
        <v>6369870</v>
      </c>
      <c r="BC181" s="8">
        <f t="shared" si="12"/>
        <v>6715814</v>
      </c>
      <c r="BE181" s="8">
        <f>+'St of Net Assets - GA'!AA181-'St of Activities - GA Exp'!BC181</f>
        <v>0</v>
      </c>
    </row>
    <row r="182" spans="1:59">
      <c r="A182" s="12" t="s">
        <v>851</v>
      </c>
      <c r="B182" s="12"/>
      <c r="C182" s="12" t="s">
        <v>116</v>
      </c>
      <c r="D182" s="12"/>
      <c r="E182" s="32">
        <v>46102</v>
      </c>
      <c r="G182" s="8">
        <v>19727212</v>
      </c>
      <c r="H182" s="8"/>
      <c r="I182" s="8">
        <v>6433409</v>
      </c>
      <c r="J182" s="8"/>
      <c r="K182" s="8">
        <v>0</v>
      </c>
      <c r="L182" s="8"/>
      <c r="M182" s="8">
        <v>2641460</v>
      </c>
      <c r="N182" s="8"/>
      <c r="O182" s="8">
        <v>2688975</v>
      </c>
      <c r="P182" s="8"/>
      <c r="Q182" s="8">
        <v>2394743</v>
      </c>
      <c r="R182" s="8"/>
      <c r="S182" s="8">
        <v>62140</v>
      </c>
      <c r="T182" s="8"/>
      <c r="U182" s="8">
        <v>2983340</v>
      </c>
      <c r="V182" s="8"/>
      <c r="W182" s="8">
        <v>818631</v>
      </c>
      <c r="X182" s="8"/>
      <c r="Y182" s="8">
        <v>193254</v>
      </c>
      <c r="Z182" s="8"/>
      <c r="AA182" s="8">
        <v>3920872</v>
      </c>
      <c r="AB182" s="8"/>
      <c r="AC182" s="8">
        <v>2400947</v>
      </c>
      <c r="AD182" s="8"/>
      <c r="AE182" s="8">
        <v>517335</v>
      </c>
      <c r="AF182" s="138"/>
      <c r="AG182" s="12" t="s">
        <v>851</v>
      </c>
      <c r="AH182" s="12"/>
      <c r="AI182" s="12" t="s">
        <v>116</v>
      </c>
      <c r="AJ182" s="12"/>
      <c r="AK182" s="8">
        <v>1524090</v>
      </c>
      <c r="AL182" s="8"/>
      <c r="AM182" s="8">
        <v>121085</v>
      </c>
      <c r="AN182" s="8"/>
      <c r="AO182" s="8">
        <v>780470</v>
      </c>
      <c r="AP182" s="8"/>
      <c r="AQ182" s="8">
        <v>834157</v>
      </c>
      <c r="AR182" s="8"/>
      <c r="AS182" s="8"/>
      <c r="AT182" s="8"/>
      <c r="AU182" s="8">
        <v>0</v>
      </c>
      <c r="AV182" s="8"/>
      <c r="AW182" s="8">
        <f t="shared" si="11"/>
        <v>48042120</v>
      </c>
      <c r="AY182" s="8">
        <f>+'St of Activites - GA Rev'!AI182-'St of Activities - GA Exp'!AW182</f>
        <v>3170249</v>
      </c>
      <c r="BA182" s="8">
        <v>-2891097</v>
      </c>
      <c r="BC182" s="8">
        <f t="shared" si="12"/>
        <v>279152</v>
      </c>
      <c r="BE182" s="8">
        <f>+'St of Net Assets - GA'!AA182-'St of Activities - GA Exp'!BC182</f>
        <v>0</v>
      </c>
    </row>
    <row r="183" spans="1:59">
      <c r="A183" s="12" t="s">
        <v>243</v>
      </c>
      <c r="B183" s="12"/>
      <c r="C183" s="12" t="s">
        <v>242</v>
      </c>
      <c r="D183" s="12"/>
      <c r="E183" s="32">
        <v>46102</v>
      </c>
      <c r="G183" s="8">
        <v>48299884</v>
      </c>
      <c r="H183" s="8"/>
      <c r="I183" s="8">
        <v>0</v>
      </c>
      <c r="J183" s="8"/>
      <c r="K183" s="8">
        <v>0</v>
      </c>
      <c r="L183" s="8"/>
      <c r="M183" s="8">
        <v>0</v>
      </c>
      <c r="N183" s="8"/>
      <c r="O183" s="8">
        <v>11008792</v>
      </c>
      <c r="P183" s="8"/>
      <c r="Q183" s="8">
        <v>0</v>
      </c>
      <c r="R183" s="8"/>
      <c r="S183" s="8">
        <v>7705797</v>
      </c>
      <c r="T183" s="8"/>
      <c r="U183" s="8">
        <v>0</v>
      </c>
      <c r="V183" s="8"/>
      <c r="W183" s="8">
        <v>0</v>
      </c>
      <c r="X183" s="8"/>
      <c r="Y183" s="8">
        <v>0</v>
      </c>
      <c r="Z183" s="8"/>
      <c r="AA183" s="8">
        <v>7730684</v>
      </c>
      <c r="AB183" s="8"/>
      <c r="AC183" s="8">
        <v>5663189</v>
      </c>
      <c r="AD183" s="8"/>
      <c r="AE183" s="8">
        <v>153552</v>
      </c>
      <c r="AF183" s="138"/>
      <c r="AG183" s="12" t="s">
        <v>243</v>
      </c>
      <c r="AH183" s="12"/>
      <c r="AI183" s="12" t="s">
        <v>242</v>
      </c>
      <c r="AJ183" s="12"/>
      <c r="AK183" s="8">
        <v>0</v>
      </c>
      <c r="AL183" s="8"/>
      <c r="AM183" s="8">
        <v>5428613</v>
      </c>
      <c r="AN183" s="8"/>
      <c r="AO183" s="8">
        <v>1723683</v>
      </c>
      <c r="AP183" s="8"/>
      <c r="AQ183" s="8">
        <v>2251054</v>
      </c>
      <c r="AR183" s="8"/>
      <c r="AS183" s="8"/>
      <c r="AT183" s="8"/>
      <c r="AU183" s="8">
        <v>0</v>
      </c>
      <c r="AV183" s="8"/>
      <c r="AW183" s="8">
        <f t="shared" si="11"/>
        <v>89965248</v>
      </c>
      <c r="AY183" s="8">
        <f>+'St of Activites - GA Rev'!AI183-'St of Activities - GA Exp'!AW183</f>
        <v>-75110</v>
      </c>
      <c r="BA183" s="8">
        <v>36113727</v>
      </c>
      <c r="BC183" s="8">
        <f t="shared" si="12"/>
        <v>36038617</v>
      </c>
      <c r="BE183" s="8">
        <f>+'St of Net Assets - GA'!AA183-'St of Activities - GA Exp'!BC183</f>
        <v>106490</v>
      </c>
      <c r="BG183" s="10" t="s">
        <v>935</v>
      </c>
    </row>
    <row r="184" spans="1:59">
      <c r="A184" s="12" t="s">
        <v>436</v>
      </c>
      <c r="B184" s="12"/>
      <c r="C184" s="12" t="s">
        <v>435</v>
      </c>
      <c r="D184" s="12"/>
      <c r="E184" s="32">
        <v>47621</v>
      </c>
      <c r="G184" s="8">
        <v>3460483</v>
      </c>
      <c r="H184" s="8"/>
      <c r="I184" s="8">
        <v>373139</v>
      </c>
      <c r="J184" s="8"/>
      <c r="K184" s="8">
        <v>193557</v>
      </c>
      <c r="L184" s="8"/>
      <c r="M184" s="8">
        <v>25617</v>
      </c>
      <c r="N184" s="8"/>
      <c r="O184" s="8">
        <v>283539</v>
      </c>
      <c r="P184" s="8"/>
      <c r="Q184" s="8">
        <v>467112</v>
      </c>
      <c r="R184" s="8"/>
      <c r="S184" s="8">
        <v>22515</v>
      </c>
      <c r="T184" s="8"/>
      <c r="U184" s="8">
        <v>519091</v>
      </c>
      <c r="V184" s="8"/>
      <c r="W184" s="8">
        <v>322012</v>
      </c>
      <c r="X184" s="8"/>
      <c r="Y184" s="8">
        <v>45837</v>
      </c>
      <c r="Z184" s="8"/>
      <c r="AA184" s="8">
        <v>659355</v>
      </c>
      <c r="AB184" s="8"/>
      <c r="AC184" s="8">
        <v>470922</v>
      </c>
      <c r="AD184" s="8"/>
      <c r="AE184" s="8">
        <v>115856</v>
      </c>
      <c r="AF184" s="138"/>
      <c r="AG184" s="12" t="s">
        <v>436</v>
      </c>
      <c r="AH184" s="12"/>
      <c r="AI184" s="12" t="s">
        <v>435</v>
      </c>
      <c r="AJ184" s="12"/>
      <c r="AK184" s="8">
        <v>298900</v>
      </c>
      <c r="AL184" s="8"/>
      <c r="AM184" s="8">
        <v>7528</v>
      </c>
      <c r="AN184" s="8"/>
      <c r="AO184" s="8">
        <v>110320</v>
      </c>
      <c r="AP184" s="8"/>
      <c r="AQ184" s="8">
        <v>94011</v>
      </c>
      <c r="AR184" s="8"/>
      <c r="AS184" s="8"/>
      <c r="AT184" s="8"/>
      <c r="AU184" s="8">
        <v>0</v>
      </c>
      <c r="AV184" s="8"/>
      <c r="AW184" s="8">
        <f t="shared" si="11"/>
        <v>7469794</v>
      </c>
      <c r="AY184" s="8">
        <f>+'St of Activites - GA Rev'!AI184-'St of Activities - GA Exp'!AW184</f>
        <v>778753</v>
      </c>
      <c r="BA184" s="8">
        <v>13880542</v>
      </c>
      <c r="BC184" s="8">
        <f t="shared" si="12"/>
        <v>14659295</v>
      </c>
      <c r="BE184" s="8">
        <f>+'St of Net Assets - GA'!AA184-'St of Activities - GA Exp'!BC184</f>
        <v>0</v>
      </c>
    </row>
    <row r="185" spans="1:59">
      <c r="A185" s="12" t="s">
        <v>346</v>
      </c>
      <c r="B185" s="12"/>
      <c r="C185" s="12" t="s">
        <v>25</v>
      </c>
      <c r="D185" s="12"/>
      <c r="E185" s="32">
        <v>46870</v>
      </c>
      <c r="G185" s="8">
        <v>8809792</v>
      </c>
      <c r="H185" s="8"/>
      <c r="I185" s="8">
        <v>1934088</v>
      </c>
      <c r="J185" s="8"/>
      <c r="K185" s="8">
        <v>376884</v>
      </c>
      <c r="L185" s="8"/>
      <c r="M185" s="8">
        <v>397747</v>
      </c>
      <c r="N185" s="8"/>
      <c r="O185" s="8">
        <v>854638</v>
      </c>
      <c r="P185" s="8"/>
      <c r="Q185" s="8">
        <v>725601</v>
      </c>
      <c r="R185" s="8"/>
      <c r="S185" s="8">
        <v>30771</v>
      </c>
      <c r="T185" s="8"/>
      <c r="U185" s="8">
        <v>1566737</v>
      </c>
      <c r="V185" s="8"/>
      <c r="W185" s="8">
        <v>551726</v>
      </c>
      <c r="X185" s="8"/>
      <c r="Y185" s="8">
        <v>0</v>
      </c>
      <c r="Z185" s="8"/>
      <c r="AA185" s="8">
        <v>1221698</v>
      </c>
      <c r="AB185" s="8"/>
      <c r="AC185" s="8">
        <v>1306430</v>
      </c>
      <c r="AD185" s="8"/>
      <c r="AE185" s="8">
        <v>152309</v>
      </c>
      <c r="AF185" s="138"/>
      <c r="AG185" s="12" t="s">
        <v>346</v>
      </c>
      <c r="AH185" s="12"/>
      <c r="AI185" s="12" t="s">
        <v>25</v>
      </c>
      <c r="AJ185" s="12"/>
      <c r="AK185" s="8">
        <v>750103</v>
      </c>
      <c r="AL185" s="8"/>
      <c r="AM185" s="8">
        <v>30410</v>
      </c>
      <c r="AN185" s="8"/>
      <c r="AO185" s="8">
        <v>639815</v>
      </c>
      <c r="AP185" s="8"/>
      <c r="AQ185" s="8">
        <v>1200334</v>
      </c>
      <c r="AR185" s="8"/>
      <c r="AS185" s="8"/>
      <c r="AT185" s="8"/>
      <c r="AU185" s="8">
        <v>0</v>
      </c>
      <c r="AV185" s="8"/>
      <c r="AW185" s="8">
        <f t="shared" si="11"/>
        <v>20549083</v>
      </c>
      <c r="AY185" s="8">
        <f>+'St of Activites - GA Rev'!AI185-'St of Activities - GA Exp'!AW185</f>
        <v>20008170</v>
      </c>
      <c r="BA185" s="8">
        <v>30001503</v>
      </c>
      <c r="BC185" s="8">
        <f t="shared" si="12"/>
        <v>50009673</v>
      </c>
      <c r="BE185" s="8">
        <f>+'St of Net Assets - GA'!AA185-'St of Activities - GA Exp'!BC185</f>
        <v>0</v>
      </c>
    </row>
    <row r="186" spans="1:59">
      <c r="A186" s="12" t="s">
        <v>468</v>
      </c>
      <c r="B186" s="12"/>
      <c r="C186" s="12" t="s">
        <v>466</v>
      </c>
      <c r="D186" s="12"/>
      <c r="E186" s="32">
        <v>47936</v>
      </c>
      <c r="G186" s="8">
        <v>8675924</v>
      </c>
      <c r="H186" s="8"/>
      <c r="I186" s="8">
        <v>1930526</v>
      </c>
      <c r="J186" s="8"/>
      <c r="K186" s="8">
        <v>59651</v>
      </c>
      <c r="L186" s="8"/>
      <c r="M186" s="8">
        <f>24595+6007</f>
        <v>30602</v>
      </c>
      <c r="N186" s="8"/>
      <c r="O186" s="8">
        <v>479386</v>
      </c>
      <c r="P186" s="8"/>
      <c r="Q186" s="8">
        <v>859062</v>
      </c>
      <c r="R186" s="8"/>
      <c r="S186" s="8">
        <v>119443</v>
      </c>
      <c r="T186" s="8"/>
      <c r="U186" s="8">
        <v>1237260</v>
      </c>
      <c r="V186" s="8"/>
      <c r="W186" s="8">
        <v>424436</v>
      </c>
      <c r="X186" s="8"/>
      <c r="Y186" s="8">
        <v>0</v>
      </c>
      <c r="Z186" s="8"/>
      <c r="AA186" s="8">
        <v>2310343</v>
      </c>
      <c r="AB186" s="8"/>
      <c r="AC186" s="8">
        <v>799552</v>
      </c>
      <c r="AD186" s="8"/>
      <c r="AE186" s="8">
        <v>6647</v>
      </c>
      <c r="AF186" s="138"/>
      <c r="AG186" s="12" t="s">
        <v>468</v>
      </c>
      <c r="AH186" s="12"/>
      <c r="AI186" s="12" t="s">
        <v>466</v>
      </c>
      <c r="AJ186" s="12"/>
      <c r="AK186" s="8">
        <v>619439</v>
      </c>
      <c r="AL186" s="8"/>
      <c r="AM186" s="8">
        <v>0</v>
      </c>
      <c r="AN186" s="8"/>
      <c r="AO186" s="8">
        <v>234287</v>
      </c>
      <c r="AP186" s="8"/>
      <c r="AQ186" s="8">
        <v>147961</v>
      </c>
      <c r="AR186" s="8"/>
      <c r="AS186" s="8"/>
      <c r="AT186" s="8"/>
      <c r="AU186" s="8">
        <v>0</v>
      </c>
      <c r="AV186" s="8"/>
      <c r="AW186" s="8">
        <f t="shared" si="11"/>
        <v>17934519</v>
      </c>
      <c r="AY186" s="8">
        <f>+'St of Activites - GA Rev'!AI186-'St of Activities - GA Exp'!AW186</f>
        <v>-1714237</v>
      </c>
      <c r="BA186" s="8">
        <v>35699517</v>
      </c>
      <c r="BC186" s="8">
        <f t="shared" si="12"/>
        <v>33985280</v>
      </c>
      <c r="BE186" s="8">
        <f>+'St of Net Assets - GA'!AA186-'St of Activities - GA Exp'!BC186</f>
        <v>0</v>
      </c>
    </row>
    <row r="187" spans="1:59" ht="12" hidden="1" customHeight="1">
      <c r="A187" s="12" t="s">
        <v>841</v>
      </c>
      <c r="B187" s="12"/>
      <c r="C187" s="12" t="s">
        <v>61</v>
      </c>
      <c r="D187" s="12"/>
      <c r="E187" s="32">
        <v>49775</v>
      </c>
      <c r="G187" s="8">
        <v>1854472</v>
      </c>
      <c r="H187" s="8"/>
      <c r="I187" s="8">
        <v>385135</v>
      </c>
      <c r="J187" s="8"/>
      <c r="K187" s="8">
        <v>30678</v>
      </c>
      <c r="L187" s="8"/>
      <c r="M187" s="8"/>
      <c r="N187" s="8"/>
      <c r="O187" s="8">
        <v>243785</v>
      </c>
      <c r="P187" s="8"/>
      <c r="Q187" s="8">
        <v>363193</v>
      </c>
      <c r="R187" s="8"/>
      <c r="S187" s="8">
        <v>10350</v>
      </c>
      <c r="T187" s="8"/>
      <c r="U187" s="8">
        <v>513685</v>
      </c>
      <c r="V187" s="8"/>
      <c r="W187" s="8">
        <v>224200</v>
      </c>
      <c r="X187" s="8"/>
      <c r="Y187" s="8">
        <v>4634</v>
      </c>
      <c r="Z187" s="8"/>
      <c r="AA187" s="8">
        <v>407576</v>
      </c>
      <c r="AB187" s="8"/>
      <c r="AC187" s="8">
        <v>298660</v>
      </c>
      <c r="AD187" s="8"/>
      <c r="AE187" s="8"/>
      <c r="AF187" s="138"/>
      <c r="AG187" s="12" t="s">
        <v>643</v>
      </c>
      <c r="AH187" s="12"/>
      <c r="AI187" s="12" t="s">
        <v>61</v>
      </c>
      <c r="AJ187" s="12"/>
      <c r="AK187" s="8"/>
      <c r="AL187" s="8"/>
      <c r="AM187" s="8">
        <v>204296</v>
      </c>
      <c r="AN187" s="8"/>
      <c r="AO187" s="8">
        <v>145275</v>
      </c>
      <c r="AP187" s="8"/>
      <c r="AQ187" s="8"/>
      <c r="AR187" s="8"/>
      <c r="AS187" s="8"/>
      <c r="AT187" s="8"/>
      <c r="AU187" s="8">
        <f>12336334+125000+225789</f>
        <v>12687123</v>
      </c>
      <c r="AV187" s="8"/>
      <c r="AW187" s="8">
        <f t="shared" si="11"/>
        <v>17373062</v>
      </c>
      <c r="AY187" s="8">
        <f>+'St of Activites - GA Rev'!AI187-'St of Activities - GA Exp'!AW187</f>
        <v>-3669736</v>
      </c>
      <c r="BA187" s="8">
        <v>13986639</v>
      </c>
      <c r="BC187" s="8">
        <f t="shared" si="12"/>
        <v>10316903</v>
      </c>
      <c r="BE187" s="8">
        <f>+'St of Net Assets - GA'!AA187-'St of Activities - GA Exp'!BC187</f>
        <v>0</v>
      </c>
    </row>
    <row r="188" spans="1:59">
      <c r="A188" s="12" t="s">
        <v>651</v>
      </c>
      <c r="B188" s="12"/>
      <c r="C188" s="12" t="s">
        <v>62</v>
      </c>
      <c r="D188" s="12"/>
      <c r="E188" s="32">
        <v>49841</v>
      </c>
      <c r="G188" s="8">
        <v>7760526</v>
      </c>
      <c r="H188" s="8"/>
      <c r="I188" s="8">
        <v>2068975</v>
      </c>
      <c r="J188" s="8"/>
      <c r="K188" s="8">
        <v>110670</v>
      </c>
      <c r="L188" s="8"/>
      <c r="M188" s="8">
        <v>389391</v>
      </c>
      <c r="N188" s="8"/>
      <c r="O188" s="8">
        <v>1120857</v>
      </c>
      <c r="P188" s="8"/>
      <c r="Q188" s="8">
        <v>448739</v>
      </c>
      <c r="R188" s="8"/>
      <c r="S188" s="8">
        <v>19922</v>
      </c>
      <c r="T188" s="8"/>
      <c r="U188" s="8">
        <v>1567842</v>
      </c>
      <c r="V188" s="8"/>
      <c r="W188" s="8">
        <v>389998</v>
      </c>
      <c r="X188" s="8"/>
      <c r="Y188" s="8">
        <v>0</v>
      </c>
      <c r="Z188" s="8"/>
      <c r="AA188" s="8">
        <v>1908884</v>
      </c>
      <c r="AB188" s="8"/>
      <c r="AC188" s="8">
        <v>1078683</v>
      </c>
      <c r="AD188" s="8"/>
      <c r="AE188" s="8">
        <v>31514</v>
      </c>
      <c r="AF188" s="138"/>
      <c r="AG188" s="12" t="s">
        <v>651</v>
      </c>
      <c r="AH188" s="12"/>
      <c r="AI188" s="12" t="s">
        <v>62</v>
      </c>
      <c r="AJ188" s="12"/>
      <c r="AK188" s="8">
        <v>765243</v>
      </c>
      <c r="AL188" s="8"/>
      <c r="AM188" s="8">
        <v>39609</v>
      </c>
      <c r="AN188" s="8"/>
      <c r="AO188" s="8">
        <v>423017</v>
      </c>
      <c r="AP188" s="8"/>
      <c r="AQ188" s="8">
        <v>602829</v>
      </c>
      <c r="AR188" s="8"/>
      <c r="AS188" s="8"/>
      <c r="AT188" s="8"/>
      <c r="AU188" s="8">
        <v>0</v>
      </c>
      <c r="AV188" s="8"/>
      <c r="AW188" s="8">
        <f t="shared" si="11"/>
        <v>18726699</v>
      </c>
      <c r="AY188" s="8">
        <f>+'St of Activites - GA Rev'!AI188-'St of Activities - GA Exp'!AW188</f>
        <v>-626055</v>
      </c>
      <c r="BA188" s="8">
        <v>20249158</v>
      </c>
      <c r="BC188" s="8">
        <f t="shared" si="12"/>
        <v>19623103</v>
      </c>
      <c r="BE188" s="8">
        <f>+'St of Net Assets - GA'!AA188-'St of Activities - GA Exp'!BC188</f>
        <v>0</v>
      </c>
    </row>
    <row r="189" spans="1:59" ht="12" hidden="1" customHeight="1">
      <c r="A189" s="91" t="s">
        <v>972</v>
      </c>
      <c r="B189" s="12"/>
      <c r="C189" s="12" t="s">
        <v>41</v>
      </c>
      <c r="D189" s="12"/>
      <c r="E189" s="32">
        <v>45369</v>
      </c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138"/>
      <c r="AG189" s="12" t="s">
        <v>458</v>
      </c>
      <c r="AH189" s="12"/>
      <c r="AI189" s="12" t="s">
        <v>41</v>
      </c>
      <c r="AJ189" s="12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>
        <f t="shared" si="11"/>
        <v>0</v>
      </c>
      <c r="AY189" s="8">
        <f>+'St of Activites - GA Rev'!AI189-'St of Activities - GA Exp'!AW189</f>
        <v>0</v>
      </c>
      <c r="BC189" s="8">
        <f t="shared" si="12"/>
        <v>0</v>
      </c>
      <c r="BE189" s="8">
        <f>+'St of Net Assets - GA'!AA189-'St of Activities - GA Exp'!BC189</f>
        <v>0</v>
      </c>
    </row>
    <row r="190" spans="1:59">
      <c r="A190" s="12" t="s">
        <v>307</v>
      </c>
      <c r="B190" s="12"/>
      <c r="C190" s="12" t="s">
        <v>20</v>
      </c>
      <c r="D190" s="12"/>
      <c r="E190" s="32">
        <v>43976</v>
      </c>
      <c r="G190" s="8">
        <v>9734851</v>
      </c>
      <c r="H190" s="8"/>
      <c r="I190" s="8">
        <v>3068363</v>
      </c>
      <c r="J190" s="8"/>
      <c r="K190" s="8">
        <v>17430</v>
      </c>
      <c r="L190" s="8"/>
      <c r="M190" s="8">
        <v>15305</v>
      </c>
      <c r="N190" s="8"/>
      <c r="O190" s="8">
        <v>1202917</v>
      </c>
      <c r="P190" s="8"/>
      <c r="Q190" s="8">
        <v>1764724</v>
      </c>
      <c r="R190" s="8"/>
      <c r="S190" s="8">
        <v>27381</v>
      </c>
      <c r="T190" s="8"/>
      <c r="U190" s="8">
        <v>1361033</v>
      </c>
      <c r="V190" s="8"/>
      <c r="W190" s="8">
        <v>741625</v>
      </c>
      <c r="X190" s="8"/>
      <c r="Y190" s="8">
        <v>219281</v>
      </c>
      <c r="Z190" s="8"/>
      <c r="AA190" s="8">
        <v>2156645</v>
      </c>
      <c r="AB190" s="8"/>
      <c r="AC190" s="8">
        <v>703411</v>
      </c>
      <c r="AD190" s="8"/>
      <c r="AE190" s="8">
        <v>244236</v>
      </c>
      <c r="AF190" s="138"/>
      <c r="AG190" s="12" t="s">
        <v>307</v>
      </c>
      <c r="AH190" s="12"/>
      <c r="AI190" s="12" t="s">
        <v>20</v>
      </c>
      <c r="AJ190" s="12"/>
      <c r="AK190" s="8">
        <v>345918</v>
      </c>
      <c r="AL190" s="8"/>
      <c r="AM190" s="8">
        <v>637148</v>
      </c>
      <c r="AN190" s="8"/>
      <c r="AO190" s="8">
        <v>613848</v>
      </c>
      <c r="AP190" s="8"/>
      <c r="AQ190" s="8">
        <v>1441200</v>
      </c>
      <c r="AR190" s="8"/>
      <c r="AS190" s="8"/>
      <c r="AT190" s="8"/>
      <c r="AU190" s="8">
        <v>925404</v>
      </c>
      <c r="AV190" s="8"/>
      <c r="AW190" s="8">
        <f t="shared" si="11"/>
        <v>25220720</v>
      </c>
      <c r="AY190" s="8">
        <f>+'St of Activites - GA Rev'!AI190-'St of Activities - GA Exp'!AW190</f>
        <v>1843203</v>
      </c>
      <c r="BA190" s="8">
        <v>17802543</v>
      </c>
      <c r="BC190" s="8">
        <f t="shared" si="12"/>
        <v>19645746</v>
      </c>
      <c r="BE190" s="8">
        <f>+'St of Net Assets - GA'!AA190-'St of Activities - GA Exp'!BC190</f>
        <v>0</v>
      </c>
    </row>
    <row r="191" spans="1:59">
      <c r="A191" s="12" t="s">
        <v>936</v>
      </c>
      <c r="B191" s="12"/>
      <c r="C191" s="12" t="s">
        <v>28</v>
      </c>
      <c r="D191" s="12"/>
      <c r="E191" s="32"/>
      <c r="G191" s="8">
        <v>3836416</v>
      </c>
      <c r="H191" s="8"/>
      <c r="I191" s="8">
        <v>633332</v>
      </c>
      <c r="J191" s="8"/>
      <c r="K191" s="8">
        <v>113607</v>
      </c>
      <c r="L191" s="8"/>
      <c r="M191" s="8">
        <v>0</v>
      </c>
      <c r="N191" s="8"/>
      <c r="O191" s="8">
        <v>387620</v>
      </c>
      <c r="P191" s="8"/>
      <c r="Q191" s="8">
        <v>202492</v>
      </c>
      <c r="R191" s="8"/>
      <c r="S191" s="8">
        <v>21973</v>
      </c>
      <c r="T191" s="8"/>
      <c r="U191" s="8">
        <v>456760</v>
      </c>
      <c r="V191" s="8"/>
      <c r="W191" s="8">
        <v>227585</v>
      </c>
      <c r="X191" s="8"/>
      <c r="Y191" s="8">
        <v>0</v>
      </c>
      <c r="Z191" s="8"/>
      <c r="AA191" s="8">
        <v>503218</v>
      </c>
      <c r="AB191" s="8"/>
      <c r="AC191" s="8">
        <v>240092</v>
      </c>
      <c r="AD191" s="8"/>
      <c r="AE191" s="8">
        <v>29918</v>
      </c>
      <c r="AF191" s="138"/>
      <c r="AG191" s="12" t="s">
        <v>936</v>
      </c>
      <c r="AH191" s="12"/>
      <c r="AI191" s="12" t="s">
        <v>28</v>
      </c>
      <c r="AJ191" s="12"/>
      <c r="AK191" s="8">
        <v>0</v>
      </c>
      <c r="AL191" s="8"/>
      <c r="AM191" s="8">
        <v>244489</v>
      </c>
      <c r="AN191" s="8"/>
      <c r="AO191" s="8">
        <v>265478</v>
      </c>
      <c r="AP191" s="8"/>
      <c r="AQ191" s="8">
        <v>236103</v>
      </c>
      <c r="AR191" s="8"/>
      <c r="AS191" s="8"/>
      <c r="AT191" s="8"/>
      <c r="AU191" s="8">
        <v>0</v>
      </c>
      <c r="AV191" s="8"/>
      <c r="AW191" s="8">
        <f t="shared" si="11"/>
        <v>7399083</v>
      </c>
      <c r="AY191" s="8">
        <f>+'St of Activites - GA Rev'!AI191-'St of Activities - GA Exp'!AW191</f>
        <v>-1973385</v>
      </c>
      <c r="BA191" s="8">
        <v>18081054</v>
      </c>
      <c r="BC191" s="8">
        <f t="shared" si="12"/>
        <v>16107669</v>
      </c>
      <c r="BE191" s="8">
        <f>+'St of Net Assets - GA'!AA191-'St of Activities - GA Exp'!BC191</f>
        <v>0</v>
      </c>
    </row>
    <row r="192" spans="1:59">
      <c r="A192" s="12" t="s">
        <v>238</v>
      </c>
      <c r="B192" s="12"/>
      <c r="C192" s="12" t="s">
        <v>77</v>
      </c>
      <c r="D192" s="12"/>
      <c r="E192" s="32">
        <v>46045</v>
      </c>
      <c r="G192" s="8">
        <v>3706653</v>
      </c>
      <c r="H192" s="8"/>
      <c r="I192" s="8">
        <v>974381</v>
      </c>
      <c r="J192" s="8"/>
      <c r="K192" s="8">
        <v>172027</v>
      </c>
      <c r="L192" s="8"/>
      <c r="M192" s="8">
        <v>29816</v>
      </c>
      <c r="N192" s="8"/>
      <c r="O192" s="8">
        <v>400287</v>
      </c>
      <c r="P192" s="8"/>
      <c r="Q192" s="8">
        <v>816348</v>
      </c>
      <c r="R192" s="8"/>
      <c r="S192" s="8">
        <v>65123</v>
      </c>
      <c r="T192" s="8"/>
      <c r="U192" s="8">
        <v>784498</v>
      </c>
      <c r="V192" s="8"/>
      <c r="W192" s="8">
        <v>326524</v>
      </c>
      <c r="X192" s="8"/>
      <c r="Y192" s="8">
        <v>0</v>
      </c>
      <c r="Z192" s="8"/>
      <c r="AA192" s="8">
        <v>898181</v>
      </c>
      <c r="AB192" s="8"/>
      <c r="AC192" s="8">
        <v>485730</v>
      </c>
      <c r="AD192" s="8"/>
      <c r="AE192" s="8">
        <v>7656</v>
      </c>
      <c r="AF192" s="138"/>
      <c r="AG192" s="12" t="s">
        <v>238</v>
      </c>
      <c r="AH192" s="12"/>
      <c r="AI192" s="12" t="s">
        <v>77</v>
      </c>
      <c r="AJ192" s="12"/>
      <c r="AK192" s="8">
        <v>463554</v>
      </c>
      <c r="AL192" s="8"/>
      <c r="AM192" s="8">
        <v>109857</v>
      </c>
      <c r="AN192" s="8"/>
      <c r="AO192" s="8">
        <v>204979</v>
      </c>
      <c r="AP192" s="8"/>
      <c r="AQ192" s="8">
        <v>367143</v>
      </c>
      <c r="AR192" s="8"/>
      <c r="AS192" s="8"/>
      <c r="AT192" s="8"/>
      <c r="AU192" s="8">
        <v>12341080</v>
      </c>
      <c r="AV192" s="8"/>
      <c r="AW192" s="8">
        <f t="shared" si="11"/>
        <v>22153837</v>
      </c>
      <c r="AY192" s="8">
        <f>+'St of Activites - GA Rev'!AI192-'St of Activities - GA Exp'!AW192</f>
        <v>-12438134</v>
      </c>
      <c r="BA192" s="8">
        <v>28136494</v>
      </c>
      <c r="BC192" s="8">
        <f t="shared" si="12"/>
        <v>15698360</v>
      </c>
      <c r="BE192" s="8">
        <f>+'St of Net Assets - GA'!AA192-'St of Activities - GA Exp'!BC192</f>
        <v>0</v>
      </c>
    </row>
    <row r="193" spans="1:57">
      <c r="A193" s="13" t="s">
        <v>937</v>
      </c>
      <c r="B193" s="13"/>
      <c r="C193" s="13" t="s">
        <v>13</v>
      </c>
      <c r="D193" s="12"/>
      <c r="E193" s="32"/>
      <c r="G193" s="8">
        <v>4579966</v>
      </c>
      <c r="H193" s="8"/>
      <c r="I193" s="8">
        <v>1585776</v>
      </c>
      <c r="J193" s="8"/>
      <c r="K193" s="8">
        <v>213931</v>
      </c>
      <c r="L193" s="8"/>
      <c r="M193" s="8">
        <v>0</v>
      </c>
      <c r="N193" s="8"/>
      <c r="O193" s="8">
        <v>315356</v>
      </c>
      <c r="P193" s="8"/>
      <c r="Q193" s="8">
        <v>424781</v>
      </c>
      <c r="R193" s="8"/>
      <c r="S193" s="8">
        <v>38851</v>
      </c>
      <c r="T193" s="8"/>
      <c r="U193" s="8">
        <v>1174691</v>
      </c>
      <c r="V193" s="8"/>
      <c r="W193" s="8">
        <v>1994319</v>
      </c>
      <c r="X193" s="8"/>
      <c r="Y193" s="8">
        <v>0</v>
      </c>
      <c r="Z193" s="8"/>
      <c r="AA193" s="8">
        <v>1007293</v>
      </c>
      <c r="AB193" s="8"/>
      <c r="AC193" s="8">
        <v>1090006</v>
      </c>
      <c r="AD193" s="8"/>
      <c r="AE193" s="8">
        <v>39859</v>
      </c>
      <c r="AF193" s="138"/>
      <c r="AG193" s="13" t="s">
        <v>937</v>
      </c>
      <c r="AH193" s="13"/>
      <c r="AI193" s="13" t="s">
        <v>13</v>
      </c>
      <c r="AJ193" s="12"/>
      <c r="AK193" s="8">
        <v>525794</v>
      </c>
      <c r="AL193" s="8"/>
      <c r="AM193" s="8">
        <v>14286</v>
      </c>
      <c r="AN193" s="8"/>
      <c r="AO193" s="8">
        <v>83337</v>
      </c>
      <c r="AP193" s="8"/>
      <c r="AQ193" s="8">
        <v>47466</v>
      </c>
      <c r="AR193" s="8"/>
      <c r="AS193" s="8"/>
      <c r="AT193" s="8"/>
      <c r="AU193" s="8">
        <v>0</v>
      </c>
      <c r="AV193" s="8"/>
      <c r="AW193" s="8">
        <f t="shared" si="11"/>
        <v>13135712</v>
      </c>
      <c r="AY193" s="8">
        <f>+'St of Activites - GA Rev'!AI193-'St of Activities - GA Exp'!AW193</f>
        <v>1716476</v>
      </c>
      <c r="BA193" s="8">
        <v>7887035</v>
      </c>
      <c r="BC193" s="8">
        <f t="shared" si="12"/>
        <v>9603511</v>
      </c>
      <c r="BE193" s="8">
        <f>+'St of Net Assets - GA'!AA193-'St of Activities - GA Exp'!BC193</f>
        <v>0</v>
      </c>
    </row>
    <row r="194" spans="1:57">
      <c r="A194" s="12" t="s">
        <v>268</v>
      </c>
      <c r="B194" s="12"/>
      <c r="C194" s="12" t="s">
        <v>115</v>
      </c>
      <c r="D194" s="12"/>
      <c r="E194" s="32">
        <v>46334</v>
      </c>
      <c r="G194" s="8">
        <v>5642574</v>
      </c>
      <c r="H194" s="8"/>
      <c r="I194" s="8">
        <v>721282</v>
      </c>
      <c r="J194" s="8"/>
      <c r="K194" s="8">
        <v>1299436</v>
      </c>
      <c r="L194" s="8"/>
      <c r="M194" s="8">
        <v>0</v>
      </c>
      <c r="N194" s="8"/>
      <c r="O194" s="8">
        <v>616088</v>
      </c>
      <c r="P194" s="8"/>
      <c r="Q194" s="8">
        <v>379073</v>
      </c>
      <c r="R194" s="8"/>
      <c r="S194" s="8">
        <v>22632</v>
      </c>
      <c r="T194" s="8"/>
      <c r="U194" s="8">
        <v>747549</v>
      </c>
      <c r="V194" s="8"/>
      <c r="W194" s="8">
        <v>379020</v>
      </c>
      <c r="X194" s="8"/>
      <c r="Y194" s="8">
        <v>0</v>
      </c>
      <c r="Z194" s="8"/>
      <c r="AA194" s="8">
        <v>1130421</v>
      </c>
      <c r="AB194" s="8"/>
      <c r="AC194" s="8">
        <v>603974</v>
      </c>
      <c r="AD194" s="8"/>
      <c r="AE194" s="8">
        <v>51802</v>
      </c>
      <c r="AF194" s="138"/>
      <c r="AG194" s="12" t="s">
        <v>268</v>
      </c>
      <c r="AH194" s="12"/>
      <c r="AI194" s="12" t="s">
        <v>115</v>
      </c>
      <c r="AJ194" s="12"/>
      <c r="AK194" s="8">
        <v>511442</v>
      </c>
      <c r="AL194" s="8"/>
      <c r="AM194" s="8">
        <v>0</v>
      </c>
      <c r="AN194" s="8"/>
      <c r="AO194" s="8">
        <v>204643</v>
      </c>
      <c r="AP194" s="8"/>
      <c r="AQ194" s="8">
        <v>133220</v>
      </c>
      <c r="AR194" s="8"/>
      <c r="AS194" s="8"/>
      <c r="AT194" s="8"/>
      <c r="AU194" s="8">
        <v>0</v>
      </c>
      <c r="AV194" s="8"/>
      <c r="AW194" s="8">
        <f t="shared" si="11"/>
        <v>12443156</v>
      </c>
      <c r="AY194" s="8">
        <f>+'St of Activites - GA Rev'!AI194-'St of Activities - GA Exp'!AW194</f>
        <v>-959674</v>
      </c>
      <c r="BA194" s="8">
        <v>19113974</v>
      </c>
      <c r="BC194" s="8">
        <f t="shared" si="12"/>
        <v>18154300</v>
      </c>
      <c r="BE194" s="8">
        <f>+'St of Net Assets - GA'!AA194-'St of Activities - GA Exp'!BC194</f>
        <v>0</v>
      </c>
    </row>
    <row r="195" spans="1:57">
      <c r="A195" s="12" t="s">
        <v>1054</v>
      </c>
      <c r="B195" s="12"/>
      <c r="C195" s="12" t="s">
        <v>56</v>
      </c>
      <c r="D195" s="12"/>
      <c r="E195" s="32">
        <v>49197</v>
      </c>
      <c r="G195" s="8">
        <v>10301056</v>
      </c>
      <c r="H195" s="8"/>
      <c r="I195" s="8">
        <v>1949337</v>
      </c>
      <c r="J195" s="8"/>
      <c r="K195" s="8">
        <v>127044</v>
      </c>
      <c r="L195" s="8"/>
      <c r="M195" s="8">
        <f>40880+143562</f>
        <v>184442</v>
      </c>
      <c r="N195" s="8"/>
      <c r="O195" s="8">
        <v>927386</v>
      </c>
      <c r="P195" s="8"/>
      <c r="Q195" s="8">
        <v>858467</v>
      </c>
      <c r="R195" s="8"/>
      <c r="S195" s="8">
        <v>16382</v>
      </c>
      <c r="T195" s="8"/>
      <c r="U195" s="8">
        <v>2047346</v>
      </c>
      <c r="V195" s="8"/>
      <c r="W195" s="8">
        <v>538171</v>
      </c>
      <c r="X195" s="8"/>
      <c r="Y195" s="8">
        <v>6570</v>
      </c>
      <c r="Z195" s="8"/>
      <c r="AA195" s="8">
        <v>1787025</v>
      </c>
      <c r="AB195" s="8"/>
      <c r="AC195" s="8">
        <v>1271562</v>
      </c>
      <c r="AD195" s="8"/>
      <c r="AE195" s="8">
        <v>100983</v>
      </c>
      <c r="AF195" s="138"/>
      <c r="AG195" s="12" t="s">
        <v>590</v>
      </c>
      <c r="AH195" s="12"/>
      <c r="AI195" s="12" t="s">
        <v>56</v>
      </c>
      <c r="AJ195" s="12"/>
      <c r="AK195" s="8">
        <v>697530</v>
      </c>
      <c r="AL195" s="8"/>
      <c r="AM195" s="8">
        <v>33604</v>
      </c>
      <c r="AN195" s="8"/>
      <c r="AO195" s="8">
        <v>479611</v>
      </c>
      <c r="AP195" s="8"/>
      <c r="AQ195" s="8">
        <v>1161021</v>
      </c>
      <c r="AR195" s="8"/>
      <c r="AS195" s="8"/>
      <c r="AT195" s="8"/>
      <c r="AU195" s="8">
        <v>0</v>
      </c>
      <c r="AV195" s="8"/>
      <c r="AW195" s="8">
        <f t="shared" si="11"/>
        <v>22487537</v>
      </c>
      <c r="AY195" s="8">
        <f>+'St of Activites - GA Rev'!AI195-'St of Activities - GA Exp'!AW195</f>
        <v>214561</v>
      </c>
      <c r="BA195" s="8">
        <v>4342404</v>
      </c>
      <c r="BC195" s="8">
        <f t="shared" si="12"/>
        <v>4556965</v>
      </c>
      <c r="BE195" s="8">
        <f>+'St of Net Assets - GA'!AA195-'St of Activities - GA Exp'!BC195</f>
        <v>0</v>
      </c>
    </row>
    <row r="196" spans="1:57">
      <c r="A196" s="12" t="s">
        <v>416</v>
      </c>
      <c r="B196" s="12"/>
      <c r="C196" s="12" t="s">
        <v>33</v>
      </c>
      <c r="D196" s="12"/>
      <c r="E196" s="32">
        <v>43984</v>
      </c>
      <c r="G196" s="8">
        <v>25158065</v>
      </c>
      <c r="H196" s="8"/>
      <c r="I196" s="8">
        <v>7320419</v>
      </c>
      <c r="J196" s="8"/>
      <c r="K196" s="8">
        <v>3589139</v>
      </c>
      <c r="L196" s="8"/>
      <c r="M196" s="8">
        <f>154366+2753803</f>
        <v>2908169</v>
      </c>
      <c r="N196" s="8"/>
      <c r="O196" s="8">
        <v>3083336</v>
      </c>
      <c r="P196" s="8"/>
      <c r="Q196" s="8">
        <v>4588641</v>
      </c>
      <c r="R196" s="8"/>
      <c r="S196" s="8">
        <v>95943</v>
      </c>
      <c r="T196" s="8"/>
      <c r="U196" s="8">
        <v>4152921</v>
      </c>
      <c r="V196" s="8"/>
      <c r="W196" s="8">
        <v>1483958</v>
      </c>
      <c r="X196" s="8"/>
      <c r="Y196" s="8">
        <v>44109</v>
      </c>
      <c r="Z196" s="8"/>
      <c r="AA196" s="8">
        <v>6467052</v>
      </c>
      <c r="AB196" s="8"/>
      <c r="AC196" s="8">
        <v>2165597</v>
      </c>
      <c r="AD196" s="8"/>
      <c r="AE196" s="8">
        <v>198870</v>
      </c>
      <c r="AF196" s="138"/>
      <c r="AG196" s="12" t="s">
        <v>416</v>
      </c>
      <c r="AH196" s="12"/>
      <c r="AI196" s="12" t="s">
        <v>33</v>
      </c>
      <c r="AJ196" s="12"/>
      <c r="AK196" s="8">
        <v>1876647</v>
      </c>
      <c r="AL196" s="8"/>
      <c r="AM196" s="8">
        <v>703043</v>
      </c>
      <c r="AN196" s="8"/>
      <c r="AO196" s="8">
        <v>1404405</v>
      </c>
      <c r="AP196" s="8"/>
      <c r="AQ196" s="8">
        <v>87045</v>
      </c>
      <c r="AR196" s="8"/>
      <c r="AS196" s="8"/>
      <c r="AT196" s="8"/>
      <c r="AU196" s="8">
        <v>0</v>
      </c>
      <c r="AV196" s="8"/>
      <c r="AW196" s="8">
        <f t="shared" si="11"/>
        <v>65327359</v>
      </c>
      <c r="AY196" s="8">
        <f>+'St of Activites - GA Rev'!AI196-'St of Activities - GA Exp'!AW196</f>
        <v>1476370</v>
      </c>
      <c r="BA196" s="8">
        <v>20254344</v>
      </c>
      <c r="BC196" s="8">
        <f t="shared" si="12"/>
        <v>21730714</v>
      </c>
      <c r="BE196" s="8">
        <f>+'St of Net Assets - GA'!AA196-'St of Activities - GA Exp'!BC196</f>
        <v>0</v>
      </c>
    </row>
    <row r="197" spans="1:57">
      <c r="A197" s="12" t="s">
        <v>393</v>
      </c>
      <c r="B197" s="12"/>
      <c r="C197" s="12" t="s">
        <v>32</v>
      </c>
      <c r="D197" s="12"/>
      <c r="E197" s="32">
        <v>47332</v>
      </c>
      <c r="G197" s="8">
        <v>10847697</v>
      </c>
      <c r="H197" s="8"/>
      <c r="I197" s="8">
        <v>0</v>
      </c>
      <c r="J197" s="8"/>
      <c r="K197" s="8">
        <v>0</v>
      </c>
      <c r="L197" s="8"/>
      <c r="M197" s="8">
        <v>0</v>
      </c>
      <c r="N197" s="8"/>
      <c r="O197" s="8">
        <v>1311455</v>
      </c>
      <c r="P197" s="8"/>
      <c r="Q197" s="8">
        <v>1574929</v>
      </c>
      <c r="R197" s="8"/>
      <c r="S197" s="8">
        <v>37419</v>
      </c>
      <c r="T197" s="8"/>
      <c r="U197" s="8">
        <v>1353301</v>
      </c>
      <c r="V197" s="8"/>
      <c r="W197" s="8">
        <v>434217</v>
      </c>
      <c r="X197" s="8"/>
      <c r="Y197" s="8">
        <v>368808</v>
      </c>
      <c r="Z197" s="8"/>
      <c r="AA197" s="8">
        <v>1739255</v>
      </c>
      <c r="AB197" s="8"/>
      <c r="AC197" s="8">
        <v>884467</v>
      </c>
      <c r="AD197" s="8"/>
      <c r="AE197" s="8">
        <v>233472</v>
      </c>
      <c r="AF197" s="138"/>
      <c r="AG197" s="12" t="s">
        <v>393</v>
      </c>
      <c r="AH197" s="12"/>
      <c r="AI197" s="12" t="s">
        <v>32</v>
      </c>
      <c r="AJ197" s="12"/>
      <c r="AK197" s="8">
        <v>0</v>
      </c>
      <c r="AL197" s="8"/>
      <c r="AM197" s="8">
        <v>1985989</v>
      </c>
      <c r="AN197" s="8"/>
      <c r="AO197" s="8">
        <v>548738</v>
      </c>
      <c r="AP197" s="8"/>
      <c r="AQ197" s="8">
        <v>414252</v>
      </c>
      <c r="AR197" s="8"/>
      <c r="AS197" s="8"/>
      <c r="AT197" s="8"/>
      <c r="AU197" s="8">
        <v>0</v>
      </c>
      <c r="AV197" s="8"/>
      <c r="AW197" s="8">
        <f t="shared" si="11"/>
        <v>21733999</v>
      </c>
      <c r="AY197" s="8">
        <f>+'St of Activites - GA Rev'!AI197-'St of Activities - GA Exp'!AW197</f>
        <v>-1571999</v>
      </c>
      <c r="BA197" s="8">
        <v>5324703</v>
      </c>
      <c r="BC197" s="8">
        <f t="shared" si="12"/>
        <v>3752704</v>
      </c>
      <c r="BE197" s="8">
        <f>+'St of Net Assets - GA'!AA197-'St of Activities - GA Exp'!BC197</f>
        <v>0</v>
      </c>
    </row>
    <row r="198" spans="1:57">
      <c r="A198" s="12" t="s">
        <v>488</v>
      </c>
      <c r="B198" s="12"/>
      <c r="C198" s="12" t="s">
        <v>44</v>
      </c>
      <c r="D198" s="12"/>
      <c r="E198" s="32">
        <v>48157</v>
      </c>
      <c r="G198" s="8">
        <v>7642101</v>
      </c>
      <c r="H198" s="8"/>
      <c r="I198" s="8">
        <v>2120471</v>
      </c>
      <c r="J198" s="8"/>
      <c r="K198" s="8">
        <v>255392</v>
      </c>
      <c r="L198" s="8"/>
      <c r="M198" s="8">
        <v>1233979</v>
      </c>
      <c r="N198" s="8"/>
      <c r="O198" s="8">
        <v>1192744</v>
      </c>
      <c r="P198" s="8"/>
      <c r="Q198" s="8">
        <v>419847</v>
      </c>
      <c r="R198" s="8"/>
      <c r="S198" s="8">
        <v>16497</v>
      </c>
      <c r="T198" s="8"/>
      <c r="U198" s="8">
        <v>1643140</v>
      </c>
      <c r="V198" s="8"/>
      <c r="W198" s="8">
        <v>363920</v>
      </c>
      <c r="X198" s="8"/>
      <c r="Y198" s="8">
        <v>0</v>
      </c>
      <c r="Z198" s="8"/>
      <c r="AA198" s="8">
        <v>1529275</v>
      </c>
      <c r="AB198" s="8"/>
      <c r="AC198" s="8">
        <v>1407294</v>
      </c>
      <c r="AD198" s="8"/>
      <c r="AE198" s="8">
        <v>317990</v>
      </c>
      <c r="AF198" s="138"/>
      <c r="AG198" s="12" t="s">
        <v>488</v>
      </c>
      <c r="AH198" s="12"/>
      <c r="AI198" s="12" t="s">
        <v>44</v>
      </c>
      <c r="AJ198" s="12"/>
      <c r="AK198" s="8">
        <v>632489</v>
      </c>
      <c r="AL198" s="8"/>
      <c r="AM198" s="8">
        <v>21781</v>
      </c>
      <c r="AN198" s="8"/>
      <c r="AO198" s="8">
        <v>584947</v>
      </c>
      <c r="AP198" s="8"/>
      <c r="AQ198" s="8">
        <v>4467</v>
      </c>
      <c r="AR198" s="8"/>
      <c r="AS198" s="8"/>
      <c r="AT198" s="8"/>
      <c r="AU198" s="8">
        <v>0</v>
      </c>
      <c r="AV198" s="8"/>
      <c r="AW198" s="8">
        <f t="shared" si="11"/>
        <v>19386334</v>
      </c>
      <c r="AY198" s="8">
        <f>+'St of Activites - GA Rev'!AI198-'St of Activities - GA Exp'!AW198</f>
        <v>-1031451</v>
      </c>
      <c r="BA198" s="8">
        <v>7478145</v>
      </c>
      <c r="BC198" s="8">
        <f t="shared" si="12"/>
        <v>6446694</v>
      </c>
      <c r="BE198" s="8">
        <f>+'St of Net Assets - GA'!AA198-'St of Activities - GA Exp'!BC198</f>
        <v>0</v>
      </c>
    </row>
    <row r="199" spans="1:57">
      <c r="A199" s="12" t="s">
        <v>394</v>
      </c>
      <c r="B199" s="12"/>
      <c r="C199" s="12" t="s">
        <v>32</v>
      </c>
      <c r="D199" s="12"/>
      <c r="E199" s="32">
        <v>47340</v>
      </c>
      <c r="G199" s="8">
        <v>37120261</v>
      </c>
      <c r="H199" s="8"/>
      <c r="I199" s="8">
        <v>9495294</v>
      </c>
      <c r="J199" s="8"/>
      <c r="K199" s="8">
        <v>0</v>
      </c>
      <c r="L199" s="8"/>
      <c r="M199" s="8">
        <v>1655801</v>
      </c>
      <c r="N199" s="8"/>
      <c r="O199" s="8">
        <v>3619318</v>
      </c>
      <c r="P199" s="8"/>
      <c r="Q199" s="8">
        <v>7825274</v>
      </c>
      <c r="R199" s="8"/>
      <c r="S199" s="8">
        <v>41059</v>
      </c>
      <c r="T199" s="8"/>
      <c r="U199" s="8">
        <v>5661853</v>
      </c>
      <c r="V199" s="8"/>
      <c r="W199" s="8">
        <v>1249871</v>
      </c>
      <c r="X199" s="8"/>
      <c r="Y199" s="8">
        <v>184591</v>
      </c>
      <c r="Z199" s="8"/>
      <c r="AA199" s="8">
        <v>7037194</v>
      </c>
      <c r="AB199" s="8"/>
      <c r="AC199" s="8">
        <v>4310073</v>
      </c>
      <c r="AD199" s="8"/>
      <c r="AE199" s="8">
        <v>524527</v>
      </c>
      <c r="AF199" s="138"/>
      <c r="AG199" s="12" t="s">
        <v>394</v>
      </c>
      <c r="AH199" s="12"/>
      <c r="AI199" s="12" t="s">
        <v>32</v>
      </c>
      <c r="AJ199" s="12"/>
      <c r="AK199" s="8">
        <v>2050335</v>
      </c>
      <c r="AL199" s="8"/>
      <c r="AM199" s="8">
        <v>3225450</v>
      </c>
      <c r="AN199" s="8"/>
      <c r="AO199" s="8">
        <v>0</v>
      </c>
      <c r="AP199" s="8"/>
      <c r="AQ199" s="8">
        <v>664856</v>
      </c>
      <c r="AR199" s="8"/>
      <c r="AS199" s="8"/>
      <c r="AT199" s="8"/>
      <c r="AU199" s="8">
        <v>0</v>
      </c>
      <c r="AV199" s="8"/>
      <c r="AW199" s="8">
        <f t="shared" si="11"/>
        <v>84665757</v>
      </c>
      <c r="AY199" s="8">
        <f>+'St of Activites - GA Rev'!AI199-'St of Activities - GA Exp'!AW199</f>
        <v>-4123537</v>
      </c>
      <c r="BA199" s="8">
        <v>46224743</v>
      </c>
      <c r="BC199" s="8">
        <f t="shared" si="12"/>
        <v>42101206</v>
      </c>
      <c r="BE199" s="8">
        <f>+'St of Net Assets - GA'!AA199-'St of Activities - GA Exp'!BC199</f>
        <v>0</v>
      </c>
    </row>
    <row r="200" spans="1:57" hidden="1">
      <c r="A200" s="13" t="s">
        <v>836</v>
      </c>
      <c r="B200" s="12"/>
      <c r="C200" s="12" t="s">
        <v>70</v>
      </c>
      <c r="D200" s="12"/>
      <c r="E200" s="32">
        <v>50484</v>
      </c>
      <c r="G200" s="8">
        <v>4525861</v>
      </c>
      <c r="H200" s="8"/>
      <c r="I200" s="8">
        <v>1034934</v>
      </c>
      <c r="J200" s="8"/>
      <c r="K200" s="8">
        <v>265108</v>
      </c>
      <c r="L200" s="8"/>
      <c r="M200" s="8"/>
      <c r="N200" s="8"/>
      <c r="O200" s="8">
        <v>300031</v>
      </c>
      <c r="P200" s="8"/>
      <c r="Q200" s="8">
        <v>618852</v>
      </c>
      <c r="R200" s="8"/>
      <c r="S200" s="8">
        <v>36250</v>
      </c>
      <c r="T200" s="8"/>
      <c r="U200" s="8">
        <v>976362</v>
      </c>
      <c r="V200" s="8"/>
      <c r="W200" s="8">
        <v>391259</v>
      </c>
      <c r="X200" s="8"/>
      <c r="Y200" s="8"/>
      <c r="Z200" s="8"/>
      <c r="AA200" s="8">
        <v>1080583</v>
      </c>
      <c r="AB200" s="8"/>
      <c r="AC200" s="8">
        <v>689702</v>
      </c>
      <c r="AD200" s="8"/>
      <c r="AE200" s="8">
        <v>63952</v>
      </c>
      <c r="AF200" s="138"/>
      <c r="AG200" s="12" t="s">
        <v>716</v>
      </c>
      <c r="AH200" s="12"/>
      <c r="AI200" s="12" t="s">
        <v>70</v>
      </c>
      <c r="AJ200" s="12"/>
      <c r="AK200" s="8">
        <v>451573</v>
      </c>
      <c r="AL200" s="8"/>
      <c r="AM200" s="8">
        <v>70746</v>
      </c>
      <c r="AN200" s="8"/>
      <c r="AO200" s="8">
        <v>274652</v>
      </c>
      <c r="AP200" s="8"/>
      <c r="AQ200" s="8"/>
      <c r="AR200" s="8"/>
      <c r="AS200" s="8"/>
      <c r="AT200" s="8"/>
      <c r="AU200" s="8">
        <v>26858</v>
      </c>
      <c r="AV200" s="8"/>
      <c r="AW200" s="8">
        <f t="shared" si="11"/>
        <v>10806723</v>
      </c>
      <c r="AY200" s="8">
        <f>+'St of Activites - GA Rev'!AI200-'St of Activities - GA Exp'!AW200</f>
        <v>1158707</v>
      </c>
      <c r="BA200" s="8">
        <v>2676871</v>
      </c>
      <c r="BC200" s="8">
        <f t="shared" si="12"/>
        <v>3835578</v>
      </c>
      <c r="BE200" s="8">
        <f>+'St of Net Assets - GA'!AA200-'St of Activities - GA Exp'!BC200</f>
        <v>0</v>
      </c>
    </row>
    <row r="201" spans="1:57">
      <c r="A201" s="12" t="s">
        <v>644</v>
      </c>
      <c r="B201" s="12"/>
      <c r="C201" s="12" t="s">
        <v>61</v>
      </c>
      <c r="D201" s="12"/>
      <c r="E201" s="32">
        <v>49783</v>
      </c>
      <c r="G201" s="8">
        <v>3655704</v>
      </c>
      <c r="H201" s="8"/>
      <c r="I201" s="8">
        <v>473284</v>
      </c>
      <c r="J201" s="8"/>
      <c r="K201" s="8">
        <v>0</v>
      </c>
      <c r="L201" s="8"/>
      <c r="M201" s="8">
        <v>0</v>
      </c>
      <c r="N201" s="8"/>
      <c r="O201" s="8">
        <v>616991</v>
      </c>
      <c r="P201" s="8"/>
      <c r="Q201" s="8">
        <v>353611</v>
      </c>
      <c r="R201" s="8"/>
      <c r="S201" s="8">
        <v>34257</v>
      </c>
      <c r="T201" s="8"/>
      <c r="U201" s="8">
        <v>655053</v>
      </c>
      <c r="V201" s="8"/>
      <c r="W201" s="8">
        <v>228349</v>
      </c>
      <c r="X201" s="8"/>
      <c r="Y201" s="8">
        <v>6875</v>
      </c>
      <c r="Z201" s="8"/>
      <c r="AA201" s="8">
        <v>781668</v>
      </c>
      <c r="AB201" s="8"/>
      <c r="AC201" s="8">
        <v>259368</v>
      </c>
      <c r="AD201" s="8"/>
      <c r="AE201" s="8">
        <v>55649</v>
      </c>
      <c r="AF201" s="138"/>
      <c r="AG201" s="12" t="s">
        <v>644</v>
      </c>
      <c r="AH201" s="12"/>
      <c r="AI201" s="12" t="s">
        <v>61</v>
      </c>
      <c r="AJ201" s="12"/>
      <c r="AK201" s="8">
        <v>0</v>
      </c>
      <c r="AL201" s="8"/>
      <c r="AM201" s="8">
        <v>416122</v>
      </c>
      <c r="AN201" s="8"/>
      <c r="AO201" s="8">
        <v>343293</v>
      </c>
      <c r="AP201" s="8"/>
      <c r="AQ201" s="8">
        <v>564753</v>
      </c>
      <c r="AR201" s="8"/>
      <c r="AS201" s="8"/>
      <c r="AT201" s="8"/>
      <c r="AU201" s="8">
        <v>0</v>
      </c>
      <c r="AV201" s="8"/>
      <c r="AW201" s="8">
        <f t="shared" si="11"/>
        <v>8444977</v>
      </c>
      <c r="AY201" s="8">
        <f>+'St of Activites - GA Rev'!AI201-'St of Activities - GA Exp'!AW201</f>
        <v>783086</v>
      </c>
      <c r="BA201" s="8">
        <v>17562782</v>
      </c>
      <c r="BC201" s="8">
        <f t="shared" si="12"/>
        <v>18345868</v>
      </c>
      <c r="BE201" s="8">
        <f>+'St of Net Assets - GA'!AA201-'St of Activities - GA Exp'!BC201</f>
        <v>0</v>
      </c>
    </row>
    <row r="202" spans="1:57" hidden="1">
      <c r="A202" s="13" t="s">
        <v>938</v>
      </c>
      <c r="B202" s="13"/>
      <c r="C202" s="13" t="s">
        <v>534</v>
      </c>
      <c r="D202" s="12"/>
      <c r="E202" s="32"/>
      <c r="G202" s="8">
        <v>4301886</v>
      </c>
      <c r="H202" s="8"/>
      <c r="I202" s="8">
        <v>1426668</v>
      </c>
      <c r="J202" s="8"/>
      <c r="K202" s="8">
        <v>276322</v>
      </c>
      <c r="L202" s="8"/>
      <c r="M202" s="8">
        <v>6140</v>
      </c>
      <c r="N202" s="8"/>
      <c r="O202" s="8">
        <v>263240</v>
      </c>
      <c r="P202" s="8"/>
      <c r="Q202" s="8">
        <v>366136</v>
      </c>
      <c r="R202" s="8"/>
      <c r="S202" s="8">
        <v>31444</v>
      </c>
      <c r="T202" s="8"/>
      <c r="U202" s="8">
        <v>765076</v>
      </c>
      <c r="V202" s="8"/>
      <c r="W202" s="8">
        <v>235283</v>
      </c>
      <c r="X202" s="8"/>
      <c r="Y202" s="8">
        <v>6787</v>
      </c>
      <c r="Z202" s="8"/>
      <c r="AA202" s="8">
        <v>991115</v>
      </c>
      <c r="AB202" s="8"/>
      <c r="AC202" s="8">
        <v>372208</v>
      </c>
      <c r="AD202" s="8"/>
      <c r="AE202" s="8">
        <v>84675</v>
      </c>
      <c r="AF202" s="138"/>
      <c r="AG202" s="13" t="s">
        <v>938</v>
      </c>
      <c r="AH202" s="13"/>
      <c r="AI202" s="13" t="s">
        <v>534</v>
      </c>
      <c r="AJ202" s="12"/>
      <c r="AK202" s="8"/>
      <c r="AL202" s="8"/>
      <c r="AM202" s="8">
        <v>6350</v>
      </c>
      <c r="AN202" s="8"/>
      <c r="AO202" s="8">
        <v>293660</v>
      </c>
      <c r="AP202" s="8"/>
      <c r="AQ202" s="8"/>
      <c r="AR202" s="8"/>
      <c r="AS202" s="8"/>
      <c r="AT202" s="8"/>
      <c r="AU202" s="8">
        <f>245229+378443+55230</f>
        <v>678902</v>
      </c>
      <c r="AV202" s="8"/>
      <c r="AW202" s="8">
        <f t="shared" si="11"/>
        <v>10105892</v>
      </c>
      <c r="AY202" s="8">
        <f>+'St of Activites - GA Rev'!AI202-'St of Activities - GA Exp'!AW202</f>
        <v>-165516</v>
      </c>
      <c r="BA202" s="8">
        <f>3375984+79056</f>
        <v>3455040</v>
      </c>
      <c r="BC202" s="8">
        <f t="shared" si="12"/>
        <v>3289524</v>
      </c>
      <c r="BE202" s="8">
        <f>+'St of Net Assets - GA'!AA202-'St of Activities - GA Exp'!BC202</f>
        <v>0</v>
      </c>
    </row>
    <row r="203" spans="1:57">
      <c r="A203" s="12" t="s">
        <v>636</v>
      </c>
      <c r="B203" s="12"/>
      <c r="C203" s="12" t="s">
        <v>60</v>
      </c>
      <c r="D203" s="12"/>
      <c r="E203" s="32">
        <v>43992</v>
      </c>
      <c r="G203" s="8">
        <v>11342705</v>
      </c>
      <c r="H203" s="8"/>
      <c r="I203" s="8">
        <v>2521334</v>
      </c>
      <c r="J203" s="8"/>
      <c r="K203" s="8">
        <v>236310</v>
      </c>
      <c r="L203" s="8"/>
      <c r="M203" s="8">
        <f>74229+859477</f>
        <v>933706</v>
      </c>
      <c r="N203" s="8"/>
      <c r="O203" s="8">
        <v>1201456</v>
      </c>
      <c r="P203" s="8"/>
      <c r="Q203" s="8">
        <v>1792667</v>
      </c>
      <c r="R203" s="8"/>
      <c r="S203" s="8">
        <v>31852</v>
      </c>
      <c r="T203" s="8"/>
      <c r="U203" s="8">
        <v>1963604</v>
      </c>
      <c r="V203" s="8"/>
      <c r="W203" s="8">
        <v>568280</v>
      </c>
      <c r="X203" s="8"/>
      <c r="Y203" s="8">
        <v>0</v>
      </c>
      <c r="Z203" s="8"/>
      <c r="AA203" s="8">
        <v>2408591</v>
      </c>
      <c r="AB203" s="8"/>
      <c r="AC203" s="8">
        <v>997347</v>
      </c>
      <c r="AD203" s="8"/>
      <c r="AE203" s="8">
        <v>61066</v>
      </c>
      <c r="AF203" s="138"/>
      <c r="AG203" s="12" t="s">
        <v>636</v>
      </c>
      <c r="AH203" s="12"/>
      <c r="AI203" s="12" t="s">
        <v>60</v>
      </c>
      <c r="AJ203" s="12"/>
      <c r="AK203" s="8">
        <v>1243348</v>
      </c>
      <c r="AL203" s="8"/>
      <c r="AM203" s="8">
        <v>407595</v>
      </c>
      <c r="AN203" s="8"/>
      <c r="AO203" s="8">
        <v>394192</v>
      </c>
      <c r="AP203" s="8"/>
      <c r="AQ203" s="8">
        <v>421524</v>
      </c>
      <c r="AR203" s="8"/>
      <c r="AS203" s="8"/>
      <c r="AT203" s="8"/>
      <c r="AU203" s="8">
        <v>0</v>
      </c>
      <c r="AV203" s="8"/>
      <c r="AW203" s="8">
        <f t="shared" si="11"/>
        <v>26525577</v>
      </c>
      <c r="AY203" s="8">
        <f>+'St of Activites - GA Rev'!AI203-'St of Activities - GA Exp'!AW203</f>
        <v>-318543</v>
      </c>
      <c r="BA203" s="8">
        <v>15123561</v>
      </c>
      <c r="BC203" s="8">
        <f t="shared" si="12"/>
        <v>14805018</v>
      </c>
      <c r="BE203" s="8">
        <f>+'St of Net Assets - GA'!AA203-'St of Activities - GA Exp'!BC203</f>
        <v>0</v>
      </c>
    </row>
    <row r="204" spans="1:57">
      <c r="A204" s="12" t="s">
        <v>709</v>
      </c>
      <c r="B204" s="12"/>
      <c r="C204" s="12" t="s">
        <v>69</v>
      </c>
      <c r="D204" s="12"/>
      <c r="E204" s="32">
        <v>44008</v>
      </c>
      <c r="G204" s="8">
        <v>13663148</v>
      </c>
      <c r="H204" s="8"/>
      <c r="I204" s="8">
        <v>4015368</v>
      </c>
      <c r="J204" s="8"/>
      <c r="K204" s="8">
        <v>469198</v>
      </c>
      <c r="L204" s="8"/>
      <c r="M204" s="8">
        <v>34987</v>
      </c>
      <c r="N204" s="8"/>
      <c r="O204" s="8">
        <v>1417733</v>
      </c>
      <c r="P204" s="8"/>
      <c r="Q204" s="8">
        <v>1442158</v>
      </c>
      <c r="R204" s="8"/>
      <c r="S204" s="8">
        <v>28442</v>
      </c>
      <c r="T204" s="8"/>
      <c r="U204" s="8">
        <v>2167737</v>
      </c>
      <c r="V204" s="8"/>
      <c r="W204" s="8">
        <v>641062</v>
      </c>
      <c r="X204" s="8"/>
      <c r="Y204" s="8">
        <v>160011</v>
      </c>
      <c r="Z204" s="8"/>
      <c r="AA204" s="8">
        <v>2632764</v>
      </c>
      <c r="AB204" s="8"/>
      <c r="AC204" s="8">
        <v>1042128</v>
      </c>
      <c r="AD204" s="8"/>
      <c r="AE204" s="8">
        <v>387907</v>
      </c>
      <c r="AF204" s="138"/>
      <c r="AG204" s="12" t="s">
        <v>709</v>
      </c>
      <c r="AH204" s="12"/>
      <c r="AI204" s="12" t="s">
        <v>69</v>
      </c>
      <c r="AJ204" s="12"/>
      <c r="AK204" s="8">
        <v>0</v>
      </c>
      <c r="AL204" s="8"/>
      <c r="AM204" s="8">
        <v>1784968</v>
      </c>
      <c r="AN204" s="8"/>
      <c r="AO204" s="8">
        <v>777662</v>
      </c>
      <c r="AP204" s="8"/>
      <c r="AQ204" s="8">
        <v>264202</v>
      </c>
      <c r="AR204" s="8"/>
      <c r="AS204" s="8"/>
      <c r="AT204" s="8"/>
      <c r="AU204" s="8">
        <v>0</v>
      </c>
      <c r="AV204" s="8"/>
      <c r="AW204" s="8">
        <f t="shared" si="11"/>
        <v>30929475</v>
      </c>
      <c r="AY204" s="8">
        <f>+'St of Activites - GA Rev'!AI204-'St of Activities - GA Exp'!AW204</f>
        <v>-131242</v>
      </c>
      <c r="BA204" s="8">
        <v>17114060</v>
      </c>
      <c r="BC204" s="8">
        <f t="shared" si="12"/>
        <v>16982818</v>
      </c>
      <c r="BE204" s="8">
        <f>+'St of Net Assets - GA'!AA204-'St of Activities - GA Exp'!BC204</f>
        <v>0</v>
      </c>
    </row>
    <row r="205" spans="1:57">
      <c r="A205" s="12" t="s">
        <v>564</v>
      </c>
      <c r="B205" s="12"/>
      <c r="C205" s="12" t="s">
        <v>51</v>
      </c>
      <c r="D205" s="12"/>
      <c r="E205" s="32">
        <v>48843</v>
      </c>
      <c r="G205" s="8">
        <v>10693126</v>
      </c>
      <c r="H205" s="8"/>
      <c r="I205" s="8">
        <v>2478151</v>
      </c>
      <c r="J205" s="8"/>
      <c r="K205" s="8">
        <v>193392</v>
      </c>
      <c r="L205" s="8"/>
      <c r="M205" s="8">
        <v>337145</v>
      </c>
      <c r="N205" s="8"/>
      <c r="O205" s="8">
        <v>777584</v>
      </c>
      <c r="P205" s="8"/>
      <c r="Q205" s="8">
        <v>1170932</v>
      </c>
      <c r="R205" s="8"/>
      <c r="S205" s="8">
        <v>105952</v>
      </c>
      <c r="T205" s="8"/>
      <c r="U205" s="8">
        <v>1444912</v>
      </c>
      <c r="V205" s="8"/>
      <c r="W205" s="8">
        <v>390361</v>
      </c>
      <c r="X205" s="8"/>
      <c r="Y205" s="8">
        <v>0</v>
      </c>
      <c r="Z205" s="8"/>
      <c r="AA205" s="8">
        <v>2211566</v>
      </c>
      <c r="AB205" s="8"/>
      <c r="AC205" s="8">
        <v>1580843</v>
      </c>
      <c r="AD205" s="8"/>
      <c r="AE205" s="8">
        <v>128895</v>
      </c>
      <c r="AF205" s="138"/>
      <c r="AG205" s="12" t="s">
        <v>564</v>
      </c>
      <c r="AH205" s="12"/>
      <c r="AI205" s="12" t="s">
        <v>51</v>
      </c>
      <c r="AJ205" s="12"/>
      <c r="AK205" s="8">
        <v>1341210</v>
      </c>
      <c r="AL205" s="8"/>
      <c r="AM205" s="8">
        <f>47841+6628</f>
        <v>54469</v>
      </c>
      <c r="AN205" s="8"/>
      <c r="AO205" s="8">
        <v>462051</v>
      </c>
      <c r="AP205" s="8"/>
      <c r="AQ205" s="8">
        <v>336785</v>
      </c>
      <c r="AR205" s="8"/>
      <c r="AS205" s="8"/>
      <c r="AT205" s="8"/>
      <c r="AU205" s="8">
        <v>0</v>
      </c>
      <c r="AV205" s="8"/>
      <c r="AW205" s="8">
        <f t="shared" si="11"/>
        <v>23707374</v>
      </c>
      <c r="AY205" s="8">
        <f>+'St of Activites - GA Rev'!AI205-'St of Activities - GA Exp'!AW205</f>
        <v>-1114783</v>
      </c>
      <c r="BA205" s="8">
        <v>42443602</v>
      </c>
      <c r="BC205" s="8">
        <f t="shared" si="12"/>
        <v>41328819</v>
      </c>
      <c r="BE205" s="8">
        <f>+'St of Net Assets - GA'!AA205-'St of Activities - GA Exp'!BC205</f>
        <v>0</v>
      </c>
    </row>
    <row r="206" spans="1:57" ht="12" hidden="1" customHeight="1">
      <c r="A206" s="12" t="s">
        <v>835</v>
      </c>
      <c r="B206" s="12"/>
      <c r="C206" s="12" t="s">
        <v>21</v>
      </c>
      <c r="D206" s="12"/>
      <c r="E206" s="32">
        <v>46649</v>
      </c>
      <c r="G206" s="8">
        <v>2757809</v>
      </c>
      <c r="H206" s="8"/>
      <c r="I206" s="8">
        <v>654334</v>
      </c>
      <c r="J206" s="8"/>
      <c r="K206" s="8">
        <v>177999</v>
      </c>
      <c r="L206" s="8"/>
      <c r="M206" s="8">
        <f>59878+17130</f>
        <v>77008</v>
      </c>
      <c r="N206" s="8"/>
      <c r="O206" s="8">
        <v>333313</v>
      </c>
      <c r="P206" s="8"/>
      <c r="Q206" s="8">
        <v>453533</v>
      </c>
      <c r="R206" s="8"/>
      <c r="S206" s="8">
        <v>29593</v>
      </c>
      <c r="T206" s="8"/>
      <c r="U206" s="8">
        <v>538579</v>
      </c>
      <c r="V206" s="8"/>
      <c r="W206" s="8">
        <v>194062</v>
      </c>
      <c r="X206" s="8"/>
      <c r="Y206" s="8"/>
      <c r="Z206" s="8"/>
      <c r="AA206" s="8">
        <v>491502</v>
      </c>
      <c r="AB206" s="8"/>
      <c r="AC206" s="8">
        <v>430944</v>
      </c>
      <c r="AD206" s="8"/>
      <c r="AE206" s="8">
        <v>86575</v>
      </c>
      <c r="AF206" s="138"/>
      <c r="AG206" s="12" t="s">
        <v>835</v>
      </c>
      <c r="AH206" s="12"/>
      <c r="AI206" s="12" t="s">
        <v>21</v>
      </c>
      <c r="AJ206" s="12"/>
      <c r="AK206" s="8"/>
      <c r="AL206" s="8"/>
      <c r="AM206" s="8">
        <v>192707</v>
      </c>
      <c r="AN206" s="8"/>
      <c r="AO206" s="8">
        <v>242703</v>
      </c>
      <c r="AP206" s="8"/>
      <c r="AQ206" s="8"/>
      <c r="AR206" s="8"/>
      <c r="AS206" s="8"/>
      <c r="AT206" s="8"/>
      <c r="AU206" s="8">
        <f>212647+122534</f>
        <v>335181</v>
      </c>
      <c r="AV206" s="8"/>
      <c r="AW206" s="8">
        <f t="shared" si="11"/>
        <v>6995842</v>
      </c>
      <c r="AY206" s="8">
        <f>+'St of Activites - GA Rev'!AI206-'St of Activities - GA Exp'!AW206</f>
        <v>14006456</v>
      </c>
      <c r="BA206" s="8">
        <v>2519352</v>
      </c>
      <c r="BC206" s="8">
        <f t="shared" si="12"/>
        <v>16525808</v>
      </c>
      <c r="BE206" s="8">
        <f>+'St of Net Assets - GA'!AA206-'St of Activities - GA Exp'!BC206</f>
        <v>0</v>
      </c>
    </row>
    <row r="207" spans="1:57" s="35" customFormat="1" hidden="1">
      <c r="A207" s="12" t="s">
        <v>939</v>
      </c>
      <c r="B207" s="34"/>
      <c r="C207" s="34" t="s">
        <v>40</v>
      </c>
      <c r="D207" s="34"/>
      <c r="E207" s="34">
        <v>47852</v>
      </c>
      <c r="G207" s="35">
        <v>4423078</v>
      </c>
      <c r="I207" s="35">
        <v>1142874</v>
      </c>
      <c r="K207" s="35">
        <v>147819</v>
      </c>
      <c r="M207" s="35">
        <f>1200+59733</f>
        <v>60933</v>
      </c>
      <c r="O207" s="35">
        <v>415236</v>
      </c>
      <c r="Q207" s="35">
        <v>808251</v>
      </c>
      <c r="S207" s="35">
        <v>36450</v>
      </c>
      <c r="U207" s="35">
        <v>812539</v>
      </c>
      <c r="W207" s="35">
        <v>254542</v>
      </c>
      <c r="Y207" s="35">
        <v>68955</v>
      </c>
      <c r="AA207" s="35">
        <v>934883</v>
      </c>
      <c r="AC207" s="35">
        <v>665867</v>
      </c>
      <c r="AE207" s="35">
        <v>46979</v>
      </c>
      <c r="AF207" s="139"/>
      <c r="AG207" s="12" t="s">
        <v>939</v>
      </c>
      <c r="AH207" s="34"/>
      <c r="AI207" s="34" t="s">
        <v>40</v>
      </c>
      <c r="AJ207" s="34"/>
      <c r="AM207" s="35">
        <v>314437</v>
      </c>
      <c r="AO207" s="35">
        <v>441598</v>
      </c>
      <c r="AU207" s="35">
        <f>2379038+658464</f>
        <v>3037502</v>
      </c>
      <c r="AW207" s="35">
        <f t="shared" si="11"/>
        <v>13611943</v>
      </c>
      <c r="AY207" s="35">
        <f>+'St of Activites - GA Rev'!AI207-'St of Activities - GA Exp'!AW207</f>
        <v>-2497230</v>
      </c>
      <c r="BA207" s="35">
        <v>7131657</v>
      </c>
      <c r="BC207" s="35">
        <f t="shared" si="12"/>
        <v>4634427</v>
      </c>
      <c r="BE207" s="35">
        <f>+'St of Net Assets - GA'!AA207-'St of Activities - GA Exp'!BC207</f>
        <v>0</v>
      </c>
    </row>
    <row r="208" spans="1:57" ht="12" customHeight="1">
      <c r="A208" s="12" t="s">
        <v>623</v>
      </c>
      <c r="B208" s="12"/>
      <c r="C208" s="12" t="s">
        <v>79</v>
      </c>
      <c r="D208" s="12"/>
      <c r="E208" s="32">
        <v>44016</v>
      </c>
      <c r="G208" s="8">
        <v>15890945</v>
      </c>
      <c r="H208" s="8"/>
      <c r="I208" s="8">
        <v>5644953</v>
      </c>
      <c r="J208" s="8"/>
      <c r="K208" s="8">
        <v>76683</v>
      </c>
      <c r="L208" s="8"/>
      <c r="M208" s="8">
        <v>51399</v>
      </c>
      <c r="N208" s="8"/>
      <c r="O208" s="8">
        <v>2323980</v>
      </c>
      <c r="P208" s="8"/>
      <c r="Q208" s="8">
        <v>1891918</v>
      </c>
      <c r="R208" s="8"/>
      <c r="S208" s="8">
        <v>46033</v>
      </c>
      <c r="T208" s="8"/>
      <c r="U208" s="8">
        <v>2796619</v>
      </c>
      <c r="V208" s="8"/>
      <c r="W208" s="8">
        <v>1130739</v>
      </c>
      <c r="X208" s="8"/>
      <c r="Y208" s="8">
        <v>102054</v>
      </c>
      <c r="Z208" s="8"/>
      <c r="AA208" s="8">
        <v>3437681</v>
      </c>
      <c r="AB208" s="8"/>
      <c r="AC208" s="8">
        <v>1430964</v>
      </c>
      <c r="AD208" s="8"/>
      <c r="AE208" s="8">
        <v>93095</v>
      </c>
      <c r="AF208" s="138"/>
      <c r="AG208" s="12" t="s">
        <v>623</v>
      </c>
      <c r="AH208" s="12"/>
      <c r="AI208" s="12" t="s">
        <v>79</v>
      </c>
      <c r="AJ208" s="12"/>
      <c r="AK208" s="8">
        <v>0</v>
      </c>
      <c r="AL208" s="8"/>
      <c r="AM208" s="8">
        <v>2351485</v>
      </c>
      <c r="AN208" s="8"/>
      <c r="AO208" s="8">
        <v>729078</v>
      </c>
      <c r="AP208" s="8"/>
      <c r="AQ208" s="8">
        <v>36987</v>
      </c>
      <c r="AR208" s="8"/>
      <c r="AS208" s="8"/>
      <c r="AT208" s="8"/>
      <c r="AU208" s="8">
        <v>0</v>
      </c>
      <c r="AV208" s="8"/>
      <c r="AW208" s="8">
        <f t="shared" si="11"/>
        <v>38034613</v>
      </c>
      <c r="AY208" s="8">
        <f>+'St of Activites - GA Rev'!AI208-'St of Activities - GA Exp'!AW208</f>
        <v>7606278</v>
      </c>
      <c r="BA208" s="8">
        <v>13857486</v>
      </c>
      <c r="BC208" s="8">
        <f t="shared" si="12"/>
        <v>21463764</v>
      </c>
      <c r="BE208" s="8">
        <f>+'St of Net Assets - GA'!AA208-'St of Activities - GA Exp'!BC208</f>
        <v>0</v>
      </c>
    </row>
    <row r="209" spans="1:59">
      <c r="A209" s="12" t="s">
        <v>717</v>
      </c>
      <c r="B209" s="12"/>
      <c r="C209" s="12" t="s">
        <v>70</v>
      </c>
      <c r="D209" s="12"/>
      <c r="E209" s="32">
        <v>50492</v>
      </c>
      <c r="G209" s="8">
        <v>4020378</v>
      </c>
      <c r="H209" s="8"/>
      <c r="I209" s="8">
        <v>883894</v>
      </c>
      <c r="J209" s="8"/>
      <c r="K209" s="8">
        <v>263607</v>
      </c>
      <c r="L209" s="8"/>
      <c r="M209" s="8">
        <v>4005</v>
      </c>
      <c r="N209" s="8"/>
      <c r="O209" s="8">
        <v>358980</v>
      </c>
      <c r="P209" s="8"/>
      <c r="Q209" s="8">
        <v>179700</v>
      </c>
      <c r="R209" s="8"/>
      <c r="S209" s="8">
        <v>43989</v>
      </c>
      <c r="T209" s="8"/>
      <c r="U209" s="8">
        <v>829754</v>
      </c>
      <c r="V209" s="8"/>
      <c r="W209" s="8">
        <v>261848</v>
      </c>
      <c r="X209" s="8"/>
      <c r="Y209" s="8">
        <v>0</v>
      </c>
      <c r="Z209" s="8"/>
      <c r="AA209" s="8">
        <v>1184946</v>
      </c>
      <c r="AB209" s="8"/>
      <c r="AC209" s="8">
        <v>625105</v>
      </c>
      <c r="AD209" s="8"/>
      <c r="AE209" s="8">
        <v>13151</v>
      </c>
      <c r="AF209" s="138"/>
      <c r="AG209" s="12" t="s">
        <v>717</v>
      </c>
      <c r="AH209" s="12"/>
      <c r="AI209" s="12" t="s">
        <v>70</v>
      </c>
      <c r="AJ209" s="12"/>
      <c r="AK209" s="8">
        <v>368051</v>
      </c>
      <c r="AL209" s="8"/>
      <c r="AM209" s="8">
        <v>6802</v>
      </c>
      <c r="AN209" s="8"/>
      <c r="AO209" s="8">
        <v>136902</v>
      </c>
      <c r="AP209" s="8"/>
      <c r="AQ209" s="8">
        <v>122225</v>
      </c>
      <c r="AR209" s="8"/>
      <c r="AS209" s="8"/>
      <c r="AT209" s="8"/>
      <c r="AU209" s="8">
        <v>0</v>
      </c>
      <c r="AV209" s="8"/>
      <c r="AW209" s="8">
        <f t="shared" si="11"/>
        <v>9303337</v>
      </c>
      <c r="AY209" s="8">
        <f>+'St of Activites - GA Rev'!AI209-'St of Activities - GA Exp'!AW209</f>
        <v>-363944</v>
      </c>
      <c r="BA209" s="8">
        <v>20403450</v>
      </c>
      <c r="BC209" s="8">
        <f t="shared" si="12"/>
        <v>20039506</v>
      </c>
      <c r="BE209" s="8">
        <f>+'St of Net Assets - GA'!AA209-'St of Activities - GA Exp'!BC209</f>
        <v>0</v>
      </c>
    </row>
    <row r="210" spans="1:59" ht="12" customHeight="1">
      <c r="A210" s="12" t="s">
        <v>356</v>
      </c>
      <c r="B210" s="12"/>
      <c r="C210" s="12" t="s">
        <v>27</v>
      </c>
      <c r="D210" s="12"/>
      <c r="E210" s="32">
        <v>46961</v>
      </c>
      <c r="G210" s="8">
        <v>40440618</v>
      </c>
      <c r="H210" s="8"/>
      <c r="I210" s="8">
        <v>10698891</v>
      </c>
      <c r="J210" s="8"/>
      <c r="K210" s="8">
        <v>1025295</v>
      </c>
      <c r="L210" s="8"/>
      <c r="M210" s="8">
        <v>0</v>
      </c>
      <c r="N210" s="8"/>
      <c r="O210" s="8">
        <v>3921520</v>
      </c>
      <c r="P210" s="8"/>
      <c r="Q210" s="8">
        <v>4514239</v>
      </c>
      <c r="R210" s="8"/>
      <c r="S210" s="8">
        <v>287677</v>
      </c>
      <c r="T210" s="8"/>
      <c r="U210" s="8">
        <v>7650509</v>
      </c>
      <c r="V210" s="8"/>
      <c r="W210" s="8">
        <v>1440112</v>
      </c>
      <c r="X210" s="8"/>
      <c r="Y210" s="8">
        <v>55637</v>
      </c>
      <c r="Z210" s="8"/>
      <c r="AA210" s="8">
        <v>6136603</v>
      </c>
      <c r="AB210" s="8"/>
      <c r="AC210" s="8">
        <v>2752517</v>
      </c>
      <c r="AD210" s="8"/>
      <c r="AE210" s="8">
        <v>399149</v>
      </c>
      <c r="AF210" s="138"/>
      <c r="AG210" s="12" t="s">
        <v>356</v>
      </c>
      <c r="AH210" s="12"/>
      <c r="AI210" s="12" t="s">
        <v>27</v>
      </c>
      <c r="AJ210" s="12"/>
      <c r="AK210" s="8">
        <v>2089576</v>
      </c>
      <c r="AL210" s="8"/>
      <c r="AM210" s="8">
        <f>1467572+172298+85742</f>
        <v>1725612</v>
      </c>
      <c r="AN210" s="8"/>
      <c r="AO210" s="8">
        <v>1357943</v>
      </c>
      <c r="AP210" s="8"/>
      <c r="AQ210" s="8">
        <v>1041491</v>
      </c>
      <c r="AR210" s="8"/>
      <c r="AS210" s="8"/>
      <c r="AT210" s="8"/>
      <c r="AU210" s="8">
        <v>463980</v>
      </c>
      <c r="AV210" s="8"/>
      <c r="AW210" s="8">
        <f t="shared" si="11"/>
        <v>86001369</v>
      </c>
      <c r="AY210" s="8">
        <f>+'St of Activites - GA Rev'!AI210-'St of Activities - GA Exp'!AW210</f>
        <v>-1116960</v>
      </c>
      <c r="BA210" s="8">
        <f>40323015-82265</f>
        <v>40240750</v>
      </c>
      <c r="BC210" s="8">
        <f t="shared" si="12"/>
        <v>39123790</v>
      </c>
      <c r="BE210" s="8">
        <f>+'St of Net Assets - GA'!AA210-'St of Activities - GA Exp'!BC210</f>
        <v>0</v>
      </c>
    </row>
    <row r="211" spans="1:59">
      <c r="A211" s="12" t="s">
        <v>294</v>
      </c>
      <c r="B211" s="12"/>
      <c r="C211" s="12" t="s">
        <v>113</v>
      </c>
      <c r="D211" s="12"/>
      <c r="E211" s="32">
        <v>44024</v>
      </c>
      <c r="G211" s="8">
        <v>9148579</v>
      </c>
      <c r="H211" s="8"/>
      <c r="I211" s="8">
        <v>2976269</v>
      </c>
      <c r="J211" s="8"/>
      <c r="K211" s="8">
        <v>70470</v>
      </c>
      <c r="L211" s="8"/>
      <c r="M211" s="8">
        <v>0</v>
      </c>
      <c r="N211" s="8"/>
      <c r="O211" s="8">
        <v>948308</v>
      </c>
      <c r="P211" s="8"/>
      <c r="Q211" s="8">
        <v>805165</v>
      </c>
      <c r="R211" s="8"/>
      <c r="S211" s="8">
        <v>88029</v>
      </c>
      <c r="T211" s="8"/>
      <c r="U211" s="8">
        <v>1435723</v>
      </c>
      <c r="V211" s="8"/>
      <c r="W211" s="8">
        <v>434795</v>
      </c>
      <c r="X211" s="8"/>
      <c r="Y211" s="8">
        <v>0</v>
      </c>
      <c r="Z211" s="8"/>
      <c r="AA211" s="8">
        <v>1844349</v>
      </c>
      <c r="AB211" s="8"/>
      <c r="AC211" s="8">
        <v>787192</v>
      </c>
      <c r="AD211" s="8"/>
      <c r="AE211" s="8">
        <v>143777</v>
      </c>
      <c r="AF211" s="138"/>
      <c r="AG211" s="12" t="s">
        <v>294</v>
      </c>
      <c r="AH211" s="12"/>
      <c r="AI211" s="12" t="s">
        <v>113</v>
      </c>
      <c r="AJ211" s="12"/>
      <c r="AK211" s="8">
        <v>0</v>
      </c>
      <c r="AL211" s="8"/>
      <c r="AM211" s="8">
        <v>1647753</v>
      </c>
      <c r="AN211" s="8"/>
      <c r="AO211" s="8">
        <v>633198</v>
      </c>
      <c r="AP211" s="8"/>
      <c r="AQ211" s="8">
        <v>820052</v>
      </c>
      <c r="AR211" s="8"/>
      <c r="AS211" s="8"/>
      <c r="AT211" s="8"/>
      <c r="AU211" s="8">
        <v>0</v>
      </c>
      <c r="AV211" s="8"/>
      <c r="AW211" s="8">
        <f t="shared" si="11"/>
        <v>21783659</v>
      </c>
      <c r="AY211" s="8">
        <f>+'St of Activites - GA Rev'!AI211-'St of Activities - GA Exp'!AW211</f>
        <v>-1781876</v>
      </c>
      <c r="BA211" s="8">
        <v>46698051</v>
      </c>
      <c r="BC211" s="8">
        <f t="shared" si="12"/>
        <v>44916175</v>
      </c>
      <c r="BE211" s="8">
        <f>+'St of Net Assets - GA'!AA211-'St of Activities - GA Exp'!BC211</f>
        <v>0</v>
      </c>
    </row>
    <row r="212" spans="1:59" ht="12" customHeight="1">
      <c r="A212" s="12" t="s">
        <v>375</v>
      </c>
      <c r="B212" s="12"/>
      <c r="C212" s="12" t="s">
        <v>29</v>
      </c>
      <c r="D212" s="12"/>
      <c r="E212" s="32">
        <v>65680</v>
      </c>
      <c r="G212" s="8">
        <v>9704445</v>
      </c>
      <c r="H212" s="8"/>
      <c r="I212" s="8">
        <v>3094584</v>
      </c>
      <c r="J212" s="8"/>
      <c r="K212" s="8">
        <v>492647</v>
      </c>
      <c r="L212" s="8"/>
      <c r="M212" s="8">
        <v>2040715</v>
      </c>
      <c r="N212" s="8"/>
      <c r="O212" s="8">
        <v>564230</v>
      </c>
      <c r="P212" s="8"/>
      <c r="Q212" s="8">
        <v>1030705</v>
      </c>
      <c r="R212" s="8"/>
      <c r="S212" s="8">
        <v>91768</v>
      </c>
      <c r="T212" s="8"/>
      <c r="U212" s="8">
        <v>1719256</v>
      </c>
      <c r="V212" s="8"/>
      <c r="W212" s="8">
        <v>693753</v>
      </c>
      <c r="X212" s="8"/>
      <c r="Y212" s="8">
        <v>24804</v>
      </c>
      <c r="Z212" s="8"/>
      <c r="AA212" s="8">
        <v>1862757</v>
      </c>
      <c r="AB212" s="8"/>
      <c r="AC212" s="8">
        <v>2219951</v>
      </c>
      <c r="AD212" s="8"/>
      <c r="AE212" s="8">
        <v>487863</v>
      </c>
      <c r="AF212" s="138"/>
      <c r="AG212" s="12" t="s">
        <v>375</v>
      </c>
      <c r="AH212" s="12"/>
      <c r="AI212" s="12" t="s">
        <v>29</v>
      </c>
      <c r="AJ212" s="12"/>
      <c r="AK212" s="8">
        <v>0</v>
      </c>
      <c r="AL212" s="8"/>
      <c r="AM212" s="8">
        <v>1085401</v>
      </c>
      <c r="AN212" s="8"/>
      <c r="AO212" s="8">
        <v>464670</v>
      </c>
      <c r="AP212" s="8"/>
      <c r="AQ212" s="8">
        <v>1928692</v>
      </c>
      <c r="AR212" s="8"/>
      <c r="AS212" s="8"/>
      <c r="AT212" s="8"/>
      <c r="AU212" s="8">
        <v>0</v>
      </c>
      <c r="AV212" s="8"/>
      <c r="AW212" s="8">
        <f t="shared" si="11"/>
        <v>27506241</v>
      </c>
      <c r="AY212" s="8">
        <f>+'St of Activites - GA Rev'!AI212-'St of Activities - GA Exp'!AW212</f>
        <v>1777835</v>
      </c>
      <c r="BA212" s="8">
        <v>21665261</v>
      </c>
      <c r="BC212" s="8">
        <f t="shared" si="12"/>
        <v>23443096</v>
      </c>
      <c r="BE212" s="8">
        <f>+'St of Net Assets - GA'!AA212-'St of Activities - GA Exp'!BC212</f>
        <v>0</v>
      </c>
    </row>
    <row r="213" spans="1:59">
      <c r="A213" s="12" t="s">
        <v>376</v>
      </c>
      <c r="B213" s="12"/>
      <c r="C213" s="12" t="s">
        <v>29</v>
      </c>
      <c r="D213" s="12"/>
      <c r="E213" s="32">
        <v>44032</v>
      </c>
      <c r="G213" s="8">
        <v>9193509</v>
      </c>
      <c r="H213" s="8"/>
      <c r="I213" s="8">
        <v>3277568</v>
      </c>
      <c r="J213" s="8"/>
      <c r="K213" s="8">
        <v>100663</v>
      </c>
      <c r="L213" s="8"/>
      <c r="M213" s="8">
        <v>1204982</v>
      </c>
      <c r="N213" s="8"/>
      <c r="O213" s="8">
        <v>1097548</v>
      </c>
      <c r="P213" s="8"/>
      <c r="Q213" s="8">
        <v>1381600</v>
      </c>
      <c r="R213" s="8"/>
      <c r="S213" s="8">
        <v>24715</v>
      </c>
      <c r="T213" s="8"/>
      <c r="U213" s="8">
        <v>1853366</v>
      </c>
      <c r="V213" s="8"/>
      <c r="W213" s="8">
        <v>457400</v>
      </c>
      <c r="X213" s="8"/>
      <c r="Y213" s="8">
        <v>0</v>
      </c>
      <c r="Z213" s="8"/>
      <c r="AA213" s="8">
        <v>1561035</v>
      </c>
      <c r="AB213" s="8"/>
      <c r="AC213" s="8">
        <v>1745749</v>
      </c>
      <c r="AD213" s="8"/>
      <c r="AE213" s="8">
        <v>78964</v>
      </c>
      <c r="AF213" s="138"/>
      <c r="AG213" s="12" t="s">
        <v>376</v>
      </c>
      <c r="AH213" s="12"/>
      <c r="AI213" s="12" t="s">
        <v>29</v>
      </c>
      <c r="AJ213" s="12"/>
      <c r="AK213" s="8">
        <v>863335</v>
      </c>
      <c r="AL213" s="8"/>
      <c r="AM213" s="8">
        <v>1910</v>
      </c>
      <c r="AN213" s="8"/>
      <c r="AO213" s="8">
        <v>594154</v>
      </c>
      <c r="AP213" s="8"/>
      <c r="AQ213" s="8">
        <v>1087151</v>
      </c>
      <c r="AR213" s="8"/>
      <c r="AS213" s="8"/>
      <c r="AT213" s="8"/>
      <c r="AU213" s="8">
        <v>0</v>
      </c>
      <c r="AV213" s="8"/>
      <c r="AW213" s="8">
        <f t="shared" si="11"/>
        <v>24523649</v>
      </c>
      <c r="AY213" s="8">
        <f>+'St of Activites - GA Rev'!AI213-'St of Activities - GA Exp'!AW213</f>
        <v>-178525</v>
      </c>
      <c r="BA213" s="8">
        <v>45819713</v>
      </c>
      <c r="BC213" s="8">
        <f t="shared" si="12"/>
        <v>45641188</v>
      </c>
      <c r="BE213" s="8">
        <f>+'St of Net Assets - GA'!AA213-'St of Activities - GA Exp'!BC213</f>
        <v>0</v>
      </c>
    </row>
    <row r="214" spans="1:59">
      <c r="A214" s="12" t="s">
        <v>696</v>
      </c>
      <c r="B214" s="12"/>
      <c r="C214" s="12" t="s">
        <v>65</v>
      </c>
      <c r="D214" s="12"/>
      <c r="E214" s="32">
        <v>50278</v>
      </c>
      <c r="G214" s="8">
        <v>5572911</v>
      </c>
      <c r="H214" s="8"/>
      <c r="I214" s="8">
        <v>1139172</v>
      </c>
      <c r="J214" s="8"/>
      <c r="K214" s="8">
        <v>3077</v>
      </c>
      <c r="L214" s="8"/>
      <c r="M214" s="8">
        <v>80858</v>
      </c>
      <c r="N214" s="8"/>
      <c r="O214" s="8">
        <v>311878</v>
      </c>
      <c r="P214" s="8"/>
      <c r="Q214" s="8">
        <v>617485</v>
      </c>
      <c r="R214" s="8"/>
      <c r="S214" s="8">
        <v>10638</v>
      </c>
      <c r="T214" s="8"/>
      <c r="U214" s="8">
        <v>1053711</v>
      </c>
      <c r="V214" s="8"/>
      <c r="W214" s="8">
        <v>377027</v>
      </c>
      <c r="X214" s="8"/>
      <c r="Y214" s="8">
        <v>0</v>
      </c>
      <c r="Z214" s="8"/>
      <c r="AA214" s="8">
        <v>1064184</v>
      </c>
      <c r="AB214" s="8"/>
      <c r="AC214" s="8">
        <v>696238</v>
      </c>
      <c r="AD214" s="8"/>
      <c r="AE214" s="8">
        <v>39862</v>
      </c>
      <c r="AF214" s="138"/>
      <c r="AG214" s="12" t="s">
        <v>696</v>
      </c>
      <c r="AH214" s="12"/>
      <c r="AI214" s="12" t="s">
        <v>65</v>
      </c>
      <c r="AJ214" s="12"/>
      <c r="AK214" s="8">
        <v>436918</v>
      </c>
      <c r="AL214" s="8"/>
      <c r="AM214" s="8">
        <v>0</v>
      </c>
      <c r="AN214" s="8"/>
      <c r="AO214" s="8">
        <v>410118</v>
      </c>
      <c r="AP214" s="8"/>
      <c r="AQ214" s="8">
        <v>59120</v>
      </c>
      <c r="AR214" s="8"/>
      <c r="AS214" s="8"/>
      <c r="AT214" s="8"/>
      <c r="AU214" s="8">
        <v>0</v>
      </c>
      <c r="AV214" s="8"/>
      <c r="AW214" s="8">
        <f t="shared" si="11"/>
        <v>11873197</v>
      </c>
      <c r="AY214" s="8">
        <f>+'St of Activites - GA Rev'!AI214-'St of Activities - GA Exp'!AW214</f>
        <v>195124</v>
      </c>
      <c r="BA214" s="8">
        <v>5014783</v>
      </c>
      <c r="BC214" s="8">
        <f t="shared" si="12"/>
        <v>5209907</v>
      </c>
      <c r="BE214" s="8">
        <f>+'St of Net Assets - GA'!AA214-'St of Activities - GA Exp'!BC214</f>
        <v>0</v>
      </c>
    </row>
    <row r="215" spans="1:59" ht="12" customHeight="1">
      <c r="A215" s="12" t="s">
        <v>308</v>
      </c>
      <c r="B215" s="12"/>
      <c r="C215" s="12" t="s">
        <v>20</v>
      </c>
      <c r="D215" s="12"/>
      <c r="E215" s="32">
        <v>44040</v>
      </c>
      <c r="G215" s="8">
        <v>16174176</v>
      </c>
      <c r="H215" s="8"/>
      <c r="I215" s="8">
        <v>4681469</v>
      </c>
      <c r="J215" s="8"/>
      <c r="K215" s="8">
        <v>430479</v>
      </c>
      <c r="L215" s="8"/>
      <c r="M215" s="8">
        <f>914708+1788802</f>
        <v>2703510</v>
      </c>
      <c r="N215" s="8"/>
      <c r="O215" s="8">
        <v>3186787</v>
      </c>
      <c r="P215" s="8"/>
      <c r="Q215" s="8">
        <v>2928469</v>
      </c>
      <c r="R215" s="8"/>
      <c r="S215" s="8">
        <v>108585</v>
      </c>
      <c r="T215" s="8"/>
      <c r="U215" s="8">
        <v>2633869</v>
      </c>
      <c r="V215" s="8"/>
      <c r="W215" s="8">
        <v>975766</v>
      </c>
      <c r="X215" s="8"/>
      <c r="Y215" s="8">
        <v>820162</v>
      </c>
      <c r="Z215" s="8"/>
      <c r="AA215" s="8">
        <v>4180465</v>
      </c>
      <c r="AB215" s="8"/>
      <c r="AC215" s="8">
        <v>970179</v>
      </c>
      <c r="AD215" s="8"/>
      <c r="AE215" s="8">
        <v>391616</v>
      </c>
      <c r="AF215" s="138"/>
      <c r="AG215" s="12" t="s">
        <v>308</v>
      </c>
      <c r="AH215" s="12"/>
      <c r="AI215" s="12" t="s">
        <v>20</v>
      </c>
      <c r="AJ215" s="12"/>
      <c r="AK215" s="8">
        <v>1424034</v>
      </c>
      <c r="AL215" s="8"/>
      <c r="AM215" s="8">
        <f>1348706+121179</f>
        <v>1469885</v>
      </c>
      <c r="AN215" s="8"/>
      <c r="AO215" s="8">
        <v>552114</v>
      </c>
      <c r="AP215" s="8"/>
      <c r="AQ215" s="8">
        <v>2535715</v>
      </c>
      <c r="AR215" s="8"/>
      <c r="AS215" s="8"/>
      <c r="AT215" s="8"/>
      <c r="AU215" s="8">
        <v>0</v>
      </c>
      <c r="AV215" s="8"/>
      <c r="AW215" s="8">
        <f t="shared" si="11"/>
        <v>46167280</v>
      </c>
      <c r="AY215" s="8">
        <f>+'St of Activites - GA Rev'!AI215-'St of Activities - GA Exp'!AW215</f>
        <v>142869</v>
      </c>
      <c r="BA215" s="8">
        <v>3205693</v>
      </c>
      <c r="BC215" s="8">
        <f t="shared" si="12"/>
        <v>3348562</v>
      </c>
      <c r="BE215" s="8">
        <f>+'St of Net Assets - GA'!AA215-'St of Activities - GA Exp'!BC215</f>
        <v>0</v>
      </c>
      <c r="BG215" s="8" t="s">
        <v>978</v>
      </c>
    </row>
    <row r="216" spans="1:59" ht="12" customHeight="1">
      <c r="A216" s="12" t="s">
        <v>888</v>
      </c>
      <c r="B216" s="12"/>
      <c r="C216" s="12" t="s">
        <v>12</v>
      </c>
      <c r="D216" s="12"/>
      <c r="E216" s="32">
        <v>44057</v>
      </c>
      <c r="G216" s="8">
        <v>11515081</v>
      </c>
      <c r="H216" s="8"/>
      <c r="I216" s="8">
        <v>3439538</v>
      </c>
      <c r="J216" s="8"/>
      <c r="K216" s="8">
        <v>432614</v>
      </c>
      <c r="L216" s="8"/>
      <c r="M216" s="8">
        <v>1343475</v>
      </c>
      <c r="N216" s="8"/>
      <c r="O216" s="8">
        <v>1542479</v>
      </c>
      <c r="P216" s="8"/>
      <c r="Q216" s="8">
        <v>626506</v>
      </c>
      <c r="R216" s="8"/>
      <c r="S216" s="8">
        <v>27425</v>
      </c>
      <c r="T216" s="8"/>
      <c r="U216" s="8">
        <v>1940350</v>
      </c>
      <c r="V216" s="8"/>
      <c r="W216" s="8">
        <v>516942</v>
      </c>
      <c r="X216" s="8"/>
      <c r="Y216" s="8">
        <v>35584</v>
      </c>
      <c r="Z216" s="8"/>
      <c r="AA216" s="8">
        <v>3617392</v>
      </c>
      <c r="AB216" s="8"/>
      <c r="AC216" s="8">
        <v>1356524</v>
      </c>
      <c r="AD216" s="8"/>
      <c r="AE216" s="8">
        <v>4033</v>
      </c>
      <c r="AF216" s="138"/>
      <c r="AG216" s="12" t="s">
        <v>219</v>
      </c>
      <c r="AH216" s="12"/>
      <c r="AI216" s="12" t="s">
        <v>12</v>
      </c>
      <c r="AJ216" s="12"/>
      <c r="AK216" s="8">
        <v>0</v>
      </c>
      <c r="AL216" s="8"/>
      <c r="AM216" s="8">
        <v>1394716</v>
      </c>
      <c r="AN216" s="8"/>
      <c r="AO216" s="8">
        <v>739548</v>
      </c>
      <c r="AP216" s="8"/>
      <c r="AQ216" s="8">
        <v>949466</v>
      </c>
      <c r="AR216" s="8"/>
      <c r="AS216" s="8"/>
      <c r="AT216" s="8"/>
      <c r="AU216" s="8">
        <v>0</v>
      </c>
      <c r="AV216" s="8"/>
      <c r="AW216" s="8">
        <f t="shared" si="11"/>
        <v>29481673</v>
      </c>
      <c r="AY216" s="8">
        <f>+'St of Activites - GA Rev'!AI216-'St of Activities - GA Exp'!AW216</f>
        <v>10531010</v>
      </c>
      <c r="BA216" s="8">
        <v>15532202</v>
      </c>
      <c r="BC216" s="8">
        <f t="shared" si="12"/>
        <v>26063212</v>
      </c>
      <c r="BE216" s="8">
        <f>+'St of Net Assets - GA'!AA216-'St of Activities - GA Exp'!BC216</f>
        <v>0</v>
      </c>
    </row>
    <row r="217" spans="1:59">
      <c r="A217" s="12" t="s">
        <v>573</v>
      </c>
      <c r="B217" s="12"/>
      <c r="C217" s="12" t="s">
        <v>53</v>
      </c>
      <c r="D217" s="12"/>
      <c r="E217" s="32">
        <v>48942</v>
      </c>
      <c r="G217" s="8">
        <v>7582180</v>
      </c>
      <c r="H217" s="8"/>
      <c r="I217" s="8">
        <v>1133198</v>
      </c>
      <c r="J217" s="8"/>
      <c r="K217" s="8">
        <v>0</v>
      </c>
      <c r="L217" s="8"/>
      <c r="M217" s="8">
        <v>0</v>
      </c>
      <c r="N217" s="8"/>
      <c r="O217" s="8">
        <v>372900</v>
      </c>
      <c r="P217" s="8"/>
      <c r="Q217" s="8">
        <v>148010</v>
      </c>
      <c r="R217" s="8"/>
      <c r="S217" s="8">
        <v>9513</v>
      </c>
      <c r="T217" s="8"/>
      <c r="U217" s="8">
        <v>1101471</v>
      </c>
      <c r="V217" s="8"/>
      <c r="W217" s="8">
        <v>384756</v>
      </c>
      <c r="X217" s="8"/>
      <c r="Y217" s="8">
        <v>18434</v>
      </c>
      <c r="Z217" s="8"/>
      <c r="AA217" s="8">
        <v>1285104</v>
      </c>
      <c r="AB217" s="8"/>
      <c r="AC217" s="8">
        <v>409060</v>
      </c>
      <c r="AD217" s="8"/>
      <c r="AE217" s="8">
        <v>362562</v>
      </c>
      <c r="AF217" s="138"/>
      <c r="AG217" s="12" t="s">
        <v>573</v>
      </c>
      <c r="AH217" s="12"/>
      <c r="AI217" s="12" t="s">
        <v>53</v>
      </c>
      <c r="AJ217" s="12"/>
      <c r="AK217" s="8">
        <v>580847</v>
      </c>
      <c r="AL217" s="8"/>
      <c r="AM217" s="8">
        <v>3809</v>
      </c>
      <c r="AN217" s="8"/>
      <c r="AO217" s="8">
        <v>635635</v>
      </c>
      <c r="AP217" s="8"/>
      <c r="AQ217" s="8">
        <v>331850</v>
      </c>
      <c r="AR217" s="8"/>
      <c r="AS217" s="8"/>
      <c r="AT217" s="8"/>
      <c r="AU217" s="8">
        <v>0</v>
      </c>
      <c r="AV217" s="8"/>
      <c r="AW217" s="8">
        <f t="shared" si="11"/>
        <v>14359329</v>
      </c>
      <c r="AY217" s="8">
        <f>+'St of Activites - GA Rev'!AI217-'St of Activities - GA Exp'!AW217</f>
        <v>12681837</v>
      </c>
      <c r="BA217" s="8">
        <v>7526825</v>
      </c>
      <c r="BC217" s="8">
        <f t="shared" si="12"/>
        <v>20208662</v>
      </c>
      <c r="BE217" s="8">
        <f>+'St of Net Assets - GA'!AA217-'St of Activities - GA Exp'!BC217</f>
        <v>0</v>
      </c>
    </row>
    <row r="218" spans="1:59" hidden="1">
      <c r="A218" s="12" t="s">
        <v>940</v>
      </c>
      <c r="B218" s="12"/>
      <c r="C218" s="12" t="s">
        <v>77</v>
      </c>
      <c r="D218" s="12"/>
      <c r="E218" s="32">
        <v>45377</v>
      </c>
      <c r="G218" s="8">
        <v>4185611</v>
      </c>
      <c r="H218" s="8"/>
      <c r="I218" s="8">
        <v>872055</v>
      </c>
      <c r="J218" s="8"/>
      <c r="K218" s="8">
        <v>163317</v>
      </c>
      <c r="L218" s="8"/>
      <c r="M218" s="8">
        <v>28882</v>
      </c>
      <c r="N218" s="8"/>
      <c r="O218" s="8">
        <v>399594</v>
      </c>
      <c r="P218" s="8"/>
      <c r="Q218" s="8">
        <v>614312</v>
      </c>
      <c r="R218" s="8"/>
      <c r="S218" s="8">
        <v>34528</v>
      </c>
      <c r="T218" s="8"/>
      <c r="U218" s="8">
        <v>696369</v>
      </c>
      <c r="V218" s="8"/>
      <c r="W218" s="8">
        <v>317608</v>
      </c>
      <c r="X218" s="8"/>
      <c r="Y218" s="8">
        <v>42974</v>
      </c>
      <c r="Z218" s="8"/>
      <c r="AA218" s="8">
        <v>798395</v>
      </c>
      <c r="AB218" s="8"/>
      <c r="AC218" s="8">
        <v>540928</v>
      </c>
      <c r="AD218" s="8"/>
      <c r="AE218" s="8">
        <v>66316</v>
      </c>
      <c r="AF218" s="138"/>
      <c r="AG218" s="12" t="s">
        <v>940</v>
      </c>
      <c r="AH218" s="12"/>
      <c r="AI218" s="12" t="s">
        <v>77</v>
      </c>
      <c r="AJ218" s="12"/>
      <c r="AK218" s="8">
        <v>378292</v>
      </c>
      <c r="AL218" s="8"/>
      <c r="AM218" s="8">
        <v>7446</v>
      </c>
      <c r="AN218" s="8"/>
      <c r="AO218" s="8">
        <v>604185</v>
      </c>
      <c r="AP218" s="8"/>
      <c r="AQ218" s="8"/>
      <c r="AR218" s="8"/>
      <c r="AS218" s="8"/>
      <c r="AT218" s="8"/>
      <c r="AU218" s="8">
        <f>250142+371278</f>
        <v>621420</v>
      </c>
      <c r="AV218" s="8"/>
      <c r="AW218" s="8">
        <f t="shared" si="11"/>
        <v>10372232</v>
      </c>
      <c r="AY218" s="8">
        <f>+'St of Activites - GA Rev'!AI218-'St of Activities - GA Exp'!AW218</f>
        <v>-542540</v>
      </c>
      <c r="BA218" s="8">
        <v>1892966</v>
      </c>
      <c r="BC218" s="8">
        <f t="shared" si="12"/>
        <v>1350426</v>
      </c>
      <c r="BE218" s="8">
        <f>+'St of Net Assets - GA'!AA218-'St of Activities - GA Exp'!BC218</f>
        <v>0</v>
      </c>
    </row>
    <row r="219" spans="1:59">
      <c r="A219" s="12" t="s">
        <v>624</v>
      </c>
      <c r="B219" s="12"/>
      <c r="C219" s="12" t="s">
        <v>79</v>
      </c>
      <c r="D219" s="12"/>
      <c r="E219" s="32">
        <v>45385</v>
      </c>
      <c r="G219" s="8">
        <v>5211395</v>
      </c>
      <c r="H219" s="8"/>
      <c r="I219" s="8">
        <v>972300</v>
      </c>
      <c r="J219" s="8"/>
      <c r="K219" s="8">
        <v>176953</v>
      </c>
      <c r="L219" s="8"/>
      <c r="M219" s="8">
        <v>20700</v>
      </c>
      <c r="N219" s="8"/>
      <c r="O219" s="8">
        <v>414840</v>
      </c>
      <c r="P219" s="8"/>
      <c r="Q219" s="8">
        <v>69394</v>
      </c>
      <c r="R219" s="8"/>
      <c r="S219" s="8">
        <v>47132</v>
      </c>
      <c r="T219" s="8"/>
      <c r="U219" s="8">
        <v>820143</v>
      </c>
      <c r="V219" s="8"/>
      <c r="W219" s="8">
        <v>454760</v>
      </c>
      <c r="X219" s="8"/>
      <c r="Y219" s="8">
        <v>6378</v>
      </c>
      <c r="Z219" s="8"/>
      <c r="AA219" s="8">
        <v>1256165</v>
      </c>
      <c r="AB219" s="8"/>
      <c r="AC219" s="8">
        <v>354939</v>
      </c>
      <c r="AD219" s="8"/>
      <c r="AE219" s="8">
        <v>3618</v>
      </c>
      <c r="AF219" s="138"/>
      <c r="AG219" s="12" t="s">
        <v>624</v>
      </c>
      <c r="AH219" s="12"/>
      <c r="AI219" s="12" t="s">
        <v>79</v>
      </c>
      <c r="AJ219" s="12"/>
      <c r="AK219" s="8">
        <v>510452</v>
      </c>
      <c r="AL219" s="8"/>
      <c r="AM219" s="8">
        <v>104508</v>
      </c>
      <c r="AN219" s="8"/>
      <c r="AO219" s="8">
        <v>360384</v>
      </c>
      <c r="AP219" s="8"/>
      <c r="AQ219" s="8">
        <v>243518</v>
      </c>
      <c r="AR219" s="8"/>
      <c r="AS219" s="8"/>
      <c r="AT219" s="8"/>
      <c r="AU219" s="8">
        <v>0</v>
      </c>
      <c r="AV219" s="8"/>
      <c r="AW219" s="8">
        <f t="shared" si="11"/>
        <v>11027579</v>
      </c>
      <c r="AY219" s="8">
        <f>+'St of Activites - GA Rev'!AI219-'St of Activities - GA Exp'!AW219</f>
        <v>-1040796</v>
      </c>
      <c r="BA219" s="8">
        <v>22666913</v>
      </c>
      <c r="BC219" s="8">
        <f t="shared" si="12"/>
        <v>21626117</v>
      </c>
      <c r="BE219" s="8">
        <f>+'St of Net Assets - GA'!AA219-'St of Activities - GA Exp'!BC219</f>
        <v>0</v>
      </c>
    </row>
    <row r="220" spans="1:59" ht="12" customHeight="1">
      <c r="A220" s="12" t="s">
        <v>679</v>
      </c>
      <c r="B220" s="12"/>
      <c r="C220" s="12" t="s">
        <v>64</v>
      </c>
      <c r="D220" s="12"/>
      <c r="E220" s="32">
        <v>44065</v>
      </c>
      <c r="G220" s="8">
        <v>6901966</v>
      </c>
      <c r="H220" s="8"/>
      <c r="I220" s="8">
        <v>1452747</v>
      </c>
      <c r="J220" s="8"/>
      <c r="K220" s="8">
        <v>135482</v>
      </c>
      <c r="L220" s="8"/>
      <c r="M220" s="8">
        <v>707386</v>
      </c>
      <c r="N220" s="8"/>
      <c r="O220" s="8">
        <v>900751</v>
      </c>
      <c r="P220" s="8"/>
      <c r="Q220" s="8">
        <v>319322</v>
      </c>
      <c r="R220" s="8"/>
      <c r="S220" s="8">
        <v>34042</v>
      </c>
      <c r="T220" s="8"/>
      <c r="U220" s="8">
        <v>1070674</v>
      </c>
      <c r="V220" s="8"/>
      <c r="W220" s="8">
        <v>767532</v>
      </c>
      <c r="X220" s="8"/>
      <c r="Y220" s="8">
        <v>0</v>
      </c>
      <c r="Z220" s="8"/>
      <c r="AA220" s="8">
        <v>3973249</v>
      </c>
      <c r="AB220" s="8"/>
      <c r="AC220" s="8">
        <v>509086</v>
      </c>
      <c r="AD220" s="8"/>
      <c r="AE220" s="8">
        <v>5977</v>
      </c>
      <c r="AF220" s="138"/>
      <c r="AG220" s="12" t="s">
        <v>679</v>
      </c>
      <c r="AH220" s="12"/>
      <c r="AI220" s="12" t="s">
        <v>64</v>
      </c>
      <c r="AJ220" s="12"/>
      <c r="AK220" s="8">
        <v>650983</v>
      </c>
      <c r="AL220" s="8"/>
      <c r="AM220" s="8">
        <v>217921</v>
      </c>
      <c r="AN220" s="8"/>
      <c r="AO220" s="8">
        <v>515039</v>
      </c>
      <c r="AP220" s="8"/>
      <c r="AQ220" s="8">
        <v>635941</v>
      </c>
      <c r="AR220" s="8"/>
      <c r="AS220" s="8"/>
      <c r="AT220" s="8"/>
      <c r="AU220" s="8">
        <v>0</v>
      </c>
      <c r="AV220" s="8"/>
      <c r="AW220" s="8">
        <f t="shared" si="11"/>
        <v>18798098</v>
      </c>
      <c r="AY220" s="8">
        <f>+'St of Activites - GA Rev'!AI220-'St of Activities - GA Exp'!AW220</f>
        <v>-1250429</v>
      </c>
      <c r="BA220" s="8">
        <v>33080497</v>
      </c>
      <c r="BC220" s="8">
        <f t="shared" si="12"/>
        <v>31830068</v>
      </c>
      <c r="BE220" s="8">
        <f>+'St of Net Assets - GA'!AA223-'St of Activities - GA Exp'!BC220</f>
        <v>0</v>
      </c>
    </row>
    <row r="221" spans="1:59" hidden="1">
      <c r="A221" s="12" t="s">
        <v>1030</v>
      </c>
      <c r="B221" s="12"/>
      <c r="C221" s="12" t="s">
        <v>28</v>
      </c>
      <c r="D221" s="12"/>
      <c r="E221" s="32">
        <v>47068</v>
      </c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138"/>
      <c r="AG221" s="12" t="s">
        <v>941</v>
      </c>
      <c r="AH221" s="12"/>
      <c r="AI221" s="12" t="s">
        <v>28</v>
      </c>
      <c r="AJ221" s="12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>
        <f t="shared" si="11"/>
        <v>0</v>
      </c>
      <c r="AY221" s="8">
        <f>+'St of Activites - GA Rev'!AI221-'St of Activities - GA Exp'!AW221</f>
        <v>0</v>
      </c>
      <c r="BC221" s="8">
        <f t="shared" si="12"/>
        <v>0</v>
      </c>
      <c r="BE221" s="8">
        <f>+'St of Net Assets - GA'!AA224-'St of Activities - GA Exp'!BC221</f>
        <v>0</v>
      </c>
      <c r="BG221" s="15" t="s">
        <v>973</v>
      </c>
    </row>
    <row r="222" spans="1:59">
      <c r="A222" s="12" t="s">
        <v>269</v>
      </c>
      <c r="B222" s="12"/>
      <c r="C222" s="12" t="s">
        <v>115</v>
      </c>
      <c r="D222" s="12"/>
      <c r="E222" s="32">
        <v>46342</v>
      </c>
      <c r="G222" s="8">
        <v>10840444</v>
      </c>
      <c r="H222" s="8"/>
      <c r="I222" s="8">
        <v>2031238</v>
      </c>
      <c r="J222" s="8"/>
      <c r="K222" s="8">
        <v>563012</v>
      </c>
      <c r="L222" s="8"/>
      <c r="M222" s="8">
        <v>16710</v>
      </c>
      <c r="N222" s="8"/>
      <c r="O222" s="8">
        <v>2021676</v>
      </c>
      <c r="P222" s="8"/>
      <c r="Q222" s="8">
        <v>3061989</v>
      </c>
      <c r="R222" s="8"/>
      <c r="S222" s="8">
        <v>47473</v>
      </c>
      <c r="T222" s="8"/>
      <c r="U222" s="8">
        <v>1651170</v>
      </c>
      <c r="V222" s="8"/>
      <c r="W222" s="8">
        <v>601516</v>
      </c>
      <c r="X222" s="8"/>
      <c r="Y222" s="8">
        <v>85752</v>
      </c>
      <c r="Z222" s="8"/>
      <c r="AA222" s="8">
        <v>2170161</v>
      </c>
      <c r="AB222" s="8"/>
      <c r="AC222" s="8">
        <v>2276906</v>
      </c>
      <c r="AD222" s="8"/>
      <c r="AE222" s="8">
        <v>546</v>
      </c>
      <c r="AF222" s="138"/>
      <c r="AG222" s="12" t="s">
        <v>269</v>
      </c>
      <c r="AH222" s="12"/>
      <c r="AI222" s="12" t="s">
        <v>115</v>
      </c>
      <c r="AJ222" s="12"/>
      <c r="AK222" s="8">
        <v>1087378</v>
      </c>
      <c r="AL222" s="8"/>
      <c r="AM222" s="8">
        <v>67814</v>
      </c>
      <c r="AN222" s="8"/>
      <c r="AO222" s="8">
        <v>547128</v>
      </c>
      <c r="AP222" s="8"/>
      <c r="AQ222" s="8">
        <v>565083</v>
      </c>
      <c r="AR222" s="8"/>
      <c r="AS222" s="8"/>
      <c r="AT222" s="8"/>
      <c r="AU222" s="8">
        <v>0</v>
      </c>
      <c r="AV222" s="8"/>
      <c r="AW222" s="8">
        <f t="shared" si="11"/>
        <v>27635996</v>
      </c>
      <c r="AY222" s="8">
        <f>+'St of Activites - GA Rev'!AI222-'St of Activities - GA Exp'!AW222</f>
        <v>-1615421</v>
      </c>
      <c r="BA222" s="8">
        <v>35886916</v>
      </c>
      <c r="BC222" s="8">
        <f t="shared" si="12"/>
        <v>34271495</v>
      </c>
      <c r="BE222" s="8">
        <f>+'St of Net Assets - GA'!AA225-'St of Activities - GA Exp'!BC222</f>
        <v>0</v>
      </c>
    </row>
    <row r="223" spans="1:59">
      <c r="A223" s="12" t="s">
        <v>254</v>
      </c>
      <c r="B223" s="12"/>
      <c r="C223" s="12" t="s">
        <v>255</v>
      </c>
      <c r="D223" s="12"/>
      <c r="E223" s="32">
        <v>46193</v>
      </c>
      <c r="G223" s="8">
        <v>12653497</v>
      </c>
      <c r="H223" s="8"/>
      <c r="I223" s="8">
        <v>0</v>
      </c>
      <c r="J223" s="8"/>
      <c r="K223" s="8">
        <v>0</v>
      </c>
      <c r="L223" s="8"/>
      <c r="M223" s="8">
        <v>0</v>
      </c>
      <c r="N223" s="8"/>
      <c r="O223" s="8">
        <v>2499506</v>
      </c>
      <c r="P223" s="8"/>
      <c r="Q223" s="8">
        <v>0</v>
      </c>
      <c r="R223" s="8"/>
      <c r="S223" s="8">
        <v>2159094</v>
      </c>
      <c r="T223" s="8"/>
      <c r="U223" s="8">
        <v>0</v>
      </c>
      <c r="V223" s="8"/>
      <c r="W223" s="8">
        <v>0</v>
      </c>
      <c r="X223" s="8"/>
      <c r="Y223" s="8">
        <v>0</v>
      </c>
      <c r="Z223" s="8"/>
      <c r="AA223" s="8">
        <v>2434299</v>
      </c>
      <c r="AB223" s="8"/>
      <c r="AC223" s="8">
        <v>1414425</v>
      </c>
      <c r="AD223" s="8"/>
      <c r="AE223" s="8">
        <v>208392</v>
      </c>
      <c r="AF223" s="138"/>
      <c r="AG223" s="12" t="s">
        <v>254</v>
      </c>
      <c r="AH223" s="12"/>
      <c r="AI223" s="12" t="s">
        <v>255</v>
      </c>
      <c r="AJ223" s="12"/>
      <c r="AK223" s="8">
        <v>0</v>
      </c>
      <c r="AL223" s="8"/>
      <c r="AM223" s="8">
        <v>765958</v>
      </c>
      <c r="AN223" s="8"/>
      <c r="AO223" s="8">
        <v>570078</v>
      </c>
      <c r="AP223" s="8"/>
      <c r="AQ223" s="8">
        <v>954374</v>
      </c>
      <c r="AR223" s="8"/>
      <c r="AS223" s="8"/>
      <c r="AT223" s="8"/>
      <c r="AU223" s="8">
        <v>0</v>
      </c>
      <c r="AV223" s="8"/>
      <c r="AW223" s="8">
        <f t="shared" si="11"/>
        <v>23659623</v>
      </c>
      <c r="AY223" s="8">
        <f>+'St of Activites - GA Rev'!AI223-'St of Activities - GA Exp'!AW223</f>
        <v>17796450</v>
      </c>
      <c r="BA223" s="8">
        <v>13190516</v>
      </c>
      <c r="BC223" s="8">
        <f t="shared" si="12"/>
        <v>30986966</v>
      </c>
      <c r="BE223" s="8">
        <f>+'St of Net Assets - GA'!AA226-'St of Activities - GA Exp'!BC223</f>
        <v>0</v>
      </c>
      <c r="BG223" s="10" t="s">
        <v>899</v>
      </c>
    </row>
    <row r="224" spans="1:59">
      <c r="A224" s="12" t="s">
        <v>220</v>
      </c>
      <c r="B224" s="12"/>
      <c r="C224" s="12" t="s">
        <v>12</v>
      </c>
      <c r="D224" s="12"/>
      <c r="E224" s="32">
        <v>45864</v>
      </c>
      <c r="G224" s="8">
        <v>7499374</v>
      </c>
      <c r="H224" s="8"/>
      <c r="I224" s="8">
        <v>1036117</v>
      </c>
      <c r="J224" s="8"/>
      <c r="K224" s="8">
        <v>183510</v>
      </c>
      <c r="L224" s="8"/>
      <c r="M224" s="8">
        <v>50382</v>
      </c>
      <c r="N224" s="8"/>
      <c r="O224" s="8">
        <v>494078</v>
      </c>
      <c r="P224" s="8"/>
      <c r="Q224" s="8">
        <v>423208</v>
      </c>
      <c r="R224" s="8"/>
      <c r="S224" s="8">
        <v>17633</v>
      </c>
      <c r="T224" s="8"/>
      <c r="U224" s="8">
        <v>1303110</v>
      </c>
      <c r="V224" s="8"/>
      <c r="W224" s="8">
        <v>331112</v>
      </c>
      <c r="X224" s="8"/>
      <c r="Y224" s="8">
        <v>28107</v>
      </c>
      <c r="Z224" s="8"/>
      <c r="AA224" s="8">
        <v>1125908</v>
      </c>
      <c r="AB224" s="8"/>
      <c r="AC224" s="8">
        <v>1361299</v>
      </c>
      <c r="AD224" s="8"/>
      <c r="AE224" s="8">
        <v>16281</v>
      </c>
      <c r="AF224" s="138"/>
      <c r="AG224" s="12" t="s">
        <v>220</v>
      </c>
      <c r="AH224" s="12"/>
      <c r="AI224" s="12" t="s">
        <v>12</v>
      </c>
      <c r="AJ224" s="12"/>
      <c r="AK224" s="8">
        <v>573983</v>
      </c>
      <c r="AL224" s="8"/>
      <c r="AM224" s="8">
        <v>0</v>
      </c>
      <c r="AN224" s="8"/>
      <c r="AO224" s="8">
        <v>473113</v>
      </c>
      <c r="AP224" s="8"/>
      <c r="AQ224" s="8">
        <v>555280</v>
      </c>
      <c r="AR224" s="8"/>
      <c r="AS224" s="8"/>
      <c r="AT224" s="8"/>
      <c r="AU224" s="8">
        <v>0</v>
      </c>
      <c r="AV224" s="8"/>
      <c r="AW224" s="8">
        <f t="shared" si="11"/>
        <v>15472495</v>
      </c>
      <c r="AY224" s="8">
        <f>+'St of Activites - GA Rev'!AI224-'St of Activities - GA Exp'!AW224</f>
        <v>-1323232</v>
      </c>
      <c r="BA224" s="8">
        <v>30691985</v>
      </c>
      <c r="BC224" s="8">
        <f t="shared" si="12"/>
        <v>29368753</v>
      </c>
      <c r="BE224" s="8">
        <f>+'St of Net Assets - GA'!AA227-'St of Activities - GA Exp'!BC224</f>
        <v>0</v>
      </c>
    </row>
    <row r="225" spans="1:59">
      <c r="A225" s="12" t="s">
        <v>357</v>
      </c>
      <c r="B225" s="12"/>
      <c r="C225" s="12" t="s">
        <v>27</v>
      </c>
      <c r="D225" s="12"/>
      <c r="E225" s="32">
        <v>44073</v>
      </c>
      <c r="G225" s="8">
        <v>7445707</v>
      </c>
      <c r="H225" s="8"/>
      <c r="I225" s="8">
        <v>2502011</v>
      </c>
      <c r="J225" s="8"/>
      <c r="K225" s="8">
        <v>111082</v>
      </c>
      <c r="L225" s="8"/>
      <c r="M225" s="8">
        <v>0</v>
      </c>
      <c r="N225" s="8"/>
      <c r="O225" s="8">
        <v>1566662</v>
      </c>
      <c r="P225" s="8"/>
      <c r="Q225" s="8">
        <v>675626</v>
      </c>
      <c r="R225" s="8"/>
      <c r="S225" s="8">
        <v>18566</v>
      </c>
      <c r="T225" s="8"/>
      <c r="U225" s="8">
        <v>1059639</v>
      </c>
      <c r="V225" s="8"/>
      <c r="W225" s="8">
        <v>498231</v>
      </c>
      <c r="X225" s="8"/>
      <c r="Y225" s="8">
        <v>30251</v>
      </c>
      <c r="Z225" s="8"/>
      <c r="AA225" s="8">
        <v>1406608</v>
      </c>
      <c r="AB225" s="8"/>
      <c r="AC225" s="8">
        <v>15674</v>
      </c>
      <c r="AD225" s="8"/>
      <c r="AE225" s="8">
        <v>58992</v>
      </c>
      <c r="AF225" s="138"/>
      <c r="AG225" s="12" t="s">
        <v>357</v>
      </c>
      <c r="AH225" s="12"/>
      <c r="AI225" s="12" t="s">
        <v>27</v>
      </c>
      <c r="AJ225" s="12"/>
      <c r="AK225" s="8">
        <v>301749</v>
      </c>
      <c r="AL225" s="8"/>
      <c r="AM225" s="8">
        <f>326178+268345</f>
        <v>594523</v>
      </c>
      <c r="AN225" s="8"/>
      <c r="AO225" s="8">
        <v>767870</v>
      </c>
      <c r="AP225" s="8"/>
      <c r="AQ225" s="8">
        <v>346730</v>
      </c>
      <c r="AR225" s="8"/>
      <c r="AS225" s="8"/>
      <c r="AT225" s="8"/>
      <c r="AU225" s="8">
        <v>0</v>
      </c>
      <c r="AV225" s="8"/>
      <c r="AW225" s="8">
        <f t="shared" si="11"/>
        <v>17399921</v>
      </c>
      <c r="AY225" s="8">
        <f>+'St of Activites - GA Rev'!AI225-'St of Activities - GA Exp'!AW225</f>
        <v>1652759</v>
      </c>
      <c r="BA225" s="8">
        <v>12847663</v>
      </c>
      <c r="BC225" s="8">
        <f t="shared" si="12"/>
        <v>14500422</v>
      </c>
      <c r="BE225" s="8">
        <f>+'St of Net Assets - GA'!AA228-'St of Activities - GA Exp'!BC225</f>
        <v>0</v>
      </c>
    </row>
    <row r="226" spans="1:59">
      <c r="A226" s="12" t="s">
        <v>942</v>
      </c>
      <c r="B226" s="12"/>
      <c r="C226" s="12" t="s">
        <v>42</v>
      </c>
      <c r="D226" s="12"/>
      <c r="E226" s="32">
        <v>45393</v>
      </c>
      <c r="G226" s="8">
        <v>11500072</v>
      </c>
      <c r="H226" s="8"/>
      <c r="I226" s="8">
        <v>2083496</v>
      </c>
      <c r="J226" s="8"/>
      <c r="K226" s="8">
        <v>123140</v>
      </c>
      <c r="L226" s="8"/>
      <c r="M226" s="8">
        <v>0</v>
      </c>
      <c r="N226" s="8"/>
      <c r="O226" s="8">
        <v>1869694</v>
      </c>
      <c r="P226" s="8"/>
      <c r="Q226" s="8">
        <v>1416375</v>
      </c>
      <c r="R226" s="8"/>
      <c r="S226" s="8">
        <v>60091</v>
      </c>
      <c r="T226" s="8"/>
      <c r="U226" s="8">
        <v>1361598</v>
      </c>
      <c r="V226" s="8"/>
      <c r="W226" s="8">
        <v>714157</v>
      </c>
      <c r="X226" s="8"/>
      <c r="Y226" s="8">
        <v>113156</v>
      </c>
      <c r="Z226" s="8"/>
      <c r="AA226" s="8">
        <v>3058041</v>
      </c>
      <c r="AB226" s="8"/>
      <c r="AC226" s="8">
        <v>1641039</v>
      </c>
      <c r="AD226" s="8"/>
      <c r="AE226" s="8">
        <v>345242</v>
      </c>
      <c r="AF226" s="138"/>
      <c r="AG226" s="12" t="s">
        <v>942</v>
      </c>
      <c r="AH226" s="12"/>
      <c r="AI226" s="12" t="s">
        <v>42</v>
      </c>
      <c r="AJ226" s="12"/>
      <c r="AK226" s="8">
        <v>0</v>
      </c>
      <c r="AL226" s="8"/>
      <c r="AM226" s="8">
        <v>27497</v>
      </c>
      <c r="AN226" s="8"/>
      <c r="AO226" s="8">
        <v>1236772</v>
      </c>
      <c r="AP226" s="8"/>
      <c r="AQ226" s="8">
        <v>2200443</v>
      </c>
      <c r="AR226" s="8"/>
      <c r="AS226" s="8"/>
      <c r="AT226" s="8"/>
      <c r="AU226" s="8">
        <v>0</v>
      </c>
      <c r="AV226" s="8"/>
      <c r="AW226" s="8">
        <f t="shared" si="11"/>
        <v>27750813</v>
      </c>
      <c r="AY226" s="8">
        <f>+'St of Activites - GA Rev'!AI226-'St of Activities - GA Exp'!AW226</f>
        <v>-976792</v>
      </c>
      <c r="BA226" s="8">
        <v>10920008</v>
      </c>
      <c r="BC226" s="8">
        <f t="shared" si="12"/>
        <v>9943216</v>
      </c>
      <c r="BE226" s="8">
        <f>+'St of Net Assets - GA'!AA229-'St of Activities - GA Exp'!BC226</f>
        <v>0</v>
      </c>
    </row>
    <row r="227" spans="1:59">
      <c r="A227" s="12" t="s">
        <v>628</v>
      </c>
      <c r="B227" s="12"/>
      <c r="C227" s="12" t="s">
        <v>59</v>
      </c>
      <c r="D227" s="12"/>
      <c r="E227" s="32">
        <v>49619</v>
      </c>
      <c r="G227" s="8">
        <v>2475368</v>
      </c>
      <c r="H227" s="8"/>
      <c r="I227" s="8">
        <v>691770</v>
      </c>
      <c r="J227" s="8"/>
      <c r="K227" s="8">
        <v>158457</v>
      </c>
      <c r="L227" s="8"/>
      <c r="M227" s="8">
        <v>714066</v>
      </c>
      <c r="N227" s="8"/>
      <c r="O227" s="8">
        <v>414548</v>
      </c>
      <c r="P227" s="8"/>
      <c r="Q227" s="8">
        <v>253098</v>
      </c>
      <c r="R227" s="8"/>
      <c r="S227" s="8">
        <v>30335</v>
      </c>
      <c r="T227" s="8"/>
      <c r="U227" s="8">
        <v>529747</v>
      </c>
      <c r="V227" s="8"/>
      <c r="W227" s="8">
        <v>236215</v>
      </c>
      <c r="X227" s="8"/>
      <c r="Y227" s="8">
        <v>0</v>
      </c>
      <c r="Z227" s="8"/>
      <c r="AA227" s="8">
        <v>694059</v>
      </c>
      <c r="AB227" s="8"/>
      <c r="AC227" s="8">
        <v>456707</v>
      </c>
      <c r="AD227" s="8"/>
      <c r="AE227" s="8">
        <v>0</v>
      </c>
      <c r="AF227" s="138"/>
      <c r="AG227" s="12" t="s">
        <v>628</v>
      </c>
      <c r="AH227" s="12"/>
      <c r="AI227" s="12" t="s">
        <v>59</v>
      </c>
      <c r="AJ227" s="12"/>
      <c r="AK227" s="8">
        <v>0</v>
      </c>
      <c r="AL227" s="8"/>
      <c r="AM227" s="8">
        <v>310073</v>
      </c>
      <c r="AN227" s="8"/>
      <c r="AO227" s="8">
        <v>110559</v>
      </c>
      <c r="AP227" s="8"/>
      <c r="AQ227" s="8">
        <v>0</v>
      </c>
      <c r="AR227" s="8"/>
      <c r="AS227" s="8"/>
      <c r="AT227" s="8"/>
      <c r="AU227" s="8">
        <v>0</v>
      </c>
      <c r="AV227" s="8"/>
      <c r="AW227" s="8">
        <f t="shared" si="11"/>
        <v>7075002</v>
      </c>
      <c r="AY227" s="8">
        <f>+'St of Activites - GA Rev'!AI227-'St of Activities - GA Exp'!AW227</f>
        <v>85520</v>
      </c>
      <c r="BA227" s="8">
        <v>2300669</v>
      </c>
      <c r="BC227" s="8">
        <f t="shared" si="12"/>
        <v>2386189</v>
      </c>
      <c r="BE227" s="8">
        <f>+'St of Net Assets - GA'!AA230-'St of Activities - GA Exp'!BC227</f>
        <v>0</v>
      </c>
    </row>
    <row r="228" spans="1:59">
      <c r="A228" s="12" t="s">
        <v>628</v>
      </c>
      <c r="B228" s="12"/>
      <c r="C228" s="12" t="s">
        <v>63</v>
      </c>
      <c r="D228" s="12"/>
      <c r="E228" s="32">
        <v>50013</v>
      </c>
      <c r="G228" s="8">
        <v>17546563</v>
      </c>
      <c r="H228" s="8"/>
      <c r="I228" s="8">
        <v>5739910</v>
      </c>
      <c r="J228" s="8"/>
      <c r="K228" s="8">
        <v>168108</v>
      </c>
      <c r="L228" s="8"/>
      <c r="M228" s="8">
        <v>1239928</v>
      </c>
      <c r="N228" s="8"/>
      <c r="O228" s="8">
        <v>2692025</v>
      </c>
      <c r="P228" s="8"/>
      <c r="Q228" s="8">
        <v>2253796</v>
      </c>
      <c r="R228" s="8"/>
      <c r="S228" s="8">
        <v>41937</v>
      </c>
      <c r="T228" s="8"/>
      <c r="U228" s="8">
        <v>4460627</v>
      </c>
      <c r="V228" s="8"/>
      <c r="W228" s="8">
        <v>935481</v>
      </c>
      <c r="X228" s="8"/>
      <c r="Y228" s="8">
        <v>238671</v>
      </c>
      <c r="Z228" s="8"/>
      <c r="AA228" s="8">
        <v>4471491</v>
      </c>
      <c r="AB228" s="8"/>
      <c r="AC228" s="8">
        <v>2177858</v>
      </c>
      <c r="AD228" s="8"/>
      <c r="AE228" s="8">
        <v>25536</v>
      </c>
      <c r="AF228" s="138"/>
      <c r="AG228" s="12" t="s">
        <v>628</v>
      </c>
      <c r="AH228" s="12"/>
      <c r="AI228" s="12" t="s">
        <v>63</v>
      </c>
      <c r="AJ228" s="12"/>
      <c r="AK228" s="8">
        <v>1384215</v>
      </c>
      <c r="AL228" s="8"/>
      <c r="AM228" s="8">
        <v>138876</v>
      </c>
      <c r="AN228" s="8"/>
      <c r="AO228" s="8">
        <v>1090759</v>
      </c>
      <c r="AP228" s="8"/>
      <c r="AQ228" s="8">
        <v>1280094</v>
      </c>
      <c r="AR228" s="8"/>
      <c r="AS228" s="8"/>
      <c r="AT228" s="8"/>
      <c r="AU228" s="8">
        <v>0</v>
      </c>
      <c r="AV228" s="8"/>
      <c r="AW228" s="8">
        <f t="shared" si="11"/>
        <v>45885875</v>
      </c>
      <c r="AY228" s="8">
        <f>+'St of Activites - GA Rev'!AI228-'St of Activities - GA Exp'!AW228</f>
        <v>-4130432</v>
      </c>
      <c r="BA228" s="8">
        <v>7183790</v>
      </c>
      <c r="BC228" s="8">
        <f t="shared" si="12"/>
        <v>3053358</v>
      </c>
      <c r="BE228" s="8">
        <f>+'St of Net Assets - GA'!AA231-'St of Activities - GA Exp'!BC228</f>
        <v>0</v>
      </c>
    </row>
    <row r="229" spans="1:59">
      <c r="A229" s="12" t="s">
        <v>628</v>
      </c>
      <c r="B229" s="12"/>
      <c r="C229" s="12" t="s">
        <v>71</v>
      </c>
      <c r="D229" s="12"/>
      <c r="E229" s="32">
        <v>50559</v>
      </c>
      <c r="G229" s="8">
        <v>4815789</v>
      </c>
      <c r="H229" s="8"/>
      <c r="I229" s="8">
        <v>886203</v>
      </c>
      <c r="J229" s="8"/>
      <c r="K229" s="8">
        <v>212281</v>
      </c>
      <c r="L229" s="8"/>
      <c r="M229" s="8">
        <v>648326</v>
      </c>
      <c r="N229" s="8"/>
      <c r="O229" s="8">
        <v>321355</v>
      </c>
      <c r="P229" s="8"/>
      <c r="Q229" s="8">
        <v>318344</v>
      </c>
      <c r="R229" s="8"/>
      <c r="S229" s="8">
        <v>53218</v>
      </c>
      <c r="T229" s="8"/>
      <c r="U229" s="8">
        <v>1071718</v>
      </c>
      <c r="V229" s="8"/>
      <c r="W229" s="8">
        <v>315621</v>
      </c>
      <c r="X229" s="8"/>
      <c r="Y229" s="8">
        <v>464</v>
      </c>
      <c r="Z229" s="8"/>
      <c r="AA229" s="8">
        <v>1054766</v>
      </c>
      <c r="AB229" s="8"/>
      <c r="AC229" s="8">
        <v>649291</v>
      </c>
      <c r="AD229" s="8"/>
      <c r="AE229" s="8">
        <v>101370</v>
      </c>
      <c r="AF229" s="138"/>
      <c r="AG229" s="12" t="s">
        <v>628</v>
      </c>
      <c r="AH229" s="12"/>
      <c r="AI229" s="12" t="s">
        <v>71</v>
      </c>
      <c r="AJ229" s="12"/>
      <c r="AK229" s="8">
        <v>317759</v>
      </c>
      <c r="AL229" s="8"/>
      <c r="AM229" s="8">
        <v>46978</v>
      </c>
      <c r="AN229" s="8"/>
      <c r="AO229" s="8">
        <v>507227</v>
      </c>
      <c r="AP229" s="8"/>
      <c r="AQ229" s="8">
        <v>28976</v>
      </c>
      <c r="AR229" s="8"/>
      <c r="AS229" s="8"/>
      <c r="AT229" s="8"/>
      <c r="AU229" s="8">
        <v>0</v>
      </c>
      <c r="AV229" s="8"/>
      <c r="AW229" s="8">
        <f t="shared" si="11"/>
        <v>11349686</v>
      </c>
      <c r="AY229" s="8">
        <f>+'St of Activites - GA Rev'!AI229-'St of Activities - GA Exp'!AW229</f>
        <v>427132</v>
      </c>
      <c r="BA229" s="8">
        <v>2222745</v>
      </c>
      <c r="BC229" s="8">
        <f t="shared" si="12"/>
        <v>2649877</v>
      </c>
      <c r="BE229" s="8">
        <f>+'St of Net Assets - GA'!AA232-'St of Activities - GA Exp'!BC229</f>
        <v>0</v>
      </c>
    </row>
    <row r="230" spans="1:59">
      <c r="A230" s="12" t="s">
        <v>386</v>
      </c>
      <c r="B230" s="12"/>
      <c r="C230" s="12" t="s">
        <v>116</v>
      </c>
      <c r="D230" s="12"/>
      <c r="E230" s="32">
        <v>47266</v>
      </c>
      <c r="G230" s="8">
        <v>5436472</v>
      </c>
      <c r="H230" s="8"/>
      <c r="I230" s="8">
        <v>1085870</v>
      </c>
      <c r="J230" s="8"/>
      <c r="K230" s="8">
        <v>100674</v>
      </c>
      <c r="L230" s="8"/>
      <c r="M230" s="8">
        <v>19371</v>
      </c>
      <c r="N230" s="8"/>
      <c r="O230" s="8">
        <v>1120851</v>
      </c>
      <c r="P230" s="8"/>
      <c r="Q230" s="8">
        <v>719003</v>
      </c>
      <c r="R230" s="8"/>
      <c r="S230" s="8">
        <v>81469</v>
      </c>
      <c r="T230" s="8"/>
      <c r="U230" s="8">
        <v>1109850</v>
      </c>
      <c r="V230" s="8"/>
      <c r="W230" s="8">
        <v>332325</v>
      </c>
      <c r="X230" s="8"/>
      <c r="Y230" s="8">
        <v>347</v>
      </c>
      <c r="Z230" s="8"/>
      <c r="AA230" s="8">
        <v>1187644</v>
      </c>
      <c r="AB230" s="8"/>
      <c r="AC230" s="8">
        <v>806849</v>
      </c>
      <c r="AD230" s="8"/>
      <c r="AE230" s="8">
        <v>0</v>
      </c>
      <c r="AF230" s="138"/>
      <c r="AG230" s="12" t="s">
        <v>386</v>
      </c>
      <c r="AH230" s="12"/>
      <c r="AI230" s="12" t="s">
        <v>116</v>
      </c>
      <c r="AJ230" s="12"/>
      <c r="AK230" s="8">
        <v>0</v>
      </c>
      <c r="AL230" s="8"/>
      <c r="AM230" s="8">
        <v>385014</v>
      </c>
      <c r="AN230" s="8"/>
      <c r="AO230" s="8">
        <v>426414</v>
      </c>
      <c r="AP230" s="8"/>
      <c r="AQ230" s="8">
        <v>373464</v>
      </c>
      <c r="AR230" s="8"/>
      <c r="AS230" s="8"/>
      <c r="AT230" s="8"/>
      <c r="AU230" s="8">
        <v>0</v>
      </c>
      <c r="AV230" s="8"/>
      <c r="AW230" s="8">
        <f t="shared" si="11"/>
        <v>13185617</v>
      </c>
      <c r="AY230" s="8">
        <f>+'St of Activites - GA Rev'!AI230-'St of Activities - GA Exp'!AW230</f>
        <v>1374751</v>
      </c>
      <c r="BA230" s="8">
        <v>5825833</v>
      </c>
      <c r="BC230" s="8">
        <f t="shared" si="12"/>
        <v>7200584</v>
      </c>
      <c r="BE230" s="8">
        <f>+'St of Net Assets - GA'!AA233-'St of Activities - GA Exp'!BC230</f>
        <v>0</v>
      </c>
    </row>
    <row r="231" spans="1:59" ht="12" customHeight="1">
      <c r="A231" s="12" t="s">
        <v>437</v>
      </c>
      <c r="B231" s="12"/>
      <c r="C231" s="12" t="s">
        <v>435</v>
      </c>
      <c r="D231" s="12"/>
      <c r="E231" s="32">
        <v>45401</v>
      </c>
      <c r="G231" s="8">
        <v>9764228</v>
      </c>
      <c r="H231" s="8"/>
      <c r="I231" s="8">
        <v>1794203</v>
      </c>
      <c r="J231" s="8"/>
      <c r="K231" s="8">
        <v>528006</v>
      </c>
      <c r="L231" s="8"/>
      <c r="M231" s="8">
        <v>968827</v>
      </c>
      <c r="N231" s="8"/>
      <c r="O231" s="8">
        <v>741997</v>
      </c>
      <c r="P231" s="8"/>
      <c r="Q231" s="8">
        <v>279518</v>
      </c>
      <c r="R231" s="8"/>
      <c r="S231" s="8">
        <v>65533</v>
      </c>
      <c r="T231" s="8"/>
      <c r="U231" s="8">
        <v>1579595</v>
      </c>
      <c r="V231" s="8"/>
      <c r="W231" s="8">
        <v>397734</v>
      </c>
      <c r="X231" s="8"/>
      <c r="Y231" s="8">
        <v>0</v>
      </c>
      <c r="Z231" s="8"/>
      <c r="AA231" s="8">
        <v>1776921</v>
      </c>
      <c r="AB231" s="8"/>
      <c r="AC231" s="8">
        <v>1070160</v>
      </c>
      <c r="AD231" s="8"/>
      <c r="AE231" s="8">
        <v>2078</v>
      </c>
      <c r="AF231" s="138"/>
      <c r="AG231" s="13" t="s">
        <v>437</v>
      </c>
      <c r="AH231" s="13"/>
      <c r="AI231" s="13" t="s">
        <v>435</v>
      </c>
      <c r="AJ231" s="13"/>
      <c r="AK231" s="8">
        <v>0</v>
      </c>
      <c r="AL231" s="8"/>
      <c r="AM231" s="8">
        <v>684991</v>
      </c>
      <c r="AN231" s="8"/>
      <c r="AO231" s="8">
        <v>363332</v>
      </c>
      <c r="AP231" s="8"/>
      <c r="AQ231" s="8">
        <v>141006</v>
      </c>
      <c r="AR231" s="8"/>
      <c r="AS231" s="8"/>
      <c r="AT231" s="8"/>
      <c r="AU231" s="8">
        <v>0</v>
      </c>
      <c r="AV231" s="8"/>
      <c r="AW231" s="8">
        <f t="shared" si="11"/>
        <v>20158129</v>
      </c>
      <c r="AY231" s="8">
        <f>+'St of Activites - GA Rev'!AI231-'St of Activities - GA Exp'!AW231</f>
        <v>774658</v>
      </c>
      <c r="BA231" s="8">
        <v>26672489</v>
      </c>
      <c r="BC231" s="8">
        <f t="shared" si="12"/>
        <v>27447147</v>
      </c>
      <c r="BE231" s="8">
        <f>+'St of Net Assets - GA'!AA234-'St of Activities - GA Exp'!BC231</f>
        <v>0</v>
      </c>
    </row>
    <row r="232" spans="1:59">
      <c r="A232" s="12" t="s">
        <v>261</v>
      </c>
      <c r="B232" s="12"/>
      <c r="C232" s="12" t="s">
        <v>17</v>
      </c>
      <c r="D232" s="12"/>
      <c r="E232" s="32">
        <v>46235</v>
      </c>
      <c r="G232" s="8">
        <v>8050000</v>
      </c>
      <c r="H232" s="8"/>
      <c r="I232" s="8">
        <v>1520000</v>
      </c>
      <c r="J232" s="8"/>
      <c r="K232" s="8">
        <v>520000</v>
      </c>
      <c r="L232" s="8"/>
      <c r="M232" s="8">
        <v>410000</v>
      </c>
      <c r="N232" s="8"/>
      <c r="O232" s="8">
        <v>1070000</v>
      </c>
      <c r="P232" s="8"/>
      <c r="Q232" s="8">
        <v>0</v>
      </c>
      <c r="R232" s="8"/>
      <c r="S232" s="8">
        <v>0</v>
      </c>
      <c r="T232" s="8"/>
      <c r="U232" s="8">
        <v>1530000</v>
      </c>
      <c r="V232" s="8"/>
      <c r="W232" s="8">
        <v>0</v>
      </c>
      <c r="X232" s="8"/>
      <c r="Y232" s="8">
        <v>0</v>
      </c>
      <c r="Z232" s="8"/>
      <c r="AA232" s="8">
        <v>1500000</v>
      </c>
      <c r="AB232" s="8"/>
      <c r="AC232" s="8">
        <v>1120000</v>
      </c>
      <c r="AD232" s="8"/>
      <c r="AE232" s="8">
        <v>0</v>
      </c>
      <c r="AF232" s="138"/>
      <c r="AG232" s="12" t="s">
        <v>261</v>
      </c>
      <c r="AH232" s="12"/>
      <c r="AI232" s="12" t="s">
        <v>17</v>
      </c>
      <c r="AJ232" s="12"/>
      <c r="AK232" s="8">
        <v>640000</v>
      </c>
      <c r="AL232" s="8"/>
      <c r="AM232" s="8">
        <v>880000</v>
      </c>
      <c r="AN232" s="8"/>
      <c r="AO232" s="8">
        <v>420000</v>
      </c>
      <c r="AP232" s="8"/>
      <c r="AQ232" s="8">
        <v>10000</v>
      </c>
      <c r="AR232" s="8"/>
      <c r="AS232" s="8"/>
      <c r="AT232" s="8"/>
      <c r="AU232" s="8">
        <v>0</v>
      </c>
      <c r="AV232" s="8"/>
      <c r="AW232" s="8">
        <f>SUM(G232:AV232)</f>
        <v>17670000</v>
      </c>
      <c r="AY232" s="8">
        <f>+'St of Activites - GA Rev'!AI232-'St of Activities - GA Exp'!AW232</f>
        <v>-90000</v>
      </c>
      <c r="BA232" s="8">
        <v>9110000</v>
      </c>
      <c r="BC232" s="8">
        <f t="shared" si="12"/>
        <v>9020000</v>
      </c>
      <c r="BE232" s="8">
        <f>+'St of Net Assets - GA'!AA235-'St of Activities - GA Exp'!BC232</f>
        <v>0</v>
      </c>
    </row>
    <row r="233" spans="1:59">
      <c r="A233" s="12" t="s">
        <v>327</v>
      </c>
      <c r="B233" s="12"/>
      <c r="C233" s="12" t="s">
        <v>21</v>
      </c>
      <c r="D233" s="12"/>
      <c r="E233" s="32">
        <v>44099</v>
      </c>
      <c r="G233" s="8">
        <v>12621913</v>
      </c>
      <c r="H233" s="8"/>
      <c r="I233" s="8">
        <v>3233302</v>
      </c>
      <c r="J233" s="8"/>
      <c r="K233" s="8">
        <v>2146596</v>
      </c>
      <c r="L233" s="8"/>
      <c r="M233" s="8">
        <f>60108+98918</f>
        <v>159026</v>
      </c>
      <c r="N233" s="8"/>
      <c r="O233" s="8">
        <v>1273343</v>
      </c>
      <c r="P233" s="8"/>
      <c r="Q233" s="8">
        <v>1606158</v>
      </c>
      <c r="R233" s="8"/>
      <c r="S233" s="8">
        <v>124349</v>
      </c>
      <c r="T233" s="8"/>
      <c r="U233" s="8">
        <v>2153032</v>
      </c>
      <c r="V233" s="8"/>
      <c r="W233" s="8">
        <v>741851</v>
      </c>
      <c r="X233" s="8"/>
      <c r="Y233" s="8">
        <v>4376</v>
      </c>
      <c r="Z233" s="8"/>
      <c r="AA233" s="8">
        <v>1680686</v>
      </c>
      <c r="AB233" s="8"/>
      <c r="AC233" s="8">
        <v>1097119</v>
      </c>
      <c r="AD233" s="8"/>
      <c r="AE233" s="8">
        <v>257895</v>
      </c>
      <c r="AF233" s="138"/>
      <c r="AG233" s="12" t="s">
        <v>327</v>
      </c>
      <c r="AH233" s="12"/>
      <c r="AI233" s="12" t="s">
        <v>21</v>
      </c>
      <c r="AJ233" s="12"/>
      <c r="AK233" s="8">
        <v>0</v>
      </c>
      <c r="AL233" s="8"/>
      <c r="AM233" s="8">
        <v>1136032</v>
      </c>
      <c r="AN233" s="8"/>
      <c r="AO233" s="8">
        <v>670381</v>
      </c>
      <c r="AP233" s="8"/>
      <c r="AQ233" s="8">
        <v>0</v>
      </c>
      <c r="AR233" s="8"/>
      <c r="AS233" s="8"/>
      <c r="AT233" s="8"/>
      <c r="AU233" s="8">
        <v>0</v>
      </c>
      <c r="AV233" s="8"/>
      <c r="AW233" s="8">
        <f t="shared" si="11"/>
        <v>28906059</v>
      </c>
      <c r="AY233" s="8">
        <f>+'St of Activites - GA Rev'!AI236-'St of Activities - GA Exp'!AW233</f>
        <v>-1275220</v>
      </c>
      <c r="BA233" s="8">
        <v>17692329</v>
      </c>
      <c r="BC233" s="8">
        <f t="shared" si="12"/>
        <v>16417109</v>
      </c>
      <c r="BE233" s="8">
        <f>+'St of Net Assets - GA'!AA236-'St of Activities - GA Exp'!BC233</f>
        <v>0</v>
      </c>
    </row>
    <row r="234" spans="1:59">
      <c r="A234" s="12" t="s">
        <v>358</v>
      </c>
      <c r="B234" s="12"/>
      <c r="C234" s="12" t="s">
        <v>27</v>
      </c>
      <c r="D234" s="12"/>
      <c r="E234" s="32">
        <v>46979</v>
      </c>
      <c r="G234" s="8">
        <v>32003409</v>
      </c>
      <c r="H234" s="8"/>
      <c r="I234" s="8">
        <v>9212062</v>
      </c>
      <c r="J234" s="8"/>
      <c r="K234" s="8">
        <v>290828</v>
      </c>
      <c r="L234" s="8"/>
      <c r="M234" s="8">
        <v>1285721</v>
      </c>
      <c r="N234" s="8"/>
      <c r="O234" s="8">
        <v>2925824</v>
      </c>
      <c r="P234" s="8"/>
      <c r="Q234" s="8">
        <v>1337247</v>
      </c>
      <c r="R234" s="8"/>
      <c r="S234" s="8">
        <v>1258989</v>
      </c>
      <c r="T234" s="8"/>
      <c r="U234" s="8">
        <v>3974228</v>
      </c>
      <c r="V234" s="8"/>
      <c r="W234" s="8">
        <v>1105164</v>
      </c>
      <c r="X234" s="8"/>
      <c r="Y234" s="8">
        <v>227472</v>
      </c>
      <c r="Z234" s="8"/>
      <c r="AA234" s="8">
        <v>5561197</v>
      </c>
      <c r="AB234" s="8"/>
      <c r="AC234" s="8">
        <v>5058072</v>
      </c>
      <c r="AD234" s="8"/>
      <c r="AE234" s="8">
        <v>577264</v>
      </c>
      <c r="AF234" s="138"/>
      <c r="AG234" s="12" t="s">
        <v>358</v>
      </c>
      <c r="AH234" s="12"/>
      <c r="AI234" s="12" t="s">
        <v>27</v>
      </c>
      <c r="AJ234" s="12"/>
      <c r="AK234" s="8">
        <v>0</v>
      </c>
      <c r="AL234" s="8"/>
      <c r="AM234" s="8">
        <v>2721834</v>
      </c>
      <c r="AN234" s="8"/>
      <c r="AO234" s="8">
        <v>693591</v>
      </c>
      <c r="AP234" s="8"/>
      <c r="AQ234" s="8">
        <v>25463</v>
      </c>
      <c r="AR234" s="8"/>
      <c r="AS234" s="8"/>
      <c r="AT234" s="8"/>
      <c r="AU234" s="8">
        <v>0</v>
      </c>
      <c r="AV234" s="8"/>
      <c r="AW234" s="8">
        <f t="shared" si="11"/>
        <v>68258365</v>
      </c>
      <c r="AY234" s="8">
        <f>+'St of Activites - GA Rev'!AI237-'St of Activities - GA Exp'!AW234</f>
        <v>1678093</v>
      </c>
      <c r="BA234" s="8">
        <v>12538696</v>
      </c>
      <c r="BC234" s="8">
        <f t="shared" si="12"/>
        <v>14216789</v>
      </c>
      <c r="BE234" s="8">
        <f>+'St of Net Assets - GA'!AA237-'St of Activities - GA Exp'!BC234</f>
        <v>0</v>
      </c>
      <c r="BG234" s="15" t="s">
        <v>905</v>
      </c>
    </row>
    <row r="235" spans="1:59" ht="11.25" customHeight="1">
      <c r="A235" s="12" t="s">
        <v>244</v>
      </c>
      <c r="B235" s="12"/>
      <c r="C235" s="12" t="s">
        <v>242</v>
      </c>
      <c r="D235" s="12"/>
      <c r="E235" s="32">
        <v>44107</v>
      </c>
      <c r="G235" s="8">
        <v>39532242</v>
      </c>
      <c r="H235" s="8"/>
      <c r="I235" s="8">
        <v>11468618</v>
      </c>
      <c r="J235" s="8"/>
      <c r="K235" s="8">
        <v>1851271</v>
      </c>
      <c r="L235" s="8"/>
      <c r="M235" s="8">
        <v>241988</v>
      </c>
      <c r="N235" s="8"/>
      <c r="O235" s="8">
        <v>7127220</v>
      </c>
      <c r="P235" s="8"/>
      <c r="Q235" s="8">
        <v>5905935</v>
      </c>
      <c r="R235" s="8"/>
      <c r="S235" s="8">
        <v>377584</v>
      </c>
      <c r="T235" s="8"/>
      <c r="U235" s="8">
        <v>5064566</v>
      </c>
      <c r="V235" s="8"/>
      <c r="W235" s="8">
        <v>1163968</v>
      </c>
      <c r="X235" s="8"/>
      <c r="Y235" s="8">
        <v>361888</v>
      </c>
      <c r="Z235" s="8"/>
      <c r="AA235" s="8">
        <v>7953410</v>
      </c>
      <c r="AB235" s="8"/>
      <c r="AC235" s="8">
        <v>2755787</v>
      </c>
      <c r="AD235" s="8"/>
      <c r="AE235" s="8">
        <v>874358</v>
      </c>
      <c r="AF235" s="138"/>
      <c r="AG235" s="12" t="s">
        <v>244</v>
      </c>
      <c r="AH235" s="12"/>
      <c r="AI235" s="12" t="s">
        <v>242</v>
      </c>
      <c r="AJ235" s="12"/>
      <c r="AK235" s="8">
        <v>5058285</v>
      </c>
      <c r="AL235" s="8"/>
      <c r="AM235" s="8">
        <v>0</v>
      </c>
      <c r="AN235" s="8"/>
      <c r="AO235" s="8">
        <v>2923107</v>
      </c>
      <c r="AP235" s="8"/>
      <c r="AQ235" s="8">
        <v>5159570</v>
      </c>
      <c r="AR235" s="8"/>
      <c r="AS235" s="8"/>
      <c r="AT235" s="8"/>
      <c r="AU235" s="8">
        <v>0</v>
      </c>
      <c r="AV235" s="8"/>
      <c r="AW235" s="8">
        <f>SUM(G235:AV235)</f>
        <v>97819797</v>
      </c>
      <c r="AY235" s="8">
        <f>+'St of Activites - GA Rev'!AI238-'St of Activities - GA Exp'!AW235</f>
        <v>5989570</v>
      </c>
      <c r="BA235" s="8">
        <v>157198728</v>
      </c>
      <c r="BC235" s="8">
        <f t="shared" si="12"/>
        <v>163188298</v>
      </c>
      <c r="BE235" s="8">
        <f>+'St of Net Assets - GA'!AA238-'St of Activities - GA Exp'!BC235</f>
        <v>11702</v>
      </c>
      <c r="BG235" s="15" t="s">
        <v>943</v>
      </c>
    </row>
    <row r="236" spans="1:59" ht="11.25" customHeight="1">
      <c r="A236" s="12"/>
      <c r="B236" s="12"/>
      <c r="C236" s="12"/>
      <c r="D236" s="12"/>
      <c r="E236" s="32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138"/>
      <c r="AG236" s="12"/>
      <c r="AH236" s="12"/>
      <c r="AI236" s="12"/>
      <c r="AJ236" s="12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BG236" s="15"/>
    </row>
    <row r="237" spans="1:59" ht="11.25" customHeight="1">
      <c r="A237" s="12"/>
      <c r="B237" s="12"/>
      <c r="C237" s="12"/>
      <c r="D237" s="12"/>
      <c r="E237" s="32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 t="s">
        <v>805</v>
      </c>
      <c r="AF237" s="138"/>
      <c r="AG237" s="12"/>
      <c r="AH237" s="12"/>
      <c r="AI237" s="12"/>
      <c r="AJ237" s="12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BC237" s="8" t="s">
        <v>805</v>
      </c>
      <c r="BG237" s="15"/>
    </row>
    <row r="238" spans="1:59" ht="11.25" customHeight="1">
      <c r="A238" s="12"/>
      <c r="B238" s="12"/>
      <c r="C238" s="12"/>
      <c r="D238" s="12"/>
      <c r="E238" s="32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138"/>
      <c r="AG238" s="12"/>
      <c r="AH238" s="12"/>
      <c r="AI238" s="12"/>
      <c r="AJ238" s="12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BG238" s="15"/>
    </row>
    <row r="239" spans="1:59">
      <c r="A239" s="12" t="s">
        <v>981</v>
      </c>
      <c r="B239" s="12"/>
      <c r="C239" s="12" t="s">
        <v>27</v>
      </c>
      <c r="D239" s="12"/>
      <c r="E239" s="32">
        <v>46953</v>
      </c>
      <c r="G239" s="35">
        <v>10518354</v>
      </c>
      <c r="H239" s="35"/>
      <c r="I239" s="35">
        <v>2410817</v>
      </c>
      <c r="J239" s="35"/>
      <c r="K239" s="35">
        <v>309174</v>
      </c>
      <c r="L239" s="35"/>
      <c r="M239" s="35">
        <v>2490481</v>
      </c>
      <c r="N239" s="35"/>
      <c r="O239" s="35">
        <v>1717642</v>
      </c>
      <c r="P239" s="35"/>
      <c r="Q239" s="35">
        <v>709773</v>
      </c>
      <c r="R239" s="35"/>
      <c r="S239" s="35">
        <v>0</v>
      </c>
      <c r="T239" s="35"/>
      <c r="U239" s="35">
        <v>2158996</v>
      </c>
      <c r="V239" s="35"/>
      <c r="W239" s="35">
        <v>1210406</v>
      </c>
      <c r="X239" s="35"/>
      <c r="Y239" s="35">
        <v>34055</v>
      </c>
      <c r="Z239" s="35"/>
      <c r="AA239" s="35">
        <v>2918671</v>
      </c>
      <c r="AB239" s="35"/>
      <c r="AC239" s="35">
        <v>897328</v>
      </c>
      <c r="AD239" s="35"/>
      <c r="AE239" s="35">
        <v>43586</v>
      </c>
      <c r="AF239" s="138"/>
      <c r="AG239" s="12" t="s">
        <v>359</v>
      </c>
      <c r="AH239" s="12"/>
      <c r="AI239" s="12" t="s">
        <v>27</v>
      </c>
      <c r="AJ239" s="12"/>
      <c r="AK239" s="35">
        <v>0</v>
      </c>
      <c r="AL239" s="35"/>
      <c r="AM239" s="35">
        <v>1368434</v>
      </c>
      <c r="AN239" s="35"/>
      <c r="AO239" s="35">
        <v>730888</v>
      </c>
      <c r="AP239" s="35"/>
      <c r="AQ239" s="35">
        <v>1342950</v>
      </c>
      <c r="AR239" s="35"/>
      <c r="AS239" s="35"/>
      <c r="AT239" s="35"/>
      <c r="AU239" s="35">
        <v>0</v>
      </c>
      <c r="AV239" s="35"/>
      <c r="AW239" s="35">
        <f t="shared" ref="AW239" si="13">SUM(G239:AV239)</f>
        <v>28861555</v>
      </c>
      <c r="AX239" s="35"/>
      <c r="AY239" s="35">
        <f>+'St of Activites - GA Rev'!AI239-'St of Activities - GA Exp'!AW239</f>
        <v>3253420</v>
      </c>
      <c r="AZ239" s="35"/>
      <c r="BA239" s="35">
        <v>55024999</v>
      </c>
      <c r="BB239" s="35"/>
      <c r="BC239" s="35">
        <f t="shared" si="12"/>
        <v>58278419</v>
      </c>
      <c r="BE239" s="8">
        <f>+'St of Net Assets - GA'!AA239-'St of Activities - GA Exp'!BC239</f>
        <v>0</v>
      </c>
      <c r="BG239" s="8"/>
    </row>
    <row r="240" spans="1:59">
      <c r="A240" s="12" t="s">
        <v>422</v>
      </c>
      <c r="B240" s="12"/>
      <c r="C240" s="12" t="s">
        <v>421</v>
      </c>
      <c r="D240" s="12"/>
      <c r="E240" s="32">
        <v>47498</v>
      </c>
      <c r="G240" s="8">
        <v>2321992</v>
      </c>
      <c r="H240" s="8"/>
      <c r="I240" s="8">
        <v>417362</v>
      </c>
      <c r="J240" s="8"/>
      <c r="K240" s="8">
        <v>215685</v>
      </c>
      <c r="L240" s="8"/>
      <c r="M240" s="8">
        <v>0</v>
      </c>
      <c r="N240" s="8"/>
      <c r="O240" s="8">
        <v>151440</v>
      </c>
      <c r="P240" s="8"/>
      <c r="Q240" s="8">
        <v>142095</v>
      </c>
      <c r="R240" s="8"/>
      <c r="S240" s="8">
        <v>81003</v>
      </c>
      <c r="T240" s="8"/>
      <c r="U240" s="8">
        <v>452267</v>
      </c>
      <c r="V240" s="8"/>
      <c r="W240" s="8">
        <v>220204</v>
      </c>
      <c r="X240" s="8"/>
      <c r="Y240" s="8">
        <v>0</v>
      </c>
      <c r="Z240" s="8"/>
      <c r="AA240" s="8">
        <v>314565</v>
      </c>
      <c r="AB240" s="8"/>
      <c r="AC240" s="8">
        <v>221699</v>
      </c>
      <c r="AD240" s="8"/>
      <c r="AE240" s="8">
        <v>963</v>
      </c>
      <c r="AF240" s="138"/>
      <c r="AG240" s="12" t="s">
        <v>422</v>
      </c>
      <c r="AH240" s="12"/>
      <c r="AI240" s="12" t="s">
        <v>421</v>
      </c>
      <c r="AJ240" s="12"/>
      <c r="AK240" s="8">
        <v>0</v>
      </c>
      <c r="AL240" s="8"/>
      <c r="AM240" s="8">
        <v>170223</v>
      </c>
      <c r="AN240" s="8"/>
      <c r="AO240" s="8">
        <v>183721</v>
      </c>
      <c r="AP240" s="8"/>
      <c r="AQ240" s="8">
        <v>164993</v>
      </c>
      <c r="AR240" s="8"/>
      <c r="AS240" s="8"/>
      <c r="AT240" s="8"/>
      <c r="AU240" s="8">
        <v>123631</v>
      </c>
      <c r="AV240" s="8"/>
      <c r="AW240" s="8">
        <f t="shared" si="11"/>
        <v>5181843</v>
      </c>
      <c r="AY240" s="8">
        <f>+'St of Activites - GA Rev'!AI240-'St of Activities - GA Exp'!AW240</f>
        <v>5126431</v>
      </c>
      <c r="BA240" s="8">
        <v>3398167</v>
      </c>
      <c r="BC240" s="8">
        <f t="shared" si="12"/>
        <v>8524598</v>
      </c>
      <c r="BE240" s="8">
        <f>+'St of Net Assets - GA'!AA240-'St of Activities - GA Exp'!BC240</f>
        <v>0</v>
      </c>
      <c r="BG240" s="15" t="s">
        <v>905</v>
      </c>
    </row>
    <row r="241" spans="1:59">
      <c r="A241" s="12" t="s">
        <v>645</v>
      </c>
      <c r="B241" s="12"/>
      <c r="C241" s="12" t="s">
        <v>61</v>
      </c>
      <c r="D241" s="12"/>
      <c r="E241" s="32">
        <v>49791</v>
      </c>
      <c r="G241" s="8">
        <v>5450706</v>
      </c>
      <c r="H241" s="8"/>
      <c r="I241" s="8">
        <v>0</v>
      </c>
      <c r="J241" s="8"/>
      <c r="K241" s="8">
        <v>0</v>
      </c>
      <c r="L241" s="8"/>
      <c r="M241" s="8">
        <v>0</v>
      </c>
      <c r="N241" s="8"/>
      <c r="O241" s="8">
        <v>710097</v>
      </c>
      <c r="P241" s="8"/>
      <c r="Q241" s="8">
        <v>0</v>
      </c>
      <c r="R241" s="8"/>
      <c r="S241" s="8">
        <v>814496</v>
      </c>
      <c r="T241" s="8"/>
      <c r="U241" s="8">
        <v>0</v>
      </c>
      <c r="V241" s="8"/>
      <c r="W241" s="8">
        <v>0</v>
      </c>
      <c r="X241" s="8"/>
      <c r="Y241" s="8">
        <v>0</v>
      </c>
      <c r="Z241" s="8"/>
      <c r="AA241" s="8">
        <v>677318</v>
      </c>
      <c r="AB241" s="8"/>
      <c r="AC241" s="8">
        <v>510700</v>
      </c>
      <c r="AD241" s="8"/>
      <c r="AE241" s="8">
        <v>12681</v>
      </c>
      <c r="AF241" s="138"/>
      <c r="AG241" s="12" t="s">
        <v>645</v>
      </c>
      <c r="AH241" s="12"/>
      <c r="AI241" s="12" t="s">
        <v>61</v>
      </c>
      <c r="AJ241" s="12"/>
      <c r="AK241" s="8">
        <v>0</v>
      </c>
      <c r="AL241" s="8"/>
      <c r="AM241" s="8">
        <v>265229</v>
      </c>
      <c r="AN241" s="8"/>
      <c r="AO241" s="8">
        <v>205342</v>
      </c>
      <c r="AP241" s="8"/>
      <c r="AQ241" s="8">
        <v>363059</v>
      </c>
      <c r="AR241" s="8"/>
      <c r="AS241" s="8"/>
      <c r="AT241" s="8"/>
      <c r="AU241" s="8">
        <v>0</v>
      </c>
      <c r="AV241" s="8"/>
      <c r="AW241" s="8">
        <f t="shared" si="11"/>
        <v>9009628</v>
      </c>
      <c r="AY241" s="8">
        <f>+'St of Activites - GA Rev'!AI241-'St of Activities - GA Exp'!AW241</f>
        <v>3723055</v>
      </c>
      <c r="BA241" s="8">
        <v>4802437</v>
      </c>
      <c r="BC241" s="8">
        <f t="shared" si="12"/>
        <v>8525492</v>
      </c>
      <c r="BE241" s="8">
        <f>+'St of Net Assets - GA'!AA241-'St of Activities - GA Exp'!BC241</f>
        <v>0</v>
      </c>
      <c r="BG241" s="10" t="s">
        <v>899</v>
      </c>
    </row>
    <row r="242" spans="1:59">
      <c r="A242" s="12" t="s">
        <v>429</v>
      </c>
      <c r="B242" s="12"/>
      <c r="C242" s="12" t="s">
        <v>428</v>
      </c>
      <c r="D242" s="12"/>
      <c r="E242" s="32">
        <v>45245</v>
      </c>
      <c r="G242" s="8">
        <v>9116765</v>
      </c>
      <c r="H242" s="8"/>
      <c r="I242" s="8">
        <v>2368023</v>
      </c>
      <c r="J242" s="8"/>
      <c r="K242" s="8">
        <v>383441</v>
      </c>
      <c r="L242" s="8"/>
      <c r="M242" s="8">
        <v>79513</v>
      </c>
      <c r="N242" s="8"/>
      <c r="O242" s="8">
        <v>984349</v>
      </c>
      <c r="P242" s="8"/>
      <c r="Q242" s="8">
        <v>521111</v>
      </c>
      <c r="R242" s="8"/>
      <c r="S242" s="8">
        <v>210508</v>
      </c>
      <c r="T242" s="8"/>
      <c r="U242" s="8">
        <v>1427723</v>
      </c>
      <c r="V242" s="8"/>
      <c r="W242" s="8">
        <v>530038</v>
      </c>
      <c r="X242" s="8"/>
      <c r="Y242" s="8">
        <v>0</v>
      </c>
      <c r="Z242" s="8"/>
      <c r="AA242" s="8">
        <v>1311083</v>
      </c>
      <c r="AB242" s="8"/>
      <c r="AC242" s="8">
        <v>1515775</v>
      </c>
      <c r="AD242" s="8"/>
      <c r="AE242" s="8">
        <v>328929</v>
      </c>
      <c r="AF242" s="138"/>
      <c r="AG242" s="12" t="s">
        <v>429</v>
      </c>
      <c r="AH242" s="12"/>
      <c r="AI242" s="12" t="s">
        <v>428</v>
      </c>
      <c r="AJ242" s="12"/>
      <c r="AK242" s="8">
        <v>918629</v>
      </c>
      <c r="AL242" s="8"/>
      <c r="AM242" s="8">
        <v>45465</v>
      </c>
      <c r="AN242" s="8"/>
      <c r="AO242" s="8">
        <v>350195</v>
      </c>
      <c r="AP242" s="8"/>
      <c r="AQ242" s="8">
        <v>1510</v>
      </c>
      <c r="AR242" s="8"/>
      <c r="AS242" s="8"/>
      <c r="AT242" s="8"/>
      <c r="AU242" s="8">
        <v>0</v>
      </c>
      <c r="AV242" s="8"/>
      <c r="AW242" s="8">
        <f t="shared" si="11"/>
        <v>20093057</v>
      </c>
      <c r="AY242" s="8">
        <f>+'St of Activites - GA Rev'!AI242-'St of Activities - GA Exp'!AW242</f>
        <v>-402303</v>
      </c>
      <c r="BA242" s="8">
        <v>10030039</v>
      </c>
      <c r="BC242" s="8">
        <f t="shared" si="12"/>
        <v>9627736</v>
      </c>
      <c r="BE242" s="8">
        <f>+'St of Net Assets - GA'!AA242-'St of Activities - GA Exp'!BC242</f>
        <v>0</v>
      </c>
    </row>
    <row r="243" spans="1:59">
      <c r="A243" s="12" t="s">
        <v>473</v>
      </c>
      <c r="B243" s="12"/>
      <c r="C243" s="12" t="s">
        <v>42</v>
      </c>
      <c r="D243" s="12"/>
      <c r="E243" s="32">
        <v>44115</v>
      </c>
      <c r="G243" s="8">
        <v>9646810</v>
      </c>
      <c r="H243" s="8"/>
      <c r="I243" s="8">
        <v>0</v>
      </c>
      <c r="J243" s="8"/>
      <c r="K243" s="8">
        <v>0</v>
      </c>
      <c r="L243" s="8"/>
      <c r="M243" s="8">
        <v>0</v>
      </c>
      <c r="N243" s="8"/>
      <c r="O243" s="8">
        <v>865694</v>
      </c>
      <c r="P243" s="8"/>
      <c r="Q243" s="8">
        <v>350010</v>
      </c>
      <c r="R243" s="8"/>
      <c r="S243" s="8">
        <v>12061</v>
      </c>
      <c r="T243" s="8"/>
      <c r="U243" s="8">
        <v>1333496</v>
      </c>
      <c r="V243" s="8"/>
      <c r="W243" s="8">
        <v>514732</v>
      </c>
      <c r="X243" s="8"/>
      <c r="Y243" s="8">
        <v>41636</v>
      </c>
      <c r="Z243" s="8"/>
      <c r="AA243" s="8">
        <v>1317583</v>
      </c>
      <c r="AB243" s="8"/>
      <c r="AC243" s="8">
        <v>589078</v>
      </c>
      <c r="AD243" s="8"/>
      <c r="AE243" s="8">
        <v>243900</v>
      </c>
      <c r="AF243" s="138"/>
      <c r="AG243" s="12" t="s">
        <v>473</v>
      </c>
      <c r="AH243" s="12"/>
      <c r="AI243" s="12" t="s">
        <v>42</v>
      </c>
      <c r="AJ243" s="12"/>
      <c r="AK243" s="8">
        <v>592736</v>
      </c>
      <c r="AL243" s="8"/>
      <c r="AM243" s="8">
        <v>5125</v>
      </c>
      <c r="AN243" s="8"/>
      <c r="AO243" s="8">
        <v>728693</v>
      </c>
      <c r="AP243" s="8"/>
      <c r="AQ243" s="8">
        <v>963173</v>
      </c>
      <c r="AR243" s="8"/>
      <c r="AS243" s="8"/>
      <c r="AT243" s="8"/>
      <c r="AU243" s="8">
        <v>0</v>
      </c>
      <c r="AV243" s="8"/>
      <c r="AW243" s="8">
        <f t="shared" si="11"/>
        <v>17204727</v>
      </c>
      <c r="AY243" s="8">
        <f>+'St of Activites - GA Rev'!AI243-'St of Activities - GA Exp'!AW243</f>
        <v>825100</v>
      </c>
      <c r="BA243" s="8">
        <v>5041996</v>
      </c>
      <c r="BC243" s="8">
        <f t="shared" si="12"/>
        <v>5867096</v>
      </c>
      <c r="BE243" s="8">
        <f>+'St of Net Assets - GA'!AA243-'St of Activities - GA Exp'!BC243</f>
        <v>0</v>
      </c>
      <c r="BG243" s="10" t="s">
        <v>944</v>
      </c>
    </row>
    <row r="244" spans="1:59" ht="12" hidden="1" customHeight="1">
      <c r="A244" s="12" t="s">
        <v>945</v>
      </c>
      <c r="B244" s="12"/>
      <c r="C244" s="12" t="s">
        <v>22</v>
      </c>
      <c r="D244" s="12"/>
      <c r="E244" s="32">
        <v>45419</v>
      </c>
      <c r="G244" s="8">
        <v>3953309</v>
      </c>
      <c r="H244" s="8"/>
      <c r="I244" s="8">
        <v>983678</v>
      </c>
      <c r="J244" s="8"/>
      <c r="K244" s="8">
        <v>186856</v>
      </c>
      <c r="L244" s="8"/>
      <c r="M244" s="8">
        <v>5207</v>
      </c>
      <c r="N244" s="8"/>
      <c r="O244" s="8">
        <v>455401</v>
      </c>
      <c r="P244" s="8"/>
      <c r="Q244" s="8">
        <v>397662</v>
      </c>
      <c r="R244" s="8"/>
      <c r="S244" s="8">
        <v>33386</v>
      </c>
      <c r="T244" s="8"/>
      <c r="U244" s="8">
        <v>750936</v>
      </c>
      <c r="V244" s="8"/>
      <c r="W244" s="8">
        <v>258658</v>
      </c>
      <c r="X244" s="8"/>
      <c r="Y244" s="8"/>
      <c r="Z244" s="8"/>
      <c r="AA244" s="8">
        <v>821971</v>
      </c>
      <c r="AB244" s="8"/>
      <c r="AC244" s="8">
        <v>370899</v>
      </c>
      <c r="AD244" s="8"/>
      <c r="AE244" s="8">
        <v>32499</v>
      </c>
      <c r="AF244" s="138"/>
      <c r="AG244" s="12" t="s">
        <v>945</v>
      </c>
      <c r="AH244" s="12"/>
      <c r="AI244" s="12" t="s">
        <v>22</v>
      </c>
      <c r="AJ244" s="12"/>
      <c r="AK244" s="8"/>
      <c r="AL244" s="8"/>
      <c r="AM244" s="8">
        <v>364453</v>
      </c>
      <c r="AN244" s="8"/>
      <c r="AO244" s="8">
        <v>571922</v>
      </c>
      <c r="AP244" s="8"/>
      <c r="AQ244" s="8"/>
      <c r="AR244" s="8"/>
      <c r="AS244" s="8"/>
      <c r="AT244" s="8"/>
      <c r="AU244" s="8">
        <f>4696+425971+212159+7642479</f>
        <v>8285305</v>
      </c>
      <c r="AV244" s="8"/>
      <c r="AW244" s="8">
        <f t="shared" si="11"/>
        <v>17472142</v>
      </c>
      <c r="AY244" s="8">
        <f>+'St of Activites - GA Rev'!AI244-'St of Activities - GA Exp'!AW244</f>
        <v>-5961897</v>
      </c>
      <c r="BA244" s="8">
        <v>12169148</v>
      </c>
      <c r="BC244" s="8">
        <f t="shared" si="12"/>
        <v>6207251</v>
      </c>
      <c r="BE244" s="8">
        <f>+'St of Net Assets - GA'!AA244-'St of Activities - GA Exp'!BC244</f>
        <v>0</v>
      </c>
    </row>
    <row r="245" spans="1:59">
      <c r="A245" s="12" t="s">
        <v>528</v>
      </c>
      <c r="B245" s="12"/>
      <c r="C245" s="12" t="s">
        <v>47</v>
      </c>
      <c r="D245" s="12"/>
      <c r="E245" s="32">
        <v>48496</v>
      </c>
      <c r="G245" s="8">
        <v>12267061</v>
      </c>
      <c r="H245" s="8"/>
      <c r="I245" s="8">
        <v>2843678</v>
      </c>
      <c r="J245" s="8"/>
      <c r="K245" s="8">
        <v>306980</v>
      </c>
      <c r="L245" s="8"/>
      <c r="M245" s="8">
        <v>265925</v>
      </c>
      <c r="N245" s="8"/>
      <c r="O245" s="8">
        <v>1597409</v>
      </c>
      <c r="P245" s="8"/>
      <c r="Q245" s="8">
        <v>1708797</v>
      </c>
      <c r="R245" s="8"/>
      <c r="S245" s="8">
        <v>33633</v>
      </c>
      <c r="T245" s="8"/>
      <c r="U245" s="8">
        <v>2255136</v>
      </c>
      <c r="V245" s="8"/>
      <c r="W245" s="8">
        <v>582842</v>
      </c>
      <c r="X245" s="8"/>
      <c r="Y245" s="8">
        <v>50648</v>
      </c>
      <c r="Z245" s="8"/>
      <c r="AA245" s="8">
        <v>3408779</v>
      </c>
      <c r="AB245" s="8"/>
      <c r="AC245" s="8">
        <v>1734063</v>
      </c>
      <c r="AD245" s="8"/>
      <c r="AE245" s="8">
        <v>219387</v>
      </c>
      <c r="AF245" s="138"/>
      <c r="AG245" s="12" t="s">
        <v>528</v>
      </c>
      <c r="AH245" s="12"/>
      <c r="AI245" s="12" t="s">
        <v>47</v>
      </c>
      <c r="AJ245" s="12"/>
      <c r="AK245" s="8">
        <v>1148334</v>
      </c>
      <c r="AL245" s="8"/>
      <c r="AM245" s="8">
        <v>169629</v>
      </c>
      <c r="AN245" s="8"/>
      <c r="AO245" s="8">
        <v>1369821</v>
      </c>
      <c r="AP245" s="8"/>
      <c r="AQ245" s="8">
        <v>1577328</v>
      </c>
      <c r="AR245" s="8"/>
      <c r="AS245" s="8"/>
      <c r="AT245" s="8"/>
      <c r="AU245" s="8">
        <v>0</v>
      </c>
      <c r="AV245" s="8"/>
      <c r="AW245" s="8">
        <f t="shared" si="11"/>
        <v>31539450</v>
      </c>
      <c r="AY245" s="8">
        <f>+'St of Activites - GA Rev'!AI245-'St of Activities - GA Exp'!AW245</f>
        <v>110781</v>
      </c>
      <c r="BA245" s="8">
        <v>20521549</v>
      </c>
      <c r="BC245" s="8">
        <f t="shared" si="12"/>
        <v>20632330</v>
      </c>
      <c r="BE245" s="8">
        <f>+'St of Net Assets - GA'!AA245-'St of Activities - GA Exp'!BC245</f>
        <v>0</v>
      </c>
    </row>
    <row r="246" spans="1:59">
      <c r="A246" s="12" t="s">
        <v>528</v>
      </c>
      <c r="B246" s="12"/>
      <c r="C246" s="12" t="s">
        <v>78</v>
      </c>
      <c r="D246" s="12"/>
      <c r="E246" s="32">
        <v>48801</v>
      </c>
      <c r="G246" s="8">
        <v>6797424</v>
      </c>
      <c r="H246" s="8"/>
      <c r="I246" s="8">
        <v>2119855</v>
      </c>
      <c r="J246" s="8"/>
      <c r="K246" s="8">
        <v>140762</v>
      </c>
      <c r="L246" s="8"/>
      <c r="M246" s="8">
        <v>0</v>
      </c>
      <c r="N246" s="8"/>
      <c r="O246" s="8">
        <v>1097595</v>
      </c>
      <c r="P246" s="8"/>
      <c r="Q246" s="8">
        <v>972350</v>
      </c>
      <c r="R246" s="8"/>
      <c r="S246" s="8">
        <v>210506</v>
      </c>
      <c r="T246" s="8"/>
      <c r="U246" s="8">
        <v>1236383</v>
      </c>
      <c r="V246" s="8"/>
      <c r="W246" s="8">
        <v>387970</v>
      </c>
      <c r="X246" s="8"/>
      <c r="Y246" s="8">
        <v>0</v>
      </c>
      <c r="Z246" s="8"/>
      <c r="AA246" s="8">
        <v>1302222</v>
      </c>
      <c r="AB246" s="8"/>
      <c r="AC246" s="8">
        <v>1345850</v>
      </c>
      <c r="AD246" s="8"/>
      <c r="AE246" s="8">
        <v>7646</v>
      </c>
      <c r="AF246" s="138"/>
      <c r="AG246" s="12" t="s">
        <v>528</v>
      </c>
      <c r="AH246" s="12"/>
      <c r="AI246" s="12" t="s">
        <v>78</v>
      </c>
      <c r="AJ246" s="12"/>
      <c r="AK246" s="8">
        <v>0</v>
      </c>
      <c r="AL246" s="8"/>
      <c r="AM246" s="8">
        <v>706156</v>
      </c>
      <c r="AN246" s="8"/>
      <c r="AO246" s="8">
        <v>320414</v>
      </c>
      <c r="AP246" s="8"/>
      <c r="AQ246" s="8">
        <v>697792</v>
      </c>
      <c r="AR246" s="8"/>
      <c r="AS246" s="8"/>
      <c r="AT246" s="8"/>
      <c r="AU246" s="8">
        <v>0</v>
      </c>
      <c r="AV246" s="8"/>
      <c r="AW246" s="8">
        <f t="shared" si="11"/>
        <v>17342925</v>
      </c>
      <c r="AY246" s="8">
        <f>+'St of Activites - GA Rev'!AI246-'St of Activities - GA Exp'!AW246</f>
        <v>36195051</v>
      </c>
      <c r="BA246" s="8">
        <v>17344727</v>
      </c>
      <c r="BC246" s="8">
        <f t="shared" si="12"/>
        <v>53539778</v>
      </c>
      <c r="BE246" s="8">
        <f>+'St of Net Assets - GA'!AA246-'St of Activities - GA Exp'!BC246</f>
        <v>0</v>
      </c>
    </row>
    <row r="247" spans="1:59">
      <c r="A247" s="12" t="s">
        <v>360</v>
      </c>
      <c r="B247" s="12"/>
      <c r="C247" s="12" t="s">
        <v>27</v>
      </c>
      <c r="D247" s="12"/>
      <c r="E247" s="32">
        <v>47019</v>
      </c>
      <c r="G247" s="8">
        <v>88191190</v>
      </c>
      <c r="H247" s="8"/>
      <c r="I247" s="8">
        <v>17026624</v>
      </c>
      <c r="J247" s="8"/>
      <c r="K247" s="8">
        <v>1035569</v>
      </c>
      <c r="L247" s="8"/>
      <c r="M247" s="8">
        <v>0</v>
      </c>
      <c r="N247" s="8"/>
      <c r="O247" s="8">
        <v>9622713</v>
      </c>
      <c r="P247" s="8"/>
      <c r="Q247" s="8">
        <v>9351098</v>
      </c>
      <c r="R247" s="8"/>
      <c r="S247" s="8">
        <v>296409</v>
      </c>
      <c r="T247" s="8"/>
      <c r="U247" s="8">
        <v>10054745</v>
      </c>
      <c r="V247" s="8"/>
      <c r="W247" s="8">
        <v>3743879</v>
      </c>
      <c r="X247" s="8"/>
      <c r="Y247" s="8">
        <v>919294</v>
      </c>
      <c r="Z247" s="8"/>
      <c r="AA247" s="8">
        <v>14726606</v>
      </c>
      <c r="AB247" s="8"/>
      <c r="AC247" s="8">
        <v>7845830</v>
      </c>
      <c r="AD247" s="8"/>
      <c r="AE247" s="8">
        <v>609281</v>
      </c>
      <c r="AF247" s="138"/>
      <c r="AG247" s="12" t="s">
        <v>360</v>
      </c>
      <c r="AH247" s="12"/>
      <c r="AI247" s="12" t="s">
        <v>27</v>
      </c>
      <c r="AJ247" s="12"/>
      <c r="AK247" s="8">
        <v>4787269</v>
      </c>
      <c r="AL247" s="8"/>
      <c r="AM247" s="8">
        <v>2490233</v>
      </c>
      <c r="AN247" s="8"/>
      <c r="AO247" s="8">
        <v>4191362</v>
      </c>
      <c r="AP247" s="8"/>
      <c r="AQ247" s="8">
        <v>10450932</v>
      </c>
      <c r="AR247" s="8"/>
      <c r="AS247" s="8"/>
      <c r="AT247" s="8"/>
      <c r="AU247" s="8">
        <v>105061</v>
      </c>
      <c r="AV247" s="8"/>
      <c r="AW247" s="8">
        <f t="shared" si="11"/>
        <v>185448095</v>
      </c>
      <c r="AY247" s="8">
        <f>+'St of Activites - GA Rev'!AI247-'St of Activities - GA Exp'!AW247</f>
        <v>15662992</v>
      </c>
      <c r="BA247" s="8">
        <v>45391048</v>
      </c>
      <c r="BC247" s="8">
        <f t="shared" si="12"/>
        <v>61054040</v>
      </c>
      <c r="BE247" s="8">
        <f>+'St of Net Assets - GA'!AA247-'St of Activities - GA Exp'!BC247</f>
        <v>0</v>
      </c>
    </row>
    <row r="248" spans="1:59" ht="12" customHeight="1">
      <c r="A248" s="12" t="s">
        <v>438</v>
      </c>
      <c r="B248" s="12"/>
      <c r="C248" s="12" t="s">
        <v>435</v>
      </c>
      <c r="D248" s="12"/>
      <c r="E248" s="32">
        <v>44123</v>
      </c>
      <c r="G248" s="8">
        <v>9703523</v>
      </c>
      <c r="H248" s="8"/>
      <c r="I248" s="8">
        <v>1678809</v>
      </c>
      <c r="J248" s="8"/>
      <c r="K248" s="8">
        <v>728123</v>
      </c>
      <c r="L248" s="8"/>
      <c r="M248" s="8">
        <v>2275602</v>
      </c>
      <c r="N248" s="8"/>
      <c r="O248" s="8">
        <v>880998</v>
      </c>
      <c r="P248" s="8"/>
      <c r="Q248" s="8">
        <v>1867161</v>
      </c>
      <c r="R248" s="8"/>
      <c r="S248" s="8">
        <v>38905</v>
      </c>
      <c r="T248" s="8"/>
      <c r="U248" s="8">
        <v>2240991</v>
      </c>
      <c r="V248" s="8"/>
      <c r="W248" s="8">
        <v>639341</v>
      </c>
      <c r="X248" s="8"/>
      <c r="Y248" s="8">
        <v>27626</v>
      </c>
      <c r="Z248" s="8"/>
      <c r="AA248" s="8">
        <v>1643932</v>
      </c>
      <c r="AB248" s="8"/>
      <c r="AC248" s="8">
        <v>1555441</v>
      </c>
      <c r="AD248" s="8"/>
      <c r="AE248" s="8">
        <v>114753</v>
      </c>
      <c r="AF248" s="138"/>
      <c r="AG248" s="12" t="s">
        <v>438</v>
      </c>
      <c r="AH248" s="12"/>
      <c r="AI248" s="12" t="s">
        <v>435</v>
      </c>
      <c r="AJ248" s="12"/>
      <c r="AK248" s="8">
        <v>0</v>
      </c>
      <c r="AL248" s="8"/>
      <c r="AM248" s="8">
        <v>1187587</v>
      </c>
      <c r="AN248" s="8"/>
      <c r="AO248" s="8">
        <v>496519</v>
      </c>
      <c r="AP248" s="8"/>
      <c r="AQ248" s="8">
        <v>588133</v>
      </c>
      <c r="AR248" s="8"/>
      <c r="AS248" s="8"/>
      <c r="AT248" s="8"/>
      <c r="AU248" s="8">
        <v>0</v>
      </c>
      <c r="AV248" s="8"/>
      <c r="AW248" s="8">
        <f t="shared" si="11"/>
        <v>25667444</v>
      </c>
      <c r="AY248" s="8">
        <f>+'St of Activites - GA Rev'!AI248-'St of Activities - GA Exp'!AW248</f>
        <v>3024608</v>
      </c>
      <c r="BA248" s="8">
        <v>65477012</v>
      </c>
      <c r="BC248" s="8">
        <f t="shared" si="12"/>
        <v>68501620</v>
      </c>
      <c r="BE248" s="8">
        <f>+'St of Net Assets - GA'!AA248-'St of Activities - GA Exp'!BC248</f>
        <v>0</v>
      </c>
    </row>
    <row r="249" spans="1:59">
      <c r="A249" s="12" t="s">
        <v>214</v>
      </c>
      <c r="B249" s="12"/>
      <c r="C249" s="12" t="s">
        <v>11</v>
      </c>
      <c r="D249" s="12"/>
      <c r="E249" s="32">
        <v>45823</v>
      </c>
      <c r="F249" s="8"/>
      <c r="G249" s="8">
        <v>4563721</v>
      </c>
      <c r="H249" s="8"/>
      <c r="I249" s="8">
        <v>751199</v>
      </c>
      <c r="J249" s="8"/>
      <c r="K249" s="8">
        <v>396829</v>
      </c>
      <c r="L249" s="8"/>
      <c r="M249" s="8">
        <v>237716</v>
      </c>
      <c r="N249" s="8"/>
      <c r="O249" s="8">
        <v>569186</v>
      </c>
      <c r="P249" s="8"/>
      <c r="Q249" s="8">
        <v>319412</v>
      </c>
      <c r="R249" s="8"/>
      <c r="S249" s="8">
        <v>37689</v>
      </c>
      <c r="T249" s="8"/>
      <c r="U249" s="8">
        <v>844418</v>
      </c>
      <c r="V249" s="8"/>
      <c r="W249" s="8">
        <v>348220</v>
      </c>
      <c r="X249" s="8"/>
      <c r="Y249" s="8">
        <v>0</v>
      </c>
      <c r="Z249" s="8"/>
      <c r="AA249" s="8">
        <v>679077</v>
      </c>
      <c r="AB249" s="8"/>
      <c r="AC249" s="8">
        <v>793843</v>
      </c>
      <c r="AD249" s="8"/>
      <c r="AE249" s="8">
        <v>9000</v>
      </c>
      <c r="AF249" s="138"/>
      <c r="AG249" s="12" t="s">
        <v>214</v>
      </c>
      <c r="AH249" s="12"/>
      <c r="AI249" s="12" t="s">
        <v>11</v>
      </c>
      <c r="AJ249" s="12"/>
      <c r="AK249" s="8">
        <v>378385</v>
      </c>
      <c r="AL249" s="8"/>
      <c r="AM249" s="8">
        <v>782</v>
      </c>
      <c r="AN249" s="8"/>
      <c r="AO249" s="8">
        <v>409778</v>
      </c>
      <c r="AP249" s="8"/>
      <c r="AQ249" s="8">
        <v>8666</v>
      </c>
      <c r="AR249" s="8"/>
      <c r="AS249" s="8"/>
      <c r="AT249" s="8"/>
      <c r="AU249" s="8">
        <v>0</v>
      </c>
      <c r="AV249" s="8"/>
      <c r="AW249" s="8">
        <f t="shared" si="11"/>
        <v>10347921</v>
      </c>
      <c r="AY249" s="8">
        <f>+'St of Activites - GA Rev'!AI249-'St of Activities - GA Exp'!AW249</f>
        <v>495937</v>
      </c>
      <c r="BA249" s="8">
        <v>3152532</v>
      </c>
      <c r="BC249" s="8">
        <f t="shared" si="12"/>
        <v>3648469</v>
      </c>
      <c r="BE249" s="8">
        <f>+'St of Net Assets - GA'!AA249-'St of Activities - GA Exp'!BC249</f>
        <v>0</v>
      </c>
    </row>
    <row r="250" spans="1:59">
      <c r="A250" s="12" t="s">
        <v>430</v>
      </c>
      <c r="B250" s="12"/>
      <c r="C250" s="12" t="s">
        <v>34</v>
      </c>
      <c r="D250" s="12"/>
      <c r="E250" s="32">
        <v>47571</v>
      </c>
      <c r="G250" s="8">
        <v>2671702</v>
      </c>
      <c r="H250" s="8"/>
      <c r="I250" s="8">
        <v>505893</v>
      </c>
      <c r="J250" s="8"/>
      <c r="K250" s="8">
        <v>115434</v>
      </c>
      <c r="L250" s="8"/>
      <c r="M250" s="8">
        <v>0</v>
      </c>
      <c r="N250" s="8"/>
      <c r="O250" s="8">
        <v>236462</v>
      </c>
      <c r="P250" s="8"/>
      <c r="Q250" s="8">
        <v>177007</v>
      </c>
      <c r="R250" s="8"/>
      <c r="S250" s="8">
        <v>18312</v>
      </c>
      <c r="T250" s="8"/>
      <c r="U250" s="8">
        <v>553978</v>
      </c>
      <c r="V250" s="8"/>
      <c r="W250" s="8">
        <v>164523</v>
      </c>
      <c r="X250" s="8"/>
      <c r="Y250" s="8">
        <v>8151</v>
      </c>
      <c r="Z250" s="8"/>
      <c r="AA250" s="8">
        <v>464021</v>
      </c>
      <c r="AB250" s="8"/>
      <c r="AC250" s="8">
        <v>172052</v>
      </c>
      <c r="AD250" s="8"/>
      <c r="AE250" s="8">
        <v>78016</v>
      </c>
      <c r="AF250" s="138"/>
      <c r="AG250" s="12" t="s">
        <v>430</v>
      </c>
      <c r="AH250" s="12"/>
      <c r="AI250" s="12" t="s">
        <v>34</v>
      </c>
      <c r="AJ250" s="12"/>
      <c r="AK250" s="8">
        <v>0</v>
      </c>
      <c r="AL250" s="8"/>
      <c r="AM250" s="8">
        <v>229925</v>
      </c>
      <c r="AN250" s="8"/>
      <c r="AO250" s="8">
        <v>304145</v>
      </c>
      <c r="AP250" s="8"/>
      <c r="AQ250" s="8">
        <v>226746</v>
      </c>
      <c r="AR250" s="8"/>
      <c r="AS250" s="8"/>
      <c r="AT250" s="8"/>
      <c r="AU250" s="8">
        <v>0</v>
      </c>
      <c r="AV250" s="8"/>
      <c r="AW250" s="8">
        <f t="shared" ref="AW250:AW273" si="14">SUM(G250:AV250)</f>
        <v>5926367</v>
      </c>
      <c r="AY250" s="8">
        <f>+'St of Activites - GA Rev'!AI250-'St of Activities - GA Exp'!AW250</f>
        <v>-141594</v>
      </c>
      <c r="BA250" s="8">
        <v>19016690</v>
      </c>
      <c r="BC250" s="8">
        <f t="shared" si="12"/>
        <v>18875096</v>
      </c>
      <c r="BE250" s="8">
        <f>+'St of Net Assets - GA'!AA250-'St of Activities - GA Exp'!BC250</f>
        <v>0</v>
      </c>
    </row>
    <row r="251" spans="1:59">
      <c r="A251" s="12" t="s">
        <v>680</v>
      </c>
      <c r="B251" s="12"/>
      <c r="C251" s="12" t="s">
        <v>64</v>
      </c>
      <c r="D251" s="12"/>
      <c r="E251" s="32">
        <v>50161</v>
      </c>
      <c r="G251" s="8">
        <v>13526553</v>
      </c>
      <c r="H251" s="8"/>
      <c r="I251" s="8">
        <v>3457824</v>
      </c>
      <c r="J251" s="8"/>
      <c r="K251" s="8">
        <v>621154</v>
      </c>
      <c r="L251" s="8"/>
      <c r="M251" s="8">
        <v>1326290</v>
      </c>
      <c r="N251" s="8"/>
      <c r="O251" s="8">
        <v>1787263</v>
      </c>
      <c r="P251" s="8"/>
      <c r="Q251" s="8">
        <v>1128736</v>
      </c>
      <c r="R251" s="8"/>
      <c r="S251" s="8">
        <v>298178</v>
      </c>
      <c r="T251" s="8"/>
      <c r="U251" s="8">
        <v>2413879</v>
      </c>
      <c r="V251" s="8"/>
      <c r="W251" s="8">
        <v>717477</v>
      </c>
      <c r="X251" s="8"/>
      <c r="Y251" s="8">
        <v>93129</v>
      </c>
      <c r="Z251" s="8"/>
      <c r="AA251" s="8">
        <v>3581820</v>
      </c>
      <c r="AB251" s="8"/>
      <c r="AC251" s="8">
        <v>1746742</v>
      </c>
      <c r="AD251" s="8"/>
      <c r="AE251" s="8">
        <v>18883</v>
      </c>
      <c r="AF251" s="138"/>
      <c r="AG251" s="12" t="s">
        <v>680</v>
      </c>
      <c r="AH251" s="12"/>
      <c r="AI251" s="12" t="s">
        <v>64</v>
      </c>
      <c r="AJ251" s="12"/>
      <c r="AK251" s="8">
        <v>856605</v>
      </c>
      <c r="AL251" s="8"/>
      <c r="AM251" s="8">
        <v>181350</v>
      </c>
      <c r="AN251" s="8"/>
      <c r="AO251" s="8">
        <v>680774</v>
      </c>
      <c r="AP251" s="8"/>
      <c r="AQ251" s="8">
        <v>4570</v>
      </c>
      <c r="AR251" s="8"/>
      <c r="AS251" s="8"/>
      <c r="AT251" s="8"/>
      <c r="AU251" s="8">
        <v>0</v>
      </c>
      <c r="AV251" s="8"/>
      <c r="AW251" s="8">
        <f t="shared" si="14"/>
        <v>32441227</v>
      </c>
      <c r="AY251" s="8">
        <f>+'St of Activites - GA Rev'!AI251-'St of Activities - GA Exp'!AW251</f>
        <v>298257</v>
      </c>
      <c r="BA251" s="8">
        <v>6486232</v>
      </c>
      <c r="BC251" s="8">
        <f t="shared" ref="BC251:BC274" si="15">+AY251+BA251</f>
        <v>6784489</v>
      </c>
      <c r="BE251" s="8">
        <f>+'St of Net Assets - GA'!AA251-'St of Activities - GA Exp'!BC251</f>
        <v>0</v>
      </c>
    </row>
    <row r="252" spans="1:59">
      <c r="A252" s="12" t="s">
        <v>681</v>
      </c>
      <c r="B252" s="12"/>
      <c r="C252" s="12" t="s">
        <v>64</v>
      </c>
      <c r="D252" s="12"/>
      <c r="E252" s="32">
        <v>45427</v>
      </c>
      <c r="G252" s="8">
        <v>8832275</v>
      </c>
      <c r="H252" s="8"/>
      <c r="I252" s="8">
        <v>2013398</v>
      </c>
      <c r="J252" s="8"/>
      <c r="K252" s="8">
        <v>353925</v>
      </c>
      <c r="L252" s="8"/>
      <c r="M252" s="8">
        <v>490197</v>
      </c>
      <c r="N252" s="8"/>
      <c r="O252" s="8">
        <v>1027056</v>
      </c>
      <c r="P252" s="8"/>
      <c r="Q252" s="8">
        <v>732428</v>
      </c>
      <c r="R252" s="8"/>
      <c r="S252" s="8">
        <v>18436</v>
      </c>
      <c r="T252" s="8"/>
      <c r="U252" s="8">
        <v>1533731</v>
      </c>
      <c r="V252" s="8"/>
      <c r="W252" s="8">
        <v>536796</v>
      </c>
      <c r="X252" s="8"/>
      <c r="Y252" s="8">
        <v>44081</v>
      </c>
      <c r="Z252" s="8"/>
      <c r="AA252" s="8">
        <v>2042455</v>
      </c>
      <c r="AB252" s="8"/>
      <c r="AC252" s="8">
        <v>1055161</v>
      </c>
      <c r="AD252" s="8"/>
      <c r="AE252" s="8">
        <v>290847</v>
      </c>
      <c r="AF252" s="138"/>
      <c r="AG252" s="12" t="s">
        <v>681</v>
      </c>
      <c r="AH252" s="12"/>
      <c r="AI252" s="12" t="s">
        <v>64</v>
      </c>
      <c r="AJ252" s="12"/>
      <c r="AK252" s="8">
        <v>934489</v>
      </c>
      <c r="AL252" s="8"/>
      <c r="AM252" s="8">
        <v>435801</v>
      </c>
      <c r="AN252" s="8"/>
      <c r="AO252" s="8">
        <v>687424</v>
      </c>
      <c r="AP252" s="8"/>
      <c r="AQ252" s="8">
        <v>860446</v>
      </c>
      <c r="AR252" s="8"/>
      <c r="AS252" s="8"/>
      <c r="AT252" s="8"/>
      <c r="AU252" s="8">
        <v>0</v>
      </c>
      <c r="AV252" s="8"/>
      <c r="AW252" s="8">
        <f t="shared" si="14"/>
        <v>21888946</v>
      </c>
      <c r="AY252" s="8">
        <f>+'St of Activites - GA Rev'!AI252-'St of Activities - GA Exp'!AW252</f>
        <v>-2749109</v>
      </c>
      <c r="BA252" s="8">
        <v>49591521</v>
      </c>
      <c r="BC252" s="8">
        <f t="shared" si="15"/>
        <v>46842412</v>
      </c>
      <c r="BE252" s="8">
        <f>+'St of Net Assets - GA'!AA252-'St of Activities - GA Exp'!BC252</f>
        <v>0</v>
      </c>
    </row>
    <row r="253" spans="1:59">
      <c r="A253" s="12" t="s">
        <v>547</v>
      </c>
      <c r="B253" s="12"/>
      <c r="C253" s="12" t="s">
        <v>50</v>
      </c>
      <c r="D253" s="12"/>
      <c r="E253" s="32">
        <v>48751</v>
      </c>
      <c r="G253" s="8">
        <v>42593454</v>
      </c>
      <c r="H253" s="8"/>
      <c r="I253" s="8">
        <v>0</v>
      </c>
      <c r="J253" s="8"/>
      <c r="K253" s="8">
        <v>0</v>
      </c>
      <c r="L253" s="8"/>
      <c r="M253" s="8">
        <v>0</v>
      </c>
      <c r="N253" s="8"/>
      <c r="O253" s="8">
        <v>2608599</v>
      </c>
      <c r="P253" s="8"/>
      <c r="Q253" s="8">
        <v>4415514</v>
      </c>
      <c r="R253" s="8"/>
      <c r="S253" s="8">
        <v>29076</v>
      </c>
      <c r="T253" s="8"/>
      <c r="U253" s="8">
        <v>4188702</v>
      </c>
      <c r="V253" s="8"/>
      <c r="W253" s="8">
        <v>1116674</v>
      </c>
      <c r="X253" s="8"/>
      <c r="Y253" s="8">
        <v>591934</v>
      </c>
      <c r="Z253" s="8"/>
      <c r="AA253" s="8">
        <v>5064104</v>
      </c>
      <c r="AB253" s="8"/>
      <c r="AC253" s="8">
        <v>3238684</v>
      </c>
      <c r="AD253" s="8"/>
      <c r="AE253" s="8">
        <v>593058</v>
      </c>
      <c r="AF253" s="138"/>
      <c r="AG253" s="12" t="s">
        <v>547</v>
      </c>
      <c r="AH253" s="12"/>
      <c r="AI253" s="12" t="s">
        <v>50</v>
      </c>
      <c r="AJ253" s="12"/>
      <c r="AK253" s="8">
        <v>2370447</v>
      </c>
      <c r="AL253" s="8"/>
      <c r="AM253" s="8">
        <v>643126</v>
      </c>
      <c r="AN253" s="8"/>
      <c r="AO253" s="8">
        <v>1014831</v>
      </c>
      <c r="AP253" s="8"/>
      <c r="AQ253" s="8">
        <v>663968</v>
      </c>
      <c r="AR253" s="8"/>
      <c r="AS253" s="8"/>
      <c r="AT253" s="8"/>
      <c r="AU253" s="8">
        <v>0</v>
      </c>
      <c r="AV253" s="8"/>
      <c r="AW253" s="8">
        <f t="shared" si="14"/>
        <v>69132171</v>
      </c>
      <c r="AY253" s="8">
        <f>+'St of Activites - GA Rev'!AI253-'St of Activities - GA Exp'!AW253</f>
        <v>88823523</v>
      </c>
      <c r="BA253" s="8">
        <v>40851055</v>
      </c>
      <c r="BC253" s="8">
        <f t="shared" si="15"/>
        <v>129674578</v>
      </c>
      <c r="BE253" s="8">
        <f>+'St of Net Assets - GA'!AA253-'St of Activities - GA Exp'!BC253</f>
        <v>0</v>
      </c>
      <c r="BG253" s="10" t="s">
        <v>944</v>
      </c>
    </row>
    <row r="254" spans="1:59">
      <c r="A254" s="12" t="s">
        <v>666</v>
      </c>
      <c r="B254" s="12"/>
      <c r="C254" s="12" t="s">
        <v>63</v>
      </c>
      <c r="D254" s="12"/>
      <c r="E254" s="32">
        <v>50021</v>
      </c>
      <c r="G254" s="8">
        <v>29945058</v>
      </c>
      <c r="H254" s="8"/>
      <c r="I254" s="8">
        <v>6271075</v>
      </c>
      <c r="J254" s="8"/>
      <c r="K254" s="8">
        <v>385778</v>
      </c>
      <c r="L254" s="8"/>
      <c r="M254" s="8">
        <v>968677</v>
      </c>
      <c r="N254" s="8"/>
      <c r="O254" s="8">
        <v>4560753</v>
      </c>
      <c r="P254" s="8"/>
      <c r="Q254" s="8">
        <v>4678235</v>
      </c>
      <c r="R254" s="8"/>
      <c r="S254" s="8">
        <v>43359</v>
      </c>
      <c r="T254" s="8"/>
      <c r="U254" s="8">
        <v>4224167</v>
      </c>
      <c r="V254" s="8"/>
      <c r="W254" s="8">
        <v>1778315</v>
      </c>
      <c r="X254" s="8"/>
      <c r="Y254" s="8">
        <v>550168</v>
      </c>
      <c r="Z254" s="8"/>
      <c r="AA254" s="8">
        <v>5485131</v>
      </c>
      <c r="AB254" s="8"/>
      <c r="AC254" s="8">
        <v>3392304</v>
      </c>
      <c r="AD254" s="8"/>
      <c r="AE254" s="8">
        <v>439019</v>
      </c>
      <c r="AF254" s="138"/>
      <c r="AG254" s="12" t="s">
        <v>666</v>
      </c>
      <c r="AH254" s="12"/>
      <c r="AI254" s="12" t="s">
        <v>63</v>
      </c>
      <c r="AJ254" s="12"/>
      <c r="AK254" s="8">
        <v>1733192</v>
      </c>
      <c r="AL254" s="8"/>
      <c r="AM254" s="8">
        <v>39054</v>
      </c>
      <c r="AN254" s="8"/>
      <c r="AO254" s="8">
        <v>1350043</v>
      </c>
      <c r="AP254" s="8"/>
      <c r="AQ254" s="8">
        <v>1926040</v>
      </c>
      <c r="AR254" s="8"/>
      <c r="AS254" s="8"/>
      <c r="AT254" s="8"/>
      <c r="AU254" s="8">
        <v>1217535</v>
      </c>
      <c r="AV254" s="8"/>
      <c r="AW254" s="8">
        <f t="shared" si="14"/>
        <v>68987903</v>
      </c>
      <c r="AY254" s="8">
        <f>+'St of Activites - GA Rev'!AI254-'St of Activities - GA Exp'!AW254</f>
        <v>3277959</v>
      </c>
      <c r="BA254" s="8">
        <v>34997629</v>
      </c>
      <c r="BC254" s="8">
        <f t="shared" si="15"/>
        <v>38275588</v>
      </c>
      <c r="BE254" s="8">
        <f>+'St of Net Assets - GA'!AA254-'St of Activities - GA Exp'!BC254</f>
        <v>0</v>
      </c>
    </row>
    <row r="255" spans="1:59">
      <c r="A255" s="12" t="s">
        <v>618</v>
      </c>
      <c r="B255" s="12"/>
      <c r="C255" s="12" t="s">
        <v>58</v>
      </c>
      <c r="D255" s="12"/>
      <c r="E255" s="32">
        <v>49502</v>
      </c>
      <c r="G255" s="8">
        <v>6512363</v>
      </c>
      <c r="H255" s="8"/>
      <c r="I255" s="8">
        <v>1555821</v>
      </c>
      <c r="J255" s="8"/>
      <c r="K255" s="8">
        <v>36616</v>
      </c>
      <c r="L255" s="8"/>
      <c r="M255" s="8">
        <v>159954</v>
      </c>
      <c r="N255" s="8"/>
      <c r="O255" s="8">
        <v>281680</v>
      </c>
      <c r="P255" s="8"/>
      <c r="Q255" s="8">
        <v>147525</v>
      </c>
      <c r="R255" s="8"/>
      <c r="S255" s="8">
        <v>30213</v>
      </c>
      <c r="T255" s="8"/>
      <c r="U255" s="8">
        <v>850779</v>
      </c>
      <c r="V255" s="8"/>
      <c r="W255" s="8">
        <v>540588</v>
      </c>
      <c r="X255" s="8"/>
      <c r="Y255" s="8">
        <v>0</v>
      </c>
      <c r="Z255" s="8"/>
      <c r="AA255" s="8">
        <v>1239753</v>
      </c>
      <c r="AB255" s="8"/>
      <c r="AC255" s="8">
        <v>829391</v>
      </c>
      <c r="AD255" s="8"/>
      <c r="AE255" s="8">
        <v>0</v>
      </c>
      <c r="AF255" s="138"/>
      <c r="AG255" s="12" t="s">
        <v>618</v>
      </c>
      <c r="AH255" s="12"/>
      <c r="AI255" s="12" t="s">
        <v>58</v>
      </c>
      <c r="AJ255" s="12"/>
      <c r="AK255" s="8">
        <v>516832</v>
      </c>
      <c r="AL255" s="8"/>
      <c r="AM255" s="8">
        <v>0</v>
      </c>
      <c r="AN255" s="8"/>
      <c r="AO255" s="8">
        <v>258408</v>
      </c>
      <c r="AP255" s="8"/>
      <c r="AQ255" s="8">
        <v>47151</v>
      </c>
      <c r="AR255" s="8"/>
      <c r="AS255" s="8"/>
      <c r="AT255" s="8"/>
      <c r="AU255" s="8">
        <v>0</v>
      </c>
      <c r="AV255" s="8"/>
      <c r="AW255" s="8">
        <f t="shared" si="14"/>
        <v>13007074</v>
      </c>
      <c r="AY255" s="8">
        <f>+'St of Activites - GA Rev'!AI255-'St of Activities - GA Exp'!AW255</f>
        <v>-636211</v>
      </c>
      <c r="BA255" s="8">
        <v>17460942</v>
      </c>
      <c r="BC255" s="8">
        <f t="shared" si="15"/>
        <v>16824731</v>
      </c>
      <c r="BE255" s="8">
        <f>+'St of Net Assets - GA'!AA255-'St of Activities - GA Exp'!BC255</f>
        <v>0</v>
      </c>
    </row>
    <row r="256" spans="1:59">
      <c r="A256" s="12" t="s">
        <v>337</v>
      </c>
      <c r="B256" s="12"/>
      <c r="C256" s="12" t="s">
        <v>24</v>
      </c>
      <c r="D256" s="12"/>
      <c r="E256" s="32">
        <v>44131</v>
      </c>
      <c r="G256" s="8">
        <v>7109702</v>
      </c>
      <c r="H256" s="8"/>
      <c r="I256" s="8">
        <v>1962187</v>
      </c>
      <c r="J256" s="8"/>
      <c r="K256" s="8">
        <v>62936</v>
      </c>
      <c r="L256" s="8"/>
      <c r="M256" s="8">
        <v>0</v>
      </c>
      <c r="N256" s="8"/>
      <c r="O256" s="8">
        <v>504916</v>
      </c>
      <c r="P256" s="8"/>
      <c r="Q256" s="8">
        <v>700231</v>
      </c>
      <c r="R256" s="8"/>
      <c r="S256" s="8">
        <v>32663</v>
      </c>
      <c r="T256" s="8"/>
      <c r="U256" s="8">
        <v>1599726</v>
      </c>
      <c r="V256" s="8"/>
      <c r="W256" s="8">
        <v>542103</v>
      </c>
      <c r="X256" s="8"/>
      <c r="Y256" s="8">
        <v>95</v>
      </c>
      <c r="Z256" s="8"/>
      <c r="AA256" s="8">
        <v>1676323</v>
      </c>
      <c r="AB256" s="8"/>
      <c r="AC256" s="8">
        <v>993245</v>
      </c>
      <c r="AD256" s="8"/>
      <c r="AE256" s="8">
        <v>1416</v>
      </c>
      <c r="AF256" s="138"/>
      <c r="AG256" s="12" t="s">
        <v>337</v>
      </c>
      <c r="AH256" s="12"/>
      <c r="AI256" s="12" t="s">
        <v>24</v>
      </c>
      <c r="AJ256" s="12"/>
      <c r="AK256" s="8">
        <v>722341</v>
      </c>
      <c r="AL256" s="8"/>
      <c r="AM256" s="8">
        <v>258006</v>
      </c>
      <c r="AN256" s="8"/>
      <c r="AO256" s="8">
        <v>556432</v>
      </c>
      <c r="AP256" s="8"/>
      <c r="AQ256" s="8">
        <v>361566</v>
      </c>
      <c r="AR256" s="8"/>
      <c r="AS256" s="8"/>
      <c r="AT256" s="8"/>
      <c r="AU256" s="8">
        <v>118257</v>
      </c>
      <c r="AV256" s="8"/>
      <c r="AW256" s="8">
        <f t="shared" si="14"/>
        <v>17202145</v>
      </c>
      <c r="AY256" s="8">
        <f>+'St of Activites - GA Rev'!AI256-'St of Activities - GA Exp'!AW256</f>
        <v>1271213</v>
      </c>
      <c r="BA256" s="8">
        <v>4670626</v>
      </c>
      <c r="BC256" s="8">
        <f t="shared" si="15"/>
        <v>5941839</v>
      </c>
      <c r="BE256" s="8">
        <f>+'St of Net Assets - GA'!AA256-'St of Activities - GA Exp'!BC256</f>
        <v>0</v>
      </c>
    </row>
    <row r="257" spans="1:59">
      <c r="A257" s="12" t="s">
        <v>309</v>
      </c>
      <c r="B257" s="12"/>
      <c r="C257" s="12" t="s">
        <v>20</v>
      </c>
      <c r="D257" s="12"/>
      <c r="E257" s="32">
        <v>46565</v>
      </c>
      <c r="G257" s="8">
        <v>8640747</v>
      </c>
      <c r="H257" s="8"/>
      <c r="I257" s="8">
        <v>286681</v>
      </c>
      <c r="J257" s="8"/>
      <c r="K257" s="8">
        <v>1011</v>
      </c>
      <c r="L257" s="8"/>
      <c r="M257" s="8">
        <f>129480+2759</f>
        <v>132239</v>
      </c>
      <c r="N257" s="8"/>
      <c r="O257" s="8">
        <v>703939</v>
      </c>
      <c r="P257" s="8"/>
      <c r="Q257" s="8">
        <v>2058358</v>
      </c>
      <c r="R257" s="8"/>
      <c r="S257" s="8">
        <v>224299</v>
      </c>
      <c r="T257" s="8"/>
      <c r="U257" s="8">
        <v>1036404</v>
      </c>
      <c r="V257" s="8"/>
      <c r="W257" s="8">
        <v>537945</v>
      </c>
      <c r="X257" s="8"/>
      <c r="Y257" s="8">
        <v>213844</v>
      </c>
      <c r="Z257" s="8"/>
      <c r="AA257" s="8">
        <v>2318787</v>
      </c>
      <c r="AB257" s="8"/>
      <c r="AC257" s="8">
        <v>5000</v>
      </c>
      <c r="AD257" s="8"/>
      <c r="AE257" s="8">
        <v>873157</v>
      </c>
      <c r="AF257" s="138"/>
      <c r="AG257" s="12" t="s">
        <v>309</v>
      </c>
      <c r="AH257" s="12"/>
      <c r="AI257" s="12" t="s">
        <v>20</v>
      </c>
      <c r="AJ257" s="12"/>
      <c r="AK257" s="8">
        <v>335403</v>
      </c>
      <c r="AL257" s="8"/>
      <c r="AM257" s="8">
        <v>243287</v>
      </c>
      <c r="AN257" s="8"/>
      <c r="AO257" s="8">
        <v>550903</v>
      </c>
      <c r="AP257" s="8"/>
      <c r="AQ257" s="8">
        <v>746483</v>
      </c>
      <c r="AR257" s="8"/>
      <c r="AS257" s="8"/>
      <c r="AT257" s="8"/>
      <c r="AU257" s="8">
        <v>0</v>
      </c>
      <c r="AV257" s="8"/>
      <c r="AW257" s="8">
        <f t="shared" si="14"/>
        <v>18908487</v>
      </c>
      <c r="AY257" s="8">
        <f>+'St of Activites - GA Rev'!AI257-'St of Activities - GA Exp'!AW257</f>
        <v>954300</v>
      </c>
      <c r="BA257" s="8">
        <v>13692479</v>
      </c>
      <c r="BC257" s="8">
        <f t="shared" si="15"/>
        <v>14646779</v>
      </c>
      <c r="BE257" s="8">
        <f>+'St of Net Assets - GA'!AA257-'St of Activities - GA Exp'!BC257</f>
        <v>0</v>
      </c>
    </row>
    <row r="258" spans="1:59" s="8" customFormat="1">
      <c r="A258" s="13" t="s">
        <v>451</v>
      </c>
      <c r="B258" s="13"/>
      <c r="C258" s="13" t="s">
        <v>39</v>
      </c>
      <c r="D258" s="13"/>
      <c r="E258" s="13">
        <v>47803</v>
      </c>
      <c r="G258" s="8">
        <v>10090205</v>
      </c>
      <c r="I258" s="8">
        <v>2699292</v>
      </c>
      <c r="K258" s="8">
        <v>288256</v>
      </c>
      <c r="M258" s="8">
        <f>4214+363390</f>
        <v>367604</v>
      </c>
      <c r="O258" s="8">
        <v>872324</v>
      </c>
      <c r="Q258" s="8">
        <v>939684</v>
      </c>
      <c r="S258" s="8">
        <v>18306</v>
      </c>
      <c r="U258" s="8">
        <v>1625272</v>
      </c>
      <c r="W258" s="8">
        <v>426778</v>
      </c>
      <c r="Y258" s="8">
        <v>0</v>
      </c>
      <c r="AA258" s="8">
        <v>2123305</v>
      </c>
      <c r="AC258" s="8">
        <v>1077347</v>
      </c>
      <c r="AE258" s="8">
        <v>92031</v>
      </c>
      <c r="AF258" s="138"/>
      <c r="AG258" s="13" t="s">
        <v>451</v>
      </c>
      <c r="AH258" s="13"/>
      <c r="AI258" s="13" t="s">
        <v>39</v>
      </c>
      <c r="AJ258" s="13"/>
      <c r="AK258" s="8">
        <v>844462</v>
      </c>
      <c r="AM258" s="8">
        <v>253480</v>
      </c>
      <c r="AO258" s="8">
        <v>423070</v>
      </c>
      <c r="AQ258" s="8">
        <v>247155</v>
      </c>
      <c r="AU258" s="8">
        <v>0</v>
      </c>
      <c r="AW258" s="8">
        <f t="shared" si="14"/>
        <v>22388571</v>
      </c>
      <c r="AY258" s="8">
        <f>+'St of Activites - GA Rev'!AI258-'St of Activities - GA Exp'!AW258</f>
        <v>1333419</v>
      </c>
      <c r="BA258" s="8">
        <v>5389436</v>
      </c>
      <c r="BC258" s="8">
        <f t="shared" si="15"/>
        <v>6722855</v>
      </c>
      <c r="BE258" s="8">
        <f>+'St of Net Assets - GA'!AA258-'St of Activities - GA Exp'!BC258</f>
        <v>0</v>
      </c>
    </row>
    <row r="259" spans="1:59" ht="12" customHeight="1">
      <c r="A259" s="12" t="s">
        <v>395</v>
      </c>
      <c r="B259" s="12"/>
      <c r="C259" s="12" t="s">
        <v>32</v>
      </c>
      <c r="D259" s="12"/>
      <c r="E259" s="32">
        <v>45435</v>
      </c>
      <c r="G259" s="8">
        <v>15130675</v>
      </c>
      <c r="H259" s="8"/>
      <c r="I259" s="8">
        <v>2250234</v>
      </c>
      <c r="J259" s="8"/>
      <c r="K259" s="8">
        <v>98708</v>
      </c>
      <c r="L259" s="8"/>
      <c r="M259" s="8">
        <v>1406313</v>
      </c>
      <c r="N259" s="8"/>
      <c r="O259" s="8">
        <v>2205085</v>
      </c>
      <c r="P259" s="8"/>
      <c r="Q259" s="8">
        <v>1990351</v>
      </c>
      <c r="R259" s="8"/>
      <c r="S259" s="8">
        <v>23653</v>
      </c>
      <c r="T259" s="8"/>
      <c r="U259" s="8">
        <v>2164698</v>
      </c>
      <c r="V259" s="8"/>
      <c r="W259" s="8">
        <v>755279</v>
      </c>
      <c r="X259" s="8"/>
      <c r="Y259" s="8">
        <v>59196</v>
      </c>
      <c r="Z259" s="8"/>
      <c r="AA259" s="8">
        <v>3344002</v>
      </c>
      <c r="AB259" s="8"/>
      <c r="AC259" s="8">
        <v>1787378</v>
      </c>
      <c r="AD259" s="8"/>
      <c r="AE259" s="8">
        <v>62314</v>
      </c>
      <c r="AF259" s="138"/>
      <c r="AG259" s="12" t="s">
        <v>395</v>
      </c>
      <c r="AH259" s="12"/>
      <c r="AI259" s="12" t="s">
        <v>32</v>
      </c>
      <c r="AJ259" s="12"/>
      <c r="AK259" s="8">
        <v>817526</v>
      </c>
      <c r="AL259" s="8"/>
      <c r="AM259" s="8">
        <v>1248700</v>
      </c>
      <c r="AN259" s="8"/>
      <c r="AO259" s="8">
        <v>933059</v>
      </c>
      <c r="AP259" s="8"/>
      <c r="AQ259" s="8">
        <v>1870574</v>
      </c>
      <c r="AR259" s="8"/>
      <c r="AS259" s="8"/>
      <c r="AT259" s="8"/>
      <c r="AU259" s="8">
        <v>0</v>
      </c>
      <c r="AV259" s="8"/>
      <c r="AW259" s="8">
        <f t="shared" si="14"/>
        <v>36147745</v>
      </c>
      <c r="AY259" s="8">
        <f>+'St of Activites - GA Rev'!AI259-'St of Activities - GA Exp'!AW259</f>
        <v>3820842</v>
      </c>
      <c r="BA259" s="8">
        <v>36346351</v>
      </c>
      <c r="BC259" s="8">
        <f t="shared" si="15"/>
        <v>40167193</v>
      </c>
      <c r="BE259" s="8">
        <f>+'St of Net Assets - GA'!AA259-'St of Activities - GA Exp'!BC259</f>
        <v>0</v>
      </c>
    </row>
    <row r="260" spans="1:59" ht="12" hidden="1" customHeight="1">
      <c r="A260" s="12" t="s">
        <v>947</v>
      </c>
      <c r="B260" s="12"/>
      <c r="C260" s="12" t="s">
        <v>43</v>
      </c>
      <c r="D260" s="12"/>
      <c r="E260" s="32"/>
      <c r="G260" s="8">
        <v>7384346</v>
      </c>
      <c r="H260" s="8"/>
      <c r="I260" s="8">
        <v>1925715</v>
      </c>
      <c r="J260" s="8"/>
      <c r="K260" s="8">
        <v>321753</v>
      </c>
      <c r="L260" s="8"/>
      <c r="M260" s="8">
        <v>1249917</v>
      </c>
      <c r="N260" s="8"/>
      <c r="O260" s="8">
        <v>590366</v>
      </c>
      <c r="P260" s="8"/>
      <c r="Q260" s="8">
        <v>1000591</v>
      </c>
      <c r="R260" s="8"/>
      <c r="S260" s="8">
        <v>28064</v>
      </c>
      <c r="T260" s="8"/>
      <c r="U260" s="8">
        <v>1433529</v>
      </c>
      <c r="V260" s="8"/>
      <c r="W260" s="8">
        <v>520453</v>
      </c>
      <c r="X260" s="8"/>
      <c r="Y260" s="8"/>
      <c r="Z260" s="8"/>
      <c r="AA260" s="8">
        <v>1413831</v>
      </c>
      <c r="AB260" s="8"/>
      <c r="AC260" s="8">
        <v>1043043</v>
      </c>
      <c r="AD260" s="8"/>
      <c r="AE260" s="8">
        <v>340063</v>
      </c>
      <c r="AF260" s="138"/>
      <c r="AG260" s="12" t="s">
        <v>947</v>
      </c>
      <c r="AH260" s="12"/>
      <c r="AI260" s="12" t="s">
        <v>43</v>
      </c>
      <c r="AJ260" s="12"/>
      <c r="AK260" s="8">
        <v>797628</v>
      </c>
      <c r="AL260" s="8"/>
      <c r="AM260" s="8">
        <v>34932</v>
      </c>
      <c r="AN260" s="8"/>
      <c r="AO260" s="8">
        <v>635166</v>
      </c>
      <c r="AP260" s="8"/>
      <c r="AQ260" s="8"/>
      <c r="AR260" s="8"/>
      <c r="AS260" s="8"/>
      <c r="AT260" s="8"/>
      <c r="AU260" s="8">
        <f>11999153+4265000+1213946+108442</f>
        <v>17586541</v>
      </c>
      <c r="AV260" s="8"/>
      <c r="AW260" s="8">
        <f t="shared" si="14"/>
        <v>36305938</v>
      </c>
      <c r="AY260" s="8">
        <f>+'St of Activites - GA Rev'!AI260-'St of Activities - GA Exp'!AW260</f>
        <v>-11655819</v>
      </c>
      <c r="BA260" s="8">
        <v>24783685</v>
      </c>
      <c r="BC260" s="8">
        <f t="shared" si="15"/>
        <v>13127866</v>
      </c>
      <c r="BE260" s="8">
        <f>+'St of Net Assets - GA'!AA260-'St of Activities - GA Exp'!BC260</f>
        <v>0</v>
      </c>
    </row>
    <row r="261" spans="1:59">
      <c r="A261" s="12" t="s">
        <v>697</v>
      </c>
      <c r="B261" s="12"/>
      <c r="C261" s="12" t="s">
        <v>65</v>
      </c>
      <c r="D261" s="12"/>
      <c r="E261" s="32">
        <v>50286</v>
      </c>
      <c r="G261" s="8">
        <v>7140814</v>
      </c>
      <c r="H261" s="8"/>
      <c r="I261" s="8">
        <v>1655314</v>
      </c>
      <c r="J261" s="8"/>
      <c r="K261" s="8">
        <v>196643</v>
      </c>
      <c r="L261" s="8"/>
      <c r="M261" s="8">
        <f>204982+1387599</f>
        <v>1592581</v>
      </c>
      <c r="N261" s="8"/>
      <c r="O261" s="8">
        <v>547315</v>
      </c>
      <c r="P261" s="8"/>
      <c r="Q261" s="8">
        <v>519034</v>
      </c>
      <c r="R261" s="8"/>
      <c r="S261" s="8">
        <v>42931</v>
      </c>
      <c r="T261" s="8"/>
      <c r="U261" s="8">
        <v>1184963</v>
      </c>
      <c r="V261" s="8"/>
      <c r="W261" s="8">
        <v>389695</v>
      </c>
      <c r="X261" s="8"/>
      <c r="Y261" s="8">
        <v>123058</v>
      </c>
      <c r="Z261" s="8"/>
      <c r="AA261" s="8">
        <v>2082196</v>
      </c>
      <c r="AB261" s="8"/>
      <c r="AC261" s="8">
        <v>1216974</v>
      </c>
      <c r="AD261" s="8"/>
      <c r="AE261" s="8">
        <v>26377</v>
      </c>
      <c r="AF261" s="138"/>
      <c r="AG261" s="12" t="s">
        <v>697</v>
      </c>
      <c r="AH261" s="12"/>
      <c r="AI261" s="12" t="s">
        <v>65</v>
      </c>
      <c r="AJ261" s="12"/>
      <c r="AK261" s="8">
        <v>828670</v>
      </c>
      <c r="AL261" s="8"/>
      <c r="AM261" s="8">
        <v>11500</v>
      </c>
      <c r="AN261" s="8"/>
      <c r="AO261" s="8">
        <v>523670</v>
      </c>
      <c r="AP261" s="8"/>
      <c r="AQ261" s="8">
        <v>564498</v>
      </c>
      <c r="AR261" s="8"/>
      <c r="AS261" s="8"/>
      <c r="AT261" s="8"/>
      <c r="AU261" s="8">
        <v>0</v>
      </c>
      <c r="AV261" s="8"/>
      <c r="AW261" s="8">
        <f t="shared" si="14"/>
        <v>18646233</v>
      </c>
      <c r="AY261" s="8">
        <f>+'St of Activites - GA Rev'!AI261-'St of Activities - GA Exp'!AW261</f>
        <v>-695562</v>
      </c>
      <c r="BA261" s="8">
        <v>34830093</v>
      </c>
      <c r="BC261" s="8">
        <f t="shared" si="15"/>
        <v>34134531</v>
      </c>
      <c r="BE261" s="8">
        <f>+'St of Net Assets - GA'!AA261-'St of Activities - GA Exp'!BC261</f>
        <v>0</v>
      </c>
    </row>
    <row r="262" spans="1:59" ht="12" customHeight="1">
      <c r="A262" s="12" t="s">
        <v>469</v>
      </c>
      <c r="B262" s="12"/>
      <c r="C262" s="12" t="s">
        <v>466</v>
      </c>
      <c r="D262" s="12"/>
      <c r="E262" s="32">
        <v>44149</v>
      </c>
      <c r="G262" s="8">
        <v>6773787</v>
      </c>
      <c r="H262" s="8"/>
      <c r="I262" s="8">
        <v>2144453</v>
      </c>
      <c r="J262" s="8"/>
      <c r="K262" s="8">
        <v>185664</v>
      </c>
      <c r="L262" s="8"/>
      <c r="M262" s="8">
        <v>33321</v>
      </c>
      <c r="N262" s="8"/>
      <c r="O262" s="8">
        <v>840926</v>
      </c>
      <c r="P262" s="8"/>
      <c r="Q262" s="8">
        <v>509626</v>
      </c>
      <c r="R262" s="8"/>
      <c r="S262" s="8">
        <v>195941</v>
      </c>
      <c r="T262" s="8"/>
      <c r="U262" s="8">
        <v>1304140</v>
      </c>
      <c r="V262" s="8"/>
      <c r="W262" s="8">
        <v>516157</v>
      </c>
      <c r="X262" s="8"/>
      <c r="Y262" s="8">
        <v>0</v>
      </c>
      <c r="Z262" s="8"/>
      <c r="AA262" s="8">
        <v>1561959</v>
      </c>
      <c r="AB262" s="8"/>
      <c r="AC262" s="8">
        <v>563553</v>
      </c>
      <c r="AD262" s="8"/>
      <c r="AE262" s="8">
        <v>117126</v>
      </c>
      <c r="AF262" s="138"/>
      <c r="AG262" s="12" t="s">
        <v>469</v>
      </c>
      <c r="AH262" s="12"/>
      <c r="AI262" s="12" t="s">
        <v>466</v>
      </c>
      <c r="AJ262" s="12"/>
      <c r="AK262" s="8">
        <v>773321</v>
      </c>
      <c r="AL262" s="8"/>
      <c r="AM262" s="8">
        <v>153156</v>
      </c>
      <c r="AN262" s="8"/>
      <c r="AO262" s="8">
        <v>599136</v>
      </c>
      <c r="AP262" s="8"/>
      <c r="AQ262" s="8">
        <v>827626</v>
      </c>
      <c r="AR262" s="8"/>
      <c r="AS262" s="8"/>
      <c r="AT262" s="8"/>
      <c r="AU262" s="8">
        <v>0</v>
      </c>
      <c r="AV262" s="8"/>
      <c r="AW262" s="8">
        <f t="shared" si="14"/>
        <v>17099892</v>
      </c>
      <c r="AY262" s="8">
        <f>+'St of Activites - GA Rev'!AI262-'St of Activities - GA Exp'!AW262</f>
        <v>1389257</v>
      </c>
      <c r="BA262" s="8">
        <v>37706855</v>
      </c>
      <c r="BC262" s="8">
        <f t="shared" si="15"/>
        <v>39096112</v>
      </c>
      <c r="BE262" s="8">
        <f>+'St of Net Assets - GA'!AA262-'St of Activities - GA Exp'!BC262</f>
        <v>0</v>
      </c>
    </row>
    <row r="263" spans="1:59" ht="12" hidden="1" customHeight="1">
      <c r="A263" s="12" t="s">
        <v>948</v>
      </c>
      <c r="B263" s="12"/>
      <c r="C263" s="12" t="s">
        <v>61</v>
      </c>
      <c r="D263" s="12"/>
      <c r="E263" s="32">
        <v>49809</v>
      </c>
      <c r="G263" s="8">
        <v>2373277</v>
      </c>
      <c r="H263" s="8"/>
      <c r="I263" s="8">
        <v>515668</v>
      </c>
      <c r="J263" s="8"/>
      <c r="K263" s="8">
        <v>4981</v>
      </c>
      <c r="L263" s="8"/>
      <c r="M263" s="8"/>
      <c r="N263" s="8"/>
      <c r="O263" s="8">
        <v>248519</v>
      </c>
      <c r="P263" s="8"/>
      <c r="Q263" s="8">
        <v>174916</v>
      </c>
      <c r="R263" s="8"/>
      <c r="S263" s="8">
        <v>12342</v>
      </c>
      <c r="T263" s="8"/>
      <c r="U263" s="8">
        <v>403723</v>
      </c>
      <c r="V263" s="8"/>
      <c r="W263" s="8">
        <v>241107</v>
      </c>
      <c r="X263" s="8"/>
      <c r="Y263" s="8"/>
      <c r="Z263" s="8"/>
      <c r="AA263" s="8">
        <v>553638</v>
      </c>
      <c r="AB263" s="8"/>
      <c r="AC263" s="8">
        <v>259301</v>
      </c>
      <c r="AD263" s="8"/>
      <c r="AE263" s="8">
        <v>500</v>
      </c>
      <c r="AF263" s="138"/>
      <c r="AG263" s="12" t="s">
        <v>892</v>
      </c>
      <c r="AH263" s="12"/>
      <c r="AI263" s="12" t="s">
        <v>61</v>
      </c>
      <c r="AJ263" s="12"/>
      <c r="AK263" s="8">
        <v>210586</v>
      </c>
      <c r="AL263" s="8"/>
      <c r="AM263" s="8">
        <v>6911</v>
      </c>
      <c r="AN263" s="8"/>
      <c r="AO263" s="8">
        <v>180288</v>
      </c>
      <c r="AP263" s="8"/>
      <c r="AQ263" s="8"/>
      <c r="AR263" s="8"/>
      <c r="AS263" s="8"/>
      <c r="AT263" s="8"/>
      <c r="AU263" s="8">
        <f>153000+188869</f>
        <v>341869</v>
      </c>
      <c r="AV263" s="8"/>
      <c r="AW263" s="8">
        <f t="shared" si="14"/>
        <v>5527626</v>
      </c>
      <c r="AY263" s="8">
        <f>+'St of Activites - GA Rev'!AI263-'St of Activities - GA Exp'!AW263</f>
        <v>-98236</v>
      </c>
      <c r="BA263" s="8">
        <v>1013752</v>
      </c>
      <c r="BC263" s="8">
        <f t="shared" si="15"/>
        <v>915516</v>
      </c>
      <c r="BE263" s="8">
        <f>+'St of Net Assets - GA'!AA263-'St of Activities - GA Exp'!BC263</f>
        <v>0</v>
      </c>
    </row>
    <row r="264" spans="1:59" ht="12" hidden="1" customHeight="1">
      <c r="A264" s="12" t="s">
        <v>982</v>
      </c>
      <c r="B264" s="12"/>
      <c r="C264" s="12" t="s">
        <v>38</v>
      </c>
      <c r="D264" s="12"/>
      <c r="E264" s="32"/>
      <c r="G264" s="8">
        <v>10722938</v>
      </c>
      <c r="H264" s="8"/>
      <c r="I264" s="8">
        <v>3800185</v>
      </c>
      <c r="J264" s="8"/>
      <c r="K264" s="8">
        <v>138027</v>
      </c>
      <c r="L264" s="8"/>
      <c r="M264" s="8">
        <v>181659</v>
      </c>
      <c r="N264" s="8"/>
      <c r="O264" s="8">
        <v>533077</v>
      </c>
      <c r="P264" s="8"/>
      <c r="Q264" s="8">
        <v>1053307</v>
      </c>
      <c r="R264" s="8"/>
      <c r="S264" s="8">
        <v>173320</v>
      </c>
      <c r="T264" s="8"/>
      <c r="U264" s="8">
        <v>1876756</v>
      </c>
      <c r="V264" s="8"/>
      <c r="W264" s="8">
        <v>693056</v>
      </c>
      <c r="X264" s="8"/>
      <c r="Y264" s="8">
        <v>33207</v>
      </c>
      <c r="Z264" s="8"/>
      <c r="AA264" s="8">
        <v>2840612</v>
      </c>
      <c r="AB264" s="8"/>
      <c r="AC264" s="8">
        <v>1433903</v>
      </c>
      <c r="AD264" s="8"/>
      <c r="AE264" s="8">
        <v>14135</v>
      </c>
      <c r="AF264" s="138"/>
      <c r="AG264" s="12" t="s">
        <v>893</v>
      </c>
      <c r="AH264" s="12"/>
      <c r="AI264" s="12" t="s">
        <v>38</v>
      </c>
      <c r="AJ264" s="12"/>
      <c r="AK264" s="8">
        <v>1294164</v>
      </c>
      <c r="AL264" s="8"/>
      <c r="AM264" s="8">
        <v>8250</v>
      </c>
      <c r="AN264" s="8"/>
      <c r="AO264" s="8">
        <v>768477</v>
      </c>
      <c r="AP264" s="8"/>
      <c r="AQ264" s="8"/>
      <c r="AR264" s="8"/>
      <c r="AS264" s="8"/>
      <c r="AT264" s="8"/>
      <c r="AU264" s="8">
        <f>371798+1465683+633918</f>
        <v>2471399</v>
      </c>
      <c r="AV264" s="8"/>
      <c r="AW264" s="8">
        <f t="shared" si="14"/>
        <v>28036472</v>
      </c>
      <c r="AY264" s="8">
        <f>+'St of Activites - GA Rev'!AI264-'St of Activities - GA Exp'!AW264</f>
        <v>-1129213</v>
      </c>
      <c r="BA264" s="8">
        <v>13414459</v>
      </c>
      <c r="BC264" s="8">
        <f t="shared" si="15"/>
        <v>12285246</v>
      </c>
      <c r="BE264" s="8">
        <f>+'St of Net Assets - GA'!AA264-'St of Activities - GA Exp'!BC264</f>
        <v>0</v>
      </c>
      <c r="BG264" s="8" t="s">
        <v>956</v>
      </c>
    </row>
    <row r="265" spans="1:59">
      <c r="A265" s="12" t="s">
        <v>652</v>
      </c>
      <c r="B265" s="12"/>
      <c r="C265" s="12" t="s">
        <v>62</v>
      </c>
      <c r="D265" s="12"/>
      <c r="E265" s="32">
        <v>49858</v>
      </c>
      <c r="G265" s="8">
        <v>23474170</v>
      </c>
      <c r="H265" s="8"/>
      <c r="I265" s="8">
        <v>3400065</v>
      </c>
      <c r="J265" s="8"/>
      <c r="K265" s="8">
        <v>597624</v>
      </c>
      <c r="L265" s="8"/>
      <c r="M265" s="8">
        <f>52118+1155996</f>
        <v>1208114</v>
      </c>
      <c r="N265" s="8"/>
      <c r="O265" s="8">
        <v>2705462</v>
      </c>
      <c r="P265" s="8"/>
      <c r="Q265" s="8">
        <v>2934992</v>
      </c>
      <c r="R265" s="8"/>
      <c r="S265" s="8">
        <v>17397</v>
      </c>
      <c r="T265" s="8"/>
      <c r="U265" s="8">
        <v>3289456</v>
      </c>
      <c r="V265" s="8"/>
      <c r="W265" s="8">
        <v>1073904</v>
      </c>
      <c r="X265" s="8"/>
      <c r="Y265" s="8">
        <v>324025</v>
      </c>
      <c r="Z265" s="8"/>
      <c r="AA265" s="8">
        <v>5851043</v>
      </c>
      <c r="AB265" s="8"/>
      <c r="AC265" s="8">
        <v>2966003</v>
      </c>
      <c r="AD265" s="8"/>
      <c r="AE265" s="8">
        <v>1257690</v>
      </c>
      <c r="AF265" s="138"/>
      <c r="AG265" s="12" t="s">
        <v>652</v>
      </c>
      <c r="AH265" s="12"/>
      <c r="AI265" s="12" t="s">
        <v>62</v>
      </c>
      <c r="AJ265" s="12"/>
      <c r="AK265" s="8">
        <v>1746539</v>
      </c>
      <c r="AL265" s="8"/>
      <c r="AM265" s="8">
        <v>12334</v>
      </c>
      <c r="AN265" s="8"/>
      <c r="AO265" s="8">
        <v>1969195</v>
      </c>
      <c r="AP265" s="8"/>
      <c r="AQ265" s="8">
        <v>3939143</v>
      </c>
      <c r="AR265" s="8"/>
      <c r="AS265" s="8"/>
      <c r="AT265" s="8"/>
      <c r="AU265" s="8">
        <v>0</v>
      </c>
      <c r="AV265" s="8"/>
      <c r="AW265" s="8">
        <f t="shared" si="14"/>
        <v>56767156</v>
      </c>
      <c r="AY265" s="8">
        <f>+'St of Activites - GA Rev'!AI265-'St of Activities - GA Exp'!AW265</f>
        <v>3048761</v>
      </c>
      <c r="BA265" s="8">
        <v>26995272</v>
      </c>
      <c r="BC265" s="8">
        <f t="shared" si="15"/>
        <v>30044033</v>
      </c>
      <c r="BE265" s="8">
        <f>+'St of Net Assets - GA'!AA265-'St of Activities - GA Exp'!BC265</f>
        <v>0</v>
      </c>
    </row>
    <row r="266" spans="1:59" ht="12" customHeight="1">
      <c r="A266" s="12" t="s">
        <v>512</v>
      </c>
      <c r="B266" s="12"/>
      <c r="C266" s="12" t="s">
        <v>45</v>
      </c>
      <c r="D266" s="12"/>
      <c r="E266" s="32">
        <v>48322</v>
      </c>
      <c r="G266" s="8">
        <v>4573080</v>
      </c>
      <c r="H266" s="8"/>
      <c r="I266" s="8">
        <v>1215060</v>
      </c>
      <c r="J266" s="8"/>
      <c r="K266" s="8">
        <v>103616</v>
      </c>
      <c r="L266" s="8"/>
      <c r="M266" s="8">
        <v>17124</v>
      </c>
      <c r="N266" s="8"/>
      <c r="O266" s="8">
        <v>214261</v>
      </c>
      <c r="P266" s="8"/>
      <c r="Q266" s="8">
        <v>184159</v>
      </c>
      <c r="R266" s="8"/>
      <c r="S266" s="8">
        <v>84092</v>
      </c>
      <c r="T266" s="8"/>
      <c r="U266" s="8">
        <v>556923</v>
      </c>
      <c r="V266" s="8"/>
      <c r="W266" s="8">
        <v>443426</v>
      </c>
      <c r="X266" s="8"/>
      <c r="Y266" s="8">
        <v>0</v>
      </c>
      <c r="Z266" s="8"/>
      <c r="AA266" s="8">
        <v>722441</v>
      </c>
      <c r="AB266" s="8"/>
      <c r="AC266" s="8">
        <v>735844</v>
      </c>
      <c r="AD266" s="8"/>
      <c r="AE266" s="8">
        <v>0</v>
      </c>
      <c r="AF266" s="138"/>
      <c r="AG266" s="12" t="s">
        <v>512</v>
      </c>
      <c r="AH266" s="12"/>
      <c r="AI266" s="12" t="s">
        <v>45</v>
      </c>
      <c r="AJ266" s="12"/>
      <c r="AK266" s="8">
        <v>286604</v>
      </c>
      <c r="AL266" s="8"/>
      <c r="AM266" s="8">
        <v>7806</v>
      </c>
      <c r="AN266" s="8"/>
      <c r="AO266" s="8">
        <v>397867</v>
      </c>
      <c r="AP266" s="8"/>
      <c r="AQ266" s="8">
        <v>688258</v>
      </c>
      <c r="AR266" s="8"/>
      <c r="AS266" s="8"/>
      <c r="AT266" s="8"/>
      <c r="AU266" s="8">
        <v>0</v>
      </c>
      <c r="AV266" s="8"/>
      <c r="AW266" s="8">
        <f t="shared" si="14"/>
        <v>10230561</v>
      </c>
      <c r="AY266" s="8">
        <f>+'St of Activites - GA Rev'!AI266-'St of Activities - GA Exp'!AW266</f>
        <v>746601</v>
      </c>
      <c r="BA266" s="8">
        <v>4370155</v>
      </c>
      <c r="BC266" s="8">
        <f t="shared" si="15"/>
        <v>5116756</v>
      </c>
      <c r="BE266" s="8">
        <f>+'St of Net Assets - GA'!AA266-'St of Activities - GA Exp'!BC266</f>
        <v>0</v>
      </c>
    </row>
    <row r="267" spans="1:59">
      <c r="A267" s="12" t="s">
        <v>591</v>
      </c>
      <c r="B267" s="12"/>
      <c r="C267" s="12" t="s">
        <v>56</v>
      </c>
      <c r="D267" s="12"/>
      <c r="E267" s="32">
        <v>49205</v>
      </c>
      <c r="G267" s="8">
        <v>6190185</v>
      </c>
      <c r="H267" s="8"/>
      <c r="I267" s="8">
        <v>1301908</v>
      </c>
      <c r="J267" s="8"/>
      <c r="K267" s="8">
        <v>0</v>
      </c>
      <c r="L267" s="8"/>
      <c r="M267" s="8">
        <v>928</v>
      </c>
      <c r="N267" s="8"/>
      <c r="O267" s="8">
        <v>540002</v>
      </c>
      <c r="P267" s="8"/>
      <c r="Q267" s="8">
        <v>484642</v>
      </c>
      <c r="R267" s="8"/>
      <c r="S267" s="8">
        <v>33083</v>
      </c>
      <c r="T267" s="8"/>
      <c r="U267" s="8">
        <v>1015357</v>
      </c>
      <c r="V267" s="8"/>
      <c r="W267" s="8">
        <v>275949</v>
      </c>
      <c r="X267" s="8"/>
      <c r="Y267" s="8">
        <v>0</v>
      </c>
      <c r="Z267" s="8"/>
      <c r="AA267" s="8">
        <v>1364141</v>
      </c>
      <c r="AB267" s="8"/>
      <c r="AC267" s="8">
        <v>904010</v>
      </c>
      <c r="AD267" s="8"/>
      <c r="AE267" s="8">
        <v>148988</v>
      </c>
      <c r="AF267" s="138"/>
      <c r="AG267" s="12" t="s">
        <v>591</v>
      </c>
      <c r="AH267" s="12"/>
      <c r="AI267" s="12" t="s">
        <v>56</v>
      </c>
      <c r="AJ267" s="12"/>
      <c r="AK267" s="8">
        <v>576912</v>
      </c>
      <c r="AL267" s="8"/>
      <c r="AM267" s="8">
        <v>9023</v>
      </c>
      <c r="AN267" s="8"/>
      <c r="AO267" s="8">
        <v>519369</v>
      </c>
      <c r="AP267" s="8"/>
      <c r="AQ267" s="8">
        <v>285185</v>
      </c>
      <c r="AR267" s="8"/>
      <c r="AS267" s="8"/>
      <c r="AT267" s="8"/>
      <c r="AU267" s="8">
        <v>0</v>
      </c>
      <c r="AV267" s="8"/>
      <c r="AW267" s="8">
        <f t="shared" si="14"/>
        <v>13649682</v>
      </c>
      <c r="AY267" s="8">
        <f>+'St of Activites - GA Rev'!AI267-'St of Activities - GA Exp'!AW267</f>
        <v>664278</v>
      </c>
      <c r="BA267" s="8">
        <v>3087059</v>
      </c>
      <c r="BC267" s="8">
        <f t="shared" si="15"/>
        <v>3751337</v>
      </c>
      <c r="BE267" s="8">
        <f>+'St of Net Assets - GA'!AA267-'St of Activities - GA Exp'!BC267</f>
        <v>0</v>
      </c>
    </row>
    <row r="268" spans="1:59" ht="12" customHeight="1">
      <c r="A268" s="12" t="s">
        <v>221</v>
      </c>
      <c r="B268" s="12"/>
      <c r="C268" s="12" t="s">
        <v>12</v>
      </c>
      <c r="D268" s="12"/>
      <c r="E268" s="32">
        <v>45872</v>
      </c>
      <c r="G268" s="8">
        <v>9284988</v>
      </c>
      <c r="H268" s="8"/>
      <c r="I268" s="8">
        <v>1600818</v>
      </c>
      <c r="J268" s="8"/>
      <c r="K268" s="8">
        <v>154501</v>
      </c>
      <c r="L268" s="8"/>
      <c r="M268" s="8">
        <v>0</v>
      </c>
      <c r="N268" s="8"/>
      <c r="O268" s="8">
        <v>1360896</v>
      </c>
      <c r="P268" s="8"/>
      <c r="Q268" s="8">
        <v>137576</v>
      </c>
      <c r="R268" s="8"/>
      <c r="S268" s="8">
        <v>22094</v>
      </c>
      <c r="T268" s="8"/>
      <c r="U268" s="8">
        <v>1104469</v>
      </c>
      <c r="V268" s="8"/>
      <c r="W268" s="8">
        <v>623615</v>
      </c>
      <c r="X268" s="8"/>
      <c r="Y268" s="8">
        <v>10526</v>
      </c>
      <c r="Z268" s="8"/>
      <c r="AA268" s="8">
        <v>1860326</v>
      </c>
      <c r="AB268" s="8"/>
      <c r="AC268" s="8">
        <v>1233269</v>
      </c>
      <c r="AD268" s="8"/>
      <c r="AE268" s="8">
        <v>80713</v>
      </c>
      <c r="AF268" s="138"/>
      <c r="AG268" s="12" t="s">
        <v>221</v>
      </c>
      <c r="AH268" s="12"/>
      <c r="AI268" s="12" t="s">
        <v>12</v>
      </c>
      <c r="AJ268" s="12"/>
      <c r="AK268" s="8">
        <v>766381</v>
      </c>
      <c r="AL268" s="8"/>
      <c r="AM268" s="8">
        <v>181238</v>
      </c>
      <c r="AN268" s="8"/>
      <c r="AO268" s="8">
        <v>434756</v>
      </c>
      <c r="AP268" s="8"/>
      <c r="AQ268" s="8">
        <v>939248</v>
      </c>
      <c r="AR268" s="8"/>
      <c r="AS268" s="8"/>
      <c r="AT268" s="8"/>
      <c r="AU268" s="8">
        <v>0</v>
      </c>
      <c r="AV268" s="8"/>
      <c r="AW268" s="8">
        <f t="shared" si="14"/>
        <v>19795414</v>
      </c>
      <c r="AY268" s="8">
        <f>+'St of Activites - GA Rev'!AI268-'St of Activities - GA Exp'!AW268</f>
        <v>-365729</v>
      </c>
      <c r="BA268" s="8">
        <v>45357198</v>
      </c>
      <c r="BC268" s="8">
        <f t="shared" si="15"/>
        <v>44991469</v>
      </c>
      <c r="BE268" s="8">
        <f>+'St of Net Assets - GA'!AA268-'St of Activities - GA Exp'!BC268</f>
        <v>0</v>
      </c>
      <c r="BG268" s="8" t="s">
        <v>956</v>
      </c>
    </row>
    <row r="269" spans="1:59">
      <c r="A269" s="12" t="s">
        <v>504</v>
      </c>
      <c r="B269" s="12"/>
      <c r="C269" s="12" t="s">
        <v>505</v>
      </c>
      <c r="D269" s="12"/>
      <c r="E269" s="32">
        <v>48256</v>
      </c>
      <c r="G269" s="8">
        <v>5403540</v>
      </c>
      <c r="H269" s="8"/>
      <c r="I269" s="8">
        <v>1701095</v>
      </c>
      <c r="J269" s="8"/>
      <c r="K269" s="8">
        <v>0</v>
      </c>
      <c r="L269" s="8"/>
      <c r="M269" s="8">
        <v>27517</v>
      </c>
      <c r="N269" s="8"/>
      <c r="O269" s="8">
        <v>574719</v>
      </c>
      <c r="P269" s="8"/>
      <c r="Q269" s="8">
        <v>564764</v>
      </c>
      <c r="R269" s="8"/>
      <c r="S269" s="8">
        <v>71461</v>
      </c>
      <c r="T269" s="8"/>
      <c r="U269" s="8">
        <v>891366</v>
      </c>
      <c r="V269" s="8"/>
      <c r="W269" s="8">
        <v>452186</v>
      </c>
      <c r="X269" s="8"/>
      <c r="Y269" s="8">
        <v>60012</v>
      </c>
      <c r="Z269" s="8"/>
      <c r="AA269" s="8">
        <v>1677094</v>
      </c>
      <c r="AB269" s="8"/>
      <c r="AC269" s="8">
        <v>469447</v>
      </c>
      <c r="AD269" s="8"/>
      <c r="AE269" s="8">
        <v>296407</v>
      </c>
      <c r="AF269" s="138"/>
      <c r="AG269" s="12" t="s">
        <v>504</v>
      </c>
      <c r="AH269" s="12"/>
      <c r="AI269" s="12" t="s">
        <v>505</v>
      </c>
      <c r="AJ269" s="12"/>
      <c r="AK269" s="8">
        <v>648351</v>
      </c>
      <c r="AL269" s="8"/>
      <c r="AM269" s="8">
        <v>0</v>
      </c>
      <c r="AN269" s="8"/>
      <c r="AO269" s="8">
        <v>608840</v>
      </c>
      <c r="AP269" s="8"/>
      <c r="AQ269" s="8">
        <v>634994</v>
      </c>
      <c r="AR269" s="8"/>
      <c r="AS269" s="8"/>
      <c r="AT269" s="8"/>
      <c r="AU269" s="8">
        <v>0</v>
      </c>
      <c r="AV269" s="8"/>
      <c r="AW269" s="8">
        <f t="shared" si="14"/>
        <v>14081793</v>
      </c>
      <c r="AY269" s="8">
        <f>+'St of Activites - GA Rev'!AI269-'St of Activities - GA Exp'!AW269</f>
        <v>-805626</v>
      </c>
      <c r="BA269" s="8">
        <v>24694319</v>
      </c>
      <c r="BC269" s="8">
        <f t="shared" si="15"/>
        <v>23888693</v>
      </c>
      <c r="BE269" s="8">
        <f>+'St of Net Assets - GA'!AA269-'St of Activities - GA Exp'!BC269</f>
        <v>0</v>
      </c>
    </row>
    <row r="270" spans="1:59" ht="12" customHeight="1">
      <c r="A270" s="12" t="s">
        <v>548</v>
      </c>
      <c r="B270" s="12"/>
      <c r="C270" s="12" t="s">
        <v>50</v>
      </c>
      <c r="D270" s="12"/>
      <c r="E270" s="32">
        <v>48686</v>
      </c>
      <c r="G270" s="8">
        <v>1971034</v>
      </c>
      <c r="H270" s="8"/>
      <c r="I270" s="8">
        <v>1807792</v>
      </c>
      <c r="J270" s="8"/>
      <c r="K270" s="8">
        <v>0</v>
      </c>
      <c r="L270" s="8"/>
      <c r="M270" s="8">
        <v>1800922</v>
      </c>
      <c r="N270" s="8"/>
      <c r="O270" s="8">
        <v>159277</v>
      </c>
      <c r="P270" s="8"/>
      <c r="Q270" s="8">
        <v>213254</v>
      </c>
      <c r="R270" s="8"/>
      <c r="S270" s="8">
        <v>45172</v>
      </c>
      <c r="T270" s="8"/>
      <c r="U270" s="8">
        <v>783086</v>
      </c>
      <c r="V270" s="8"/>
      <c r="W270" s="8">
        <v>217136</v>
      </c>
      <c r="X270" s="8"/>
      <c r="Y270" s="8">
        <v>297</v>
      </c>
      <c r="Z270" s="8"/>
      <c r="AA270" s="8">
        <v>693636</v>
      </c>
      <c r="AB270" s="8"/>
      <c r="AC270" s="8">
        <v>501776</v>
      </c>
      <c r="AD270" s="8"/>
      <c r="AE270" s="8">
        <v>28083</v>
      </c>
      <c r="AF270" s="138"/>
      <c r="AG270" s="12" t="s">
        <v>548</v>
      </c>
      <c r="AH270" s="12"/>
      <c r="AI270" s="12" t="s">
        <v>50</v>
      </c>
      <c r="AJ270" s="12"/>
      <c r="AK270" s="8">
        <v>410908</v>
      </c>
      <c r="AL270" s="8"/>
      <c r="AM270" s="8">
        <v>-3263</v>
      </c>
      <c r="AN270" s="8"/>
      <c r="AO270" s="8">
        <v>154672</v>
      </c>
      <c r="AP270" s="8"/>
      <c r="AQ270" s="8">
        <v>91637</v>
      </c>
      <c r="AR270" s="8"/>
      <c r="AS270" s="8"/>
      <c r="AT270" s="8"/>
      <c r="AU270" s="8">
        <v>0</v>
      </c>
      <c r="AV270" s="8"/>
      <c r="AW270" s="8">
        <f t="shared" si="14"/>
        <v>8875419</v>
      </c>
      <c r="AY270" s="8">
        <f>+'St of Activites - GA Rev'!AI270-'St of Activities - GA Exp'!AW270</f>
        <v>924299</v>
      </c>
      <c r="BA270" s="8">
        <v>-102709</v>
      </c>
      <c r="BC270" s="8">
        <f t="shared" si="15"/>
        <v>821590</v>
      </c>
      <c r="BE270" s="8">
        <f>+'St of Net Assets - GA'!AA270-'St of Activities - GA Exp'!BC270</f>
        <v>0</v>
      </c>
      <c r="BG270" s="8" t="s">
        <v>956</v>
      </c>
    </row>
    <row r="271" spans="1:59" ht="12" hidden="1" customHeight="1">
      <c r="A271" s="12" t="s">
        <v>949</v>
      </c>
      <c r="B271" s="12"/>
      <c r="C271" s="12" t="s">
        <v>603</v>
      </c>
      <c r="D271" s="12"/>
      <c r="E271" s="32"/>
      <c r="G271" s="8">
        <v>1935017</v>
      </c>
      <c r="H271" s="8"/>
      <c r="I271" s="8">
        <v>213025</v>
      </c>
      <c r="J271" s="8"/>
      <c r="K271" s="8">
        <v>51049</v>
      </c>
      <c r="L271" s="8"/>
      <c r="M271" s="8">
        <v>850</v>
      </c>
      <c r="N271" s="8"/>
      <c r="O271" s="8">
        <v>80517</v>
      </c>
      <c r="P271" s="8"/>
      <c r="Q271" s="8">
        <v>100801</v>
      </c>
      <c r="R271" s="8"/>
      <c r="S271" s="8">
        <v>21235</v>
      </c>
      <c r="T271" s="8"/>
      <c r="U271" s="8">
        <v>394864</v>
      </c>
      <c r="V271" s="8"/>
      <c r="W271" s="8">
        <v>133652</v>
      </c>
      <c r="X271" s="8"/>
      <c r="Y271" s="8"/>
      <c r="Z271" s="8"/>
      <c r="AA271" s="8">
        <v>432065</v>
      </c>
      <c r="AB271" s="8"/>
      <c r="AC271" s="8">
        <v>151423</v>
      </c>
      <c r="AD271" s="8"/>
      <c r="AE271" s="8">
        <v>10857</v>
      </c>
      <c r="AF271" s="138"/>
      <c r="AG271" s="12" t="s">
        <v>949</v>
      </c>
      <c r="AH271" s="12"/>
      <c r="AI271" s="12" t="s">
        <v>603</v>
      </c>
      <c r="AJ271" s="12"/>
      <c r="AK271" s="8">
        <v>140676</v>
      </c>
      <c r="AL271" s="8"/>
      <c r="AM271" s="8"/>
      <c r="AN271" s="8"/>
      <c r="AO271" s="8">
        <v>214441</v>
      </c>
      <c r="AP271" s="8"/>
      <c r="AQ271" s="8"/>
      <c r="AR271" s="8"/>
      <c r="AS271" s="8"/>
      <c r="AT271" s="8"/>
      <c r="AU271" s="8">
        <f>13978+271548</f>
        <v>285526</v>
      </c>
      <c r="AV271" s="8"/>
      <c r="AW271" s="8">
        <f t="shared" si="14"/>
        <v>4165998</v>
      </c>
      <c r="AY271" s="8">
        <f>+'St of Activites - GA Rev'!AI271-'St of Activities - GA Exp'!AW271</f>
        <v>48724</v>
      </c>
      <c r="BA271" s="8">
        <v>714171</v>
      </c>
      <c r="BC271" s="8">
        <f t="shared" si="15"/>
        <v>762895</v>
      </c>
      <c r="BE271" s="8">
        <f>+'St of Net Assets - GA'!AA271-'St of Activities - GA Exp'!BC271</f>
        <v>0</v>
      </c>
    </row>
    <row r="272" spans="1:59">
      <c r="A272" s="12" t="s">
        <v>474</v>
      </c>
      <c r="B272" s="12"/>
      <c r="C272" s="12" t="s">
        <v>42</v>
      </c>
      <c r="D272" s="12"/>
      <c r="E272" s="32">
        <v>47985</v>
      </c>
      <c r="G272" s="8">
        <v>5982676</v>
      </c>
      <c r="H272" s="8"/>
      <c r="I272" s="8">
        <v>1261495</v>
      </c>
      <c r="J272" s="8"/>
      <c r="K272" s="8">
        <v>176236</v>
      </c>
      <c r="L272" s="8"/>
      <c r="M272" s="8">
        <v>200357</v>
      </c>
      <c r="N272" s="8"/>
      <c r="O272" s="8">
        <v>481021</v>
      </c>
      <c r="P272" s="8"/>
      <c r="Q272" s="8">
        <v>505458</v>
      </c>
      <c r="R272" s="8"/>
      <c r="S272" s="8">
        <v>63785</v>
      </c>
      <c r="T272" s="8"/>
      <c r="U272" s="8">
        <v>993858</v>
      </c>
      <c r="V272" s="8"/>
      <c r="W272" s="8">
        <v>292157</v>
      </c>
      <c r="X272" s="8"/>
      <c r="Y272" s="8">
        <v>0</v>
      </c>
      <c r="Z272" s="8"/>
      <c r="AA272" s="8">
        <v>1280538</v>
      </c>
      <c r="AB272" s="8"/>
      <c r="AC272" s="8">
        <v>776938</v>
      </c>
      <c r="AD272" s="8"/>
      <c r="AE272" s="8">
        <v>52110</v>
      </c>
      <c r="AF272" s="138"/>
      <c r="AG272" s="12" t="s">
        <v>474</v>
      </c>
      <c r="AH272" s="12"/>
      <c r="AI272" s="12" t="s">
        <v>42</v>
      </c>
      <c r="AJ272" s="12"/>
      <c r="AK272" s="8">
        <v>360161</v>
      </c>
      <c r="AL272" s="8"/>
      <c r="AM272" s="8">
        <v>55734</v>
      </c>
      <c r="AN272" s="8"/>
      <c r="AO272" s="8">
        <v>461952</v>
      </c>
      <c r="AP272" s="8"/>
      <c r="AQ272" s="8">
        <v>26587</v>
      </c>
      <c r="AR272" s="8"/>
      <c r="AS272" s="8"/>
      <c r="AT272" s="8"/>
      <c r="AU272" s="8">
        <v>0</v>
      </c>
      <c r="AV272" s="8"/>
      <c r="AW272" s="8">
        <f t="shared" si="14"/>
        <v>12971063</v>
      </c>
      <c r="AY272" s="8">
        <f>+'St of Activites - GA Rev'!AI272-'St of Activities - GA Exp'!AW272</f>
        <v>546206</v>
      </c>
      <c r="BA272" s="8">
        <v>5455046</v>
      </c>
      <c r="BC272" s="8">
        <f t="shared" si="15"/>
        <v>6001252</v>
      </c>
      <c r="BE272" s="8">
        <f>+'St of Net Assets - GA'!AA272-'St of Activities - GA Exp'!BC272</f>
        <v>0</v>
      </c>
    </row>
    <row r="273" spans="1:59">
      <c r="A273" s="12" t="s">
        <v>506</v>
      </c>
      <c r="B273" s="12"/>
      <c r="C273" s="12" t="s">
        <v>505</v>
      </c>
      <c r="D273" s="12"/>
      <c r="E273" s="32">
        <v>48264</v>
      </c>
      <c r="G273" s="8">
        <v>8312804</v>
      </c>
      <c r="H273" s="8"/>
      <c r="I273" s="8">
        <v>1487820</v>
      </c>
      <c r="J273" s="8"/>
      <c r="K273" s="8">
        <v>141313</v>
      </c>
      <c r="L273" s="8"/>
      <c r="M273" s="8">
        <v>22601</v>
      </c>
      <c r="N273" s="8"/>
      <c r="O273" s="8">
        <v>1109515</v>
      </c>
      <c r="P273" s="8"/>
      <c r="Q273" s="8">
        <v>807003</v>
      </c>
      <c r="R273" s="8"/>
      <c r="S273" s="8">
        <v>135241</v>
      </c>
      <c r="T273" s="8"/>
      <c r="U273" s="8">
        <v>1545517</v>
      </c>
      <c r="V273" s="8"/>
      <c r="W273" s="8">
        <v>525035</v>
      </c>
      <c r="X273" s="8"/>
      <c r="Y273" s="8">
        <v>7780</v>
      </c>
      <c r="Z273" s="8"/>
      <c r="AA273" s="8">
        <v>1801364</v>
      </c>
      <c r="AB273" s="8"/>
      <c r="AC273" s="8">
        <v>1037657</v>
      </c>
      <c r="AD273" s="8"/>
      <c r="AE273" s="8">
        <v>0</v>
      </c>
      <c r="AF273" s="138"/>
      <c r="AG273" s="12" t="s">
        <v>506</v>
      </c>
      <c r="AH273" s="12"/>
      <c r="AI273" s="12" t="s">
        <v>505</v>
      </c>
      <c r="AJ273" s="12"/>
      <c r="AK273" s="8">
        <v>863763</v>
      </c>
      <c r="AL273" s="8"/>
      <c r="AM273" s="8">
        <v>0</v>
      </c>
      <c r="AN273" s="8"/>
      <c r="AO273" s="8">
        <v>704651</v>
      </c>
      <c r="AP273" s="8"/>
      <c r="AQ273" s="8">
        <v>1082945</v>
      </c>
      <c r="AR273" s="8"/>
      <c r="AS273" s="8"/>
      <c r="AT273" s="8"/>
      <c r="AU273" s="8">
        <v>0</v>
      </c>
      <c r="AV273" s="8"/>
      <c r="AW273" s="8">
        <f t="shared" si="14"/>
        <v>19585009</v>
      </c>
      <c r="AY273" s="8">
        <f>+'St of Activites - GA Rev'!AI273-'St of Activities - GA Exp'!AW273</f>
        <v>27446612</v>
      </c>
      <c r="BA273" s="8">
        <v>7735477</v>
      </c>
      <c r="BC273" s="8">
        <f t="shared" si="15"/>
        <v>35182089</v>
      </c>
      <c r="BE273" s="8">
        <f>+'St of Net Assets - GA'!AA273-'St of Activities - GA Exp'!BC273</f>
        <v>0</v>
      </c>
    </row>
    <row r="274" spans="1:59">
      <c r="A274" s="12" t="s">
        <v>682</v>
      </c>
      <c r="B274" s="12"/>
      <c r="C274" s="12" t="s">
        <v>64</v>
      </c>
      <c r="D274" s="12"/>
      <c r="E274" s="32">
        <v>50179</v>
      </c>
      <c r="G274" s="8">
        <v>4941539</v>
      </c>
      <c r="H274" s="8"/>
      <c r="I274" s="8">
        <v>641989</v>
      </c>
      <c r="J274" s="8"/>
      <c r="K274" s="8">
        <v>111533</v>
      </c>
      <c r="L274" s="8"/>
      <c r="M274" s="8">
        <v>38816</v>
      </c>
      <c r="N274" s="8"/>
      <c r="O274" s="8">
        <v>363550</v>
      </c>
      <c r="P274" s="8"/>
      <c r="Q274" s="8">
        <v>140151</v>
      </c>
      <c r="R274" s="8"/>
      <c r="S274" s="8">
        <v>52064</v>
      </c>
      <c r="T274" s="8"/>
      <c r="U274" s="8">
        <v>684602</v>
      </c>
      <c r="V274" s="8"/>
      <c r="W274" s="8">
        <v>332107</v>
      </c>
      <c r="X274" s="8"/>
      <c r="Y274" s="8">
        <v>0</v>
      </c>
      <c r="Z274" s="8"/>
      <c r="AA274" s="8">
        <v>738942</v>
      </c>
      <c r="AB274" s="8"/>
      <c r="AC274" s="8">
        <v>1085717</v>
      </c>
      <c r="AD274" s="8"/>
      <c r="AE274" s="8">
        <v>156544</v>
      </c>
      <c r="AF274" s="138"/>
      <c r="AG274" s="12" t="s">
        <v>682</v>
      </c>
      <c r="AH274" s="12"/>
      <c r="AI274" s="12" t="s">
        <v>64</v>
      </c>
      <c r="AJ274" s="12"/>
      <c r="AK274" s="8">
        <v>356372</v>
      </c>
      <c r="AL274" s="8"/>
      <c r="AM274" s="8">
        <v>452488</v>
      </c>
      <c r="AN274" s="8"/>
      <c r="AO274" s="8">
        <v>250629</v>
      </c>
      <c r="AP274" s="8"/>
      <c r="AQ274" s="8">
        <v>330061</v>
      </c>
      <c r="AR274" s="8"/>
      <c r="AS274" s="8"/>
      <c r="AT274" s="8"/>
      <c r="AU274" s="8">
        <v>0</v>
      </c>
      <c r="AV274" s="8"/>
      <c r="AW274" s="8">
        <f t="shared" ref="AW274:AW320" si="16">SUM(G274:AV274)</f>
        <v>10677104</v>
      </c>
      <c r="AY274" s="8">
        <f>+'St of Activites - GA Rev'!AI274-'St of Activities - GA Exp'!AW274</f>
        <v>-1039570</v>
      </c>
      <c r="BA274" s="8">
        <v>22299118</v>
      </c>
      <c r="BC274" s="8">
        <f t="shared" si="15"/>
        <v>21259548</v>
      </c>
      <c r="BE274" s="8">
        <f>+'St of Net Assets - GA'!AA274-'St of Activities - GA Exp'!BC274</f>
        <v>0</v>
      </c>
    </row>
    <row r="275" spans="1:59">
      <c r="A275" s="12" t="s">
        <v>338</v>
      </c>
      <c r="B275" s="12"/>
      <c r="C275" s="12" t="s">
        <v>24</v>
      </c>
      <c r="D275" s="12"/>
      <c r="E275" s="32">
        <v>46797</v>
      </c>
      <c r="G275" s="8">
        <v>512271</v>
      </c>
      <c r="H275" s="8"/>
      <c r="I275" s="8">
        <v>37916</v>
      </c>
      <c r="J275" s="8"/>
      <c r="K275" s="8">
        <v>0</v>
      </c>
      <c r="L275" s="8"/>
      <c r="M275" s="8">
        <v>0</v>
      </c>
      <c r="N275" s="8"/>
      <c r="O275" s="8">
        <v>39156</v>
      </c>
      <c r="P275" s="8"/>
      <c r="Q275" s="8">
        <v>92566</v>
      </c>
      <c r="R275" s="8"/>
      <c r="S275" s="8">
        <v>27672</v>
      </c>
      <c r="T275" s="8"/>
      <c r="U275" s="8">
        <v>94494</v>
      </c>
      <c r="V275" s="8"/>
      <c r="W275" s="8">
        <v>38227</v>
      </c>
      <c r="X275" s="8"/>
      <c r="Y275" s="8">
        <v>0</v>
      </c>
      <c r="Z275" s="8"/>
      <c r="AA275" s="8">
        <v>170107</v>
      </c>
      <c r="AB275" s="8"/>
      <c r="AC275" s="8">
        <v>0</v>
      </c>
      <c r="AD275" s="8"/>
      <c r="AE275" s="8">
        <v>0</v>
      </c>
      <c r="AF275" s="138"/>
      <c r="AG275" s="12" t="s">
        <v>338</v>
      </c>
      <c r="AH275" s="12"/>
      <c r="AI275" s="12" t="s">
        <v>24</v>
      </c>
      <c r="AJ275" s="12"/>
      <c r="AK275" s="8">
        <v>0</v>
      </c>
      <c r="AL275" s="8"/>
      <c r="AM275" s="8">
        <v>0</v>
      </c>
      <c r="AN275" s="8"/>
      <c r="AO275" s="8">
        <v>3102</v>
      </c>
      <c r="AP275" s="8"/>
      <c r="AQ275" s="8">
        <v>0</v>
      </c>
      <c r="AR275" s="8"/>
      <c r="AS275" s="8"/>
      <c r="AT275" s="8"/>
      <c r="AU275" s="8">
        <v>0</v>
      </c>
      <c r="AV275" s="8"/>
      <c r="AW275" s="8">
        <f t="shared" si="16"/>
        <v>1015511</v>
      </c>
      <c r="AY275" s="8">
        <f>+'St of Activites - GA Rev'!AI275-'St of Activities - GA Exp'!AW275</f>
        <v>240250</v>
      </c>
      <c r="BA275" s="8">
        <v>2216083</v>
      </c>
      <c r="BC275" s="8">
        <f t="shared" ref="BC275:BC320" si="17">+AY275+BA275</f>
        <v>2456333</v>
      </c>
      <c r="BE275" s="8">
        <f>+'St of Net Assets - GA'!AA275-'St of Activities - GA Exp'!BC275</f>
        <v>0</v>
      </c>
    </row>
    <row r="276" spans="1:59">
      <c r="A276" s="12" t="s">
        <v>380</v>
      </c>
      <c r="B276" s="12"/>
      <c r="C276" s="12" t="s">
        <v>30</v>
      </c>
      <c r="D276" s="12"/>
      <c r="E276" s="32">
        <v>47191</v>
      </c>
      <c r="G276" s="8">
        <v>15322825</v>
      </c>
      <c r="H276" s="8"/>
      <c r="I276" s="8">
        <v>3794506</v>
      </c>
      <c r="J276" s="8"/>
      <c r="K276" s="8">
        <v>136398</v>
      </c>
      <c r="L276" s="8"/>
      <c r="M276" s="8">
        <v>684852</v>
      </c>
      <c r="N276" s="8"/>
      <c r="O276" s="8">
        <v>2308905</v>
      </c>
      <c r="P276" s="8"/>
      <c r="Q276" s="8">
        <v>987278</v>
      </c>
      <c r="R276" s="8"/>
      <c r="S276" s="8">
        <v>50661</v>
      </c>
      <c r="T276" s="8"/>
      <c r="U276" s="8">
        <v>2815879</v>
      </c>
      <c r="V276" s="8"/>
      <c r="W276" s="8">
        <v>1032471</v>
      </c>
      <c r="X276" s="8"/>
      <c r="Y276" s="8">
        <v>47119</v>
      </c>
      <c r="Z276" s="8"/>
      <c r="AA276" s="8">
        <v>3834204</v>
      </c>
      <c r="AB276" s="8"/>
      <c r="AC276" s="8">
        <v>3151134</v>
      </c>
      <c r="AD276" s="8"/>
      <c r="AE276" s="8">
        <v>35406</v>
      </c>
      <c r="AF276" s="138"/>
      <c r="AG276" s="12" t="s">
        <v>380</v>
      </c>
      <c r="AH276" s="12"/>
      <c r="AI276" s="12" t="s">
        <v>30</v>
      </c>
      <c r="AJ276" s="12"/>
      <c r="AK276" s="8">
        <v>1069601</v>
      </c>
      <c r="AL276" s="8"/>
      <c r="AM276" s="8">
        <f>159479+314216+60265+165424</f>
        <v>699384</v>
      </c>
      <c r="AN276" s="8"/>
      <c r="AO276" s="8">
        <v>1434594</v>
      </c>
      <c r="AP276" s="8"/>
      <c r="AQ276" s="8">
        <v>2145954</v>
      </c>
      <c r="AR276" s="8"/>
      <c r="AS276" s="8"/>
      <c r="AT276" s="8"/>
      <c r="AU276" s="8">
        <v>0</v>
      </c>
      <c r="AV276" s="8"/>
      <c r="AW276" s="8">
        <f t="shared" si="16"/>
        <v>39551171</v>
      </c>
      <c r="AY276" s="8">
        <f>+'St of Activites - GA Rev'!AI276-'St of Activities - GA Exp'!AW276</f>
        <v>1106565</v>
      </c>
      <c r="BA276" s="8">
        <v>22626022</v>
      </c>
      <c r="BC276" s="8">
        <f t="shared" si="17"/>
        <v>23732587</v>
      </c>
      <c r="BE276" s="8">
        <f>+'St of Net Assets - GA'!AA276-'St of Activities - GA Exp'!BC276</f>
        <v>0</v>
      </c>
    </row>
    <row r="277" spans="1:59">
      <c r="A277" s="12" t="s">
        <v>592</v>
      </c>
      <c r="B277" s="12"/>
      <c r="C277" s="12" t="s">
        <v>56</v>
      </c>
      <c r="D277" s="12"/>
      <c r="E277" s="32">
        <v>44164</v>
      </c>
      <c r="G277" s="8">
        <v>18951946</v>
      </c>
      <c r="H277" s="8"/>
      <c r="I277" s="8">
        <v>4732712</v>
      </c>
      <c r="J277" s="8"/>
      <c r="K277" s="8">
        <v>2133506</v>
      </c>
      <c r="L277" s="8"/>
      <c r="M277" s="8">
        <f>91881+631880+780667</f>
        <v>1504428</v>
      </c>
      <c r="N277" s="8"/>
      <c r="O277" s="8">
        <v>2496067</v>
      </c>
      <c r="P277" s="8"/>
      <c r="Q277" s="8">
        <v>2921196</v>
      </c>
      <c r="R277" s="8"/>
      <c r="S277" s="8">
        <v>189960</v>
      </c>
      <c r="T277" s="8"/>
      <c r="U277" s="8">
        <v>3215673</v>
      </c>
      <c r="V277" s="8"/>
      <c r="W277" s="8">
        <v>972099</v>
      </c>
      <c r="X277" s="8"/>
      <c r="Y277" s="8">
        <v>345552</v>
      </c>
      <c r="Z277" s="8"/>
      <c r="AA277" s="8">
        <v>3438068</v>
      </c>
      <c r="AB277" s="8"/>
      <c r="AC277" s="8">
        <v>1619973</v>
      </c>
      <c r="AD277" s="8"/>
      <c r="AE277" s="8">
        <v>363210</v>
      </c>
      <c r="AF277" s="138"/>
      <c r="AG277" s="12" t="s">
        <v>592</v>
      </c>
      <c r="AH277" s="12"/>
      <c r="AI277" s="12" t="s">
        <v>56</v>
      </c>
      <c r="AJ277" s="12"/>
      <c r="AK277" s="8">
        <v>1311973</v>
      </c>
      <c r="AL277" s="8"/>
      <c r="AM277" s="8">
        <v>498161</v>
      </c>
      <c r="AN277" s="8"/>
      <c r="AO277" s="8">
        <v>1219487</v>
      </c>
      <c r="AP277" s="8"/>
      <c r="AQ277" s="8">
        <v>1310759</v>
      </c>
      <c r="AR277" s="8"/>
      <c r="AS277" s="8"/>
      <c r="AT277" s="8"/>
      <c r="AU277" s="8">
        <v>6948</v>
      </c>
      <c r="AV277" s="8"/>
      <c r="AW277" s="8">
        <f t="shared" si="16"/>
        <v>47231718</v>
      </c>
      <c r="AY277" s="8">
        <f>+'St of Activites - GA Rev'!AI277-'St of Activities - GA Exp'!AW277</f>
        <v>3474373</v>
      </c>
      <c r="BA277" s="8">
        <v>12042794</v>
      </c>
      <c r="BC277" s="8">
        <f t="shared" si="17"/>
        <v>15517167</v>
      </c>
      <c r="BE277" s="8">
        <f>+'St of Net Assets - GA'!AA277-'St of Activities - GA Exp'!BC277</f>
        <v>0</v>
      </c>
    </row>
    <row r="278" spans="1:59" ht="12" customHeight="1">
      <c r="A278" s="12" t="s">
        <v>423</v>
      </c>
      <c r="B278" s="12"/>
      <c r="C278" s="12" t="s">
        <v>421</v>
      </c>
      <c r="D278" s="12"/>
      <c r="E278" s="32">
        <v>44172</v>
      </c>
      <c r="G278" s="8">
        <v>9392650</v>
      </c>
      <c r="H278" s="8"/>
      <c r="I278" s="8">
        <v>2532554</v>
      </c>
      <c r="J278" s="8"/>
      <c r="K278" s="8">
        <v>212486</v>
      </c>
      <c r="L278" s="8"/>
      <c r="M278" s="8">
        <v>0</v>
      </c>
      <c r="N278" s="8"/>
      <c r="O278" s="8">
        <v>602902</v>
      </c>
      <c r="P278" s="8"/>
      <c r="Q278" s="8">
        <v>1176081</v>
      </c>
      <c r="R278" s="8"/>
      <c r="S278" s="8">
        <v>38467</v>
      </c>
      <c r="T278" s="8"/>
      <c r="U278" s="8">
        <v>1709517</v>
      </c>
      <c r="V278" s="8"/>
      <c r="W278" s="8">
        <v>445635</v>
      </c>
      <c r="X278" s="8"/>
      <c r="Y278" s="8">
        <v>0</v>
      </c>
      <c r="Z278" s="8"/>
      <c r="AA278" s="8">
        <v>1619012</v>
      </c>
      <c r="AB278" s="8"/>
      <c r="AC278" s="8">
        <v>680501</v>
      </c>
      <c r="AD278" s="8"/>
      <c r="AE278" s="8">
        <v>42556</v>
      </c>
      <c r="AF278" s="138"/>
      <c r="AG278" s="12" t="s">
        <v>423</v>
      </c>
      <c r="AH278" s="12"/>
      <c r="AI278" s="12" t="s">
        <v>421</v>
      </c>
      <c r="AJ278" s="12"/>
      <c r="AK278" s="8">
        <v>0</v>
      </c>
      <c r="AL278" s="8"/>
      <c r="AM278" s="8">
        <v>842141</v>
      </c>
      <c r="AN278" s="8"/>
      <c r="AO278" s="8">
        <v>276423</v>
      </c>
      <c r="AP278" s="8"/>
      <c r="AQ278" s="8">
        <v>0</v>
      </c>
      <c r="AR278" s="8"/>
      <c r="AS278" s="8"/>
      <c r="AT278" s="8"/>
      <c r="AU278" s="8">
        <v>0</v>
      </c>
      <c r="AV278" s="8"/>
      <c r="AW278" s="8">
        <f t="shared" si="16"/>
        <v>19570925</v>
      </c>
      <c r="AY278" s="8">
        <f>+'St of Activites - GA Rev'!AI278-'St of Activities - GA Exp'!AW278</f>
        <v>-916325</v>
      </c>
      <c r="BA278" s="8">
        <v>5758429</v>
      </c>
      <c r="BC278" s="8">
        <f t="shared" si="17"/>
        <v>4842104</v>
      </c>
      <c r="BE278" s="8">
        <f>+'St of Net Assets - GA'!AA278-'St of Activities - GA Exp'!BC278</f>
        <v>0</v>
      </c>
    </row>
    <row r="279" spans="1:59">
      <c r="A279" s="12" t="s">
        <v>549</v>
      </c>
      <c r="B279" s="12"/>
      <c r="C279" s="12" t="s">
        <v>50</v>
      </c>
      <c r="D279" s="12"/>
      <c r="E279" s="32">
        <v>44180</v>
      </c>
      <c r="G279" s="8">
        <v>35494431</v>
      </c>
      <c r="H279" s="8"/>
      <c r="I279" s="8">
        <v>8267476</v>
      </c>
      <c r="J279" s="8"/>
      <c r="K279" s="8">
        <v>2206443</v>
      </c>
      <c r="L279" s="8"/>
      <c r="M279" s="8">
        <f>41716+2706076</f>
        <v>2747792</v>
      </c>
      <c r="N279" s="8"/>
      <c r="O279" s="8">
        <v>7662489</v>
      </c>
      <c r="P279" s="8"/>
      <c r="Q279" s="8">
        <v>4710916</v>
      </c>
      <c r="R279" s="8"/>
      <c r="S279" s="8">
        <v>73370</v>
      </c>
      <c r="T279" s="8"/>
      <c r="U279" s="8">
        <v>6918465</v>
      </c>
      <c r="V279" s="8"/>
      <c r="W279" s="8">
        <v>1894159</v>
      </c>
      <c r="X279" s="8"/>
      <c r="Y279" s="8">
        <v>574690</v>
      </c>
      <c r="Z279" s="8"/>
      <c r="AA279" s="8">
        <v>8463308</v>
      </c>
      <c r="AB279" s="8"/>
      <c r="AC279" s="8">
        <v>3319938</v>
      </c>
      <c r="AD279" s="8"/>
      <c r="AE279" s="8">
        <v>1772667</v>
      </c>
      <c r="AF279" s="138"/>
      <c r="AG279" s="12" t="s">
        <v>549</v>
      </c>
      <c r="AH279" s="12"/>
      <c r="AI279" s="12" t="s">
        <v>50</v>
      </c>
      <c r="AJ279" s="12"/>
      <c r="AK279" s="8">
        <v>0</v>
      </c>
      <c r="AL279" s="8"/>
      <c r="AM279" s="8">
        <v>4724183</v>
      </c>
      <c r="AN279" s="8"/>
      <c r="AO279" s="8">
        <v>2000014</v>
      </c>
      <c r="AP279" s="8"/>
      <c r="AQ279" s="8">
        <v>4423719</v>
      </c>
      <c r="AR279" s="8"/>
      <c r="AS279" s="8"/>
      <c r="AT279" s="8"/>
      <c r="AU279" s="8">
        <v>0</v>
      </c>
      <c r="AV279" s="8"/>
      <c r="AW279" s="8">
        <f t="shared" si="16"/>
        <v>95254060</v>
      </c>
      <c r="AY279" s="8">
        <f>+'St of Activites - GA Rev'!AI279-'St of Activities - GA Exp'!AW279</f>
        <v>1511429</v>
      </c>
      <c r="BA279" s="8">
        <v>21979260</v>
      </c>
      <c r="BC279" s="8">
        <f t="shared" si="17"/>
        <v>23490689</v>
      </c>
      <c r="BE279" s="8">
        <f>+'St of Net Assets - GA'!AA279-'St of Activities - GA Exp'!BC279</f>
        <v>0</v>
      </c>
    </row>
    <row r="280" spans="1:59" ht="12" customHeight="1">
      <c r="A280" s="12" t="s">
        <v>489</v>
      </c>
      <c r="B280" s="12"/>
      <c r="C280" s="12" t="s">
        <v>44</v>
      </c>
      <c r="D280" s="12"/>
      <c r="E280" s="32">
        <v>48165</v>
      </c>
      <c r="G280" s="8">
        <v>7571878</v>
      </c>
      <c r="H280" s="8"/>
      <c r="I280" s="8">
        <v>1416017</v>
      </c>
      <c r="J280" s="8"/>
      <c r="K280" s="8">
        <v>102875</v>
      </c>
      <c r="L280" s="8"/>
      <c r="M280" s="8">
        <v>89080</v>
      </c>
      <c r="N280" s="8"/>
      <c r="O280" s="8">
        <v>810521</v>
      </c>
      <c r="P280" s="8"/>
      <c r="Q280" s="8">
        <v>443050</v>
      </c>
      <c r="R280" s="8"/>
      <c r="S280" s="8">
        <v>42208</v>
      </c>
      <c r="T280" s="8"/>
      <c r="U280" s="8">
        <v>1139342</v>
      </c>
      <c r="V280" s="8"/>
      <c r="W280" s="8">
        <v>414440</v>
      </c>
      <c r="X280" s="8"/>
      <c r="Y280" s="8">
        <v>0</v>
      </c>
      <c r="Z280" s="8"/>
      <c r="AA280" s="8">
        <v>1436266</v>
      </c>
      <c r="AB280" s="8"/>
      <c r="AC280" s="8">
        <v>901853</v>
      </c>
      <c r="AD280" s="8"/>
      <c r="AE280" s="8">
        <v>465653</v>
      </c>
      <c r="AF280" s="138"/>
      <c r="AG280" s="12" t="s">
        <v>489</v>
      </c>
      <c r="AH280" s="12"/>
      <c r="AI280" s="12" t="s">
        <v>44</v>
      </c>
      <c r="AJ280" s="12"/>
      <c r="AK280" s="8">
        <v>483727</v>
      </c>
      <c r="AL280" s="8"/>
      <c r="AM280" s="8">
        <f>59162+80774</f>
        <v>139936</v>
      </c>
      <c r="AN280" s="8"/>
      <c r="AO280" s="8">
        <v>368793</v>
      </c>
      <c r="AP280" s="8"/>
      <c r="AQ280" s="8">
        <v>772798</v>
      </c>
      <c r="AR280" s="8"/>
      <c r="AS280" s="8"/>
      <c r="AT280" s="8"/>
      <c r="AU280" s="8">
        <v>646336</v>
      </c>
      <c r="AV280" s="8"/>
      <c r="AW280" s="8">
        <f t="shared" si="16"/>
        <v>17244773</v>
      </c>
      <c r="AY280" s="8">
        <f>+'St of Activites - GA Rev'!AI280-'St of Activities - GA Exp'!AW280</f>
        <v>-1056953</v>
      </c>
      <c r="BA280" s="8">
        <v>11307220</v>
      </c>
      <c r="BC280" s="8">
        <f t="shared" si="17"/>
        <v>10250267</v>
      </c>
      <c r="BE280" s="8">
        <f>+'St of Net Assets - GA'!AA280-'St of Activities - GA Exp'!BC280</f>
        <v>0</v>
      </c>
    </row>
    <row r="281" spans="1:59">
      <c r="A281" s="12" t="s">
        <v>710</v>
      </c>
      <c r="B281" s="12"/>
      <c r="C281" s="12" t="s">
        <v>69</v>
      </c>
      <c r="D281" s="12"/>
      <c r="E281" s="32">
        <v>50435</v>
      </c>
      <c r="G281" s="8">
        <v>18705234</v>
      </c>
      <c r="H281" s="8"/>
      <c r="I281" s="8">
        <v>4181064</v>
      </c>
      <c r="J281" s="8"/>
      <c r="K281" s="8">
        <v>0</v>
      </c>
      <c r="L281" s="8"/>
      <c r="M281" s="8">
        <v>667205</v>
      </c>
      <c r="N281" s="8"/>
      <c r="O281" s="8">
        <v>1805538</v>
      </c>
      <c r="P281" s="8"/>
      <c r="Q281" s="8">
        <v>1320630</v>
      </c>
      <c r="R281" s="8"/>
      <c r="S281" s="8">
        <v>81060</v>
      </c>
      <c r="T281" s="8"/>
      <c r="U281" s="8">
        <v>3465823</v>
      </c>
      <c r="V281" s="8"/>
      <c r="W281" s="8">
        <v>519456</v>
      </c>
      <c r="X281" s="8"/>
      <c r="Y281" s="8">
        <v>242542</v>
      </c>
      <c r="Z281" s="8"/>
      <c r="AA281" s="8">
        <v>6586543</v>
      </c>
      <c r="AB281" s="8"/>
      <c r="AC281" s="8">
        <v>3028777</v>
      </c>
      <c r="AD281" s="8"/>
      <c r="AE281" s="8">
        <v>250868</v>
      </c>
      <c r="AF281" s="138"/>
      <c r="AG281" s="12" t="s">
        <v>710</v>
      </c>
      <c r="AH281" s="12"/>
      <c r="AI281" s="12" t="s">
        <v>69</v>
      </c>
      <c r="AJ281" s="12"/>
      <c r="AK281" s="8">
        <v>1199391</v>
      </c>
      <c r="AL281" s="8"/>
      <c r="AM281" s="8">
        <f>515814+1023830+28145</f>
        <v>1567789</v>
      </c>
      <c r="AN281" s="8"/>
      <c r="AO281" s="8">
        <v>1245901</v>
      </c>
      <c r="AP281" s="8"/>
      <c r="AQ281" s="8">
        <v>3337470</v>
      </c>
      <c r="AR281" s="8"/>
      <c r="AS281" s="8"/>
      <c r="AT281" s="8"/>
      <c r="AU281" s="8">
        <v>0</v>
      </c>
      <c r="AV281" s="8"/>
      <c r="AW281" s="8">
        <f t="shared" si="16"/>
        <v>48205291</v>
      </c>
      <c r="AY281" s="8">
        <f>+'St of Activites - GA Rev'!AI281-'St of Activities - GA Exp'!AW281</f>
        <v>-682095</v>
      </c>
      <c r="BA281" s="8">
        <v>12051105</v>
      </c>
      <c r="BC281" s="8">
        <f t="shared" si="17"/>
        <v>11369010</v>
      </c>
      <c r="BE281" s="8">
        <f>+'St of Net Assets - GA'!AA281-'St of Activities - GA Exp'!BC281</f>
        <v>0</v>
      </c>
    </row>
    <row r="282" spans="1:59" ht="12" hidden="1" customHeight="1">
      <c r="A282" s="12" t="s">
        <v>1021</v>
      </c>
      <c r="B282" s="12"/>
      <c r="C282" s="12" t="s">
        <v>41</v>
      </c>
      <c r="D282" s="12"/>
      <c r="E282" s="32">
        <v>47878</v>
      </c>
      <c r="G282" s="8">
        <v>5706629</v>
      </c>
      <c r="H282" s="8"/>
      <c r="I282" s="8">
        <v>1154296</v>
      </c>
      <c r="J282" s="8"/>
      <c r="K282" s="8">
        <v>49111</v>
      </c>
      <c r="L282" s="8"/>
      <c r="M282" s="8">
        <v>111771</v>
      </c>
      <c r="N282" s="8"/>
      <c r="O282" s="8">
        <v>735871</v>
      </c>
      <c r="P282" s="8"/>
      <c r="Q282" s="8">
        <v>532461</v>
      </c>
      <c r="R282" s="8"/>
      <c r="S282" s="8">
        <v>153316</v>
      </c>
      <c r="T282" s="8"/>
      <c r="U282" s="8">
        <v>982323</v>
      </c>
      <c r="V282" s="8"/>
      <c r="W282" s="8">
        <v>479536</v>
      </c>
      <c r="X282" s="8"/>
      <c r="Y282" s="8">
        <v>26315</v>
      </c>
      <c r="Z282" s="8"/>
      <c r="AA282" s="8">
        <v>1336519</v>
      </c>
      <c r="AB282" s="8"/>
      <c r="AC282" s="8">
        <v>969004</v>
      </c>
      <c r="AD282" s="8"/>
      <c r="AE282" s="8">
        <v>149227</v>
      </c>
      <c r="AF282" s="138"/>
      <c r="AG282" s="12" t="s">
        <v>459</v>
      </c>
      <c r="AH282" s="12"/>
      <c r="AI282" s="12" t="s">
        <v>41</v>
      </c>
      <c r="AJ282" s="12"/>
      <c r="AK282" s="8">
        <v>233591</v>
      </c>
      <c r="AL282" s="8"/>
      <c r="AM282" s="8">
        <v>154570</v>
      </c>
      <c r="AN282" s="8"/>
      <c r="AO282" s="8">
        <v>753499</v>
      </c>
      <c r="AP282" s="8"/>
      <c r="AQ282" s="8">
        <v>682838</v>
      </c>
      <c r="AR282" s="8"/>
      <c r="AS282" s="8"/>
      <c r="AT282" s="8"/>
      <c r="AU282" s="8">
        <f>568971+640000+9276053</f>
        <v>10485024</v>
      </c>
      <c r="AV282" s="8"/>
      <c r="AW282" s="8">
        <f t="shared" si="16"/>
        <v>24695901</v>
      </c>
      <c r="AY282" s="8">
        <f>+'St of Activites - GA Rev'!AI282-'St of Activities - GA Exp'!AW282</f>
        <v>-8553948</v>
      </c>
      <c r="BA282" s="8">
        <v>20781510</v>
      </c>
      <c r="BC282" s="8">
        <f t="shared" si="17"/>
        <v>12227562</v>
      </c>
      <c r="BE282" s="8">
        <f>+'St of Net Assets - GA'!AA282-'St of Activities - GA Exp'!BC282</f>
        <v>0</v>
      </c>
      <c r="BG282" s="15"/>
    </row>
    <row r="283" spans="1:59">
      <c r="A283" s="12" t="s">
        <v>683</v>
      </c>
      <c r="B283" s="12"/>
      <c r="C283" s="12" t="s">
        <v>64</v>
      </c>
      <c r="D283" s="12"/>
      <c r="E283" s="32">
        <v>50245</v>
      </c>
      <c r="G283" s="8">
        <v>7086655</v>
      </c>
      <c r="H283" s="8"/>
      <c r="I283" s="8">
        <v>1555263</v>
      </c>
      <c r="J283" s="8"/>
      <c r="K283" s="8">
        <v>56499</v>
      </c>
      <c r="L283" s="8"/>
      <c r="M283" s="8">
        <v>522240</v>
      </c>
      <c r="N283" s="8"/>
      <c r="O283" s="8">
        <v>690594</v>
      </c>
      <c r="P283" s="8"/>
      <c r="Q283" s="8">
        <v>342029</v>
      </c>
      <c r="R283" s="8"/>
      <c r="S283" s="8">
        <v>64490</v>
      </c>
      <c r="T283" s="8"/>
      <c r="U283" s="8">
        <v>1279162</v>
      </c>
      <c r="V283" s="8"/>
      <c r="W283" s="8">
        <v>331962</v>
      </c>
      <c r="X283" s="8"/>
      <c r="Y283" s="8">
        <v>0</v>
      </c>
      <c r="Z283" s="8"/>
      <c r="AA283" s="8">
        <v>1879526</v>
      </c>
      <c r="AB283" s="8"/>
      <c r="AC283" s="8">
        <v>581068</v>
      </c>
      <c r="AD283" s="8"/>
      <c r="AE283" s="8">
        <v>120036</v>
      </c>
      <c r="AF283" s="138"/>
      <c r="AG283" s="12" t="s">
        <v>683</v>
      </c>
      <c r="AH283" s="12"/>
      <c r="AI283" s="12" t="s">
        <v>64</v>
      </c>
      <c r="AJ283" s="12"/>
      <c r="AK283" s="8">
        <v>828798</v>
      </c>
      <c r="AL283" s="8"/>
      <c r="AM283" s="8">
        <v>6719</v>
      </c>
      <c r="AN283" s="8"/>
      <c r="AO283" s="8">
        <v>369474</v>
      </c>
      <c r="AP283" s="8"/>
      <c r="AQ283" s="8">
        <v>461360</v>
      </c>
      <c r="AR283" s="8"/>
      <c r="AS283" s="8"/>
      <c r="AT283" s="8"/>
      <c r="AU283" s="8">
        <v>0</v>
      </c>
      <c r="AV283" s="8"/>
      <c r="AW283" s="8">
        <f t="shared" si="16"/>
        <v>16175875</v>
      </c>
      <c r="AY283" s="8">
        <f>+'St of Activites - GA Rev'!AI283-'St of Activities - GA Exp'!AW283</f>
        <v>-1365343</v>
      </c>
      <c r="BA283" s="8">
        <v>23050517</v>
      </c>
      <c r="BC283" s="8">
        <f t="shared" si="17"/>
        <v>21685174</v>
      </c>
      <c r="BE283" s="8">
        <f>+'St of Net Assets - GA'!AA283-'St of Activities - GA Exp'!BC283</f>
        <v>0</v>
      </c>
    </row>
    <row r="284" spans="1:59">
      <c r="A284" s="12" t="s">
        <v>653</v>
      </c>
      <c r="B284" s="12"/>
      <c r="C284" s="12" t="s">
        <v>62</v>
      </c>
      <c r="D284" s="12"/>
      <c r="E284" s="32">
        <v>49866</v>
      </c>
      <c r="G284" s="8">
        <v>14067708</v>
      </c>
      <c r="H284" s="8"/>
      <c r="I284" s="8">
        <v>3130367</v>
      </c>
      <c r="J284" s="8"/>
      <c r="K284" s="8">
        <v>448123</v>
      </c>
      <c r="L284" s="8"/>
      <c r="M284" s="8">
        <f>315949+865071</f>
        <v>1181020</v>
      </c>
      <c r="N284" s="8"/>
      <c r="O284" s="8">
        <v>916977</v>
      </c>
      <c r="P284" s="8"/>
      <c r="Q284" s="8">
        <v>1525395</v>
      </c>
      <c r="R284" s="8"/>
      <c r="S284" s="8">
        <v>26288</v>
      </c>
      <c r="T284" s="8"/>
      <c r="U284" s="8">
        <v>2705719</v>
      </c>
      <c r="V284" s="8"/>
      <c r="W284" s="8">
        <v>627830</v>
      </c>
      <c r="X284" s="8"/>
      <c r="Y284" s="8">
        <v>72982</v>
      </c>
      <c r="Z284" s="8"/>
      <c r="AA284" s="8">
        <v>3997315</v>
      </c>
      <c r="AB284" s="8"/>
      <c r="AC284" s="8">
        <v>1956690</v>
      </c>
      <c r="AD284" s="8"/>
      <c r="AE284" s="8">
        <v>162852</v>
      </c>
      <c r="AF284" s="138"/>
      <c r="AG284" s="12" t="s">
        <v>653</v>
      </c>
      <c r="AH284" s="12"/>
      <c r="AI284" s="12" t="s">
        <v>62</v>
      </c>
      <c r="AJ284" s="12"/>
      <c r="AK284" s="8">
        <v>0</v>
      </c>
      <c r="AL284" s="8"/>
      <c r="AM284" s="8">
        <f>560413+1023289+134984+191150</f>
        <v>1909836</v>
      </c>
      <c r="AN284" s="8"/>
      <c r="AO284" s="8">
        <v>21226</v>
      </c>
      <c r="AP284" s="8"/>
      <c r="AQ284" s="8">
        <v>1318111</v>
      </c>
      <c r="AR284" s="8"/>
      <c r="AS284" s="8"/>
      <c r="AT284" s="8"/>
      <c r="AU284" s="8">
        <v>0</v>
      </c>
      <c r="AV284" s="8"/>
      <c r="AW284" s="8">
        <f t="shared" si="16"/>
        <v>34068439</v>
      </c>
      <c r="AY284" s="8">
        <f>+'St of Activites - GA Rev'!AI284-'St of Activities - GA Exp'!AW284</f>
        <v>2090688</v>
      </c>
      <c r="BA284" s="8">
        <v>15397062</v>
      </c>
      <c r="BC284" s="8">
        <f t="shared" si="17"/>
        <v>17487750</v>
      </c>
      <c r="BE284" s="8">
        <f>+'St of Net Assets - GA'!AA284-'St of Activities - GA Exp'!BC284</f>
        <v>0</v>
      </c>
    </row>
    <row r="285" spans="1:59">
      <c r="A285" s="12" t="s">
        <v>653</v>
      </c>
      <c r="B285" s="12"/>
      <c r="C285" s="12" t="s">
        <v>72</v>
      </c>
      <c r="D285" s="12"/>
      <c r="E285" s="32">
        <v>50690</v>
      </c>
      <c r="G285" s="8">
        <v>9326000</v>
      </c>
      <c r="H285" s="8"/>
      <c r="I285" s="8">
        <v>0</v>
      </c>
      <c r="J285" s="8"/>
      <c r="K285" s="8">
        <v>0</v>
      </c>
      <c r="L285" s="8"/>
      <c r="M285" s="8">
        <v>0</v>
      </c>
      <c r="N285" s="8"/>
      <c r="O285" s="8">
        <v>613000</v>
      </c>
      <c r="P285" s="8"/>
      <c r="Q285" s="8">
        <v>664000</v>
      </c>
      <c r="R285" s="8"/>
      <c r="S285" s="8">
        <v>89000</v>
      </c>
      <c r="T285" s="8"/>
      <c r="U285" s="8">
        <v>1072000</v>
      </c>
      <c r="V285" s="8"/>
      <c r="W285" s="8">
        <v>476000</v>
      </c>
      <c r="X285" s="8"/>
      <c r="Y285" s="8">
        <v>0</v>
      </c>
      <c r="Z285" s="8"/>
      <c r="AA285" s="8">
        <v>1544000</v>
      </c>
      <c r="AB285" s="8"/>
      <c r="AC285" s="8">
        <v>796000</v>
      </c>
      <c r="AD285" s="8"/>
      <c r="AE285" s="8">
        <v>128000</v>
      </c>
      <c r="AF285" s="138"/>
      <c r="AG285" s="12" t="s">
        <v>653</v>
      </c>
      <c r="AH285" s="12"/>
      <c r="AI285" s="12" t="s">
        <v>72</v>
      </c>
      <c r="AJ285" s="12"/>
      <c r="AK285" s="8">
        <v>506000</v>
      </c>
      <c r="AL285" s="8"/>
      <c r="AM285" s="8">
        <v>99000</v>
      </c>
      <c r="AN285" s="8"/>
      <c r="AO285" s="8">
        <v>730000</v>
      </c>
      <c r="AP285" s="8"/>
      <c r="AQ285" s="8">
        <v>606000</v>
      </c>
      <c r="AR285" s="8"/>
      <c r="AS285" s="8"/>
      <c r="AT285" s="8"/>
      <c r="AU285" s="8">
        <v>36000</v>
      </c>
      <c r="AV285" s="8"/>
      <c r="AW285" s="8">
        <f t="shared" si="16"/>
        <v>16685000</v>
      </c>
      <c r="AY285" s="8">
        <f>+'St of Activites - GA Rev'!AI285-'St of Activities - GA Exp'!AW285</f>
        <v>10000</v>
      </c>
      <c r="BA285" s="8">
        <v>6327000</v>
      </c>
      <c r="BC285" s="8">
        <f t="shared" si="17"/>
        <v>6337000</v>
      </c>
      <c r="BE285" s="8">
        <f>+'St of Net Assets - GA'!AA285-'St of Activities - GA Exp'!BC285</f>
        <v>0</v>
      </c>
      <c r="BG285" s="10" t="s">
        <v>953</v>
      </c>
    </row>
    <row r="286" spans="1:59">
      <c r="A286" s="12" t="s">
        <v>684</v>
      </c>
      <c r="B286" s="12"/>
      <c r="C286" s="12" t="s">
        <v>64</v>
      </c>
      <c r="D286" s="12"/>
      <c r="E286" s="32">
        <v>50187</v>
      </c>
      <c r="G286" s="8">
        <v>7308732</v>
      </c>
      <c r="H286" s="8"/>
      <c r="I286" s="8">
        <v>2706923</v>
      </c>
      <c r="J286" s="8"/>
      <c r="K286" s="8">
        <v>1776</v>
      </c>
      <c r="L286" s="8"/>
      <c r="M286" s="8">
        <v>0</v>
      </c>
      <c r="N286" s="8"/>
      <c r="O286" s="8">
        <v>913452</v>
      </c>
      <c r="P286" s="8"/>
      <c r="Q286" s="8">
        <v>822522</v>
      </c>
      <c r="R286" s="8"/>
      <c r="S286" s="8">
        <v>43615</v>
      </c>
      <c r="T286" s="8"/>
      <c r="U286" s="8">
        <v>1162291</v>
      </c>
      <c r="V286" s="8"/>
      <c r="W286" s="8">
        <v>431602</v>
      </c>
      <c r="X286" s="8"/>
      <c r="Y286" s="8">
        <v>0</v>
      </c>
      <c r="Z286" s="8"/>
      <c r="AA286" s="8">
        <v>1511389</v>
      </c>
      <c r="AB286" s="8"/>
      <c r="AC286" s="8">
        <v>717164</v>
      </c>
      <c r="AD286" s="8"/>
      <c r="AE286" s="8">
        <v>3180</v>
      </c>
      <c r="AF286" s="138"/>
      <c r="AG286" s="12" t="s">
        <v>684</v>
      </c>
      <c r="AH286" s="12"/>
      <c r="AI286" s="12" t="s">
        <v>64</v>
      </c>
      <c r="AJ286" s="12"/>
      <c r="AK286" s="8">
        <v>592026</v>
      </c>
      <c r="AL286" s="8"/>
      <c r="AM286" s="8">
        <v>7601</v>
      </c>
      <c r="AN286" s="8"/>
      <c r="AO286" s="8">
        <v>494715</v>
      </c>
      <c r="AP286" s="8"/>
      <c r="AQ286" s="8">
        <v>647198</v>
      </c>
      <c r="AR286" s="8"/>
      <c r="AS286" s="8"/>
      <c r="AT286" s="8"/>
      <c r="AU286" s="8">
        <v>0</v>
      </c>
      <c r="AV286" s="8"/>
      <c r="AW286" s="8">
        <f t="shared" si="16"/>
        <v>17364186</v>
      </c>
      <c r="AY286" s="8">
        <f>+'St of Activites - GA Rev'!AI286-'St of Activities - GA Exp'!AW286</f>
        <v>1604985</v>
      </c>
      <c r="BA286" s="8">
        <v>-643624</v>
      </c>
      <c r="BC286" s="8">
        <f t="shared" si="17"/>
        <v>961361</v>
      </c>
      <c r="BE286" s="8">
        <f>+'St of Net Assets - GA'!AA286-'St of Activities - GA Exp'!BC286</f>
        <v>0</v>
      </c>
    </row>
    <row r="287" spans="1:59">
      <c r="A287" s="12" t="s">
        <v>310</v>
      </c>
      <c r="B287" s="12"/>
      <c r="C287" s="12" t="s">
        <v>20</v>
      </c>
      <c r="D287" s="12"/>
      <c r="E287" s="32">
        <v>44198</v>
      </c>
      <c r="G287" s="8">
        <v>28457587</v>
      </c>
      <c r="H287" s="8"/>
      <c r="I287" s="8">
        <v>12612199</v>
      </c>
      <c r="J287" s="8"/>
      <c r="K287" s="8">
        <v>3557051</v>
      </c>
      <c r="L287" s="8"/>
      <c r="M287" s="8">
        <f>256597+2973535</f>
        <v>3230132</v>
      </c>
      <c r="N287" s="8"/>
      <c r="O287" s="8">
        <v>5025550</v>
      </c>
      <c r="P287" s="8"/>
      <c r="Q287" s="8">
        <v>5072788</v>
      </c>
      <c r="R287" s="8"/>
      <c r="S287" s="8">
        <v>182108</v>
      </c>
      <c r="T287" s="8"/>
      <c r="U287" s="8">
        <v>3428079</v>
      </c>
      <c r="V287" s="8"/>
      <c r="W287" s="8">
        <v>1732571</v>
      </c>
      <c r="X287" s="8"/>
      <c r="Y287" s="8">
        <v>1035081</v>
      </c>
      <c r="Z287" s="8"/>
      <c r="AA287" s="8">
        <v>8341357</v>
      </c>
      <c r="AB287" s="8"/>
      <c r="AC287" s="8">
        <v>113771</v>
      </c>
      <c r="AD287" s="8"/>
      <c r="AE287" s="8">
        <v>578001</v>
      </c>
      <c r="AF287" s="138"/>
      <c r="AG287" s="12" t="s">
        <v>310</v>
      </c>
      <c r="AH287" s="12"/>
      <c r="AI287" s="12" t="s">
        <v>20</v>
      </c>
      <c r="AJ287" s="12"/>
      <c r="AK287" s="8">
        <v>1812212</v>
      </c>
      <c r="AL287" s="8"/>
      <c r="AM287" s="8">
        <f>2903896+394972</f>
        <v>3298868</v>
      </c>
      <c r="AN287" s="8"/>
      <c r="AO287" s="8">
        <v>1246826</v>
      </c>
      <c r="AP287" s="8"/>
      <c r="AQ287" s="8">
        <v>6305302</v>
      </c>
      <c r="AR287" s="8"/>
      <c r="AS287" s="8"/>
      <c r="AT287" s="8"/>
      <c r="AU287" s="8">
        <v>-338855</v>
      </c>
      <c r="AV287" s="8"/>
      <c r="AW287" s="8">
        <f t="shared" si="16"/>
        <v>85690628</v>
      </c>
      <c r="AY287" s="8">
        <f>+'St of Activites - GA Rev'!AI287-'St of Activities - GA Exp'!AW287</f>
        <v>-1282296</v>
      </c>
      <c r="BA287" s="8">
        <v>24830067</v>
      </c>
      <c r="BC287" s="8">
        <f t="shared" si="17"/>
        <v>23547771</v>
      </c>
      <c r="BE287" s="8">
        <f>+'St of Net Assets - GA'!AA290-'St of Activities - GA Exp'!BC287</f>
        <v>0</v>
      </c>
    </row>
    <row r="288" spans="1:59">
      <c r="A288" s="12" t="s">
        <v>863</v>
      </c>
      <c r="B288" s="12"/>
      <c r="C288" s="12" t="s">
        <v>42</v>
      </c>
      <c r="D288" s="12"/>
      <c r="E288" s="32">
        <v>47993</v>
      </c>
      <c r="G288" s="8">
        <v>12633476</v>
      </c>
      <c r="H288" s="8"/>
      <c r="I288" s="8">
        <v>0</v>
      </c>
      <c r="J288" s="8"/>
      <c r="K288" s="8">
        <v>0</v>
      </c>
      <c r="L288" s="8"/>
      <c r="M288" s="8">
        <v>0</v>
      </c>
      <c r="N288" s="8"/>
      <c r="O288" s="8">
        <v>1336465</v>
      </c>
      <c r="P288" s="8"/>
      <c r="Q288" s="8">
        <v>410672</v>
      </c>
      <c r="R288" s="8"/>
      <c r="S288" s="8">
        <v>50581</v>
      </c>
      <c r="T288" s="8"/>
      <c r="U288" s="8">
        <v>1698850</v>
      </c>
      <c r="V288" s="8"/>
      <c r="W288" s="8">
        <v>629272</v>
      </c>
      <c r="X288" s="8"/>
      <c r="Y288" s="8">
        <v>17638</v>
      </c>
      <c r="Z288" s="8"/>
      <c r="AA288" s="8">
        <v>1543379</v>
      </c>
      <c r="AB288" s="8"/>
      <c r="AC288" s="8">
        <v>1491670</v>
      </c>
      <c r="AD288" s="8"/>
      <c r="AE288" s="8">
        <v>325541</v>
      </c>
      <c r="AF288" s="138"/>
      <c r="AG288" s="12" t="s">
        <v>475</v>
      </c>
      <c r="AH288" s="12"/>
      <c r="AI288" s="12" t="s">
        <v>42</v>
      </c>
      <c r="AJ288" s="12"/>
      <c r="AK288" s="8">
        <v>911914</v>
      </c>
      <c r="AL288" s="8"/>
      <c r="AM288" s="8">
        <v>52678</v>
      </c>
      <c r="AN288" s="8"/>
      <c r="AO288" s="8">
        <v>521158</v>
      </c>
      <c r="AP288" s="8"/>
      <c r="AQ288" s="8">
        <v>616719</v>
      </c>
      <c r="AR288" s="8"/>
      <c r="AS288" s="8"/>
      <c r="AT288" s="8"/>
      <c r="AU288" s="8">
        <v>0</v>
      </c>
      <c r="AV288" s="8"/>
      <c r="AW288" s="8">
        <f t="shared" si="16"/>
        <v>22240013</v>
      </c>
      <c r="AY288" s="8">
        <f>+'St of Activites - GA Rev'!AI288-'St of Activities - GA Exp'!AW288</f>
        <v>-118943</v>
      </c>
      <c r="BA288" s="8">
        <v>8274737</v>
      </c>
      <c r="BC288" s="8">
        <f t="shared" si="17"/>
        <v>8155794</v>
      </c>
      <c r="BE288" s="8">
        <f>+'St of Net Assets - GA'!AA291-'St of Activities - GA Exp'!BC288</f>
        <v>0</v>
      </c>
      <c r="BG288" s="10" t="s">
        <v>944</v>
      </c>
    </row>
    <row r="289" spans="1:59">
      <c r="A289" s="12" t="s">
        <v>245</v>
      </c>
      <c r="B289" s="12"/>
      <c r="C289" s="12" t="s">
        <v>242</v>
      </c>
      <c r="D289" s="12"/>
      <c r="E289" s="32">
        <v>46110</v>
      </c>
      <c r="G289" s="8">
        <v>78051153</v>
      </c>
      <c r="H289" s="8"/>
      <c r="I289" s="8">
        <v>13187070</v>
      </c>
      <c r="J289" s="8"/>
      <c r="K289" s="8">
        <v>335</v>
      </c>
      <c r="L289" s="8"/>
      <c r="M289" s="8">
        <v>2914277</v>
      </c>
      <c r="N289" s="8"/>
      <c r="O289" s="8">
        <v>12113779</v>
      </c>
      <c r="P289" s="8"/>
      <c r="Q289" s="8">
        <v>11763768</v>
      </c>
      <c r="R289" s="8"/>
      <c r="S289" s="8">
        <v>99449</v>
      </c>
      <c r="T289" s="8"/>
      <c r="U289" s="8">
        <v>16717848</v>
      </c>
      <c r="V289" s="8"/>
      <c r="W289" s="8">
        <v>1410759</v>
      </c>
      <c r="X289" s="8"/>
      <c r="Y289" s="8">
        <v>349666</v>
      </c>
      <c r="Z289" s="8"/>
      <c r="AA289" s="8">
        <v>15569138</v>
      </c>
      <c r="AB289" s="8"/>
      <c r="AC289" s="8">
        <v>15651796</v>
      </c>
      <c r="AD289" s="8"/>
      <c r="AE289" s="8">
        <v>4117653</v>
      </c>
      <c r="AF289" s="138"/>
      <c r="AG289" s="12" t="s">
        <v>245</v>
      </c>
      <c r="AH289" s="12"/>
      <c r="AI289" s="12" t="s">
        <v>242</v>
      </c>
      <c r="AJ289" s="12"/>
      <c r="AK289" s="8">
        <v>5946410</v>
      </c>
      <c r="AL289" s="8"/>
      <c r="AM289" s="8">
        <f>711817+1363726</f>
        <v>2075543</v>
      </c>
      <c r="AN289" s="8"/>
      <c r="AO289" s="8">
        <v>3620893</v>
      </c>
      <c r="AP289" s="8"/>
      <c r="AQ289" s="8">
        <v>7673349</v>
      </c>
      <c r="AR289" s="8"/>
      <c r="AS289" s="8"/>
      <c r="AT289" s="8"/>
      <c r="AU289" s="8">
        <v>0</v>
      </c>
      <c r="AV289" s="8"/>
      <c r="AW289" s="8">
        <f t="shared" si="16"/>
        <v>191262886</v>
      </c>
      <c r="AY289" s="8">
        <f>+'St of Activites - GA Rev'!AI289-'St of Activities - GA Exp'!AW289</f>
        <v>-8861696</v>
      </c>
      <c r="BA289" s="8">
        <v>73676231</v>
      </c>
      <c r="BC289" s="8">
        <f t="shared" si="17"/>
        <v>64814535</v>
      </c>
      <c r="BE289" s="8">
        <f>+'St of Net Assets - GA'!AA292-'St of Activities - GA Exp'!BC289</f>
        <v>0</v>
      </c>
    </row>
    <row r="290" spans="1:59">
      <c r="A290" s="12" t="s">
        <v>245</v>
      </c>
      <c r="B290" s="12"/>
      <c r="C290" s="12" t="s">
        <v>79</v>
      </c>
      <c r="D290" s="12"/>
      <c r="E290" s="32">
        <v>49569</v>
      </c>
      <c r="G290" s="8">
        <v>5025428</v>
      </c>
      <c r="H290" s="8"/>
      <c r="I290" s="8">
        <v>1570608</v>
      </c>
      <c r="J290" s="8"/>
      <c r="K290" s="8">
        <v>6234</v>
      </c>
      <c r="L290" s="8"/>
      <c r="M290" s="8">
        <v>31270</v>
      </c>
      <c r="N290" s="8"/>
      <c r="O290" s="8">
        <v>633888</v>
      </c>
      <c r="P290" s="8"/>
      <c r="Q290" s="8">
        <v>373450</v>
      </c>
      <c r="R290" s="8"/>
      <c r="S290" s="8">
        <v>25067</v>
      </c>
      <c r="T290" s="8"/>
      <c r="U290" s="8">
        <v>871060</v>
      </c>
      <c r="V290" s="8"/>
      <c r="W290" s="8">
        <v>245168</v>
      </c>
      <c r="X290" s="8"/>
      <c r="Y290" s="8">
        <v>193087</v>
      </c>
      <c r="Z290" s="8"/>
      <c r="AA290" s="8">
        <v>894258</v>
      </c>
      <c r="AB290" s="8"/>
      <c r="AC290" s="8">
        <v>779186</v>
      </c>
      <c r="AD290" s="8"/>
      <c r="AE290" s="8">
        <v>58450</v>
      </c>
      <c r="AF290" s="138"/>
      <c r="AG290" s="12" t="s">
        <v>245</v>
      </c>
      <c r="AH290" s="12"/>
      <c r="AI290" s="12" t="s">
        <v>79</v>
      </c>
      <c r="AJ290" s="12"/>
      <c r="AK290" s="8">
        <v>494592</v>
      </c>
      <c r="AL290" s="8"/>
      <c r="AM290" s="8">
        <v>0</v>
      </c>
      <c r="AN290" s="8"/>
      <c r="AO290" s="8">
        <v>362493</v>
      </c>
      <c r="AP290" s="8"/>
      <c r="AQ290" s="8">
        <v>634526</v>
      </c>
      <c r="AR290" s="8"/>
      <c r="AS290" s="8"/>
      <c r="AT290" s="8"/>
      <c r="AU290" s="8">
        <v>0</v>
      </c>
      <c r="AV290" s="8"/>
      <c r="AW290" s="8">
        <f t="shared" si="16"/>
        <v>12198765</v>
      </c>
      <c r="AY290" s="8">
        <f>+'St of Activites - GA Rev'!AI290-'St of Activities - GA Exp'!AW290</f>
        <v>529773</v>
      </c>
      <c r="BA290" s="8">
        <v>18570207</v>
      </c>
      <c r="BC290" s="8">
        <f t="shared" si="17"/>
        <v>19099980</v>
      </c>
      <c r="BE290" s="8">
        <f>+'St of Net Assets - GA'!AA293-'St of Activities - GA Exp'!BC290</f>
        <v>0</v>
      </c>
      <c r="BG290" s="8" t="s">
        <v>956</v>
      </c>
    </row>
    <row r="291" spans="1:59" ht="12" customHeight="1">
      <c r="A291" s="12" t="s">
        <v>347</v>
      </c>
      <c r="B291" s="12"/>
      <c r="C291" s="12" t="s">
        <v>25</v>
      </c>
      <c r="D291" s="12"/>
      <c r="E291" s="32">
        <v>44206</v>
      </c>
      <c r="G291" s="8">
        <v>25382476</v>
      </c>
      <c r="H291" s="8"/>
      <c r="I291" s="8">
        <v>6916927</v>
      </c>
      <c r="J291" s="8"/>
      <c r="K291" s="8">
        <v>1876125</v>
      </c>
      <c r="L291" s="8"/>
      <c r="M291" s="8">
        <v>195280</v>
      </c>
      <c r="N291" s="8"/>
      <c r="O291" s="8">
        <v>2888413</v>
      </c>
      <c r="P291" s="8"/>
      <c r="Q291" s="8">
        <v>3297921</v>
      </c>
      <c r="R291" s="8"/>
      <c r="S291" s="8">
        <v>126111</v>
      </c>
      <c r="T291" s="8"/>
      <c r="U291" s="8">
        <v>4297134</v>
      </c>
      <c r="V291" s="8"/>
      <c r="W291" s="8">
        <v>1798715</v>
      </c>
      <c r="X291" s="8"/>
      <c r="Y291" s="8">
        <v>480900</v>
      </c>
      <c r="Z291" s="8"/>
      <c r="AA291" s="8">
        <v>4659595</v>
      </c>
      <c r="AB291" s="8"/>
      <c r="AC291" s="8">
        <v>1740238</v>
      </c>
      <c r="AD291" s="8"/>
      <c r="AE291" s="8">
        <v>81009</v>
      </c>
      <c r="AF291" s="138"/>
      <c r="AG291" s="12" t="s">
        <v>347</v>
      </c>
      <c r="AH291" s="12"/>
      <c r="AI291" s="12" t="s">
        <v>25</v>
      </c>
      <c r="AJ291" s="12"/>
      <c r="AK291" s="8">
        <v>2387214</v>
      </c>
      <c r="AL291" s="8"/>
      <c r="AM291" s="8">
        <v>1384954</v>
      </c>
      <c r="AN291" s="8"/>
      <c r="AO291" s="8">
        <v>1081703</v>
      </c>
      <c r="AP291" s="8"/>
      <c r="AQ291" s="8">
        <v>0</v>
      </c>
      <c r="AR291" s="8"/>
      <c r="AS291" s="8"/>
      <c r="AT291" s="8"/>
      <c r="AU291" s="8">
        <v>0</v>
      </c>
      <c r="AV291" s="8"/>
      <c r="AW291" s="8">
        <f t="shared" si="16"/>
        <v>58594715</v>
      </c>
      <c r="AY291" s="8">
        <f>+'St of Activites - GA Rev'!AI291-'St of Activities - GA Exp'!AW291</f>
        <v>5143784</v>
      </c>
      <c r="BA291" s="8">
        <v>31699468</v>
      </c>
      <c r="BC291" s="8">
        <f t="shared" si="17"/>
        <v>36843252</v>
      </c>
      <c r="BE291" s="8">
        <f>+'St of Net Assets - GA'!AA294-'St of Activities - GA Exp'!BC291</f>
        <v>0</v>
      </c>
    </row>
    <row r="292" spans="1:59" ht="12" hidden="1" customHeight="1">
      <c r="A292" s="12" t="s">
        <v>831</v>
      </c>
      <c r="B292" s="12"/>
      <c r="C292" s="12" t="s">
        <v>69</v>
      </c>
      <c r="D292" s="12"/>
      <c r="E292" s="32">
        <v>44214</v>
      </c>
      <c r="G292" s="8">
        <v>17892839</v>
      </c>
      <c r="H292" s="8"/>
      <c r="I292" s="8">
        <v>4118691</v>
      </c>
      <c r="J292" s="8"/>
      <c r="K292" s="8">
        <v>45341</v>
      </c>
      <c r="L292" s="8"/>
      <c r="M292" s="8">
        <v>1943637</v>
      </c>
      <c r="N292" s="8"/>
      <c r="O292" s="8">
        <v>2057148</v>
      </c>
      <c r="P292" s="8"/>
      <c r="Q292" s="8">
        <v>2486015</v>
      </c>
      <c r="R292" s="8"/>
      <c r="S292" s="8">
        <v>51842</v>
      </c>
      <c r="T292" s="8"/>
      <c r="U292" s="8">
        <v>2686160</v>
      </c>
      <c r="V292" s="8"/>
      <c r="W292" s="8">
        <v>895188</v>
      </c>
      <c r="X292" s="8"/>
      <c r="Y292" s="8">
        <v>12</v>
      </c>
      <c r="Z292" s="8"/>
      <c r="AA292" s="8">
        <v>3650500</v>
      </c>
      <c r="AB292" s="8"/>
      <c r="AC292" s="8">
        <v>4949717</v>
      </c>
      <c r="AD292" s="8"/>
      <c r="AE292" s="8">
        <v>251708</v>
      </c>
      <c r="AF292" s="138"/>
      <c r="AG292" s="12" t="s">
        <v>831</v>
      </c>
      <c r="AH292" s="12"/>
      <c r="AI292" s="12" t="s">
        <v>69</v>
      </c>
      <c r="AJ292" s="12"/>
      <c r="AK292" s="8"/>
      <c r="AL292" s="8"/>
      <c r="AM292" s="8">
        <v>1937873</v>
      </c>
      <c r="AN292" s="8"/>
      <c r="AO292" s="8">
        <v>1063883</v>
      </c>
      <c r="AP292" s="8"/>
      <c r="AQ292" s="8"/>
      <c r="AR292" s="8"/>
      <c r="AS292" s="8"/>
      <c r="AT292" s="8"/>
      <c r="AU292" s="8">
        <f>1045891+5432394</f>
        <v>6478285</v>
      </c>
      <c r="AV292" s="8"/>
      <c r="AW292" s="8">
        <f t="shared" si="16"/>
        <v>50508839</v>
      </c>
      <c r="AY292" s="8">
        <f>+'St of Activites - GA Rev'!AI292-'St of Activities - GA Exp'!AW292</f>
        <v>805185</v>
      </c>
      <c r="BA292" s="8">
        <v>11087364</v>
      </c>
      <c r="BC292" s="8">
        <f t="shared" si="17"/>
        <v>11892549</v>
      </c>
      <c r="BE292" s="8">
        <f>+'St of Net Assets - GA'!AA295-'St of Activities - GA Exp'!BC292</f>
        <v>0</v>
      </c>
    </row>
    <row r="293" spans="1:59">
      <c r="A293" s="12" t="s">
        <v>381</v>
      </c>
      <c r="B293" s="12"/>
      <c r="C293" s="12" t="s">
        <v>30</v>
      </c>
      <c r="D293" s="12"/>
      <c r="E293" s="32">
        <v>47209</v>
      </c>
      <c r="G293" s="8">
        <v>2943227</v>
      </c>
      <c r="H293" s="8"/>
      <c r="I293" s="8">
        <v>866217</v>
      </c>
      <c r="J293" s="8"/>
      <c r="K293" s="8">
        <v>144877</v>
      </c>
      <c r="L293" s="8"/>
      <c r="M293" s="8">
        <v>0</v>
      </c>
      <c r="N293" s="8"/>
      <c r="O293" s="8">
        <v>108397</v>
      </c>
      <c r="P293" s="8"/>
      <c r="Q293" s="8">
        <v>100929</v>
      </c>
      <c r="R293" s="8"/>
      <c r="S293" s="8">
        <v>18323</v>
      </c>
      <c r="T293" s="8"/>
      <c r="U293" s="8">
        <v>519668</v>
      </c>
      <c r="V293" s="8"/>
      <c r="W293" s="8">
        <v>185483</v>
      </c>
      <c r="X293" s="8"/>
      <c r="Y293" s="8">
        <v>0</v>
      </c>
      <c r="Z293" s="8"/>
      <c r="AA293" s="8">
        <v>587073</v>
      </c>
      <c r="AB293" s="8"/>
      <c r="AC293" s="8">
        <v>480032</v>
      </c>
      <c r="AD293" s="8"/>
      <c r="AE293" s="8">
        <v>21849</v>
      </c>
      <c r="AF293" s="138"/>
      <c r="AG293" s="12" t="s">
        <v>381</v>
      </c>
      <c r="AH293" s="12"/>
      <c r="AI293" s="12" t="s">
        <v>30</v>
      </c>
      <c r="AJ293" s="12"/>
      <c r="AK293" s="8">
        <v>186515</v>
      </c>
      <c r="AL293" s="8"/>
      <c r="AM293" s="8">
        <v>15363</v>
      </c>
      <c r="AN293" s="8"/>
      <c r="AO293" s="8">
        <v>137758</v>
      </c>
      <c r="AP293" s="8"/>
      <c r="AQ293" s="8">
        <v>0</v>
      </c>
      <c r="AR293" s="8"/>
      <c r="AS293" s="8"/>
      <c r="AT293" s="8"/>
      <c r="AU293" s="8">
        <v>0</v>
      </c>
      <c r="AV293" s="8"/>
      <c r="AW293" s="8">
        <f t="shared" si="16"/>
        <v>6315711</v>
      </c>
      <c r="AY293" s="8">
        <f>+'St of Activites - GA Rev'!AI293-'St of Activities - GA Exp'!AW293</f>
        <v>-170446</v>
      </c>
      <c r="BA293" s="8">
        <v>1734976</v>
      </c>
      <c r="BC293" s="8">
        <f t="shared" si="17"/>
        <v>1564530</v>
      </c>
      <c r="BE293" s="8">
        <f>+'St of Net Assets - GA'!AA296-'St of Activities - GA Exp'!BC293</f>
        <v>0</v>
      </c>
    </row>
    <row r="294" spans="1:59" ht="12" hidden="1" customHeight="1">
      <c r="A294" s="12" t="s">
        <v>987</v>
      </c>
      <c r="B294" s="12"/>
      <c r="C294" s="12" t="s">
        <v>603</v>
      </c>
      <c r="D294" s="12"/>
      <c r="E294" s="32">
        <v>49353</v>
      </c>
      <c r="G294" s="8">
        <v>2647490</v>
      </c>
      <c r="H294" s="8"/>
      <c r="I294" s="8">
        <v>850559</v>
      </c>
      <c r="J294" s="8"/>
      <c r="K294" s="8">
        <v>296008</v>
      </c>
      <c r="L294" s="8"/>
      <c r="M294" s="8"/>
      <c r="N294" s="8"/>
      <c r="O294" s="8">
        <v>73421</v>
      </c>
      <c r="P294" s="8"/>
      <c r="Q294" s="8">
        <v>257889</v>
      </c>
      <c r="R294" s="8"/>
      <c r="S294" s="8">
        <v>28376</v>
      </c>
      <c r="T294" s="8"/>
      <c r="U294" s="8">
        <v>514595</v>
      </c>
      <c r="V294" s="8"/>
      <c r="W294" s="8">
        <v>227861</v>
      </c>
      <c r="X294" s="8"/>
      <c r="Y294" s="8"/>
      <c r="Z294" s="8"/>
      <c r="AA294" s="8">
        <v>511450</v>
      </c>
      <c r="AB294" s="8"/>
      <c r="AC294" s="8">
        <v>337308</v>
      </c>
      <c r="AD294" s="8"/>
      <c r="AE294" s="8"/>
      <c r="AF294" s="138"/>
      <c r="AG294" s="12" t="s">
        <v>987</v>
      </c>
      <c r="AH294" s="12"/>
      <c r="AI294" s="12" t="s">
        <v>603</v>
      </c>
      <c r="AJ294" s="12"/>
      <c r="AK294" s="8">
        <v>340344</v>
      </c>
      <c r="AL294" s="8"/>
      <c r="AM294" s="8">
        <v>110030</v>
      </c>
      <c r="AN294" s="8"/>
      <c r="AO294" s="8">
        <v>309708</v>
      </c>
      <c r="AP294" s="8"/>
      <c r="AQ294" s="8"/>
      <c r="AR294" s="8"/>
      <c r="AS294" s="8"/>
      <c r="AT294" s="8"/>
      <c r="AU294" s="8">
        <f>379815+196808+257678</f>
        <v>834301</v>
      </c>
      <c r="AV294" s="8"/>
      <c r="AW294" s="8">
        <f t="shared" si="16"/>
        <v>7339340</v>
      </c>
      <c r="AY294" s="8">
        <f>+'St of Activites - GA Rev'!AI294-'St of Activities - GA Exp'!AW294</f>
        <v>2845227</v>
      </c>
      <c r="BA294" s="8">
        <f>5349884+60265</f>
        <v>5410149</v>
      </c>
      <c r="BC294" s="8">
        <f t="shared" si="17"/>
        <v>8255376</v>
      </c>
      <c r="BE294" s="8">
        <f>+'St of Net Assets - GA'!AA297-'St of Activities - GA Exp'!BC294</f>
        <v>0</v>
      </c>
      <c r="BG294" s="8"/>
    </row>
    <row r="295" spans="1:59">
      <c r="A295" s="12" t="s">
        <v>610</v>
      </c>
      <c r="B295" s="12"/>
      <c r="C295" s="12" t="s">
        <v>112</v>
      </c>
      <c r="D295" s="12"/>
      <c r="E295" s="32">
        <v>49437</v>
      </c>
      <c r="G295" s="8">
        <v>10329984</v>
      </c>
      <c r="H295" s="8"/>
      <c r="I295" s="8">
        <v>2257715</v>
      </c>
      <c r="J295" s="8"/>
      <c r="K295" s="8">
        <v>0</v>
      </c>
      <c r="L295" s="8"/>
      <c r="M295" s="8">
        <v>824624</v>
      </c>
      <c r="N295" s="8"/>
      <c r="O295" s="8">
        <v>830349</v>
      </c>
      <c r="P295" s="8"/>
      <c r="Q295" s="8">
        <v>1902402</v>
      </c>
      <c r="R295" s="8"/>
      <c r="S295" s="8">
        <v>42228</v>
      </c>
      <c r="T295" s="8"/>
      <c r="U295" s="8">
        <v>1907499</v>
      </c>
      <c r="V295" s="8"/>
      <c r="W295" s="8">
        <v>531130</v>
      </c>
      <c r="X295" s="8"/>
      <c r="Y295" s="8">
        <v>8014</v>
      </c>
      <c r="Z295" s="8"/>
      <c r="AA295" s="8">
        <v>2409710</v>
      </c>
      <c r="AB295" s="8"/>
      <c r="AC295" s="8">
        <v>1309789</v>
      </c>
      <c r="AD295" s="8"/>
      <c r="AE295" s="8">
        <v>257904</v>
      </c>
      <c r="AF295" s="138"/>
      <c r="AG295" s="12" t="s">
        <v>610</v>
      </c>
      <c r="AH295" s="12"/>
      <c r="AI295" s="12" t="s">
        <v>112</v>
      </c>
      <c r="AJ295" s="12"/>
      <c r="AK295" s="8">
        <v>991321</v>
      </c>
      <c r="AL295" s="8"/>
      <c r="AM295" s="8">
        <v>16805</v>
      </c>
      <c r="AN295" s="8"/>
      <c r="AO295" s="8">
        <v>1235932</v>
      </c>
      <c r="AP295" s="8"/>
      <c r="AQ295" s="8">
        <v>30133</v>
      </c>
      <c r="AR295" s="8"/>
      <c r="AS295" s="8"/>
      <c r="AT295" s="8"/>
      <c r="AU295" s="8">
        <v>0</v>
      </c>
      <c r="AV295" s="8"/>
      <c r="AW295" s="8">
        <f t="shared" si="16"/>
        <v>24885539</v>
      </c>
      <c r="AY295" s="8">
        <f>+'St of Activites - GA Rev'!AI295-'St of Activities - GA Exp'!AW295</f>
        <v>-2179267</v>
      </c>
      <c r="BA295" s="8">
        <v>8045184</v>
      </c>
      <c r="BC295" s="8">
        <f t="shared" si="17"/>
        <v>5865917</v>
      </c>
      <c r="BE295" s="8">
        <f>+'St of Net Assets - GA'!AA298-'St of Activities - GA Exp'!BC295</f>
        <v>0</v>
      </c>
    </row>
    <row r="296" spans="1:59">
      <c r="A296" s="12" t="s">
        <v>431</v>
      </c>
      <c r="B296" s="12"/>
      <c r="C296" s="12" t="s">
        <v>34</v>
      </c>
      <c r="D296" s="12"/>
      <c r="E296" s="32">
        <v>47589</v>
      </c>
      <c r="G296" s="8">
        <v>4331517</v>
      </c>
      <c r="H296" s="8"/>
      <c r="I296" s="8">
        <v>2219262</v>
      </c>
      <c r="J296" s="8"/>
      <c r="K296" s="8">
        <v>232772</v>
      </c>
      <c r="L296" s="8"/>
      <c r="M296" s="8">
        <f>58124+324050</f>
        <v>382174</v>
      </c>
      <c r="N296" s="8"/>
      <c r="O296" s="8">
        <v>683188</v>
      </c>
      <c r="P296" s="8"/>
      <c r="Q296" s="8">
        <v>413537</v>
      </c>
      <c r="R296" s="8"/>
      <c r="S296" s="8">
        <v>54805</v>
      </c>
      <c r="T296" s="8"/>
      <c r="U296" s="8">
        <v>821768</v>
      </c>
      <c r="V296" s="8"/>
      <c r="W296" s="8">
        <v>252587</v>
      </c>
      <c r="X296" s="8"/>
      <c r="Y296" s="8">
        <v>0</v>
      </c>
      <c r="Z296" s="8"/>
      <c r="AA296" s="8">
        <v>864371</v>
      </c>
      <c r="AB296" s="8"/>
      <c r="AC296" s="8">
        <v>523901</v>
      </c>
      <c r="AD296" s="8"/>
      <c r="AE296" s="8">
        <v>243343</v>
      </c>
      <c r="AF296" s="138"/>
      <c r="AG296" s="12" t="s">
        <v>431</v>
      </c>
      <c r="AH296" s="12"/>
      <c r="AI296" s="12" t="s">
        <v>34</v>
      </c>
      <c r="AJ296" s="12"/>
      <c r="AK296" s="8">
        <v>0</v>
      </c>
      <c r="AL296" s="8"/>
      <c r="AM296" s="8">
        <v>483790</v>
      </c>
      <c r="AN296" s="8"/>
      <c r="AO296" s="8">
        <v>605508</v>
      </c>
      <c r="AP296" s="8"/>
      <c r="AQ296" s="8">
        <v>108729</v>
      </c>
      <c r="AR296" s="8"/>
      <c r="AS296" s="8"/>
      <c r="AT296" s="8"/>
      <c r="AU296" s="8">
        <v>111318</v>
      </c>
      <c r="AV296" s="8"/>
      <c r="AW296" s="8">
        <f t="shared" si="16"/>
        <v>12332570</v>
      </c>
      <c r="AY296" s="8">
        <f>+'St of Activites - GA Rev'!AI296-'St of Activities - GA Exp'!AW296</f>
        <v>1005870</v>
      </c>
      <c r="BA296" s="8">
        <v>8058178</v>
      </c>
      <c r="BC296" s="8">
        <f t="shared" si="17"/>
        <v>9064048</v>
      </c>
      <c r="BE296" s="8">
        <f>+'St of Net Assets - GA'!AA299-'St of Activities - GA Exp'!BC296</f>
        <v>0</v>
      </c>
    </row>
    <row r="297" spans="1:59" ht="12" customHeight="1">
      <c r="A297" s="12" t="s">
        <v>988</v>
      </c>
      <c r="B297" s="12"/>
      <c r="C297" s="12" t="s">
        <v>64</v>
      </c>
      <c r="D297" s="12"/>
      <c r="E297" s="32">
        <v>50195</v>
      </c>
      <c r="G297" s="8">
        <v>9341319</v>
      </c>
      <c r="H297" s="8"/>
      <c r="I297" s="8">
        <v>1047355</v>
      </c>
      <c r="J297" s="8"/>
      <c r="K297" s="8">
        <v>74993</v>
      </c>
      <c r="L297" s="8"/>
      <c r="M297" s="8">
        <f>1624+61530</f>
        <v>63154</v>
      </c>
      <c r="N297" s="8"/>
      <c r="O297" s="8">
        <v>485598</v>
      </c>
      <c r="P297" s="8"/>
      <c r="Q297" s="8">
        <v>812715</v>
      </c>
      <c r="R297" s="8"/>
      <c r="S297" s="8">
        <v>11094</v>
      </c>
      <c r="T297" s="8"/>
      <c r="U297" s="8">
        <v>2219242</v>
      </c>
      <c r="V297" s="8"/>
      <c r="W297" s="8">
        <v>560994</v>
      </c>
      <c r="X297" s="8"/>
      <c r="Y297" s="8">
        <v>11662</v>
      </c>
      <c r="Z297" s="8"/>
      <c r="AA297" s="8">
        <v>1704973</v>
      </c>
      <c r="AB297" s="8"/>
      <c r="AC297" s="8">
        <v>967566</v>
      </c>
      <c r="AD297" s="8"/>
      <c r="AE297" s="8">
        <v>45839</v>
      </c>
      <c r="AF297" s="138"/>
      <c r="AG297" s="12" t="s">
        <v>685</v>
      </c>
      <c r="AH297" s="12"/>
      <c r="AI297" s="12" t="s">
        <v>64</v>
      </c>
      <c r="AJ297" s="12"/>
      <c r="AK297" s="8">
        <v>819346</v>
      </c>
      <c r="AL297" s="8"/>
      <c r="AM297" s="8">
        <v>59191</v>
      </c>
      <c r="AN297" s="8"/>
      <c r="AO297" s="8">
        <v>534487</v>
      </c>
      <c r="AP297" s="8"/>
      <c r="AQ297" s="8">
        <v>495428</v>
      </c>
      <c r="AR297" s="8"/>
      <c r="AS297" s="8"/>
      <c r="AT297" s="8"/>
      <c r="AU297" s="8">
        <v>0</v>
      </c>
      <c r="AV297" s="8"/>
      <c r="AW297" s="8">
        <f t="shared" si="16"/>
        <v>19254956</v>
      </c>
      <c r="AY297" s="8">
        <f>+'St of Activites - GA Rev'!AI297-'St of Activities - GA Exp'!AW297</f>
        <v>-144143</v>
      </c>
      <c r="BA297" s="8">
        <v>1560013</v>
      </c>
      <c r="BC297" s="8">
        <f t="shared" si="17"/>
        <v>1415870</v>
      </c>
      <c r="BE297" s="8">
        <f>+'St of Net Assets - GA'!AA300-'St of Activities - GA Exp'!BC297</f>
        <v>0</v>
      </c>
      <c r="BG297" s="8"/>
    </row>
    <row r="298" spans="1:59">
      <c r="A298" s="12" t="s">
        <v>869</v>
      </c>
      <c r="B298" s="12"/>
      <c r="C298" s="12" t="s">
        <v>25</v>
      </c>
      <c r="D298" s="12"/>
      <c r="E298" s="32">
        <v>46888</v>
      </c>
      <c r="G298" s="8">
        <v>6658245</v>
      </c>
      <c r="H298" s="8"/>
      <c r="I298" s="8">
        <v>1517220</v>
      </c>
      <c r="J298" s="8"/>
      <c r="K298" s="8">
        <v>404058</v>
      </c>
      <c r="L298" s="8"/>
      <c r="M298" s="8">
        <v>88713</v>
      </c>
      <c r="N298" s="8"/>
      <c r="O298" s="8">
        <v>657730</v>
      </c>
      <c r="P298" s="8"/>
      <c r="Q298" s="8">
        <v>633078</v>
      </c>
      <c r="R298" s="8"/>
      <c r="S298" s="8">
        <v>117910</v>
      </c>
      <c r="T298" s="8"/>
      <c r="U298" s="8">
        <v>967288</v>
      </c>
      <c r="V298" s="8"/>
      <c r="W298" s="8">
        <v>429752</v>
      </c>
      <c r="X298" s="8"/>
      <c r="Y298" s="8">
        <v>0</v>
      </c>
      <c r="Z298" s="8"/>
      <c r="AA298" s="8">
        <v>1390877</v>
      </c>
      <c r="AB298" s="8"/>
      <c r="AC298" s="8">
        <v>655962</v>
      </c>
      <c r="AD298" s="8"/>
      <c r="AE298" s="8">
        <v>0</v>
      </c>
      <c r="AF298" s="138"/>
      <c r="AG298" s="12" t="s">
        <v>348</v>
      </c>
      <c r="AH298" s="12"/>
      <c r="AI298" s="12" t="s">
        <v>25</v>
      </c>
      <c r="AJ298" s="12"/>
      <c r="AK298" s="8">
        <v>449240</v>
      </c>
      <c r="AL298" s="8"/>
      <c r="AM298" s="8">
        <v>0</v>
      </c>
      <c r="AN298" s="8"/>
      <c r="AO298" s="8">
        <v>608581</v>
      </c>
      <c r="AP298" s="8"/>
      <c r="AQ298" s="8">
        <v>627755</v>
      </c>
      <c r="AR298" s="8"/>
      <c r="AS298" s="8"/>
      <c r="AT298" s="8"/>
      <c r="AU298" s="8">
        <v>0</v>
      </c>
      <c r="AV298" s="8"/>
      <c r="AW298" s="8">
        <f t="shared" si="16"/>
        <v>15206409</v>
      </c>
      <c r="AY298" s="8">
        <f>+'St of Activites - GA Rev'!AI298-'St of Activities - GA Exp'!AW298</f>
        <v>17396820</v>
      </c>
      <c r="BA298" s="8">
        <v>8954665</v>
      </c>
      <c r="BC298" s="8">
        <f t="shared" si="17"/>
        <v>26351485</v>
      </c>
      <c r="BE298" s="8">
        <f>+'St of Net Assets - GA'!AA301-'St of Activities - GA Exp'!BC298</f>
        <v>0</v>
      </c>
    </row>
    <row r="299" spans="1:59">
      <c r="A299" s="12" t="s">
        <v>417</v>
      </c>
      <c r="B299" s="12"/>
      <c r="C299" s="12" t="s">
        <v>33</v>
      </c>
      <c r="D299" s="12"/>
      <c r="E299" s="32">
        <v>47449</v>
      </c>
      <c r="G299" s="8">
        <v>6472121</v>
      </c>
      <c r="H299" s="8"/>
      <c r="I299" s="8">
        <v>1334666</v>
      </c>
      <c r="J299" s="8"/>
      <c r="K299" s="8">
        <v>343017</v>
      </c>
      <c r="L299" s="8"/>
      <c r="M299" s="8">
        <v>0</v>
      </c>
      <c r="N299" s="8"/>
      <c r="O299" s="8">
        <v>1033062</v>
      </c>
      <c r="P299" s="8"/>
      <c r="Q299" s="8">
        <v>592914</v>
      </c>
      <c r="R299" s="8"/>
      <c r="S299" s="8">
        <v>14557</v>
      </c>
      <c r="T299" s="8"/>
      <c r="U299" s="8">
        <v>969329</v>
      </c>
      <c r="V299" s="8"/>
      <c r="W299" s="8">
        <v>313113</v>
      </c>
      <c r="X299" s="8"/>
      <c r="Y299" s="8">
        <v>1812</v>
      </c>
      <c r="Z299" s="8"/>
      <c r="AA299" s="8">
        <v>1233745</v>
      </c>
      <c r="AB299" s="8"/>
      <c r="AC299" s="8">
        <v>608074</v>
      </c>
      <c r="AD299" s="8"/>
      <c r="AE299" s="8">
        <v>147300</v>
      </c>
      <c r="AF299" s="138"/>
      <c r="AG299" s="12" t="s">
        <v>417</v>
      </c>
      <c r="AH299" s="12"/>
      <c r="AI299" s="12" t="s">
        <v>33</v>
      </c>
      <c r="AJ299" s="12"/>
      <c r="AK299" s="8">
        <v>0</v>
      </c>
      <c r="AL299" s="8"/>
      <c r="AM299" s="8">
        <v>471937</v>
      </c>
      <c r="AN299" s="8"/>
      <c r="AO299" s="8">
        <v>518743</v>
      </c>
      <c r="AP299" s="8"/>
      <c r="AQ299" s="8">
        <v>476135</v>
      </c>
      <c r="AR299" s="8"/>
      <c r="AS299" s="8"/>
      <c r="AT299" s="8"/>
      <c r="AU299" s="8">
        <v>0</v>
      </c>
      <c r="AV299" s="8"/>
      <c r="AW299" s="8">
        <f t="shared" si="16"/>
        <v>14530525</v>
      </c>
      <c r="AY299" s="8">
        <f>+'St of Activites - GA Rev'!AI299-'St of Activities - GA Exp'!AW299</f>
        <v>-1323673</v>
      </c>
      <c r="BA299" s="8">
        <v>12360247</v>
      </c>
      <c r="BC299" s="8">
        <f t="shared" si="17"/>
        <v>11036574</v>
      </c>
      <c r="BE299" s="8">
        <f>+'St of Net Assets - GA'!AA302-'St of Activities - GA Exp'!BC299</f>
        <v>0</v>
      </c>
    </row>
    <row r="300" spans="1:59">
      <c r="A300" s="12" t="s">
        <v>476</v>
      </c>
      <c r="B300" s="12"/>
      <c r="C300" s="12" t="s">
        <v>42</v>
      </c>
      <c r="D300" s="12"/>
      <c r="E300" s="32">
        <v>48009</v>
      </c>
      <c r="G300" s="8">
        <v>12542464</v>
      </c>
      <c r="H300" s="8"/>
      <c r="I300" s="8">
        <v>2995941</v>
      </c>
      <c r="J300" s="8"/>
      <c r="K300" s="8">
        <v>312110</v>
      </c>
      <c r="L300" s="8"/>
      <c r="M300" s="8">
        <v>276365</v>
      </c>
      <c r="N300" s="8"/>
      <c r="O300" s="8">
        <v>1135645</v>
      </c>
      <c r="P300" s="8"/>
      <c r="Q300" s="8">
        <v>1247908</v>
      </c>
      <c r="R300" s="8"/>
      <c r="S300" s="8">
        <v>134291</v>
      </c>
      <c r="T300" s="8"/>
      <c r="U300" s="8">
        <v>2145175</v>
      </c>
      <c r="V300" s="8"/>
      <c r="W300" s="8">
        <v>621954</v>
      </c>
      <c r="X300" s="8"/>
      <c r="Y300" s="8">
        <v>0</v>
      </c>
      <c r="Z300" s="8"/>
      <c r="AA300" s="8">
        <v>3200323</v>
      </c>
      <c r="AB300" s="8"/>
      <c r="AC300" s="8">
        <v>2268677</v>
      </c>
      <c r="AD300" s="8"/>
      <c r="AE300" s="8">
        <v>213641</v>
      </c>
      <c r="AF300" s="138"/>
      <c r="AG300" s="12" t="s">
        <v>476</v>
      </c>
      <c r="AH300" s="12"/>
      <c r="AI300" s="12" t="s">
        <v>42</v>
      </c>
      <c r="AJ300" s="12"/>
      <c r="AK300" s="8">
        <v>1265361</v>
      </c>
      <c r="AL300" s="8"/>
      <c r="AM300" s="8">
        <v>0</v>
      </c>
      <c r="AN300" s="8"/>
      <c r="AO300" s="8">
        <v>530371</v>
      </c>
      <c r="AP300" s="8"/>
      <c r="AQ300" s="8">
        <v>2914573</v>
      </c>
      <c r="AR300" s="8"/>
      <c r="AS300" s="8"/>
      <c r="AT300" s="8"/>
      <c r="AU300" s="8">
        <v>0</v>
      </c>
      <c r="AV300" s="8"/>
      <c r="AW300" s="8">
        <f t="shared" si="16"/>
        <v>31804799</v>
      </c>
      <c r="AY300" s="8">
        <f>+'St of Activites - GA Rev'!AI300-'St of Activities - GA Exp'!AW300</f>
        <v>722152</v>
      </c>
      <c r="BA300" s="8">
        <v>24235310</v>
      </c>
      <c r="BC300" s="8">
        <f t="shared" si="17"/>
        <v>24957462</v>
      </c>
      <c r="BE300" s="8">
        <f>+'St of Net Assets - GA'!AA303-'St of Activities - GA Exp'!BC300</f>
        <v>0</v>
      </c>
    </row>
    <row r="301" spans="1:59">
      <c r="A301" s="12" t="s">
        <v>477</v>
      </c>
      <c r="B301" s="12"/>
      <c r="C301" s="12" t="s">
        <v>42</v>
      </c>
      <c r="D301" s="12"/>
      <c r="E301" s="32">
        <v>48017</v>
      </c>
      <c r="G301" s="8">
        <v>8214145</v>
      </c>
      <c r="H301" s="8"/>
      <c r="I301" s="8">
        <v>1752465</v>
      </c>
      <c r="J301" s="8"/>
      <c r="K301" s="8">
        <v>294983</v>
      </c>
      <c r="L301" s="8"/>
      <c r="M301" s="8">
        <v>90893</v>
      </c>
      <c r="N301" s="8"/>
      <c r="O301" s="8">
        <v>531131</v>
      </c>
      <c r="P301" s="8"/>
      <c r="Q301" s="8">
        <v>882237</v>
      </c>
      <c r="R301" s="8"/>
      <c r="S301" s="8">
        <v>65929</v>
      </c>
      <c r="T301" s="8"/>
      <c r="U301" s="8">
        <v>1793728</v>
      </c>
      <c r="V301" s="8"/>
      <c r="W301" s="8">
        <v>451659</v>
      </c>
      <c r="X301" s="8"/>
      <c r="Y301" s="8">
        <v>172649</v>
      </c>
      <c r="Z301" s="8"/>
      <c r="AA301" s="8">
        <v>1803851</v>
      </c>
      <c r="AB301" s="8"/>
      <c r="AC301" s="8">
        <v>1254655</v>
      </c>
      <c r="AD301" s="8"/>
      <c r="AE301" s="8">
        <v>144792</v>
      </c>
      <c r="AF301" s="138"/>
      <c r="AG301" s="12" t="s">
        <v>477</v>
      </c>
      <c r="AH301" s="12"/>
      <c r="AI301" s="12" t="s">
        <v>42</v>
      </c>
      <c r="AJ301" s="12"/>
      <c r="AK301" s="8">
        <v>0</v>
      </c>
      <c r="AL301" s="8"/>
      <c r="AM301" s="8">
        <v>932828</v>
      </c>
      <c r="AN301" s="8"/>
      <c r="AO301" s="8">
        <v>567571</v>
      </c>
      <c r="AP301" s="8"/>
      <c r="AQ301" s="8">
        <v>530893</v>
      </c>
      <c r="AR301" s="8"/>
      <c r="AS301" s="8"/>
      <c r="AT301" s="8"/>
      <c r="AU301" s="8">
        <v>0</v>
      </c>
      <c r="AV301" s="8"/>
      <c r="AW301" s="8">
        <f t="shared" si="16"/>
        <v>19484409</v>
      </c>
      <c r="AY301" s="8">
        <f>+'St of Activites - GA Rev'!AI301-'St of Activities - GA Exp'!AW301</f>
        <v>80429</v>
      </c>
      <c r="BA301" s="8">
        <v>32207248</v>
      </c>
      <c r="BC301" s="8">
        <f t="shared" si="17"/>
        <v>32287677</v>
      </c>
      <c r="BE301" s="8">
        <f>+'St of Net Assets - GA'!AA304-'St of Activities - GA Exp'!BC301</f>
        <v>0</v>
      </c>
    </row>
    <row r="302" spans="1:59" hidden="1">
      <c r="A302" s="13" t="s">
        <v>989</v>
      </c>
      <c r="B302" s="13"/>
      <c r="C302" s="13" t="s">
        <v>10</v>
      </c>
      <c r="D302" s="12"/>
      <c r="E302" s="32"/>
      <c r="G302" s="8">
        <v>16897149</v>
      </c>
      <c r="H302" s="8"/>
      <c r="I302" s="8">
        <v>5690939</v>
      </c>
      <c r="J302" s="8"/>
      <c r="K302" s="8">
        <v>1979177</v>
      </c>
      <c r="L302" s="8"/>
      <c r="M302" s="8">
        <f>219861+7523648</f>
        <v>7743509</v>
      </c>
      <c r="N302" s="8"/>
      <c r="O302" s="8">
        <v>3593538</v>
      </c>
      <c r="P302" s="8"/>
      <c r="Q302" s="8">
        <v>3066033</v>
      </c>
      <c r="R302" s="8"/>
      <c r="S302" s="8">
        <v>147384</v>
      </c>
      <c r="T302" s="8"/>
      <c r="U302" s="8">
        <v>4356082</v>
      </c>
      <c r="V302" s="8"/>
      <c r="W302" s="8">
        <v>976074</v>
      </c>
      <c r="X302" s="8"/>
      <c r="Y302" s="8">
        <v>186773</v>
      </c>
      <c r="Z302" s="8"/>
      <c r="AA302" s="8">
        <v>5233083</v>
      </c>
      <c r="AB302" s="8"/>
      <c r="AC302" s="8">
        <v>716229</v>
      </c>
      <c r="AD302" s="8"/>
      <c r="AE302" s="8">
        <v>624178</v>
      </c>
      <c r="AF302" s="138"/>
      <c r="AG302" s="13" t="s">
        <v>989</v>
      </c>
      <c r="AH302" s="13"/>
      <c r="AI302" s="13" t="s">
        <v>10</v>
      </c>
      <c r="AJ302" s="12"/>
      <c r="AK302" s="8"/>
      <c r="AL302" s="8"/>
      <c r="AM302" s="8">
        <v>3291501</v>
      </c>
      <c r="AN302" s="8"/>
      <c r="AO302" s="8">
        <v>576580</v>
      </c>
      <c r="AP302" s="8"/>
      <c r="AQ302" s="8"/>
      <c r="AR302" s="8"/>
      <c r="AS302" s="8"/>
      <c r="AT302" s="8"/>
      <c r="AU302" s="8">
        <f>84928+1120000+693878</f>
        <v>1898806</v>
      </c>
      <c r="AV302" s="8"/>
      <c r="AW302" s="8">
        <f t="shared" si="16"/>
        <v>56977035</v>
      </c>
      <c r="AY302" s="8">
        <f>+'St of Activites - GA Rev'!AI302-'St of Activities - GA Exp'!AW302</f>
        <v>1621245</v>
      </c>
      <c r="BA302" s="8">
        <v>10461695</v>
      </c>
      <c r="BC302" s="8">
        <f t="shared" si="17"/>
        <v>12082940</v>
      </c>
      <c r="BE302" s="8">
        <f>+'St of Net Assets - GA'!AA305-'St of Activities - GA Exp'!BC302</f>
        <v>0</v>
      </c>
    </row>
    <row r="303" spans="1:59">
      <c r="A303" s="12" t="s">
        <v>705</v>
      </c>
      <c r="B303" s="12"/>
      <c r="C303" s="12" t="s">
        <v>67</v>
      </c>
      <c r="D303" s="12"/>
      <c r="E303" s="32">
        <v>50369</v>
      </c>
      <c r="G303" s="8">
        <v>3942169</v>
      </c>
      <c r="H303" s="8"/>
      <c r="I303" s="8">
        <v>1561786</v>
      </c>
      <c r="J303" s="8"/>
      <c r="K303" s="8">
        <v>188086</v>
      </c>
      <c r="L303" s="8"/>
      <c r="M303" s="8">
        <v>712839</v>
      </c>
      <c r="N303" s="8"/>
      <c r="O303" s="8">
        <v>185323</v>
      </c>
      <c r="P303" s="8"/>
      <c r="Q303" s="8">
        <v>335565</v>
      </c>
      <c r="R303" s="8"/>
      <c r="S303" s="8">
        <v>30841</v>
      </c>
      <c r="T303" s="8"/>
      <c r="U303" s="8">
        <v>961146</v>
      </c>
      <c r="V303" s="8"/>
      <c r="W303" s="8">
        <v>311289</v>
      </c>
      <c r="X303" s="8"/>
      <c r="Y303" s="8">
        <v>0</v>
      </c>
      <c r="Z303" s="8"/>
      <c r="AA303" s="8">
        <v>613371</v>
      </c>
      <c r="AB303" s="8"/>
      <c r="AC303" s="8">
        <v>566496</v>
      </c>
      <c r="AD303" s="8"/>
      <c r="AE303" s="8">
        <v>19624</v>
      </c>
      <c r="AF303" s="138"/>
      <c r="AG303" s="12" t="s">
        <v>705</v>
      </c>
      <c r="AH303" s="12"/>
      <c r="AI303" s="12" t="s">
        <v>67</v>
      </c>
      <c r="AJ303" s="12"/>
      <c r="AK303" s="8">
        <v>362853</v>
      </c>
      <c r="AL303" s="8"/>
      <c r="AM303" s="8">
        <v>14996</v>
      </c>
      <c r="AN303" s="8"/>
      <c r="AO303" s="8">
        <v>281453</v>
      </c>
      <c r="AP303" s="8"/>
      <c r="AQ303" s="8">
        <v>604038</v>
      </c>
      <c r="AR303" s="8"/>
      <c r="AS303" s="8"/>
      <c r="AT303" s="8"/>
      <c r="AU303" s="8">
        <v>0</v>
      </c>
      <c r="AV303" s="8"/>
      <c r="AW303" s="8">
        <f t="shared" si="16"/>
        <v>10691875</v>
      </c>
      <c r="AY303" s="8">
        <f>+'St of Activites - GA Rev'!AI303-'St of Activities - GA Exp'!AW303</f>
        <v>319783</v>
      </c>
      <c r="BA303" s="8">
        <v>23005137</v>
      </c>
      <c r="BC303" s="8">
        <f t="shared" si="17"/>
        <v>23324920</v>
      </c>
      <c r="BE303" s="8">
        <f>+'St of Net Assets - GA'!AA306-'St of Activities - GA Exp'!BC303</f>
        <v>0</v>
      </c>
    </row>
    <row r="304" spans="1:59">
      <c r="A304" s="12" t="s">
        <v>283</v>
      </c>
      <c r="B304" s="12"/>
      <c r="C304" s="12" t="s">
        <v>114</v>
      </c>
      <c r="D304" s="12"/>
      <c r="E304" s="32">
        <v>45450</v>
      </c>
      <c r="G304" s="8">
        <v>4393106</v>
      </c>
      <c r="H304" s="8"/>
      <c r="I304" s="8">
        <v>1464044</v>
      </c>
      <c r="J304" s="8"/>
      <c r="K304" s="8">
        <v>78698</v>
      </c>
      <c r="L304" s="8"/>
      <c r="M304" s="8">
        <v>393285</v>
      </c>
      <c r="N304" s="8"/>
      <c r="O304" s="8">
        <v>480564</v>
      </c>
      <c r="P304" s="8"/>
      <c r="Q304" s="8">
        <v>271247</v>
      </c>
      <c r="R304" s="8"/>
      <c r="S304" s="8">
        <v>32608</v>
      </c>
      <c r="T304" s="8"/>
      <c r="U304" s="8">
        <v>797162</v>
      </c>
      <c r="V304" s="8"/>
      <c r="W304" s="8">
        <v>252446</v>
      </c>
      <c r="X304" s="8"/>
      <c r="Y304" s="8">
        <v>0</v>
      </c>
      <c r="Z304" s="8"/>
      <c r="AA304" s="8">
        <v>856182</v>
      </c>
      <c r="AB304" s="8"/>
      <c r="AC304" s="8">
        <v>441286</v>
      </c>
      <c r="AD304" s="8"/>
      <c r="AE304" s="8">
        <v>45328</v>
      </c>
      <c r="AF304" s="138"/>
      <c r="AG304" s="12" t="s">
        <v>283</v>
      </c>
      <c r="AH304" s="12"/>
      <c r="AI304" s="12" t="s">
        <v>114</v>
      </c>
      <c r="AJ304" s="12"/>
      <c r="AK304" s="8">
        <v>486210</v>
      </c>
      <c r="AL304" s="8"/>
      <c r="AM304" s="8">
        <v>429944</v>
      </c>
      <c r="AN304" s="8"/>
      <c r="AO304" s="8">
        <v>0</v>
      </c>
      <c r="AP304" s="8"/>
      <c r="AQ304" s="8">
        <v>284124</v>
      </c>
      <c r="AR304" s="8"/>
      <c r="AS304" s="8"/>
      <c r="AT304" s="8"/>
      <c r="AU304" s="8">
        <v>0</v>
      </c>
      <c r="AV304" s="8"/>
      <c r="AW304" s="8">
        <f t="shared" si="16"/>
        <v>10706234</v>
      </c>
      <c r="AY304" s="8">
        <f>+'St of Activites - GA Rev'!AI304-'St of Activities - GA Exp'!AW304</f>
        <v>104452</v>
      </c>
      <c r="BA304" s="8">
        <v>19983748</v>
      </c>
      <c r="BC304" s="8">
        <f t="shared" si="17"/>
        <v>20088200</v>
      </c>
      <c r="BE304" s="8">
        <f>+'St of Net Assets - GA'!AA307-'St of Activities - GA Exp'!BC304</f>
        <v>0</v>
      </c>
    </row>
    <row r="305" spans="1:59">
      <c r="A305" s="12" t="s">
        <v>711</v>
      </c>
      <c r="B305" s="12"/>
      <c r="C305" s="12" t="s">
        <v>69</v>
      </c>
      <c r="D305" s="12"/>
      <c r="E305" s="32">
        <v>50443</v>
      </c>
      <c r="G305" s="8">
        <v>15875689</v>
      </c>
      <c r="H305" s="8"/>
      <c r="I305" s="8">
        <v>3826621</v>
      </c>
      <c r="J305" s="8"/>
      <c r="K305" s="8">
        <v>0</v>
      </c>
      <c r="L305" s="8"/>
      <c r="M305" s="8">
        <v>944444</v>
      </c>
      <c r="N305" s="8"/>
      <c r="O305" s="8">
        <v>1375146</v>
      </c>
      <c r="P305" s="8"/>
      <c r="Q305" s="8">
        <v>1530607</v>
      </c>
      <c r="R305" s="8"/>
      <c r="S305" s="8">
        <v>38425</v>
      </c>
      <c r="T305" s="8"/>
      <c r="U305" s="8">
        <v>2643136</v>
      </c>
      <c r="V305" s="8"/>
      <c r="W305" s="8">
        <v>788970</v>
      </c>
      <c r="X305" s="8"/>
      <c r="Y305" s="8">
        <v>263518</v>
      </c>
      <c r="Z305" s="8"/>
      <c r="AA305" s="8">
        <v>2947680</v>
      </c>
      <c r="AB305" s="8"/>
      <c r="AC305" s="8">
        <v>3112253</v>
      </c>
      <c r="AD305" s="8"/>
      <c r="AE305" s="8">
        <v>1098148</v>
      </c>
      <c r="AF305" s="138"/>
      <c r="AG305" s="13" t="s">
        <v>711</v>
      </c>
      <c r="AH305" s="13"/>
      <c r="AI305" s="13" t="s">
        <v>69</v>
      </c>
      <c r="AJ305" s="13"/>
      <c r="AK305" s="8">
        <v>0</v>
      </c>
      <c r="AL305" s="8"/>
      <c r="AM305" s="8">
        <v>1472423</v>
      </c>
      <c r="AN305" s="8"/>
      <c r="AO305" s="8">
        <v>997324</v>
      </c>
      <c r="AP305" s="8"/>
      <c r="AQ305" s="8">
        <v>3487297</v>
      </c>
      <c r="AR305" s="8"/>
      <c r="AS305" s="8"/>
      <c r="AT305" s="8"/>
      <c r="AU305" s="8">
        <v>0</v>
      </c>
      <c r="AV305" s="8"/>
      <c r="AW305" s="8">
        <f t="shared" si="16"/>
        <v>40401681</v>
      </c>
      <c r="AY305" s="8">
        <f>+'St of Activites - GA Rev'!AI305-'St of Activities - GA Exp'!AW305</f>
        <v>-781865</v>
      </c>
      <c r="BA305" s="8">
        <v>-3624172</v>
      </c>
      <c r="BC305" s="8">
        <f t="shared" si="17"/>
        <v>-4406037</v>
      </c>
      <c r="BE305" s="8">
        <f>+'St of Net Assets - GA'!AA308-'St of Activities - GA Exp'!BC305</f>
        <v>0</v>
      </c>
    </row>
    <row r="306" spans="1:59" ht="12" hidden="1" customHeight="1">
      <c r="A306" s="77" t="s">
        <v>990</v>
      </c>
      <c r="B306" s="12"/>
      <c r="C306" s="12" t="s">
        <v>32</v>
      </c>
      <c r="D306" s="12"/>
      <c r="E306" s="32">
        <v>44230</v>
      </c>
      <c r="G306" s="8">
        <v>3646353</v>
      </c>
      <c r="H306" s="8"/>
      <c r="I306" s="8">
        <v>697541</v>
      </c>
      <c r="J306" s="8"/>
      <c r="K306" s="8">
        <v>37430</v>
      </c>
      <c r="L306" s="8"/>
      <c r="M306" s="8">
        <v>23486</v>
      </c>
      <c r="N306" s="8"/>
      <c r="O306" s="8">
        <v>387729</v>
      </c>
      <c r="P306" s="8"/>
      <c r="Q306" s="8">
        <v>640425</v>
      </c>
      <c r="R306" s="8"/>
      <c r="S306" s="8">
        <v>106878</v>
      </c>
      <c r="T306" s="8"/>
      <c r="U306" s="8">
        <v>869710</v>
      </c>
      <c r="V306" s="8"/>
      <c r="W306" s="8">
        <v>287819</v>
      </c>
      <c r="X306" s="8"/>
      <c r="Y306" s="8">
        <v>5124</v>
      </c>
      <c r="Z306" s="8"/>
      <c r="AA306" s="8">
        <v>1012009</v>
      </c>
      <c r="AB306" s="8"/>
      <c r="AC306" s="8">
        <v>14762</v>
      </c>
      <c r="AD306" s="8"/>
      <c r="AE306" s="8">
        <v>135839</v>
      </c>
      <c r="AF306" s="138"/>
      <c r="AG306" s="12" t="s">
        <v>396</v>
      </c>
      <c r="AH306" s="12"/>
      <c r="AI306" s="12" t="s">
        <v>32</v>
      </c>
      <c r="AJ306" s="12"/>
      <c r="AK306" s="8">
        <v>198918</v>
      </c>
      <c r="AL306" s="8"/>
      <c r="AM306" s="8">
        <v>136625</v>
      </c>
      <c r="AN306" s="8"/>
      <c r="AO306" s="8">
        <v>246875</v>
      </c>
      <c r="AP306" s="8"/>
      <c r="AQ306" s="8"/>
      <c r="AR306" s="8"/>
      <c r="AS306" s="8"/>
      <c r="AT306" s="8"/>
      <c r="AU306" s="8">
        <f>491538+370000+75835</f>
        <v>937373</v>
      </c>
      <c r="AV306" s="8"/>
      <c r="AW306" s="8">
        <f t="shared" si="16"/>
        <v>9384896</v>
      </c>
      <c r="AY306" s="8">
        <f>+'St of Activites - GA Rev'!AI306-'St of Activities - GA Exp'!AW306</f>
        <v>-639562</v>
      </c>
      <c r="BA306" s="8">
        <v>5005965</v>
      </c>
      <c r="BC306" s="8">
        <f t="shared" si="17"/>
        <v>4366403</v>
      </c>
      <c r="BE306" s="8">
        <f>+'St of Net Assets - GA'!AA309-'St of Activities - GA Exp'!BC306</f>
        <v>0</v>
      </c>
      <c r="BG306" s="15" t="s">
        <v>905</v>
      </c>
    </row>
    <row r="307" spans="1:59" s="35" customFormat="1">
      <c r="A307" s="34" t="s">
        <v>582</v>
      </c>
      <c r="B307" s="34"/>
      <c r="C307" s="34" t="s">
        <v>54</v>
      </c>
      <c r="D307" s="34"/>
      <c r="E307" s="34">
        <v>49080</v>
      </c>
      <c r="G307" s="8">
        <v>9307200</v>
      </c>
      <c r="H307" s="8"/>
      <c r="I307" s="8">
        <v>1945186</v>
      </c>
      <c r="J307" s="8"/>
      <c r="K307" s="8">
        <v>19472</v>
      </c>
      <c r="L307" s="8"/>
      <c r="M307" s="8">
        <v>126069</v>
      </c>
      <c r="N307" s="8"/>
      <c r="O307" s="8">
        <v>886534</v>
      </c>
      <c r="P307" s="8"/>
      <c r="Q307" s="8">
        <v>1088939</v>
      </c>
      <c r="R307" s="8"/>
      <c r="S307" s="8">
        <v>108077</v>
      </c>
      <c r="T307" s="8"/>
      <c r="U307" s="8">
        <v>1399728</v>
      </c>
      <c r="V307" s="8"/>
      <c r="W307" s="8">
        <v>490700</v>
      </c>
      <c r="X307" s="8"/>
      <c r="Y307" s="8">
        <v>360</v>
      </c>
      <c r="Z307" s="8"/>
      <c r="AA307" s="8">
        <v>2022363</v>
      </c>
      <c r="AB307" s="8"/>
      <c r="AC307" s="8">
        <v>1538001</v>
      </c>
      <c r="AD307" s="8"/>
      <c r="AE307" s="8">
        <v>244904</v>
      </c>
      <c r="AF307" s="139"/>
      <c r="AG307" s="34" t="s">
        <v>582</v>
      </c>
      <c r="AH307" s="34"/>
      <c r="AI307" s="34" t="s">
        <v>54</v>
      </c>
      <c r="AJ307" s="34"/>
      <c r="AK307" s="8">
        <v>819363</v>
      </c>
      <c r="AL307" s="8"/>
      <c r="AM307" s="8">
        <v>0</v>
      </c>
      <c r="AN307" s="8"/>
      <c r="AO307" s="8">
        <v>429033</v>
      </c>
      <c r="AP307" s="8"/>
      <c r="AQ307" s="8">
        <v>0</v>
      </c>
      <c r="AR307" s="8"/>
      <c r="AS307" s="8"/>
      <c r="AT307" s="8"/>
      <c r="AU307" s="8">
        <v>0</v>
      </c>
      <c r="AV307" s="8"/>
      <c r="AW307" s="8">
        <f t="shared" si="16"/>
        <v>20425929</v>
      </c>
      <c r="AX307" s="8"/>
      <c r="AY307" s="8">
        <f>+'St of Activites - GA Rev'!AI310-'St of Activities - GA Exp'!AW307</f>
        <v>1996218</v>
      </c>
      <c r="AZ307" s="8"/>
      <c r="BA307" s="8">
        <v>9993164</v>
      </c>
      <c r="BB307" s="8"/>
      <c r="BC307" s="8">
        <f t="shared" si="17"/>
        <v>11989382</v>
      </c>
      <c r="BE307" s="8">
        <f>+'St of Net Assets - GA'!AA310-'St of Activities - GA Exp'!BC307</f>
        <v>0</v>
      </c>
    </row>
    <row r="308" spans="1:59">
      <c r="A308" s="12" t="s">
        <v>440</v>
      </c>
      <c r="B308" s="12"/>
      <c r="C308" s="12" t="s">
        <v>35</v>
      </c>
      <c r="D308" s="12"/>
      <c r="E308" s="32">
        <v>44248</v>
      </c>
      <c r="G308" s="8">
        <v>16634966</v>
      </c>
      <c r="H308" s="8"/>
      <c r="I308" s="8">
        <v>5168051</v>
      </c>
      <c r="J308" s="8"/>
      <c r="K308" s="8">
        <v>601343</v>
      </c>
      <c r="L308" s="8"/>
      <c r="M308" s="8">
        <v>180912</v>
      </c>
      <c r="N308" s="8"/>
      <c r="O308" s="8">
        <v>2649583</v>
      </c>
      <c r="P308" s="8"/>
      <c r="Q308" s="8">
        <v>2917260</v>
      </c>
      <c r="R308" s="8"/>
      <c r="S308" s="8">
        <v>132451</v>
      </c>
      <c r="T308" s="8"/>
      <c r="U308" s="8">
        <v>2813897</v>
      </c>
      <c r="V308" s="8"/>
      <c r="W308" s="8">
        <v>1098175</v>
      </c>
      <c r="X308" s="8"/>
      <c r="Y308" s="8">
        <v>0</v>
      </c>
      <c r="Z308" s="8"/>
      <c r="AA308" s="8">
        <v>3589080</v>
      </c>
      <c r="AB308" s="8"/>
      <c r="AC308" s="8">
        <v>3117045</v>
      </c>
      <c r="AD308" s="8"/>
      <c r="AE308" s="8">
        <v>32143</v>
      </c>
      <c r="AF308" s="138"/>
      <c r="AG308" s="12" t="s">
        <v>440</v>
      </c>
      <c r="AH308" s="12"/>
      <c r="AI308" s="12" t="s">
        <v>35</v>
      </c>
      <c r="AJ308" s="12"/>
      <c r="AK308" s="8">
        <v>1758786</v>
      </c>
      <c r="AL308" s="8"/>
      <c r="AM308" s="8">
        <f>262973+46814</f>
        <v>309787</v>
      </c>
      <c r="AN308" s="8"/>
      <c r="AO308" s="8">
        <v>1208187</v>
      </c>
      <c r="AP308" s="8"/>
      <c r="AQ308" s="8">
        <v>1562954</v>
      </c>
      <c r="AR308" s="8"/>
      <c r="AS308" s="8"/>
      <c r="AT308" s="8"/>
      <c r="AU308" s="8">
        <v>0</v>
      </c>
      <c r="AV308" s="8"/>
      <c r="AW308" s="8">
        <f t="shared" si="16"/>
        <v>43774620</v>
      </c>
      <c r="AY308" s="8">
        <f>+'St of Activites - GA Rev'!AI311-'St of Activities - GA Exp'!AW308</f>
        <v>-1152363</v>
      </c>
      <c r="BA308" s="8">
        <v>96182815</v>
      </c>
      <c r="BC308" s="8">
        <f t="shared" si="17"/>
        <v>95030452</v>
      </c>
      <c r="BE308" s="8">
        <f>+'St of Net Assets - GA'!AA311-'St of Activities - GA Exp'!BC308</f>
        <v>0</v>
      </c>
      <c r="BG308" s="8"/>
    </row>
    <row r="309" spans="1:59">
      <c r="A309" s="12" t="s">
        <v>507</v>
      </c>
      <c r="B309" s="12"/>
      <c r="C309" s="12" t="s">
        <v>505</v>
      </c>
      <c r="D309" s="12"/>
      <c r="E309" s="32">
        <v>44255</v>
      </c>
      <c r="G309" s="8">
        <v>10677696</v>
      </c>
      <c r="H309" s="8"/>
      <c r="I309" s="8">
        <v>3737457</v>
      </c>
      <c r="J309" s="8"/>
      <c r="K309" s="8">
        <v>366810</v>
      </c>
      <c r="L309" s="8"/>
      <c r="M309" s="8">
        <v>37718</v>
      </c>
      <c r="N309" s="8"/>
      <c r="O309" s="8">
        <v>784521</v>
      </c>
      <c r="P309" s="8"/>
      <c r="Q309" s="8">
        <v>1418333</v>
      </c>
      <c r="R309" s="8"/>
      <c r="S309" s="8">
        <v>99197</v>
      </c>
      <c r="T309" s="8"/>
      <c r="U309" s="8">
        <v>1994994</v>
      </c>
      <c r="V309" s="8"/>
      <c r="W309" s="8">
        <v>629851</v>
      </c>
      <c r="X309" s="8"/>
      <c r="Y309" s="8">
        <v>0</v>
      </c>
      <c r="Z309" s="8"/>
      <c r="AA309" s="8">
        <v>2512425</v>
      </c>
      <c r="AB309" s="8"/>
      <c r="AC309" s="8">
        <v>983314</v>
      </c>
      <c r="AD309" s="8"/>
      <c r="AE309" s="8">
        <v>176898</v>
      </c>
      <c r="AF309" s="138"/>
      <c r="AG309" s="12" t="s">
        <v>507</v>
      </c>
      <c r="AH309" s="12"/>
      <c r="AI309" s="12" t="s">
        <v>505</v>
      </c>
      <c r="AJ309" s="12"/>
      <c r="AK309" s="8">
        <v>829374</v>
      </c>
      <c r="AL309" s="8"/>
      <c r="AM309" s="8">
        <v>113745</v>
      </c>
      <c r="AN309" s="8"/>
      <c r="AO309" s="8">
        <v>813285</v>
      </c>
      <c r="AP309" s="8"/>
      <c r="AQ309" s="8">
        <v>1324861</v>
      </c>
      <c r="AR309" s="8"/>
      <c r="AS309" s="8"/>
      <c r="AT309" s="8"/>
      <c r="AU309" s="8">
        <v>0</v>
      </c>
      <c r="AV309" s="8"/>
      <c r="AW309" s="8">
        <f t="shared" si="16"/>
        <v>26500479</v>
      </c>
      <c r="AY309" s="8">
        <f>+'St of Activites - GA Rev'!AI312-'St of Activities - GA Exp'!AW309</f>
        <v>21565500</v>
      </c>
      <c r="BA309" s="8">
        <v>19208504</v>
      </c>
      <c r="BC309" s="8">
        <f t="shared" si="17"/>
        <v>40774004</v>
      </c>
      <c r="BE309" s="8">
        <f>+'St of Net Assets - GA'!AA312-'St of Activities - GA Exp'!BC309</f>
        <v>0</v>
      </c>
    </row>
    <row r="310" spans="1:59">
      <c r="A310" s="12" t="s">
        <v>490</v>
      </c>
      <c r="B310" s="12"/>
      <c r="C310" s="12" t="s">
        <v>44</v>
      </c>
      <c r="D310" s="12"/>
      <c r="E310" s="32">
        <v>44263</v>
      </c>
      <c r="G310" s="8">
        <v>38869300</v>
      </c>
      <c r="H310" s="8"/>
      <c r="I310" s="8">
        <v>8226657</v>
      </c>
      <c r="J310" s="8"/>
      <c r="K310" s="8">
        <v>2660182</v>
      </c>
      <c r="L310" s="8"/>
      <c r="M310" s="8">
        <f>58519+1293799+15419104</f>
        <v>16771422</v>
      </c>
      <c r="N310" s="8"/>
      <c r="O310" s="8">
        <v>4850452</v>
      </c>
      <c r="P310" s="8"/>
      <c r="Q310" s="8">
        <v>5783723</v>
      </c>
      <c r="R310" s="8"/>
      <c r="S310" s="8">
        <v>451241</v>
      </c>
      <c r="T310" s="8"/>
      <c r="U310" s="8">
        <v>7612123</v>
      </c>
      <c r="V310" s="8"/>
      <c r="W310" s="8">
        <v>2059812</v>
      </c>
      <c r="X310" s="8"/>
      <c r="Y310" s="8">
        <v>480275</v>
      </c>
      <c r="Z310" s="8"/>
      <c r="AA310" s="8">
        <v>10396060</v>
      </c>
      <c r="AB310" s="8"/>
      <c r="AC310" s="8">
        <v>2415026</v>
      </c>
      <c r="AD310" s="8"/>
      <c r="AE310" s="8">
        <v>1172181</v>
      </c>
      <c r="AF310" s="138"/>
      <c r="AG310" s="12" t="s">
        <v>490</v>
      </c>
      <c r="AH310" s="12"/>
      <c r="AI310" s="12" t="s">
        <v>44</v>
      </c>
      <c r="AJ310" s="12"/>
      <c r="AK310" s="8">
        <v>4024968</v>
      </c>
      <c r="AL310" s="8"/>
      <c r="AM310" s="8">
        <v>1841021</v>
      </c>
      <c r="AN310" s="8"/>
      <c r="AO310" s="8">
        <v>1795164</v>
      </c>
      <c r="AP310" s="8"/>
      <c r="AQ310" s="8">
        <v>1821038</v>
      </c>
      <c r="AR310" s="8"/>
      <c r="AS310" s="8"/>
      <c r="AT310" s="8"/>
      <c r="AU310" s="8">
        <v>0</v>
      </c>
      <c r="AV310" s="8"/>
      <c r="AW310" s="8">
        <f t="shared" si="16"/>
        <v>111230645</v>
      </c>
      <c r="AY310" s="8">
        <f>+'St of Activites - GA Rev'!AI313-'St of Activities - GA Exp'!AW310</f>
        <v>3689919</v>
      </c>
      <c r="BA310" s="8">
        <v>183271160</v>
      </c>
      <c r="BC310" s="8">
        <f t="shared" si="17"/>
        <v>186961079</v>
      </c>
      <c r="BE310" s="8">
        <f>+'St of Net Assets - GA'!AA313-'St of Activities - GA Exp'!BC310</f>
        <v>0</v>
      </c>
    </row>
    <row r="311" spans="1:59">
      <c r="A311" s="12"/>
      <c r="B311" s="12"/>
      <c r="C311" s="12"/>
      <c r="D311" s="12"/>
      <c r="E311" s="32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138"/>
      <c r="AG311" s="12"/>
      <c r="AH311" s="12"/>
      <c r="AI311" s="12"/>
      <c r="AJ311" s="12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</row>
    <row r="312" spans="1:59">
      <c r="A312" s="12"/>
      <c r="B312" s="12"/>
      <c r="C312" s="12"/>
      <c r="D312" s="12"/>
      <c r="E312" s="32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 t="s">
        <v>805</v>
      </c>
      <c r="AF312" s="138"/>
      <c r="AG312" s="12"/>
      <c r="AH312" s="12"/>
      <c r="AI312" s="12"/>
      <c r="AJ312" s="12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BC312" s="8" t="s">
        <v>805</v>
      </c>
    </row>
    <row r="313" spans="1:59">
      <c r="A313" s="12"/>
      <c r="B313" s="12"/>
      <c r="C313" s="12"/>
      <c r="D313" s="12"/>
      <c r="E313" s="32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138"/>
      <c r="AG313" s="12"/>
      <c r="AH313" s="12"/>
      <c r="AI313" s="12"/>
      <c r="AJ313" s="12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</row>
    <row r="314" spans="1:59">
      <c r="A314" s="12" t="s">
        <v>686</v>
      </c>
      <c r="B314" s="12"/>
      <c r="C314" s="12" t="s">
        <v>64</v>
      </c>
      <c r="D314" s="12"/>
      <c r="E314" s="32">
        <v>50203</v>
      </c>
      <c r="G314" s="35">
        <v>3501719</v>
      </c>
      <c r="H314" s="35"/>
      <c r="I314" s="35">
        <v>668284</v>
      </c>
      <c r="J314" s="35"/>
      <c r="K314" s="35">
        <v>102209</v>
      </c>
      <c r="L314" s="35"/>
      <c r="M314" s="35">
        <f>937+213244</f>
        <v>214181</v>
      </c>
      <c r="N314" s="35"/>
      <c r="O314" s="35">
        <v>169923</v>
      </c>
      <c r="P314" s="35"/>
      <c r="Q314" s="35">
        <v>141207</v>
      </c>
      <c r="R314" s="35"/>
      <c r="S314" s="35">
        <v>114032</v>
      </c>
      <c r="T314" s="35"/>
      <c r="U314" s="35">
        <v>529174</v>
      </c>
      <c r="V314" s="35"/>
      <c r="W314" s="35">
        <v>346193</v>
      </c>
      <c r="X314" s="35"/>
      <c r="Y314" s="35">
        <v>4961</v>
      </c>
      <c r="Z314" s="35"/>
      <c r="AA314" s="35">
        <v>2938879</v>
      </c>
      <c r="AB314" s="35"/>
      <c r="AC314" s="35">
        <v>284788</v>
      </c>
      <c r="AD314" s="35"/>
      <c r="AE314" s="35">
        <v>34863</v>
      </c>
      <c r="AF314" s="138"/>
      <c r="AG314" s="12" t="s">
        <v>686</v>
      </c>
      <c r="AH314" s="12"/>
      <c r="AI314" s="12" t="s">
        <v>64</v>
      </c>
      <c r="AJ314" s="12"/>
      <c r="AK314" s="35">
        <v>162801</v>
      </c>
      <c r="AL314" s="35"/>
      <c r="AM314" s="35">
        <f>3637+9568</f>
        <v>13205</v>
      </c>
      <c r="AN314" s="35"/>
      <c r="AO314" s="35">
        <v>229313</v>
      </c>
      <c r="AP314" s="35"/>
      <c r="AQ314" s="35">
        <v>124826</v>
      </c>
      <c r="AR314" s="35"/>
      <c r="AS314" s="35"/>
      <c r="AT314" s="35"/>
      <c r="AU314" s="35">
        <v>0</v>
      </c>
      <c r="AV314" s="35"/>
      <c r="AW314" s="35">
        <f t="shared" si="16"/>
        <v>9580558</v>
      </c>
      <c r="AX314" s="35"/>
      <c r="AY314" s="35">
        <f>+'St of Activites - GA Rev'!AI314-'St of Activities - GA Exp'!AW314</f>
        <v>-1861732</v>
      </c>
      <c r="AZ314" s="35"/>
      <c r="BA314" s="35">
        <v>4659812</v>
      </c>
      <c r="BB314" s="35"/>
      <c r="BC314" s="35">
        <f t="shared" si="17"/>
        <v>2798080</v>
      </c>
      <c r="BE314" s="8">
        <f>+'St of Net Assets - GA'!AA314-'St of Activities - GA Exp'!BC314</f>
        <v>0</v>
      </c>
    </row>
    <row r="315" spans="1:59">
      <c r="A315" s="12" t="s">
        <v>991</v>
      </c>
      <c r="B315" s="12"/>
      <c r="C315" s="12" t="s">
        <v>11</v>
      </c>
      <c r="D315" s="12"/>
      <c r="E315" s="32">
        <v>45468</v>
      </c>
      <c r="F315" s="8"/>
      <c r="G315" s="8">
        <v>5502594</v>
      </c>
      <c r="H315" s="8"/>
      <c r="I315" s="8">
        <v>1138968</v>
      </c>
      <c r="J315" s="8"/>
      <c r="K315" s="8">
        <v>334079</v>
      </c>
      <c r="L315" s="8"/>
      <c r="M315" s="8">
        <v>828647</v>
      </c>
      <c r="N315" s="8"/>
      <c r="O315" s="8">
        <v>747163</v>
      </c>
      <c r="P315" s="8"/>
      <c r="Q315" s="8">
        <v>721328</v>
      </c>
      <c r="R315" s="8"/>
      <c r="S315" s="8">
        <v>27443</v>
      </c>
      <c r="T315" s="8"/>
      <c r="U315" s="8">
        <v>1033615</v>
      </c>
      <c r="V315" s="8"/>
      <c r="W315" s="8">
        <v>450352</v>
      </c>
      <c r="X315" s="8"/>
      <c r="Y315" s="8">
        <v>11390</v>
      </c>
      <c r="Z315" s="8"/>
      <c r="AA315" s="8">
        <v>1088213</v>
      </c>
      <c r="AB315" s="8"/>
      <c r="AC315" s="8">
        <v>764913</v>
      </c>
      <c r="AD315" s="8"/>
      <c r="AE315" s="8">
        <v>79561</v>
      </c>
      <c r="AF315" s="138"/>
      <c r="AG315" s="12" t="s">
        <v>215</v>
      </c>
      <c r="AH315" s="12"/>
      <c r="AI315" s="12" t="s">
        <v>11</v>
      </c>
      <c r="AJ315" s="12"/>
      <c r="AK315" s="8">
        <v>498836</v>
      </c>
      <c r="AL315" s="8"/>
      <c r="AM315" s="8">
        <v>52536</v>
      </c>
      <c r="AN315" s="8"/>
      <c r="AO315" s="8">
        <v>470618</v>
      </c>
      <c r="AP315" s="8"/>
      <c r="AQ315" s="8">
        <v>39778</v>
      </c>
      <c r="AR315" s="8"/>
      <c r="AS315" s="8"/>
      <c r="AT315" s="8"/>
      <c r="AU315" s="8">
        <v>0</v>
      </c>
      <c r="AV315" s="8"/>
      <c r="AW315" s="8">
        <f t="shared" si="16"/>
        <v>13790034</v>
      </c>
      <c r="AY315" s="8">
        <f>+'St of Activites - GA Rev'!AI315-'St of Activities - GA Exp'!AW315</f>
        <v>286099</v>
      </c>
      <c r="BA315" s="8">
        <v>6388878</v>
      </c>
      <c r="BC315" s="8">
        <f t="shared" si="17"/>
        <v>6674977</v>
      </c>
      <c r="BE315" s="8">
        <f>+'St of Net Assets - GA'!AA315-'St of Activities - GA Exp'!BC315</f>
        <v>0</v>
      </c>
      <c r="BG315" s="8" t="s">
        <v>956</v>
      </c>
    </row>
    <row r="316" spans="1:59">
      <c r="A316" s="12" t="s">
        <v>654</v>
      </c>
      <c r="B316" s="12"/>
      <c r="C316" s="12" t="s">
        <v>62</v>
      </c>
      <c r="D316" s="12"/>
      <c r="E316" s="32">
        <v>49874</v>
      </c>
      <c r="G316" s="8">
        <v>12625165</v>
      </c>
      <c r="H316" s="8"/>
      <c r="I316" s="8">
        <v>3280444</v>
      </c>
      <c r="J316" s="8"/>
      <c r="K316" s="8">
        <v>483922</v>
      </c>
      <c r="L316" s="8"/>
      <c r="M316" s="8">
        <v>794966</v>
      </c>
      <c r="N316" s="8"/>
      <c r="O316" s="8">
        <v>1240612</v>
      </c>
      <c r="P316" s="8"/>
      <c r="Q316" s="8">
        <v>857538</v>
      </c>
      <c r="R316" s="8"/>
      <c r="S316" s="8">
        <v>55000</v>
      </c>
      <c r="T316" s="8"/>
      <c r="U316" s="8">
        <v>1902497</v>
      </c>
      <c r="V316" s="8"/>
      <c r="W316" s="8">
        <v>497198</v>
      </c>
      <c r="X316" s="8"/>
      <c r="Y316" s="8">
        <v>90535</v>
      </c>
      <c r="Z316" s="8"/>
      <c r="AA316" s="8">
        <v>2435898</v>
      </c>
      <c r="AB316" s="8"/>
      <c r="AC316" s="8">
        <v>1327384</v>
      </c>
      <c r="AD316" s="8"/>
      <c r="AE316" s="8">
        <v>2402</v>
      </c>
      <c r="AF316" s="138"/>
      <c r="AG316" s="12" t="s">
        <v>654</v>
      </c>
      <c r="AH316" s="12"/>
      <c r="AI316" s="12" t="s">
        <v>62</v>
      </c>
      <c r="AJ316" s="12"/>
      <c r="AK316" s="8">
        <v>1249782</v>
      </c>
      <c r="AL316" s="8"/>
      <c r="AM316" s="8">
        <v>582597</v>
      </c>
      <c r="AN316" s="8"/>
      <c r="AO316" s="8">
        <v>897184</v>
      </c>
      <c r="AP316" s="8"/>
      <c r="AQ316" s="8">
        <v>1201126</v>
      </c>
      <c r="AR316" s="8"/>
      <c r="AS316" s="8"/>
      <c r="AT316" s="8"/>
      <c r="AU316" s="8">
        <v>0</v>
      </c>
      <c r="AV316" s="8"/>
      <c r="AW316" s="8">
        <f t="shared" si="16"/>
        <v>29524250</v>
      </c>
      <c r="AY316" s="8">
        <f>+'St of Activites - GA Rev'!AI316-'St of Activities - GA Exp'!AW316</f>
        <v>37835718</v>
      </c>
      <c r="BA316" s="8">
        <v>11856955</v>
      </c>
      <c r="BC316" s="8">
        <f t="shared" si="17"/>
        <v>49692673</v>
      </c>
      <c r="BE316" s="8">
        <f>+'St of Net Assets - GA'!AA316-'St of Activities - GA Exp'!BC316</f>
        <v>0</v>
      </c>
    </row>
    <row r="317" spans="1:59">
      <c r="A317" s="12" t="s">
        <v>397</v>
      </c>
      <c r="B317" s="12"/>
      <c r="C317" s="12" t="s">
        <v>32</v>
      </c>
      <c r="D317" s="12"/>
      <c r="E317" s="32">
        <v>44271</v>
      </c>
      <c r="G317" s="8">
        <v>20113504</v>
      </c>
      <c r="H317" s="8"/>
      <c r="I317" s="8">
        <v>5266594</v>
      </c>
      <c r="J317" s="8"/>
      <c r="K317" s="8">
        <v>162856</v>
      </c>
      <c r="L317" s="8"/>
      <c r="M317" s="8">
        <v>556269</v>
      </c>
      <c r="N317" s="8"/>
      <c r="O317" s="8">
        <v>2317693</v>
      </c>
      <c r="P317" s="8"/>
      <c r="Q317" s="8">
        <v>1197680</v>
      </c>
      <c r="R317" s="8"/>
      <c r="S317" s="8">
        <v>69759</v>
      </c>
      <c r="T317" s="8"/>
      <c r="U317" s="8">
        <v>2966859</v>
      </c>
      <c r="V317" s="8"/>
      <c r="W317" s="8">
        <v>1127716</v>
      </c>
      <c r="X317" s="8"/>
      <c r="Y317" s="8">
        <v>227763</v>
      </c>
      <c r="Z317" s="8"/>
      <c r="AA317" s="8">
        <v>3590134</v>
      </c>
      <c r="AB317" s="8"/>
      <c r="AC317" s="8">
        <v>3426306</v>
      </c>
      <c r="AD317" s="8"/>
      <c r="AE317" s="8">
        <v>1033549</v>
      </c>
      <c r="AF317" s="138"/>
      <c r="AG317" s="12" t="s">
        <v>397</v>
      </c>
      <c r="AH317" s="12"/>
      <c r="AI317" s="12" t="s">
        <v>32</v>
      </c>
      <c r="AJ317" s="12"/>
      <c r="AK317" s="8">
        <v>0</v>
      </c>
      <c r="AL317" s="8"/>
      <c r="AM317" s="8">
        <v>2055234</v>
      </c>
      <c r="AN317" s="8"/>
      <c r="AO317" s="8">
        <v>1212385</v>
      </c>
      <c r="AP317" s="8"/>
      <c r="AQ317" s="8">
        <v>2139888</v>
      </c>
      <c r="AR317" s="8"/>
      <c r="AS317" s="8"/>
      <c r="AT317" s="8"/>
      <c r="AU317" s="8">
        <v>0</v>
      </c>
      <c r="AV317" s="8"/>
      <c r="AW317" s="8">
        <f t="shared" si="16"/>
        <v>47464189</v>
      </c>
      <c r="AY317" s="8">
        <f>+'St of Activites - GA Rev'!AI317-'St of Activities - GA Exp'!AW317</f>
        <v>1096179</v>
      </c>
      <c r="BA317" s="8">
        <v>32431987</v>
      </c>
      <c r="BC317" s="8">
        <f t="shared" si="17"/>
        <v>33528166</v>
      </c>
      <c r="BE317" s="8">
        <f>+'St of Net Assets - GA'!AA317-'St of Activities - GA Exp'!BC317</f>
        <v>0</v>
      </c>
    </row>
    <row r="318" spans="1:59" ht="12" customHeight="1">
      <c r="A318" s="12" t="s">
        <v>513</v>
      </c>
      <c r="B318" s="12"/>
      <c r="C318" s="12" t="s">
        <v>45</v>
      </c>
      <c r="D318" s="12"/>
      <c r="E318" s="32">
        <v>48330</v>
      </c>
      <c r="G318" s="8">
        <v>2759909</v>
      </c>
      <c r="H318" s="8"/>
      <c r="I318" s="8">
        <v>283727</v>
      </c>
      <c r="J318" s="8"/>
      <c r="K318" s="8">
        <v>29417</v>
      </c>
      <c r="L318" s="8"/>
      <c r="M318" s="8">
        <v>11172</v>
      </c>
      <c r="N318" s="8"/>
      <c r="O318" s="8">
        <v>373249</v>
      </c>
      <c r="P318" s="8"/>
      <c r="Q318" s="8">
        <v>147774</v>
      </c>
      <c r="R318" s="8"/>
      <c r="S318" s="8">
        <v>22343</v>
      </c>
      <c r="T318" s="8"/>
      <c r="U318" s="8">
        <v>398519</v>
      </c>
      <c r="V318" s="8"/>
      <c r="W318" s="8">
        <v>139169</v>
      </c>
      <c r="X318" s="8"/>
      <c r="Y318" s="8">
        <v>0</v>
      </c>
      <c r="Z318" s="8"/>
      <c r="AA318" s="8">
        <v>552655</v>
      </c>
      <c r="AB318" s="8"/>
      <c r="AC318" s="8">
        <v>160145</v>
      </c>
      <c r="AD318" s="8"/>
      <c r="AE318" s="8">
        <v>52154</v>
      </c>
      <c r="AF318" s="138"/>
      <c r="AG318" s="12" t="s">
        <v>513</v>
      </c>
      <c r="AH318" s="12"/>
      <c r="AI318" s="12" t="s">
        <v>45</v>
      </c>
      <c r="AJ318" s="12"/>
      <c r="AK318" s="8">
        <v>328208</v>
      </c>
      <c r="AL318" s="8"/>
      <c r="AM318" s="8">
        <v>0</v>
      </c>
      <c r="AN318" s="8"/>
      <c r="AO318" s="8">
        <v>396801</v>
      </c>
      <c r="AP318" s="8"/>
      <c r="AQ318" s="8">
        <v>95068</v>
      </c>
      <c r="AR318" s="8"/>
      <c r="AS318" s="8"/>
      <c r="AT318" s="8"/>
      <c r="AU318" s="8">
        <v>0</v>
      </c>
      <c r="AV318" s="8"/>
      <c r="AW318" s="8">
        <f t="shared" si="16"/>
        <v>5750310</v>
      </c>
      <c r="AY318" s="8">
        <f>+'St of Activites - GA Rev'!AI318-'St of Activities - GA Exp'!AW318</f>
        <v>-431135</v>
      </c>
      <c r="BA318" s="8">
        <v>14588883</v>
      </c>
      <c r="BC318" s="8">
        <f t="shared" si="17"/>
        <v>14157748</v>
      </c>
      <c r="BE318" s="8">
        <f>+'St of Net Assets - GA'!AA318-'St of Activities - GA Exp'!BC318</f>
        <v>0</v>
      </c>
    </row>
    <row r="319" spans="1:59">
      <c r="A319" s="12" t="s">
        <v>611</v>
      </c>
      <c r="B319" s="12"/>
      <c r="C319" s="12" t="s">
        <v>112</v>
      </c>
      <c r="D319" s="12"/>
      <c r="E319" s="32">
        <v>49445</v>
      </c>
      <c r="G319" s="8">
        <v>2160746</v>
      </c>
      <c r="H319" s="8"/>
      <c r="I319" s="8">
        <v>424494</v>
      </c>
      <c r="J319" s="8"/>
      <c r="K319" s="8">
        <v>4409</v>
      </c>
      <c r="L319" s="8"/>
      <c r="M319" s="8">
        <v>480089</v>
      </c>
      <c r="N319" s="8"/>
      <c r="O319" s="8">
        <v>63279</v>
      </c>
      <c r="P319" s="8"/>
      <c r="Q319" s="8">
        <v>200680</v>
      </c>
      <c r="R319" s="8"/>
      <c r="S319" s="8">
        <v>18098</v>
      </c>
      <c r="T319" s="8"/>
      <c r="U319" s="8">
        <v>528741</v>
      </c>
      <c r="V319" s="8"/>
      <c r="W319" s="8">
        <v>235713</v>
      </c>
      <c r="X319" s="8"/>
      <c r="Y319" s="8">
        <v>0</v>
      </c>
      <c r="Z319" s="8"/>
      <c r="AA319" s="8">
        <v>434469</v>
      </c>
      <c r="AB319" s="8"/>
      <c r="AC319" s="8">
        <v>340667</v>
      </c>
      <c r="AD319" s="8"/>
      <c r="AE319" s="8">
        <v>45412</v>
      </c>
      <c r="AF319" s="138"/>
      <c r="AG319" s="12" t="s">
        <v>611</v>
      </c>
      <c r="AH319" s="12"/>
      <c r="AI319" s="12" t="s">
        <v>112</v>
      </c>
      <c r="AJ319" s="12"/>
      <c r="AK319" s="8">
        <v>303986</v>
      </c>
      <c r="AL319" s="8"/>
      <c r="AM319" s="8">
        <v>1318</v>
      </c>
      <c r="AN319" s="8"/>
      <c r="AO319" s="8">
        <v>66739</v>
      </c>
      <c r="AP319" s="8"/>
      <c r="AQ319" s="8">
        <v>0</v>
      </c>
      <c r="AR319" s="8"/>
      <c r="AS319" s="8"/>
      <c r="AT319" s="8"/>
      <c r="AU319" s="8">
        <v>0</v>
      </c>
      <c r="AV319" s="8"/>
      <c r="AW319" s="8">
        <f t="shared" si="16"/>
        <v>5308840</v>
      </c>
      <c r="AY319" s="8">
        <f>+'St of Activites - GA Rev'!AI319-'St of Activities - GA Exp'!AW319</f>
        <v>465732</v>
      </c>
      <c r="BA319" s="8">
        <v>3697240</v>
      </c>
      <c r="BC319" s="8">
        <f t="shared" si="17"/>
        <v>4162972</v>
      </c>
      <c r="BE319" s="8">
        <f>+'St of Net Assets - GA'!AA319-'St of Activities - GA Exp'!BC319</f>
        <v>0</v>
      </c>
    </row>
    <row r="320" spans="1:59">
      <c r="A320" s="12" t="s">
        <v>439</v>
      </c>
      <c r="B320" s="12"/>
      <c r="C320" s="12" t="s">
        <v>435</v>
      </c>
      <c r="D320" s="12"/>
      <c r="E320" s="32">
        <v>47639</v>
      </c>
      <c r="G320" s="8">
        <v>5991199</v>
      </c>
      <c r="H320" s="8"/>
      <c r="I320" s="8">
        <v>1234959</v>
      </c>
      <c r="J320" s="8"/>
      <c r="K320" s="8">
        <v>221144</v>
      </c>
      <c r="L320" s="8"/>
      <c r="M320" s="8">
        <v>58884</v>
      </c>
      <c r="N320" s="8"/>
      <c r="O320" s="8">
        <v>419890</v>
      </c>
      <c r="P320" s="8"/>
      <c r="Q320" s="8">
        <v>559776</v>
      </c>
      <c r="R320" s="8"/>
      <c r="S320" s="8">
        <v>42602</v>
      </c>
      <c r="T320" s="8"/>
      <c r="U320" s="8">
        <v>1138347</v>
      </c>
      <c r="V320" s="8"/>
      <c r="W320" s="8">
        <v>306077</v>
      </c>
      <c r="X320" s="8"/>
      <c r="Y320" s="8">
        <v>38180</v>
      </c>
      <c r="Z320" s="8"/>
      <c r="AA320" s="8">
        <v>1053630</v>
      </c>
      <c r="AB320" s="8"/>
      <c r="AC320" s="8">
        <v>879012</v>
      </c>
      <c r="AD320" s="8"/>
      <c r="AE320" s="8">
        <v>10514</v>
      </c>
      <c r="AF320" s="138"/>
      <c r="AG320" s="12" t="s">
        <v>439</v>
      </c>
      <c r="AH320" s="12"/>
      <c r="AI320" s="12" t="s">
        <v>435</v>
      </c>
      <c r="AJ320" s="12"/>
      <c r="AK320" s="8">
        <v>630249</v>
      </c>
      <c r="AL320" s="8"/>
      <c r="AM320" s="8">
        <v>1079</v>
      </c>
      <c r="AN320" s="8"/>
      <c r="AO320" s="8">
        <v>171277</v>
      </c>
      <c r="AP320" s="8"/>
      <c r="AQ320" s="8">
        <v>79560</v>
      </c>
      <c r="AR320" s="8"/>
      <c r="AS320" s="8"/>
      <c r="AT320" s="8"/>
      <c r="AU320" s="8">
        <v>0</v>
      </c>
      <c r="AV320" s="8"/>
      <c r="AW320" s="8">
        <f t="shared" si="16"/>
        <v>12836379</v>
      </c>
      <c r="AY320" s="8">
        <f>+'St of Activites - GA Rev'!AI320-'St of Activities - GA Exp'!AW320</f>
        <v>-227253</v>
      </c>
      <c r="BA320" s="8">
        <v>26466553</v>
      </c>
      <c r="BC320" s="8">
        <f t="shared" si="17"/>
        <v>26239300</v>
      </c>
      <c r="BE320" s="8">
        <f>+'St of Net Assets - GA'!AA320-'St of Activities - GA Exp'!BC320</f>
        <v>0</v>
      </c>
    </row>
    <row r="321" spans="1:59">
      <c r="A321" s="12" t="s">
        <v>550</v>
      </c>
      <c r="B321" s="12"/>
      <c r="C321" s="12" t="s">
        <v>50</v>
      </c>
      <c r="D321" s="12"/>
      <c r="E321" s="32">
        <v>48702</v>
      </c>
      <c r="G321" s="8">
        <v>16384529</v>
      </c>
      <c r="H321" s="8"/>
      <c r="I321" s="8">
        <v>4761240</v>
      </c>
      <c r="J321" s="8"/>
      <c r="K321" s="8">
        <v>1996310</v>
      </c>
      <c r="L321" s="8"/>
      <c r="M321" s="8">
        <v>1689072</v>
      </c>
      <c r="N321" s="8"/>
      <c r="O321" s="8">
        <v>2335304</v>
      </c>
      <c r="P321" s="8"/>
      <c r="Q321" s="8">
        <v>2339444</v>
      </c>
      <c r="R321" s="8"/>
      <c r="S321" s="8">
        <v>169881</v>
      </c>
      <c r="T321" s="8"/>
      <c r="U321" s="8">
        <v>2975125</v>
      </c>
      <c r="V321" s="8"/>
      <c r="W321" s="8">
        <v>496753</v>
      </c>
      <c r="X321" s="8"/>
      <c r="Y321" s="8">
        <v>31410</v>
      </c>
      <c r="Z321" s="8"/>
      <c r="AA321" s="8">
        <v>4226946</v>
      </c>
      <c r="AB321" s="8"/>
      <c r="AC321" s="8">
        <v>1648023</v>
      </c>
      <c r="AD321" s="8"/>
      <c r="AE321" s="8">
        <v>273263</v>
      </c>
      <c r="AF321" s="138"/>
      <c r="AG321" s="12" t="s">
        <v>550</v>
      </c>
      <c r="AH321" s="12"/>
      <c r="AI321" s="12" t="s">
        <v>50</v>
      </c>
      <c r="AJ321" s="12"/>
      <c r="AK321" s="8">
        <v>0</v>
      </c>
      <c r="AL321" s="8"/>
      <c r="AM321" s="8">
        <v>2350481</v>
      </c>
      <c r="AN321" s="8"/>
      <c r="AO321" s="8">
        <v>550190</v>
      </c>
      <c r="AP321" s="8"/>
      <c r="AQ321" s="8">
        <v>787381</v>
      </c>
      <c r="AR321" s="8"/>
      <c r="AS321" s="8"/>
      <c r="AT321" s="8"/>
      <c r="AU321" s="8">
        <v>0</v>
      </c>
      <c r="AV321" s="8"/>
      <c r="AW321" s="8">
        <f t="shared" ref="AW321:AW345" si="18">SUM(G321:AV321)</f>
        <v>43015352</v>
      </c>
      <c r="AY321" s="8">
        <f>+'St of Activites - GA Rev'!AI321-'St of Activities - GA Exp'!AW321</f>
        <v>-1137247</v>
      </c>
      <c r="BA321" s="8">
        <v>81906375</v>
      </c>
      <c r="BC321" s="8">
        <f t="shared" ref="BC321:BC345" si="19">+AY321+BA321</f>
        <v>80769128</v>
      </c>
      <c r="BE321" s="8">
        <f>+'St of Net Assets - GA'!AA321-'St of Activities - GA Exp'!BC321</f>
        <v>0</v>
      </c>
      <c r="BG321" s="15" t="s">
        <v>905</v>
      </c>
    </row>
    <row r="322" spans="1:59">
      <c r="A322" s="12" t="s">
        <v>398</v>
      </c>
      <c r="B322" s="12"/>
      <c r="C322" s="12" t="s">
        <v>32</v>
      </c>
      <c r="D322" s="12"/>
      <c r="E322" s="32">
        <v>44289</v>
      </c>
      <c r="G322" s="8">
        <v>7988216</v>
      </c>
      <c r="H322" s="8"/>
      <c r="I322" s="8">
        <v>2099933</v>
      </c>
      <c r="J322" s="8"/>
      <c r="K322" s="8">
        <v>3722</v>
      </c>
      <c r="L322" s="8"/>
      <c r="M322" s="8">
        <v>116267</v>
      </c>
      <c r="N322" s="8"/>
      <c r="O322" s="8">
        <v>1085406</v>
      </c>
      <c r="P322" s="8"/>
      <c r="Q322" s="8">
        <v>373983</v>
      </c>
      <c r="R322" s="8"/>
      <c r="S322" s="8">
        <v>35660</v>
      </c>
      <c r="T322" s="8"/>
      <c r="U322" s="8">
        <v>983701</v>
      </c>
      <c r="V322" s="8"/>
      <c r="W322" s="8">
        <v>488338</v>
      </c>
      <c r="X322" s="8"/>
      <c r="Y322" s="8">
        <v>98274</v>
      </c>
      <c r="Z322" s="8"/>
      <c r="AA322" s="8">
        <v>1642014</v>
      </c>
      <c r="AB322" s="8"/>
      <c r="AC322" s="8">
        <v>740064</v>
      </c>
      <c r="AD322" s="8"/>
      <c r="AE322" s="8">
        <v>342094</v>
      </c>
      <c r="AF322" s="138"/>
      <c r="AG322" s="12" t="s">
        <v>398</v>
      </c>
      <c r="AH322" s="12"/>
      <c r="AI322" s="12" t="s">
        <v>32</v>
      </c>
      <c r="AJ322" s="12"/>
      <c r="AK322" s="8">
        <v>0</v>
      </c>
      <c r="AL322" s="8"/>
      <c r="AM322" s="8">
        <v>956094</v>
      </c>
      <c r="AN322" s="8"/>
      <c r="AO322" s="8">
        <v>599390</v>
      </c>
      <c r="AP322" s="8"/>
      <c r="AQ322" s="8">
        <v>1349807</v>
      </c>
      <c r="AR322" s="8"/>
      <c r="AS322" s="8"/>
      <c r="AT322" s="8"/>
      <c r="AU322" s="8">
        <v>0</v>
      </c>
      <c r="AV322" s="8"/>
      <c r="AW322" s="8">
        <f t="shared" si="18"/>
        <v>18902963</v>
      </c>
      <c r="AY322" s="8">
        <f>+'St of Activites - GA Rev'!AI322-'St of Activities - GA Exp'!AW322</f>
        <v>1317179</v>
      </c>
      <c r="BA322" s="8">
        <v>8840785</v>
      </c>
      <c r="BC322" s="8">
        <f t="shared" si="19"/>
        <v>10157964</v>
      </c>
      <c r="BE322" s="8">
        <f>+'St of Net Assets - GA'!AA322-'St of Activities - GA Exp'!BC322</f>
        <v>0</v>
      </c>
    </row>
    <row r="323" spans="1:59">
      <c r="A323" s="12" t="s">
        <v>246</v>
      </c>
      <c r="B323" s="12"/>
      <c r="C323" s="12" t="s">
        <v>242</v>
      </c>
      <c r="D323" s="12"/>
      <c r="E323" s="32">
        <v>46128</v>
      </c>
      <c r="G323" s="8">
        <v>6160438</v>
      </c>
      <c r="H323" s="8"/>
      <c r="I323" s="8">
        <v>943813</v>
      </c>
      <c r="J323" s="8"/>
      <c r="K323" s="8">
        <v>1275</v>
      </c>
      <c r="L323" s="8"/>
      <c r="M323" s="8">
        <v>419026</v>
      </c>
      <c r="N323" s="8"/>
      <c r="O323" s="8">
        <v>703818</v>
      </c>
      <c r="P323" s="8"/>
      <c r="Q323" s="8">
        <v>777391</v>
      </c>
      <c r="R323" s="8"/>
      <c r="S323" s="8">
        <v>115608</v>
      </c>
      <c r="T323" s="8"/>
      <c r="U323" s="8">
        <v>1217630</v>
      </c>
      <c r="V323" s="8"/>
      <c r="W323" s="8">
        <v>360928</v>
      </c>
      <c r="X323" s="8"/>
      <c r="Y323" s="8">
        <v>1267</v>
      </c>
      <c r="Z323" s="8"/>
      <c r="AA323" s="8">
        <v>1456957</v>
      </c>
      <c r="AB323" s="8"/>
      <c r="AC323" s="8">
        <v>1132259</v>
      </c>
      <c r="AD323" s="8"/>
      <c r="AE323" s="8">
        <v>348879</v>
      </c>
      <c r="AF323" s="138"/>
      <c r="AG323" s="12" t="s">
        <v>246</v>
      </c>
      <c r="AH323" s="12"/>
      <c r="AI323" s="12" t="s">
        <v>242</v>
      </c>
      <c r="AJ323" s="12"/>
      <c r="AK323" s="8">
        <v>671806</v>
      </c>
      <c r="AL323" s="8"/>
      <c r="AM323" s="8">
        <v>45775</v>
      </c>
      <c r="AN323" s="8"/>
      <c r="AO323" s="8">
        <v>411853</v>
      </c>
      <c r="AP323" s="8"/>
      <c r="AQ323" s="8">
        <v>0</v>
      </c>
      <c r="AR323" s="8"/>
      <c r="AS323" s="8"/>
      <c r="AT323" s="8"/>
      <c r="AU323" s="8">
        <v>679062</v>
      </c>
      <c r="AV323" s="8"/>
      <c r="AW323" s="8">
        <f t="shared" si="18"/>
        <v>15447785</v>
      </c>
      <c r="AY323" s="8">
        <f>+'St of Activites - GA Rev'!AI323-'St of Activities - GA Exp'!AW323</f>
        <v>108637</v>
      </c>
      <c r="BA323" s="8">
        <v>20970872</v>
      </c>
      <c r="BC323" s="8">
        <f t="shared" si="19"/>
        <v>21079509</v>
      </c>
      <c r="BE323" s="8">
        <f>+'St of Net Assets - GA'!AA323-'St of Activities - GA Exp'!BC323</f>
        <v>0</v>
      </c>
    </row>
    <row r="324" spans="1:59" hidden="1">
      <c r="A324" s="77" t="s">
        <v>993</v>
      </c>
      <c r="B324" s="12"/>
      <c r="C324" s="12" t="s">
        <v>41</v>
      </c>
      <c r="D324" s="12"/>
      <c r="E324" s="32"/>
      <c r="G324" s="8">
        <v>14005628</v>
      </c>
      <c r="H324" s="8"/>
      <c r="I324" s="8">
        <v>3865434</v>
      </c>
      <c r="J324" s="8"/>
      <c r="K324" s="8">
        <v>213859</v>
      </c>
      <c r="L324" s="8"/>
      <c r="M324" s="8">
        <f>25753+188264</f>
        <v>214017</v>
      </c>
      <c r="N324" s="8"/>
      <c r="O324" s="8">
        <v>1901850</v>
      </c>
      <c r="P324" s="8"/>
      <c r="Q324" s="8">
        <v>458658</v>
      </c>
      <c r="R324" s="8"/>
      <c r="S324" s="8">
        <v>359332</v>
      </c>
      <c r="T324" s="8"/>
      <c r="U324" s="8">
        <v>2467403</v>
      </c>
      <c r="V324" s="8"/>
      <c r="W324" s="8">
        <v>591720</v>
      </c>
      <c r="X324" s="8"/>
      <c r="Y324" s="8">
        <v>896407</v>
      </c>
      <c r="Z324" s="8"/>
      <c r="AA324" s="8">
        <v>2057903</v>
      </c>
      <c r="AB324" s="8"/>
      <c r="AC324" s="8">
        <v>1783130</v>
      </c>
      <c r="AD324" s="8"/>
      <c r="AE324" s="8">
        <v>903643</v>
      </c>
      <c r="AF324" s="138"/>
      <c r="AG324" s="12" t="s">
        <v>993</v>
      </c>
      <c r="AH324" s="12"/>
      <c r="AI324" s="12" t="s">
        <v>41</v>
      </c>
      <c r="AJ324" s="12"/>
      <c r="AK324" s="8"/>
      <c r="AL324" s="8"/>
      <c r="AM324" s="8">
        <f>3257+1034994+102319+269305</f>
        <v>1409875</v>
      </c>
      <c r="AN324" s="8"/>
      <c r="AO324" s="8">
        <v>772813</v>
      </c>
      <c r="AP324" s="8"/>
      <c r="AQ324" s="8"/>
      <c r="AR324" s="8"/>
      <c r="AS324" s="8"/>
      <c r="AT324" s="8"/>
      <c r="AU324" s="8">
        <f>685000+304780</f>
        <v>989780</v>
      </c>
      <c r="AV324" s="8"/>
      <c r="AW324" s="8">
        <f t="shared" si="18"/>
        <v>32891452</v>
      </c>
      <c r="AY324" s="8">
        <f>+'St of Activites - GA Rev'!AI324-'St of Activities - GA Exp'!AW324</f>
        <v>-962536</v>
      </c>
      <c r="BA324" s="8">
        <v>5913763</v>
      </c>
      <c r="BC324" s="8">
        <f t="shared" si="19"/>
        <v>4951227</v>
      </c>
      <c r="BE324" s="8">
        <f>+'St of Net Assets - GA'!AA324-'St of Activities - GA Exp'!BC324</f>
        <v>-283883</v>
      </c>
      <c r="BG324" s="15" t="s">
        <v>994</v>
      </c>
    </row>
    <row r="325" spans="1:59">
      <c r="A325" s="12" t="s">
        <v>246</v>
      </c>
      <c r="B325" s="12"/>
      <c r="C325" s="12" t="s">
        <v>112</v>
      </c>
      <c r="D325" s="12"/>
      <c r="E325" s="32">
        <v>49452</v>
      </c>
      <c r="G325" s="8">
        <v>11877929</v>
      </c>
      <c r="H325" s="8"/>
      <c r="I325" s="8">
        <v>3169090</v>
      </c>
      <c r="J325" s="8"/>
      <c r="K325" s="8">
        <v>2917449</v>
      </c>
      <c r="L325" s="8"/>
      <c r="M325" s="8">
        <f>25972+1996469</f>
        <v>2022441</v>
      </c>
      <c r="N325" s="8"/>
      <c r="O325" s="8">
        <v>1300224</v>
      </c>
      <c r="P325" s="8"/>
      <c r="Q325" s="8">
        <v>1810370</v>
      </c>
      <c r="R325" s="8"/>
      <c r="S325" s="8">
        <v>40403</v>
      </c>
      <c r="T325" s="8"/>
      <c r="U325" s="8">
        <v>2189356</v>
      </c>
      <c r="V325" s="8"/>
      <c r="W325" s="8">
        <v>515408</v>
      </c>
      <c r="X325" s="8"/>
      <c r="Y325" s="8">
        <v>68110</v>
      </c>
      <c r="Z325" s="8"/>
      <c r="AA325" s="8">
        <v>2962124</v>
      </c>
      <c r="AB325" s="8"/>
      <c r="AC325" s="8">
        <v>1315677</v>
      </c>
      <c r="AD325" s="8"/>
      <c r="AE325" s="8">
        <v>296853</v>
      </c>
      <c r="AF325" s="138"/>
      <c r="AG325" s="12" t="s">
        <v>246</v>
      </c>
      <c r="AH325" s="12"/>
      <c r="AI325" s="12" t="s">
        <v>112</v>
      </c>
      <c r="AJ325" s="12"/>
      <c r="AK325" s="8">
        <v>1128845</v>
      </c>
      <c r="AL325" s="8"/>
      <c r="AM325" s="8">
        <v>1065408</v>
      </c>
      <c r="AN325" s="8"/>
      <c r="AO325" s="8">
        <v>625083</v>
      </c>
      <c r="AP325" s="8"/>
      <c r="AQ325" s="8">
        <v>12685</v>
      </c>
      <c r="AR325" s="8"/>
      <c r="AS325" s="8"/>
      <c r="AT325" s="8"/>
      <c r="AU325" s="8">
        <f>968793+573522</f>
        <v>1542315</v>
      </c>
      <c r="AV325" s="8"/>
      <c r="AW325" s="8">
        <f t="shared" si="18"/>
        <v>34859770</v>
      </c>
      <c r="AY325" s="8">
        <f>+'St of Activites - GA Rev'!AI325-'St of Activities - GA Exp'!AW325</f>
        <v>-130459</v>
      </c>
      <c r="BA325" s="8">
        <v>15476414</v>
      </c>
      <c r="BC325" s="8">
        <f t="shared" si="19"/>
        <v>15345955</v>
      </c>
      <c r="BE325" s="8">
        <f>+'St of Net Assets - GA'!AA325-'St of Activities - GA Exp'!BC325</f>
        <v>0</v>
      </c>
    </row>
    <row r="326" spans="1:59">
      <c r="A326" s="12" t="s">
        <v>1023</v>
      </c>
      <c r="B326" s="12"/>
      <c r="C326" s="12" t="s">
        <v>505</v>
      </c>
      <c r="D326" s="12"/>
      <c r="E326" s="32"/>
      <c r="G326" s="8">
        <v>6644901</v>
      </c>
      <c r="H326" s="8"/>
      <c r="I326" s="8">
        <v>752486</v>
      </c>
      <c r="J326" s="8"/>
      <c r="K326" s="8">
        <v>466253</v>
      </c>
      <c r="L326" s="8"/>
      <c r="M326" s="8">
        <v>0</v>
      </c>
      <c r="N326" s="8"/>
      <c r="O326" s="8">
        <v>408245</v>
      </c>
      <c r="P326" s="8"/>
      <c r="Q326" s="8">
        <v>536161</v>
      </c>
      <c r="R326" s="8"/>
      <c r="S326" s="8">
        <v>69939</v>
      </c>
      <c r="T326" s="8"/>
      <c r="U326" s="8">
        <v>1382714</v>
      </c>
      <c r="V326" s="8"/>
      <c r="W326" s="8">
        <v>495638</v>
      </c>
      <c r="X326" s="8"/>
      <c r="Y326" s="8">
        <v>0</v>
      </c>
      <c r="Z326" s="8"/>
      <c r="AA326" s="8">
        <v>980894</v>
      </c>
      <c r="AB326" s="8"/>
      <c r="AC326" s="8">
        <v>1320614</v>
      </c>
      <c r="AD326" s="8"/>
      <c r="AE326" s="8">
        <v>281045</v>
      </c>
      <c r="AF326" s="138"/>
      <c r="AG326" s="12" t="s">
        <v>1023</v>
      </c>
      <c r="AH326" s="12"/>
      <c r="AI326" s="12" t="s">
        <v>505</v>
      </c>
      <c r="AJ326" s="12"/>
      <c r="AK326" s="8">
        <v>672019</v>
      </c>
      <c r="AL326" s="8"/>
      <c r="AM326" s="8">
        <v>0</v>
      </c>
      <c r="AN326" s="8"/>
      <c r="AO326" s="8">
        <v>451458</v>
      </c>
      <c r="AP326" s="8"/>
      <c r="AQ326" s="8">
        <v>9652</v>
      </c>
      <c r="AR326" s="8"/>
      <c r="AS326" s="8"/>
      <c r="AT326" s="8"/>
      <c r="AU326" s="8">
        <v>0</v>
      </c>
      <c r="AV326" s="8"/>
      <c r="AW326" s="8">
        <f t="shared" si="18"/>
        <v>14472019</v>
      </c>
      <c r="AY326" s="8">
        <f>+'St of Activites - GA Rev'!AI326-'St of Activities - GA Exp'!AW326</f>
        <v>1200248</v>
      </c>
      <c r="BA326" s="8">
        <v>10252559</v>
      </c>
      <c r="BC326" s="8">
        <f t="shared" si="19"/>
        <v>11452807</v>
      </c>
      <c r="BE326" s="8">
        <f>+'St of Net Assets - GA'!AA326-'St of Activities - GA Exp'!BC326</f>
        <v>0</v>
      </c>
    </row>
    <row r="327" spans="1:59">
      <c r="A327" s="12" t="s">
        <v>819</v>
      </c>
      <c r="B327" s="12"/>
      <c r="C327" s="12" t="s">
        <v>208</v>
      </c>
      <c r="D327" s="12"/>
      <c r="E327" s="32"/>
      <c r="G327" s="8">
        <v>4644572</v>
      </c>
      <c r="H327" s="8"/>
      <c r="I327" s="8">
        <v>1838233</v>
      </c>
      <c r="J327" s="8"/>
      <c r="K327" s="8">
        <v>1044508</v>
      </c>
      <c r="L327" s="8"/>
      <c r="M327" s="8">
        <v>92777</v>
      </c>
      <c r="N327" s="8"/>
      <c r="O327" s="8">
        <v>484281</v>
      </c>
      <c r="P327" s="8"/>
      <c r="Q327" s="8">
        <v>592400</v>
      </c>
      <c r="R327" s="8"/>
      <c r="S327" s="8">
        <v>87209</v>
      </c>
      <c r="T327" s="8"/>
      <c r="U327" s="8">
        <v>820546</v>
      </c>
      <c r="V327" s="8"/>
      <c r="W327" s="8">
        <v>442477</v>
      </c>
      <c r="X327" s="8"/>
      <c r="Y327" s="8">
        <v>0</v>
      </c>
      <c r="Z327" s="8"/>
      <c r="AA327" s="8">
        <v>1073745</v>
      </c>
      <c r="AB327" s="8"/>
      <c r="AC327" s="8">
        <v>605938</v>
      </c>
      <c r="AD327" s="8"/>
      <c r="AE327" s="8">
        <v>0</v>
      </c>
      <c r="AF327" s="138"/>
      <c r="AG327" s="12" t="s">
        <v>819</v>
      </c>
      <c r="AH327" s="12"/>
      <c r="AI327" s="12" t="s">
        <v>208</v>
      </c>
      <c r="AJ327" s="12"/>
      <c r="AK327" s="8">
        <v>582168</v>
      </c>
      <c r="AL327" s="8"/>
      <c r="AM327" s="8">
        <v>0</v>
      </c>
      <c r="AN327" s="8"/>
      <c r="AO327" s="8">
        <v>301577</v>
      </c>
      <c r="AP327" s="8"/>
      <c r="AQ327" s="8">
        <v>1149413</v>
      </c>
      <c r="AR327" s="8"/>
      <c r="AS327" s="8"/>
      <c r="AT327" s="8"/>
      <c r="AU327" s="8">
        <v>0</v>
      </c>
      <c r="AV327" s="8"/>
      <c r="AW327" s="8">
        <f t="shared" si="18"/>
        <v>13759844</v>
      </c>
      <c r="AY327" s="8">
        <f>+'St of Activites - GA Rev'!AI327-'St of Activities - GA Exp'!AW327</f>
        <v>2742865</v>
      </c>
      <c r="BA327" s="8">
        <v>10303777</v>
      </c>
      <c r="BC327" s="8">
        <f t="shared" si="19"/>
        <v>13046642</v>
      </c>
      <c r="BE327" s="8">
        <f>+'St of Net Assets - GA'!AA327-'St of Activities - GA Exp'!BC327</f>
        <v>0</v>
      </c>
    </row>
    <row r="328" spans="1:59" ht="12" customHeight="1">
      <c r="A328" s="12" t="s">
        <v>612</v>
      </c>
      <c r="B328" s="12"/>
      <c r="C328" s="12" t="s">
        <v>112</v>
      </c>
      <c r="D328" s="12"/>
      <c r="E328" s="32">
        <v>44297</v>
      </c>
      <c r="G328" s="8">
        <v>19989890</v>
      </c>
      <c r="H328" s="8"/>
      <c r="I328" s="8">
        <v>7554146</v>
      </c>
      <c r="J328" s="8"/>
      <c r="K328" s="8">
        <v>1537195</v>
      </c>
      <c r="L328" s="8"/>
      <c r="M328" s="8">
        <f>282637+11317209</f>
        <v>11599846</v>
      </c>
      <c r="N328" s="8"/>
      <c r="O328" s="8">
        <v>3581498</v>
      </c>
      <c r="P328" s="8"/>
      <c r="Q328" s="8">
        <v>2874475</v>
      </c>
      <c r="R328" s="8"/>
      <c r="S328" s="8">
        <v>26558</v>
      </c>
      <c r="T328" s="8"/>
      <c r="U328" s="8">
        <v>4182766</v>
      </c>
      <c r="V328" s="8"/>
      <c r="W328" s="8">
        <v>1158849</v>
      </c>
      <c r="X328" s="8"/>
      <c r="Y328" s="8">
        <v>1552428</v>
      </c>
      <c r="Z328" s="8"/>
      <c r="AA328" s="8">
        <v>5556082</v>
      </c>
      <c r="AB328" s="8"/>
      <c r="AC328" s="8">
        <v>2128268</v>
      </c>
      <c r="AD328" s="8"/>
      <c r="AE328" s="8">
        <v>2012513</v>
      </c>
      <c r="AF328" s="138"/>
      <c r="AG328" s="12" t="s">
        <v>612</v>
      </c>
      <c r="AH328" s="12"/>
      <c r="AI328" s="12" t="s">
        <v>112</v>
      </c>
      <c r="AJ328" s="12"/>
      <c r="AK328" s="8">
        <v>2234997</v>
      </c>
      <c r="AL328" s="8"/>
      <c r="AM328" s="8">
        <v>2009458</v>
      </c>
      <c r="AN328" s="8"/>
      <c r="AO328" s="8">
        <v>820869</v>
      </c>
      <c r="AP328" s="8"/>
      <c r="AQ328" s="8">
        <v>743655</v>
      </c>
      <c r="AR328" s="8"/>
      <c r="AS328" s="8"/>
      <c r="AT328" s="8"/>
      <c r="AU328" s="8">
        <v>0</v>
      </c>
      <c r="AV328" s="8"/>
      <c r="AW328" s="8">
        <f t="shared" si="18"/>
        <v>69563493</v>
      </c>
      <c r="AY328" s="8">
        <f>+'St of Activites - GA Rev'!AI328-'St of Activities - GA Exp'!AW328</f>
        <v>-1268657</v>
      </c>
      <c r="BA328" s="8">
        <v>63692171</v>
      </c>
      <c r="BC328" s="8">
        <f t="shared" si="19"/>
        <v>62423514</v>
      </c>
      <c r="BE328" s="8">
        <f>+'St of Net Assets - GA'!AA328-'St of Activities - GA Exp'!BC328</f>
        <v>0</v>
      </c>
    </row>
    <row r="329" spans="1:59">
      <c r="A329" s="12" t="s">
        <v>1070</v>
      </c>
      <c r="B329" s="12"/>
      <c r="C329" s="12" t="s">
        <v>20</v>
      </c>
      <c r="D329" s="12"/>
      <c r="E329" s="32">
        <v>44305</v>
      </c>
      <c r="G329" s="8">
        <v>19714603</v>
      </c>
      <c r="H329" s="8"/>
      <c r="I329" s="8">
        <v>4227858</v>
      </c>
      <c r="J329" s="8"/>
      <c r="K329" s="8">
        <v>1392637</v>
      </c>
      <c r="L329" s="8"/>
      <c r="M329" s="8">
        <f>2205+134996</f>
        <v>137201</v>
      </c>
      <c r="N329" s="8"/>
      <c r="O329" s="8">
        <v>1887974</v>
      </c>
      <c r="P329" s="8"/>
      <c r="Q329" s="8">
        <v>1965021</v>
      </c>
      <c r="R329" s="8"/>
      <c r="S329" s="8">
        <v>61591</v>
      </c>
      <c r="T329" s="8"/>
      <c r="U329" s="8">
        <v>3740726</v>
      </c>
      <c r="V329" s="8"/>
      <c r="W329" s="8">
        <v>1650538</v>
      </c>
      <c r="X329" s="8"/>
      <c r="Y329" s="8">
        <v>680038</v>
      </c>
      <c r="Z329" s="8"/>
      <c r="AA329" s="8">
        <v>5989798</v>
      </c>
      <c r="AB329" s="8"/>
      <c r="AC329" s="8">
        <v>1275483</v>
      </c>
      <c r="AD329" s="8"/>
      <c r="AE329" s="8">
        <v>28481</v>
      </c>
      <c r="AF329" s="138"/>
      <c r="AG329" s="12" t="s">
        <v>311</v>
      </c>
      <c r="AH329" s="12"/>
      <c r="AI329" s="12" t="s">
        <v>20</v>
      </c>
      <c r="AJ329" s="12"/>
      <c r="AK329" s="8">
        <v>1482403</v>
      </c>
      <c r="AL329" s="8"/>
      <c r="AM329" s="8">
        <v>252064</v>
      </c>
      <c r="AN329" s="8"/>
      <c r="AO329" s="8">
        <v>938040</v>
      </c>
      <c r="AP329" s="8"/>
      <c r="AQ329" s="8">
        <v>1425907</v>
      </c>
      <c r="AR329" s="8"/>
      <c r="AS329" s="8"/>
      <c r="AT329" s="8"/>
      <c r="AU329" s="8">
        <v>0</v>
      </c>
      <c r="AV329" s="8"/>
      <c r="AW329" s="8">
        <f t="shared" si="18"/>
        <v>46850363</v>
      </c>
      <c r="AY329" s="8">
        <f>+'St of Activites - GA Rev'!AI329-'St of Activities - GA Exp'!AW329</f>
        <v>53513293</v>
      </c>
      <c r="BA329" s="8">
        <v>11361183</v>
      </c>
      <c r="BC329" s="8">
        <f t="shared" si="19"/>
        <v>64874476</v>
      </c>
      <c r="BE329" s="8">
        <f>+'St of Net Assets - GA'!AA329-'St of Activities - GA Exp'!BC329</f>
        <v>0</v>
      </c>
      <c r="BG329" s="15" t="s">
        <v>905</v>
      </c>
    </row>
    <row r="330" spans="1:59">
      <c r="A330" s="12" t="s">
        <v>216</v>
      </c>
      <c r="B330" s="12"/>
      <c r="C330" s="12" t="s">
        <v>11</v>
      </c>
      <c r="D330" s="12"/>
      <c r="E330" s="32">
        <v>45831</v>
      </c>
      <c r="F330" s="8"/>
      <c r="G330" s="8">
        <v>4068484</v>
      </c>
      <c r="H330" s="8"/>
      <c r="I330" s="8">
        <v>811338</v>
      </c>
      <c r="J330" s="8"/>
      <c r="K330" s="8">
        <v>184585</v>
      </c>
      <c r="L330" s="8"/>
      <c r="M330" s="8">
        <v>713315</v>
      </c>
      <c r="N330" s="8"/>
      <c r="O330" s="8">
        <v>277007</v>
      </c>
      <c r="P330" s="8"/>
      <c r="Q330" s="8">
        <v>412280</v>
      </c>
      <c r="R330" s="8"/>
      <c r="S330" s="8">
        <v>36570</v>
      </c>
      <c r="T330" s="8"/>
      <c r="U330" s="8">
        <v>630594</v>
      </c>
      <c r="V330" s="8"/>
      <c r="W330" s="8">
        <v>309962</v>
      </c>
      <c r="X330" s="8"/>
      <c r="Y330" s="8">
        <v>0</v>
      </c>
      <c r="Z330" s="8"/>
      <c r="AA330" s="8">
        <v>809475</v>
      </c>
      <c r="AB330" s="8"/>
      <c r="AC330" s="8">
        <v>519734</v>
      </c>
      <c r="AD330" s="8"/>
      <c r="AE330" s="8">
        <v>58486</v>
      </c>
      <c r="AF330" s="138"/>
      <c r="AG330" s="12" t="s">
        <v>216</v>
      </c>
      <c r="AH330" s="12"/>
      <c r="AI330" s="12" t="s">
        <v>11</v>
      </c>
      <c r="AJ330" s="12"/>
      <c r="AK330" s="8">
        <v>350546</v>
      </c>
      <c r="AL330" s="8"/>
      <c r="AM330" s="8">
        <v>0</v>
      </c>
      <c r="AN330" s="8"/>
      <c r="AO330" s="8">
        <v>300287</v>
      </c>
      <c r="AP330" s="8"/>
      <c r="AQ330" s="8">
        <v>175062</v>
      </c>
      <c r="AR330" s="8"/>
      <c r="AS330" s="8"/>
      <c r="AT330" s="8"/>
      <c r="AU330" s="8">
        <v>0</v>
      </c>
      <c r="AV330" s="8"/>
      <c r="AW330" s="8">
        <f t="shared" si="18"/>
        <v>9657725</v>
      </c>
      <c r="AY330" s="8">
        <f>+'St of Activites - GA Rev'!AI330-'St of Activities - GA Exp'!AW330</f>
        <v>172088</v>
      </c>
      <c r="BA330" s="8">
        <v>17871836</v>
      </c>
      <c r="BC330" s="8">
        <f t="shared" si="19"/>
        <v>18043924</v>
      </c>
      <c r="BE330" s="8">
        <f>+'St of Net Assets - GA'!AA330-'St of Activities - GA Exp'!BC330</f>
        <v>0</v>
      </c>
    </row>
    <row r="331" spans="1:59">
      <c r="A331" s="12" t="s">
        <v>687</v>
      </c>
      <c r="B331" s="12"/>
      <c r="C331" s="12" t="s">
        <v>64</v>
      </c>
      <c r="D331" s="12"/>
      <c r="E331" s="32">
        <v>50211</v>
      </c>
      <c r="G331" s="8">
        <v>4659018</v>
      </c>
      <c r="H331" s="8"/>
      <c r="I331" s="8">
        <v>683366</v>
      </c>
      <c r="J331" s="8"/>
      <c r="K331" s="8">
        <v>38299</v>
      </c>
      <c r="L331" s="8"/>
      <c r="M331" s="8">
        <v>17722</v>
      </c>
      <c r="N331" s="8"/>
      <c r="O331" s="8">
        <v>440278</v>
      </c>
      <c r="P331" s="8"/>
      <c r="Q331" s="8">
        <v>156892</v>
      </c>
      <c r="R331" s="8"/>
      <c r="S331" s="8">
        <v>30918</v>
      </c>
      <c r="T331" s="8"/>
      <c r="U331" s="8">
        <v>816700</v>
      </c>
      <c r="V331" s="8"/>
      <c r="W331" s="8">
        <v>279681</v>
      </c>
      <c r="X331" s="8"/>
      <c r="Y331" s="8">
        <v>59250</v>
      </c>
      <c r="Z331" s="8"/>
      <c r="AA331" s="8">
        <v>876134</v>
      </c>
      <c r="AB331" s="8"/>
      <c r="AC331" s="8">
        <v>538629</v>
      </c>
      <c r="AD331" s="8"/>
      <c r="AE331" s="8">
        <v>49105</v>
      </c>
      <c r="AF331" s="138"/>
      <c r="AG331" s="12" t="s">
        <v>687</v>
      </c>
      <c r="AH331" s="12"/>
      <c r="AI331" s="12" t="s">
        <v>64</v>
      </c>
      <c r="AJ331" s="12"/>
      <c r="AK331" s="8">
        <v>428372</v>
      </c>
      <c r="AL331" s="8"/>
      <c r="AM331" s="8">
        <v>0</v>
      </c>
      <c r="AN331" s="8"/>
      <c r="AO331" s="8">
        <v>254504</v>
      </c>
      <c r="AP331" s="8"/>
      <c r="AQ331" s="8">
        <v>280540</v>
      </c>
      <c r="AR331" s="8"/>
      <c r="AS331" s="8"/>
      <c r="AT331" s="8"/>
      <c r="AU331" s="8">
        <v>0</v>
      </c>
      <c r="AV331" s="8"/>
      <c r="AW331" s="8">
        <f t="shared" si="18"/>
        <v>9609408</v>
      </c>
      <c r="AY331" s="8">
        <f>+'St of Activites - GA Rev'!AI331-'St of Activities - GA Exp'!AW331</f>
        <v>383754</v>
      </c>
      <c r="BA331" s="8">
        <v>20429746</v>
      </c>
      <c r="BC331" s="8">
        <f t="shared" si="19"/>
        <v>20813500</v>
      </c>
      <c r="BE331" s="8">
        <f>+'St of Net Assets - GA'!AA331-'St of Activities - GA Exp'!BC331</f>
        <v>0</v>
      </c>
    </row>
    <row r="332" spans="1:59" ht="12" customHeight="1">
      <c r="A332" s="12" t="s">
        <v>339</v>
      </c>
      <c r="B332" s="12"/>
      <c r="C332" s="12" t="s">
        <v>24</v>
      </c>
      <c r="D332" s="12"/>
      <c r="E332" s="32">
        <v>46805</v>
      </c>
      <c r="G332" s="8">
        <v>5133429</v>
      </c>
      <c r="H332" s="8"/>
      <c r="I332" s="8">
        <v>1416910</v>
      </c>
      <c r="J332" s="8"/>
      <c r="K332" s="8">
        <v>319245</v>
      </c>
      <c r="L332" s="8"/>
      <c r="M332" s="8">
        <v>7438</v>
      </c>
      <c r="N332" s="8"/>
      <c r="O332" s="8">
        <v>714992</v>
      </c>
      <c r="P332" s="8"/>
      <c r="Q332" s="8">
        <v>695256</v>
      </c>
      <c r="R332" s="8"/>
      <c r="S332" s="8">
        <v>167593</v>
      </c>
      <c r="T332" s="8"/>
      <c r="U332" s="8">
        <v>1029963</v>
      </c>
      <c r="V332" s="8"/>
      <c r="W332" s="8">
        <v>437120</v>
      </c>
      <c r="X332" s="8"/>
      <c r="Y332" s="8">
        <v>0</v>
      </c>
      <c r="Z332" s="8"/>
      <c r="AA332" s="8">
        <v>1560398</v>
      </c>
      <c r="AB332" s="8"/>
      <c r="AC332" s="8">
        <v>1031991</v>
      </c>
      <c r="AD332" s="8"/>
      <c r="AE332" s="8">
        <v>64420</v>
      </c>
      <c r="AF332" s="138"/>
      <c r="AG332" s="12" t="s">
        <v>339</v>
      </c>
      <c r="AH332" s="12"/>
      <c r="AI332" s="12" t="s">
        <v>24</v>
      </c>
      <c r="AJ332" s="12"/>
      <c r="AK332" s="8">
        <v>539050</v>
      </c>
      <c r="AL332" s="8"/>
      <c r="AM332" s="8">
        <v>227718</v>
      </c>
      <c r="AN332" s="8"/>
      <c r="AO332" s="8">
        <v>524751</v>
      </c>
      <c r="AP332" s="8"/>
      <c r="AQ332" s="8">
        <v>121573</v>
      </c>
      <c r="AR332" s="8"/>
      <c r="AS332" s="8"/>
      <c r="AT332" s="8"/>
      <c r="AU332" s="8">
        <v>0</v>
      </c>
      <c r="AV332" s="8"/>
      <c r="AW332" s="8">
        <f t="shared" si="18"/>
        <v>13991847</v>
      </c>
      <c r="AY332" s="8">
        <f>+'St of Activites - GA Rev'!AI332-'St of Activities - GA Exp'!AW332</f>
        <v>-108752</v>
      </c>
      <c r="BA332" s="8">
        <v>3890053</v>
      </c>
      <c r="BC332" s="8">
        <f t="shared" si="19"/>
        <v>3781301</v>
      </c>
      <c r="BE332" s="8">
        <f>+'St of Net Assets - GA'!AA332-'St of Activities - GA Exp'!BC332</f>
        <v>0</v>
      </c>
    </row>
    <row r="333" spans="1:59">
      <c r="A333" s="12" t="s">
        <v>399</v>
      </c>
      <c r="B333" s="12"/>
      <c r="C333" s="12" t="s">
        <v>32</v>
      </c>
      <c r="D333" s="12"/>
      <c r="E333" s="32">
        <v>44313</v>
      </c>
      <c r="G333" s="8">
        <v>10174762</v>
      </c>
      <c r="H333" s="8"/>
      <c r="I333" s="8">
        <v>2104872</v>
      </c>
      <c r="J333" s="8"/>
      <c r="K333" s="8">
        <v>0</v>
      </c>
      <c r="L333" s="8"/>
      <c r="M333" s="8">
        <f>4302+123108</f>
        <v>127410</v>
      </c>
      <c r="N333" s="8"/>
      <c r="O333" s="8">
        <v>1537921</v>
      </c>
      <c r="P333" s="8"/>
      <c r="Q333" s="8">
        <v>1202105</v>
      </c>
      <c r="R333" s="8"/>
      <c r="S333" s="8">
        <v>12987</v>
      </c>
      <c r="T333" s="8"/>
      <c r="U333" s="8">
        <v>1770074</v>
      </c>
      <c r="V333" s="8"/>
      <c r="W333" s="8">
        <v>526764</v>
      </c>
      <c r="X333" s="8"/>
      <c r="Y333" s="8">
        <v>53020</v>
      </c>
      <c r="Z333" s="8"/>
      <c r="AA333" s="8">
        <v>2181663</v>
      </c>
      <c r="AB333" s="8"/>
      <c r="AC333" s="8">
        <v>688039</v>
      </c>
      <c r="AD333" s="8"/>
      <c r="AE333" s="8">
        <v>92834</v>
      </c>
      <c r="AF333" s="138"/>
      <c r="AG333" s="12" t="s">
        <v>399</v>
      </c>
      <c r="AH333" s="12"/>
      <c r="AI333" s="12" t="s">
        <v>32</v>
      </c>
      <c r="AJ333" s="12"/>
      <c r="AK333" s="8">
        <v>0</v>
      </c>
      <c r="AL333" s="8"/>
      <c r="AM333" s="8">
        <v>296912</v>
      </c>
      <c r="AN333" s="8"/>
      <c r="AO333" s="8">
        <v>691027</v>
      </c>
      <c r="AP333" s="8"/>
      <c r="AQ333" s="8">
        <v>357023</v>
      </c>
      <c r="AR333" s="8"/>
      <c r="AS333" s="8"/>
      <c r="AT333" s="8"/>
      <c r="AU333" s="8">
        <v>0</v>
      </c>
      <c r="AV333" s="8"/>
      <c r="AW333" s="8">
        <f t="shared" si="18"/>
        <v>21817413</v>
      </c>
      <c r="AY333" s="8">
        <f>+'St of Activites - GA Rev'!AI333-'St of Activities - GA Exp'!AW333</f>
        <v>401712</v>
      </c>
      <c r="BA333" s="8">
        <v>12283304</v>
      </c>
      <c r="BC333" s="8">
        <f t="shared" si="19"/>
        <v>12685016</v>
      </c>
      <c r="BE333" s="8">
        <f>+'St of Net Assets - GA'!AA333-'St of Activities - GA Exp'!BC333</f>
        <v>0</v>
      </c>
    </row>
    <row r="334" spans="1:59" ht="12" hidden="1" customHeight="1">
      <c r="A334" s="12" t="s">
        <v>832</v>
      </c>
      <c r="B334" s="12"/>
      <c r="C334" s="12" t="s">
        <v>70</v>
      </c>
      <c r="D334" s="12"/>
      <c r="E334" s="32">
        <v>44321</v>
      </c>
      <c r="G334" s="8">
        <v>11305376</v>
      </c>
      <c r="H334" s="8"/>
      <c r="I334" s="8">
        <v>3116483</v>
      </c>
      <c r="J334" s="8"/>
      <c r="K334" s="8">
        <v>61777</v>
      </c>
      <c r="L334" s="8"/>
      <c r="M334" s="8">
        <f>51399+99730</f>
        <v>151129</v>
      </c>
      <c r="N334" s="8"/>
      <c r="O334" s="8">
        <v>1143841</v>
      </c>
      <c r="P334" s="8"/>
      <c r="Q334" s="8">
        <v>1652653</v>
      </c>
      <c r="R334" s="8"/>
      <c r="S334" s="8">
        <v>86044</v>
      </c>
      <c r="T334" s="8"/>
      <c r="U334" s="8">
        <v>2035749</v>
      </c>
      <c r="V334" s="8"/>
      <c r="W334" s="8">
        <v>494190</v>
      </c>
      <c r="X334" s="8"/>
      <c r="Y334" s="8">
        <v>267355</v>
      </c>
      <c r="Z334" s="8"/>
      <c r="AA334" s="8">
        <v>2476178</v>
      </c>
      <c r="AB334" s="8"/>
      <c r="AC334" s="8">
        <v>1154461</v>
      </c>
      <c r="AD334" s="8"/>
      <c r="AE334" s="8">
        <v>171050</v>
      </c>
      <c r="AF334" s="138"/>
      <c r="AG334" s="12" t="s">
        <v>718</v>
      </c>
      <c r="AH334" s="12"/>
      <c r="AI334" s="12" t="s">
        <v>70</v>
      </c>
      <c r="AJ334" s="12"/>
      <c r="AK334" s="8">
        <v>1050188</v>
      </c>
      <c r="AL334" s="8"/>
      <c r="AM334" s="8">
        <v>130410</v>
      </c>
      <c r="AN334" s="8"/>
      <c r="AO334" s="8">
        <v>463165</v>
      </c>
      <c r="AP334" s="8"/>
      <c r="AQ334" s="8"/>
      <c r="AR334" s="8"/>
      <c r="AS334" s="8"/>
      <c r="AT334" s="8"/>
      <c r="AU334" s="8">
        <f>162000+30659</f>
        <v>192659</v>
      </c>
      <c r="AV334" s="8"/>
      <c r="AW334" s="8">
        <f t="shared" si="18"/>
        <v>25952708</v>
      </c>
      <c r="AY334" s="8">
        <f>+'St of Activites - GA Rev'!AI334-'St of Activities - GA Exp'!AW334</f>
        <v>649608</v>
      </c>
      <c r="BA334" s="8">
        <v>4385653</v>
      </c>
      <c r="BC334" s="8">
        <f t="shared" si="19"/>
        <v>5035261</v>
      </c>
      <c r="BE334" s="8">
        <f>+'St of Net Assets - GA'!AA334-'St of Activities - GA Exp'!BC334</f>
        <v>0</v>
      </c>
      <c r="BG334" s="8" t="s">
        <v>956</v>
      </c>
    </row>
    <row r="335" spans="1:59" ht="12" customHeight="1">
      <c r="A335" s="12" t="s">
        <v>521</v>
      </c>
      <c r="B335" s="12"/>
      <c r="C335" s="12" t="s">
        <v>46</v>
      </c>
      <c r="D335" s="12"/>
      <c r="E335" s="32">
        <v>44339</v>
      </c>
      <c r="G335" s="8">
        <v>25610698</v>
      </c>
      <c r="H335" s="8"/>
      <c r="I335" s="8">
        <v>7181908</v>
      </c>
      <c r="J335" s="8"/>
      <c r="K335" s="8">
        <v>531980</v>
      </c>
      <c r="L335" s="8"/>
      <c r="M335" s="8">
        <v>76480</v>
      </c>
      <c r="N335" s="8"/>
      <c r="O335" s="8">
        <v>2363393</v>
      </c>
      <c r="P335" s="8"/>
      <c r="Q335" s="8">
        <v>4572748</v>
      </c>
      <c r="R335" s="8"/>
      <c r="S335" s="8">
        <v>37437</v>
      </c>
      <c r="T335" s="8"/>
      <c r="U335" s="8">
        <v>3438513</v>
      </c>
      <c r="V335" s="8"/>
      <c r="W335" s="8">
        <v>689966</v>
      </c>
      <c r="X335" s="8"/>
      <c r="Y335" s="8">
        <v>411420</v>
      </c>
      <c r="Z335" s="8"/>
      <c r="AA335" s="8">
        <v>4204082</v>
      </c>
      <c r="AB335" s="8"/>
      <c r="AC335" s="8">
        <v>960319</v>
      </c>
      <c r="AD335" s="8"/>
      <c r="AE335" s="8">
        <v>6070</v>
      </c>
      <c r="AF335" s="138"/>
      <c r="AG335" s="12" t="s">
        <v>521</v>
      </c>
      <c r="AH335" s="12"/>
      <c r="AI335" s="12" t="s">
        <v>46</v>
      </c>
      <c r="AJ335" s="12"/>
      <c r="AK335" s="8">
        <v>2209228</v>
      </c>
      <c r="AL335" s="8"/>
      <c r="AM335" s="8">
        <f>1332171+8043+16325</f>
        <v>1356539</v>
      </c>
      <c r="AN335" s="8"/>
      <c r="AO335" s="8">
        <v>909351</v>
      </c>
      <c r="AP335" s="8"/>
      <c r="AQ335" s="8">
        <v>657579</v>
      </c>
      <c r="AR335" s="8"/>
      <c r="AS335" s="8"/>
      <c r="AT335" s="8"/>
      <c r="AU335" s="8">
        <v>0</v>
      </c>
      <c r="AV335" s="8"/>
      <c r="AW335" s="8">
        <f t="shared" si="18"/>
        <v>55217711</v>
      </c>
      <c r="AY335" s="8">
        <f>+'St of Activites - GA Rev'!AI335-'St of Activities - GA Exp'!AW335</f>
        <v>322049</v>
      </c>
      <c r="BA335" s="8">
        <v>93010789</v>
      </c>
      <c r="BC335" s="8">
        <f t="shared" si="19"/>
        <v>93332838</v>
      </c>
      <c r="BE335" s="8">
        <f>+'St of Net Assets - GA'!AA335-'St of Activities - GA Exp'!BC335</f>
        <v>0</v>
      </c>
    </row>
    <row r="336" spans="1:59" ht="12" hidden="1" customHeight="1">
      <c r="A336" s="12" t="s">
        <v>998</v>
      </c>
      <c r="B336" s="12"/>
      <c r="C336" s="12" t="s">
        <v>534</v>
      </c>
      <c r="D336" s="12"/>
      <c r="E336" s="32"/>
      <c r="G336" s="8">
        <v>4030942</v>
      </c>
      <c r="H336" s="8"/>
      <c r="I336" s="8">
        <v>881676</v>
      </c>
      <c r="J336" s="8"/>
      <c r="K336" s="8">
        <v>108226</v>
      </c>
      <c r="L336" s="8"/>
      <c r="M336" s="8">
        <v>10247</v>
      </c>
      <c r="N336" s="8"/>
      <c r="O336" s="8">
        <v>206604</v>
      </c>
      <c r="P336" s="8"/>
      <c r="Q336" s="8">
        <v>252398</v>
      </c>
      <c r="R336" s="8"/>
      <c r="S336" s="8">
        <v>30528</v>
      </c>
      <c r="T336" s="8"/>
      <c r="U336" s="8">
        <v>610968</v>
      </c>
      <c r="V336" s="8"/>
      <c r="W336" s="8">
        <v>240848</v>
      </c>
      <c r="X336" s="8"/>
      <c r="Y336" s="8">
        <v>4184</v>
      </c>
      <c r="Z336" s="8"/>
      <c r="AA336" s="8">
        <v>651533</v>
      </c>
      <c r="AB336" s="8"/>
      <c r="AC336" s="8">
        <v>320891</v>
      </c>
      <c r="AD336" s="8"/>
      <c r="AE336" s="8">
        <v>5732</v>
      </c>
      <c r="AF336" s="138"/>
      <c r="AG336" s="12" t="s">
        <v>998</v>
      </c>
      <c r="AH336" s="12"/>
      <c r="AI336" s="12" t="s">
        <v>534</v>
      </c>
      <c r="AJ336" s="12"/>
      <c r="AK336" s="8">
        <v>319149</v>
      </c>
      <c r="AL336" s="8"/>
      <c r="AM336" s="8">
        <v>48076</v>
      </c>
      <c r="AN336" s="8"/>
      <c r="AO336" s="8">
        <v>384447</v>
      </c>
      <c r="AP336" s="8"/>
      <c r="AQ336" s="8"/>
      <c r="AR336" s="8"/>
      <c r="AS336" s="8"/>
      <c r="AT336" s="8"/>
      <c r="AU336" s="8">
        <f>140197+322063</f>
        <v>462260</v>
      </c>
      <c r="AV336" s="8"/>
      <c r="AW336" s="8">
        <f t="shared" si="18"/>
        <v>8568709</v>
      </c>
      <c r="AY336" s="8">
        <f>+'St of Activites - GA Rev'!AI336-'St of Activities - GA Exp'!AW336</f>
        <v>278274</v>
      </c>
      <c r="BA336" s="8">
        <v>2606059</v>
      </c>
      <c r="BC336" s="8">
        <f t="shared" si="19"/>
        <v>2884333</v>
      </c>
      <c r="BE336" s="8">
        <f>+'St of Net Assets - GA'!AA336-'St of Activities - GA Exp'!BC336</f>
        <v>0</v>
      </c>
    </row>
    <row r="337" spans="1:59">
      <c r="A337" s="12" t="s">
        <v>655</v>
      </c>
      <c r="B337" s="12"/>
      <c r="C337" s="12" t="s">
        <v>62</v>
      </c>
      <c r="D337" s="12"/>
      <c r="E337" s="32">
        <v>49882</v>
      </c>
      <c r="G337" s="8">
        <v>8383694</v>
      </c>
      <c r="H337" s="8"/>
      <c r="I337" s="8">
        <v>2946282</v>
      </c>
      <c r="J337" s="8"/>
      <c r="K337" s="8">
        <v>847012</v>
      </c>
      <c r="L337" s="8"/>
      <c r="M337" s="8">
        <v>999169</v>
      </c>
      <c r="N337" s="8"/>
      <c r="O337" s="8">
        <v>781393</v>
      </c>
      <c r="P337" s="8"/>
      <c r="Q337" s="8">
        <v>886457</v>
      </c>
      <c r="R337" s="8"/>
      <c r="S337" s="8">
        <v>22009</v>
      </c>
      <c r="T337" s="8"/>
      <c r="U337" s="8">
        <v>1715117</v>
      </c>
      <c r="V337" s="8"/>
      <c r="W337" s="8">
        <v>524520</v>
      </c>
      <c r="X337" s="8"/>
      <c r="Y337" s="8">
        <v>289372</v>
      </c>
      <c r="Z337" s="8"/>
      <c r="AA337" s="8">
        <v>2103734</v>
      </c>
      <c r="AB337" s="8"/>
      <c r="AC337" s="8">
        <v>1273720</v>
      </c>
      <c r="AD337" s="8"/>
      <c r="AE337" s="8">
        <v>69910</v>
      </c>
      <c r="AF337" s="138"/>
      <c r="AG337" s="12" t="s">
        <v>655</v>
      </c>
      <c r="AH337" s="12"/>
      <c r="AI337" s="12" t="s">
        <v>62</v>
      </c>
      <c r="AJ337" s="12"/>
      <c r="AK337" s="8">
        <v>1008886</v>
      </c>
      <c r="AL337" s="8"/>
      <c r="AM337" s="8">
        <v>4776</v>
      </c>
      <c r="AN337" s="8"/>
      <c r="AO337" s="8">
        <v>858722</v>
      </c>
      <c r="AP337" s="8"/>
      <c r="AQ337" s="8">
        <v>43313</v>
      </c>
      <c r="AR337" s="8"/>
      <c r="AS337" s="8"/>
      <c r="AT337" s="8"/>
      <c r="AU337" s="8">
        <v>0</v>
      </c>
      <c r="AV337" s="8"/>
      <c r="AW337" s="8">
        <f t="shared" si="18"/>
        <v>22758086</v>
      </c>
      <c r="AY337" s="8">
        <f>+'St of Activites - GA Rev'!AI337-'St of Activities - GA Exp'!AW337</f>
        <v>1497965</v>
      </c>
      <c r="BA337" s="8">
        <v>10608700</v>
      </c>
      <c r="BC337" s="8">
        <f t="shared" si="19"/>
        <v>12106665</v>
      </c>
      <c r="BE337" s="8">
        <f>+'St of Net Assets - GA'!AA337-'St of Activities - GA Exp'!BC337</f>
        <v>0</v>
      </c>
    </row>
    <row r="338" spans="1:59">
      <c r="A338" s="12" t="s">
        <v>233</v>
      </c>
      <c r="B338" s="12"/>
      <c r="C338" s="12" t="s">
        <v>15</v>
      </c>
      <c r="D338" s="12"/>
      <c r="E338" s="32">
        <v>44347</v>
      </c>
      <c r="G338" s="8">
        <v>6720015</v>
      </c>
      <c r="H338" s="8"/>
      <c r="I338" s="8">
        <v>2008298</v>
      </c>
      <c r="J338" s="8"/>
      <c r="K338" s="8">
        <v>332558</v>
      </c>
      <c r="L338" s="8"/>
      <c r="M338" s="8">
        <f>216+147583</f>
        <v>147799</v>
      </c>
      <c r="N338" s="8"/>
      <c r="O338" s="8">
        <v>624136</v>
      </c>
      <c r="P338" s="8"/>
      <c r="Q338" s="8">
        <v>818117</v>
      </c>
      <c r="R338" s="8"/>
      <c r="S338" s="8">
        <v>55831</v>
      </c>
      <c r="T338" s="8"/>
      <c r="U338" s="8">
        <v>1317624</v>
      </c>
      <c r="V338" s="8"/>
      <c r="W338" s="8">
        <v>341707</v>
      </c>
      <c r="X338" s="8"/>
      <c r="Y338" s="8">
        <v>0</v>
      </c>
      <c r="Z338" s="8"/>
      <c r="AA338" s="8">
        <v>2098061</v>
      </c>
      <c r="AB338" s="8"/>
      <c r="AC338" s="8">
        <v>734922</v>
      </c>
      <c r="AD338" s="8"/>
      <c r="AE338" s="8">
        <v>75435</v>
      </c>
      <c r="AF338" s="138"/>
      <c r="AG338" s="12" t="s">
        <v>233</v>
      </c>
      <c r="AH338" s="12"/>
      <c r="AI338" s="12" t="s">
        <v>15</v>
      </c>
      <c r="AJ338" s="12"/>
      <c r="AK338" s="8">
        <v>865021</v>
      </c>
      <c r="AL338" s="8"/>
      <c r="AM338" s="8">
        <v>112219</v>
      </c>
      <c r="AN338" s="8"/>
      <c r="AO338" s="8">
        <v>347468</v>
      </c>
      <c r="AP338" s="8"/>
      <c r="AQ338" s="8">
        <v>667203</v>
      </c>
      <c r="AR338" s="8"/>
      <c r="AS338" s="8"/>
      <c r="AT338" s="8"/>
      <c r="AU338" s="8">
        <v>0</v>
      </c>
      <c r="AV338" s="8"/>
      <c r="AW338" s="8">
        <f t="shared" si="18"/>
        <v>17266414</v>
      </c>
      <c r="AY338" s="8">
        <f>+'St of Activites - GA Rev'!AI338-'St of Activities - GA Exp'!AW338</f>
        <v>-1612488</v>
      </c>
      <c r="BA338" s="8">
        <v>30482401</v>
      </c>
      <c r="BC338" s="8">
        <f t="shared" si="19"/>
        <v>28869913</v>
      </c>
      <c r="BE338" s="8">
        <f>+'St of Net Assets - GA'!AA338-'St of Activities - GA Exp'!BC338</f>
        <v>0</v>
      </c>
    </row>
    <row r="339" spans="1:59">
      <c r="A339" s="12" t="s">
        <v>703</v>
      </c>
      <c r="B339" s="12"/>
      <c r="C339" s="12" t="s">
        <v>66</v>
      </c>
      <c r="D339" s="12"/>
      <c r="E339" s="32">
        <v>45476</v>
      </c>
      <c r="G339" s="8">
        <v>32382919</v>
      </c>
      <c r="H339" s="8"/>
      <c r="I339" s="8">
        <v>0</v>
      </c>
      <c r="J339" s="8"/>
      <c r="K339" s="8">
        <v>0</v>
      </c>
      <c r="L339" s="8"/>
      <c r="M339" s="8">
        <v>0</v>
      </c>
      <c r="N339" s="8"/>
      <c r="O339" s="8">
        <v>2907509</v>
      </c>
      <c r="P339" s="8"/>
      <c r="Q339" s="8">
        <v>4355115</v>
      </c>
      <c r="R339" s="8"/>
      <c r="S339" s="8">
        <v>26314</v>
      </c>
      <c r="T339" s="8"/>
      <c r="U339" s="8">
        <v>3139272</v>
      </c>
      <c r="V339" s="8"/>
      <c r="W339" s="8">
        <v>1239178</v>
      </c>
      <c r="X339" s="8"/>
      <c r="Y339" s="8">
        <v>823710</v>
      </c>
      <c r="Z339" s="8"/>
      <c r="AA339" s="8">
        <v>4522068</v>
      </c>
      <c r="AB339" s="8"/>
      <c r="AC339" s="8">
        <v>2126993</v>
      </c>
      <c r="AD339" s="8"/>
      <c r="AE339" s="8">
        <v>722379</v>
      </c>
      <c r="AF339" s="138"/>
      <c r="AG339" s="12" t="s">
        <v>703</v>
      </c>
      <c r="AH339" s="12"/>
      <c r="AI339" s="12" t="s">
        <v>66</v>
      </c>
      <c r="AJ339" s="12"/>
      <c r="AK339" s="8">
        <v>2108186</v>
      </c>
      <c r="AL339" s="8"/>
      <c r="AM339" s="8">
        <f>159264+198784+347255</f>
        <v>705303</v>
      </c>
      <c r="AN339" s="8"/>
      <c r="AO339" s="8">
        <v>1142799</v>
      </c>
      <c r="AP339" s="8"/>
      <c r="AQ339" s="8">
        <v>5402580</v>
      </c>
      <c r="AR339" s="8"/>
      <c r="AS339" s="8"/>
      <c r="AT339" s="8"/>
      <c r="AU339" s="8">
        <v>0</v>
      </c>
      <c r="AV339" s="8"/>
      <c r="AW339" s="8">
        <f t="shared" si="18"/>
        <v>61604325</v>
      </c>
      <c r="AY339" s="8">
        <f>+'St of Activites - GA Rev'!AI339-'St of Activities - GA Exp'!AW339</f>
        <v>-444209</v>
      </c>
      <c r="BA339" s="8">
        <v>12814132</v>
      </c>
      <c r="BC339" s="8">
        <f t="shared" si="19"/>
        <v>12369923</v>
      </c>
      <c r="BE339" s="8">
        <f>+'St of Net Assets - GA'!AA339-'St of Activities - GA Exp'!BC339</f>
        <v>0</v>
      </c>
      <c r="BG339" s="10" t="s">
        <v>944</v>
      </c>
    </row>
    <row r="340" spans="1:59">
      <c r="A340" s="12" t="s">
        <v>712</v>
      </c>
      <c r="B340" s="12"/>
      <c r="C340" s="12" t="s">
        <v>69</v>
      </c>
      <c r="D340" s="12"/>
      <c r="E340" s="32">
        <v>50450</v>
      </c>
      <c r="G340" s="8">
        <v>43099695</v>
      </c>
      <c r="H340" s="8"/>
      <c r="I340" s="8">
        <v>11524295</v>
      </c>
      <c r="J340" s="8"/>
      <c r="K340" s="8">
        <v>9254</v>
      </c>
      <c r="L340" s="8"/>
      <c r="M340" s="8">
        <v>670625</v>
      </c>
      <c r="N340" s="8"/>
      <c r="O340" s="8">
        <v>6475271</v>
      </c>
      <c r="P340" s="8"/>
      <c r="Q340" s="8">
        <v>7131304</v>
      </c>
      <c r="R340" s="8"/>
      <c r="S340" s="8">
        <v>38910</v>
      </c>
      <c r="T340" s="8"/>
      <c r="U340" s="8">
        <v>5522215</v>
      </c>
      <c r="V340" s="8"/>
      <c r="W340" s="8">
        <v>2124953</v>
      </c>
      <c r="X340" s="8"/>
      <c r="Y340" s="8">
        <v>400907</v>
      </c>
      <c r="Z340" s="8"/>
      <c r="AA340" s="8">
        <v>14272035</v>
      </c>
      <c r="AB340" s="8"/>
      <c r="AC340" s="8">
        <v>7076294</v>
      </c>
      <c r="AD340" s="8"/>
      <c r="AE340" s="8">
        <v>4224174</v>
      </c>
      <c r="AF340" s="138"/>
      <c r="AG340" s="12" t="s">
        <v>712</v>
      </c>
      <c r="AH340" s="12"/>
      <c r="AI340" s="12" t="s">
        <v>69</v>
      </c>
      <c r="AJ340" s="12"/>
      <c r="AK340" s="8">
        <v>0</v>
      </c>
      <c r="AL340" s="8"/>
      <c r="AM340" s="8">
        <v>6074836</v>
      </c>
      <c r="AN340" s="8"/>
      <c r="AO340" s="8">
        <v>2881756</v>
      </c>
      <c r="AP340" s="8"/>
      <c r="AQ340" s="8">
        <v>7133219</v>
      </c>
      <c r="AR340" s="8"/>
      <c r="AS340" s="8"/>
      <c r="AT340" s="8"/>
      <c r="AU340" s="8">
        <v>0</v>
      </c>
      <c r="AV340" s="8"/>
      <c r="AW340" s="8">
        <f t="shared" si="18"/>
        <v>118659743</v>
      </c>
      <c r="AY340" s="8">
        <f>+'St of Activites - GA Rev'!AI340-'St of Activities - GA Exp'!AW340</f>
        <v>11560783</v>
      </c>
      <c r="BA340" s="8">
        <v>75840125</v>
      </c>
      <c r="BC340" s="8">
        <f t="shared" si="19"/>
        <v>87400908</v>
      </c>
      <c r="BE340" s="8">
        <f>+'St of Net Assets - GA'!AA340-'St of Activities - GA Exp'!BC340</f>
        <v>0</v>
      </c>
    </row>
    <row r="341" spans="1:59">
      <c r="A341" s="12" t="s">
        <v>656</v>
      </c>
      <c r="B341" s="12"/>
      <c r="C341" s="12" t="s">
        <v>62</v>
      </c>
      <c r="D341" s="12"/>
      <c r="E341" s="32">
        <v>44354</v>
      </c>
      <c r="G341" s="8">
        <v>20014521</v>
      </c>
      <c r="H341" s="8"/>
      <c r="I341" s="8">
        <v>4952758</v>
      </c>
      <c r="J341" s="8"/>
      <c r="K341" s="8">
        <v>1914442</v>
      </c>
      <c r="L341" s="8"/>
      <c r="M341" s="8">
        <f>37495+478419+829547</f>
        <v>1345461</v>
      </c>
      <c r="N341" s="8"/>
      <c r="O341" s="8">
        <v>3004563</v>
      </c>
      <c r="P341" s="8"/>
      <c r="Q341" s="8">
        <v>1662218</v>
      </c>
      <c r="R341" s="8"/>
      <c r="S341" s="8">
        <v>215952</v>
      </c>
      <c r="T341" s="8"/>
      <c r="U341" s="8">
        <v>3236477</v>
      </c>
      <c r="V341" s="8"/>
      <c r="W341" s="8">
        <v>1050381</v>
      </c>
      <c r="X341" s="8"/>
      <c r="Y341" s="8">
        <v>20035</v>
      </c>
      <c r="Z341" s="8"/>
      <c r="AA341" s="8">
        <v>5343165</v>
      </c>
      <c r="AB341" s="8"/>
      <c r="AC341" s="8">
        <v>1540999</v>
      </c>
      <c r="AD341" s="8"/>
      <c r="AE341" s="8">
        <v>793752</v>
      </c>
      <c r="AF341" s="138"/>
      <c r="AG341" s="12" t="s">
        <v>656</v>
      </c>
      <c r="AH341" s="12"/>
      <c r="AI341" s="12" t="s">
        <v>62</v>
      </c>
      <c r="AJ341" s="12"/>
      <c r="AK341" s="8">
        <v>1684936</v>
      </c>
      <c r="AL341" s="8"/>
      <c r="AM341" s="8">
        <v>372403</v>
      </c>
      <c r="AN341" s="8"/>
      <c r="AO341" s="8">
        <v>1889467</v>
      </c>
      <c r="AP341" s="8"/>
      <c r="AQ341" s="8">
        <v>1303548</v>
      </c>
      <c r="AR341" s="8"/>
      <c r="AS341" s="8"/>
      <c r="AT341" s="8"/>
      <c r="AU341" s="8">
        <v>0</v>
      </c>
      <c r="AV341" s="8"/>
      <c r="AW341" s="8">
        <f t="shared" si="18"/>
        <v>50345078</v>
      </c>
      <c r="AY341" s="8">
        <f>+'St of Activites - GA Rev'!AI341-'St of Activities - GA Exp'!AW341</f>
        <v>2393677</v>
      </c>
      <c r="BA341" s="8">
        <v>34542333</v>
      </c>
      <c r="BC341" s="8">
        <f t="shared" si="19"/>
        <v>36936010</v>
      </c>
      <c r="BE341" s="8">
        <f>+'St of Net Assets - GA'!AA341-'St of Activities - GA Exp'!BC341</f>
        <v>0</v>
      </c>
    </row>
    <row r="342" spans="1:59">
      <c r="A342" s="12" t="s">
        <v>688</v>
      </c>
      <c r="B342" s="12"/>
      <c r="C342" s="12" t="s">
        <v>64</v>
      </c>
      <c r="D342" s="12"/>
      <c r="E342" s="32">
        <v>50153</v>
      </c>
      <c r="G342" s="8">
        <v>4475378</v>
      </c>
      <c r="H342" s="8"/>
      <c r="I342" s="8">
        <v>891928</v>
      </c>
      <c r="J342" s="8"/>
      <c r="K342" s="8">
        <v>84480</v>
      </c>
      <c r="L342" s="8"/>
      <c r="M342" s="8">
        <v>116360</v>
      </c>
      <c r="N342" s="8"/>
      <c r="O342" s="8">
        <v>508364</v>
      </c>
      <c r="P342" s="8"/>
      <c r="Q342" s="8">
        <v>195597</v>
      </c>
      <c r="R342" s="8"/>
      <c r="S342" s="8">
        <v>54850</v>
      </c>
      <c r="T342" s="8"/>
      <c r="U342" s="8">
        <v>742593</v>
      </c>
      <c r="V342" s="8"/>
      <c r="W342" s="8">
        <v>331243</v>
      </c>
      <c r="X342" s="8"/>
      <c r="Y342" s="8">
        <v>0</v>
      </c>
      <c r="Z342" s="8"/>
      <c r="AA342" s="8">
        <v>998321</v>
      </c>
      <c r="AB342" s="8"/>
      <c r="AC342" s="8">
        <v>554570</v>
      </c>
      <c r="AD342" s="8"/>
      <c r="AE342" s="8">
        <v>95282</v>
      </c>
      <c r="AF342" s="138"/>
      <c r="AG342" s="12" t="s">
        <v>688</v>
      </c>
      <c r="AH342" s="12"/>
      <c r="AI342" s="12" t="s">
        <v>64</v>
      </c>
      <c r="AJ342" s="12"/>
      <c r="AK342" s="8">
        <v>327971</v>
      </c>
      <c r="AL342" s="8"/>
      <c r="AM342" s="8">
        <v>10965</v>
      </c>
      <c r="AN342" s="8"/>
      <c r="AO342" s="8">
        <v>234480</v>
      </c>
      <c r="AP342" s="8"/>
      <c r="AQ342" s="8">
        <v>0</v>
      </c>
      <c r="AR342" s="8"/>
      <c r="AS342" s="8"/>
      <c r="AT342" s="8"/>
      <c r="AU342" s="8">
        <v>0</v>
      </c>
      <c r="AV342" s="8"/>
      <c r="AW342" s="8">
        <f t="shared" si="18"/>
        <v>9622382</v>
      </c>
      <c r="AY342" s="8">
        <f>+'St of Activites - GA Rev'!AI342-'St of Activities - GA Exp'!AW342</f>
        <v>-256654</v>
      </c>
      <c r="BA342" s="8">
        <v>3797272</v>
      </c>
      <c r="BC342" s="8">
        <f t="shared" si="19"/>
        <v>3540618</v>
      </c>
      <c r="BE342" s="8">
        <f>+'St of Net Assets - GA'!AA342-'St of Activities - GA Exp'!BC342</f>
        <v>0</v>
      </c>
    </row>
    <row r="343" spans="1:59">
      <c r="A343" s="12" t="s">
        <v>497</v>
      </c>
      <c r="B343" s="12"/>
      <c r="C343" s="12" t="s">
        <v>117</v>
      </c>
      <c r="D343" s="12"/>
      <c r="E343" s="32">
        <v>44362</v>
      </c>
      <c r="G343" s="8">
        <v>15773652</v>
      </c>
      <c r="H343" s="8"/>
      <c r="I343" s="8">
        <v>3178924</v>
      </c>
      <c r="J343" s="8"/>
      <c r="K343" s="8">
        <v>335066</v>
      </c>
      <c r="L343" s="8"/>
      <c r="M343" s="8">
        <f>19331+470732</f>
        <v>490063</v>
      </c>
      <c r="N343" s="8"/>
      <c r="O343" s="8">
        <v>1488123</v>
      </c>
      <c r="P343" s="8"/>
      <c r="Q343" s="8">
        <v>900585</v>
      </c>
      <c r="R343" s="8"/>
      <c r="S343" s="8">
        <v>36255</v>
      </c>
      <c r="T343" s="8"/>
      <c r="U343" s="8">
        <v>2522829</v>
      </c>
      <c r="V343" s="8"/>
      <c r="W343" s="8">
        <v>670433</v>
      </c>
      <c r="X343" s="8"/>
      <c r="Y343" s="8">
        <v>235327</v>
      </c>
      <c r="Z343" s="8"/>
      <c r="AA343" s="8">
        <v>3779560</v>
      </c>
      <c r="AB343" s="8"/>
      <c r="AC343" s="8">
        <v>947448</v>
      </c>
      <c r="AD343" s="8"/>
      <c r="AE343" s="8">
        <v>224493</v>
      </c>
      <c r="AF343" s="138"/>
      <c r="AG343" s="12" t="s">
        <v>497</v>
      </c>
      <c r="AH343" s="12"/>
      <c r="AI343" s="12" t="s">
        <v>117</v>
      </c>
      <c r="AJ343" s="12"/>
      <c r="AK343" s="8">
        <v>999939</v>
      </c>
      <c r="AL343" s="8"/>
      <c r="AM343" s="8">
        <v>591991</v>
      </c>
      <c r="AN343" s="8"/>
      <c r="AO343" s="8">
        <v>1411991</v>
      </c>
      <c r="AP343" s="8"/>
      <c r="AQ343" s="8">
        <v>1709890</v>
      </c>
      <c r="AR343" s="8"/>
      <c r="AS343" s="8"/>
      <c r="AT343" s="8"/>
      <c r="AU343" s="8">
        <v>0</v>
      </c>
      <c r="AV343" s="8"/>
      <c r="AW343" s="8">
        <f t="shared" si="18"/>
        <v>35296569</v>
      </c>
      <c r="AY343" s="8">
        <f>+'St of Activites - GA Rev'!AI343-'St of Activities - GA Exp'!AW343</f>
        <v>-3488818</v>
      </c>
      <c r="BA343" s="8">
        <v>13269352</v>
      </c>
      <c r="BC343" s="8">
        <f t="shared" si="19"/>
        <v>9780534</v>
      </c>
      <c r="BE343" s="8">
        <f>+'St of Net Assets - GA'!AA343-'St of Activities - GA Exp'!BC343</f>
        <v>0</v>
      </c>
    </row>
    <row r="344" spans="1:59">
      <c r="A344" s="12" t="s">
        <v>312</v>
      </c>
      <c r="B344" s="12"/>
      <c r="C344" s="12" t="s">
        <v>20</v>
      </c>
      <c r="D344" s="12"/>
      <c r="E344" s="32">
        <v>44370</v>
      </c>
      <c r="G344" s="8">
        <v>23303051</v>
      </c>
      <c r="H344" s="8"/>
      <c r="I344" s="8">
        <v>11695852</v>
      </c>
      <c r="J344" s="8"/>
      <c r="K344" s="8">
        <f>971489+6107826</f>
        <v>7079315</v>
      </c>
      <c r="L344" s="8"/>
      <c r="M344" s="8">
        <f>74266+175681</f>
        <v>249947</v>
      </c>
      <c r="N344" s="8"/>
      <c r="O344" s="8">
        <v>4903213</v>
      </c>
      <c r="P344" s="8"/>
      <c r="Q344" s="8">
        <v>5247682</v>
      </c>
      <c r="R344" s="8"/>
      <c r="S344" s="8">
        <v>97061</v>
      </c>
      <c r="T344" s="8"/>
      <c r="U344" s="8">
        <v>3647494</v>
      </c>
      <c r="V344" s="8"/>
      <c r="W344" s="8">
        <v>1833867</v>
      </c>
      <c r="X344" s="8"/>
      <c r="Y344" s="8">
        <v>313352</v>
      </c>
      <c r="Z344" s="8"/>
      <c r="AA344" s="8">
        <v>6356660</v>
      </c>
      <c r="AB344" s="8"/>
      <c r="AC344" s="8">
        <v>5294003</v>
      </c>
      <c r="AD344" s="8"/>
      <c r="AE344" s="8">
        <v>767967</v>
      </c>
      <c r="AF344" s="138"/>
      <c r="AG344" s="12" t="s">
        <v>312</v>
      </c>
      <c r="AH344" s="12"/>
      <c r="AI344" s="12" t="s">
        <v>20</v>
      </c>
      <c r="AJ344" s="12"/>
      <c r="AK344" s="8">
        <v>1372366</v>
      </c>
      <c r="AL344" s="8"/>
      <c r="AM344" s="8">
        <v>1144164</v>
      </c>
      <c r="AN344" s="8"/>
      <c r="AO344" s="8">
        <v>1469102</v>
      </c>
      <c r="AP344" s="8"/>
      <c r="AQ344" s="8">
        <v>844158</v>
      </c>
      <c r="AR344" s="8"/>
      <c r="AS344" s="8"/>
      <c r="AT344" s="8"/>
      <c r="AU344" s="8">
        <v>0</v>
      </c>
      <c r="AV344" s="8"/>
      <c r="AW344" s="8">
        <f t="shared" si="18"/>
        <v>75619254</v>
      </c>
      <c r="AY344" s="8">
        <f>+'St of Activites - GA Rev'!AI344-'St of Activities - GA Exp'!AW344</f>
        <v>6754325</v>
      </c>
      <c r="BA344" s="8">
        <v>29582888</v>
      </c>
      <c r="BC344" s="8">
        <f t="shared" si="19"/>
        <v>36337213</v>
      </c>
      <c r="BE344" s="8">
        <f>+'St of Net Assets - GA'!AA344-'St of Activities - GA Exp'!BC344</f>
        <v>0</v>
      </c>
      <c r="BG344" s="15" t="s">
        <v>905</v>
      </c>
    </row>
    <row r="345" spans="1:59">
      <c r="A345" s="12" t="s">
        <v>565</v>
      </c>
      <c r="B345" s="12"/>
      <c r="C345" s="12" t="s">
        <v>51</v>
      </c>
      <c r="D345" s="12"/>
      <c r="E345" s="32">
        <v>48850</v>
      </c>
      <c r="G345" s="8">
        <v>9683938</v>
      </c>
      <c r="H345" s="8"/>
      <c r="I345" s="8">
        <v>2317089</v>
      </c>
      <c r="J345" s="8"/>
      <c r="K345" s="8">
        <v>137598</v>
      </c>
      <c r="L345" s="8"/>
      <c r="M345" s="8">
        <v>373009</v>
      </c>
      <c r="N345" s="8"/>
      <c r="O345" s="8">
        <v>721943</v>
      </c>
      <c r="P345" s="8"/>
      <c r="Q345" s="8">
        <v>1657615</v>
      </c>
      <c r="R345" s="8"/>
      <c r="S345" s="8">
        <v>63576</v>
      </c>
      <c r="T345" s="8"/>
      <c r="U345" s="8">
        <v>2087129</v>
      </c>
      <c r="V345" s="8"/>
      <c r="W345" s="8">
        <v>431111</v>
      </c>
      <c r="X345" s="8"/>
      <c r="Y345" s="8">
        <v>0</v>
      </c>
      <c r="Z345" s="8"/>
      <c r="AA345" s="8">
        <v>2176117</v>
      </c>
      <c r="AB345" s="8"/>
      <c r="AC345" s="8">
        <v>963811</v>
      </c>
      <c r="AD345" s="8"/>
      <c r="AE345" s="8">
        <v>38723</v>
      </c>
      <c r="AF345" s="138"/>
      <c r="AG345" s="12" t="s">
        <v>565</v>
      </c>
      <c r="AH345" s="12"/>
      <c r="AI345" s="12" t="s">
        <v>51</v>
      </c>
      <c r="AJ345" s="12"/>
      <c r="AK345" s="8">
        <v>1043300</v>
      </c>
      <c r="AL345" s="8"/>
      <c r="AM345" s="8">
        <v>17988</v>
      </c>
      <c r="AN345" s="8"/>
      <c r="AO345" s="8">
        <v>670733</v>
      </c>
      <c r="AP345" s="8"/>
      <c r="AQ345" s="8">
        <v>220695</v>
      </c>
      <c r="AR345" s="8"/>
      <c r="AS345" s="8"/>
      <c r="AT345" s="8"/>
      <c r="AU345" s="8">
        <v>0</v>
      </c>
      <c r="AV345" s="8"/>
      <c r="AW345" s="8">
        <f t="shared" si="18"/>
        <v>22604375</v>
      </c>
      <c r="AY345" s="8">
        <f>+'St of Activites - GA Rev'!AI345-'St of Activities - GA Exp'!AW345</f>
        <v>-1349511</v>
      </c>
      <c r="BA345" s="8">
        <v>35318318</v>
      </c>
      <c r="BC345" s="8">
        <f t="shared" si="19"/>
        <v>33968807</v>
      </c>
      <c r="BE345" s="8">
        <f>+'St of Net Assets - GA'!AA345-'St of Activities - GA Exp'!BC345</f>
        <v>0</v>
      </c>
    </row>
    <row r="346" spans="1:59" ht="12" hidden="1" customHeight="1">
      <c r="A346" s="12" t="s">
        <v>885</v>
      </c>
      <c r="B346" s="12"/>
      <c r="C346" s="12" t="s">
        <v>33</v>
      </c>
      <c r="D346" s="12"/>
      <c r="E346" s="32">
        <v>47456</v>
      </c>
      <c r="G346" s="35">
        <v>3072987</v>
      </c>
      <c r="H346" s="35"/>
      <c r="I346" s="35">
        <v>822071</v>
      </c>
      <c r="J346" s="35"/>
      <c r="K346" s="35">
        <v>280790</v>
      </c>
      <c r="L346" s="35"/>
      <c r="M346" s="35">
        <f>12311+321765</f>
        <v>334076</v>
      </c>
      <c r="N346" s="35"/>
      <c r="O346" s="35">
        <v>280176</v>
      </c>
      <c r="P346" s="35"/>
      <c r="Q346" s="35">
        <v>235796</v>
      </c>
      <c r="R346" s="35"/>
      <c r="S346" s="35">
        <v>11724</v>
      </c>
      <c r="T346" s="35"/>
      <c r="U346" s="35">
        <v>743367</v>
      </c>
      <c r="V346" s="35"/>
      <c r="W346" s="35">
        <v>225049</v>
      </c>
      <c r="X346" s="35"/>
      <c r="Y346" s="35"/>
      <c r="Z346" s="35"/>
      <c r="AA346" s="35">
        <v>589443</v>
      </c>
      <c r="AB346" s="35"/>
      <c r="AC346" s="35">
        <v>390647</v>
      </c>
      <c r="AD346" s="35"/>
      <c r="AE346" s="35">
        <v>11994</v>
      </c>
      <c r="AF346" s="139"/>
      <c r="AG346" s="34" t="s">
        <v>418</v>
      </c>
      <c r="AH346" s="34"/>
      <c r="AI346" s="34" t="s">
        <v>33</v>
      </c>
      <c r="AJ346" s="34"/>
      <c r="AK346" s="35"/>
      <c r="AL346" s="35"/>
      <c r="AM346" s="35">
        <v>241726</v>
      </c>
      <c r="AN346" s="35"/>
      <c r="AO346" s="35">
        <v>310584</v>
      </c>
      <c r="AP346" s="35"/>
      <c r="AQ346" s="35"/>
      <c r="AR346" s="35"/>
      <c r="AS346" s="35"/>
      <c r="AT346" s="35"/>
      <c r="AU346" s="35">
        <f>125335+83291+155000+119522</f>
        <v>483148</v>
      </c>
      <c r="AV346" s="35"/>
      <c r="AW346" s="35">
        <f>SUM(G346:AV346)</f>
        <v>8033578</v>
      </c>
      <c r="AX346" s="35"/>
      <c r="AY346" s="35">
        <f>+'St of Activites - GA Rev'!AI346-'St of Activities - GA Exp'!AW346</f>
        <v>129878</v>
      </c>
      <c r="AZ346" s="35"/>
      <c r="BA346" s="35">
        <v>2275155</v>
      </c>
      <c r="BB346" s="35"/>
      <c r="BC346" s="35">
        <f>+AY346+BA346</f>
        <v>2405033</v>
      </c>
      <c r="BD346" s="35"/>
      <c r="BE346" s="35">
        <f>+'St of Net Assets - GA'!AA346-'St of Activities - GA Exp'!BC346</f>
        <v>0</v>
      </c>
    </row>
    <row r="347" spans="1:59" s="35" customFormat="1" ht="12" customHeight="1">
      <c r="A347" s="34" t="s">
        <v>882</v>
      </c>
      <c r="B347" s="34"/>
      <c r="C347" s="34" t="s">
        <v>64</v>
      </c>
      <c r="D347" s="34"/>
      <c r="E347" s="32">
        <v>50229</v>
      </c>
      <c r="G347" s="8">
        <v>4711028</v>
      </c>
      <c r="H347" s="8"/>
      <c r="I347" s="8">
        <v>750256</v>
      </c>
      <c r="J347" s="8"/>
      <c r="K347" s="8">
        <v>45879</v>
      </c>
      <c r="L347" s="8"/>
      <c r="M347" s="8">
        <v>0</v>
      </c>
      <c r="N347" s="8"/>
      <c r="O347" s="8">
        <v>253221</v>
      </c>
      <c r="P347" s="8"/>
      <c r="Q347" s="8">
        <v>84934</v>
      </c>
      <c r="R347" s="8"/>
      <c r="S347" s="8">
        <v>53005</v>
      </c>
      <c r="T347" s="8"/>
      <c r="U347" s="8">
        <v>558929</v>
      </c>
      <c r="V347" s="8"/>
      <c r="W347" s="8">
        <v>230822</v>
      </c>
      <c r="X347" s="8"/>
      <c r="Y347" s="8">
        <v>0</v>
      </c>
      <c r="Z347" s="8"/>
      <c r="AA347" s="8">
        <v>920369</v>
      </c>
      <c r="AB347" s="8"/>
      <c r="AC347" s="8">
        <v>132892</v>
      </c>
      <c r="AD347" s="8"/>
      <c r="AE347" s="8">
        <v>16408</v>
      </c>
      <c r="AF347" s="139"/>
      <c r="AG347" s="34" t="s">
        <v>882</v>
      </c>
      <c r="AH347" s="34"/>
      <c r="AI347" s="34" t="s">
        <v>64</v>
      </c>
      <c r="AJ347" s="34"/>
      <c r="AK347" s="8">
        <v>130614</v>
      </c>
      <c r="AL347" s="8"/>
      <c r="AM347" s="8">
        <v>50816</v>
      </c>
      <c r="AN347" s="8"/>
      <c r="AO347" s="8">
        <v>295474</v>
      </c>
      <c r="AP347" s="8"/>
      <c r="AQ347" s="8">
        <v>145502</v>
      </c>
      <c r="AR347" s="8"/>
      <c r="AS347" s="8"/>
      <c r="AT347" s="8"/>
      <c r="AU347" s="8">
        <v>0</v>
      </c>
      <c r="AV347" s="8"/>
      <c r="AW347" s="8">
        <f t="shared" ref="AW347:AW413" si="20">SUM(G347:AV347)</f>
        <v>8380149</v>
      </c>
      <c r="AX347" s="8"/>
      <c r="AY347" s="8">
        <f>+'St of Activites - GA Rev'!AI347-'St of Activities - GA Exp'!AW347</f>
        <v>-1336619</v>
      </c>
      <c r="AZ347" s="8"/>
      <c r="BA347" s="8">
        <v>12367809</v>
      </c>
      <c r="BB347" s="8"/>
      <c r="BC347" s="8">
        <f t="shared" ref="BC347:BC413" si="21">+AY347+BA347</f>
        <v>11031190</v>
      </c>
      <c r="BD347" s="8"/>
      <c r="BE347" s="8">
        <f>+'St of Net Assets - GA'!AA347-'St of Activities - GA Exp'!BC347</f>
        <v>0</v>
      </c>
      <c r="BG347" s="8"/>
    </row>
    <row r="348" spans="1:59" s="8" customFormat="1">
      <c r="A348" s="13" t="s">
        <v>256</v>
      </c>
      <c r="B348" s="13"/>
      <c r="C348" s="13" t="s">
        <v>255</v>
      </c>
      <c r="D348" s="13"/>
      <c r="E348" s="13">
        <v>45484</v>
      </c>
      <c r="G348" s="8">
        <v>4483765</v>
      </c>
      <c r="I348" s="8">
        <v>1442331</v>
      </c>
      <c r="K348" s="8">
        <v>193368</v>
      </c>
      <c r="M348" s="8">
        <v>0</v>
      </c>
      <c r="O348" s="8">
        <v>381390</v>
      </c>
      <c r="Q348" s="8">
        <v>231848</v>
      </c>
      <c r="S348" s="8">
        <v>45060</v>
      </c>
      <c r="U348" s="8">
        <v>797430</v>
      </c>
      <c r="W348" s="8">
        <v>312679</v>
      </c>
      <c r="Y348" s="8">
        <v>0</v>
      </c>
      <c r="AA348" s="8">
        <v>1212564</v>
      </c>
      <c r="AC348" s="8">
        <v>651996</v>
      </c>
      <c r="AE348" s="8">
        <v>108148</v>
      </c>
      <c r="AF348" s="138"/>
      <c r="AG348" s="13" t="s">
        <v>256</v>
      </c>
      <c r="AH348" s="13"/>
      <c r="AI348" s="13" t="s">
        <v>255</v>
      </c>
      <c r="AJ348" s="13"/>
      <c r="AK348" s="8">
        <v>287135</v>
      </c>
      <c r="AM348" s="8">
        <v>4907</v>
      </c>
      <c r="AO348" s="8">
        <v>433802</v>
      </c>
      <c r="AQ348" s="8">
        <v>351372</v>
      </c>
      <c r="AU348" s="8">
        <v>0</v>
      </c>
      <c r="AW348" s="8">
        <f t="shared" si="20"/>
        <v>10937795</v>
      </c>
      <c r="AY348" s="8">
        <f>+'St of Activites - GA Rev'!AI348-'St of Activities - GA Exp'!AW348</f>
        <v>-590730</v>
      </c>
      <c r="BA348" s="8">
        <v>21100142</v>
      </c>
      <c r="BC348" s="8">
        <f t="shared" si="21"/>
        <v>20509412</v>
      </c>
      <c r="BE348" s="8">
        <f>+'St of Net Assets - GA'!AA348-'St of Activities - GA Exp'!BC348</f>
        <v>0</v>
      </c>
    </row>
    <row r="349" spans="1:59">
      <c r="A349" s="12" t="s">
        <v>529</v>
      </c>
      <c r="B349" s="12"/>
      <c r="C349" s="12" t="s">
        <v>47</v>
      </c>
      <c r="D349" s="12"/>
      <c r="E349" s="32">
        <v>44388</v>
      </c>
      <c r="G349" s="8">
        <v>38791761</v>
      </c>
      <c r="H349" s="8"/>
      <c r="I349" s="8">
        <v>9923657</v>
      </c>
      <c r="J349" s="8"/>
      <c r="K349" s="8">
        <v>526069</v>
      </c>
      <c r="L349" s="8"/>
      <c r="M349" s="8">
        <v>258806</v>
      </c>
      <c r="N349" s="8"/>
      <c r="O349" s="8">
        <v>4685731</v>
      </c>
      <c r="P349" s="8"/>
      <c r="Q349" s="8">
        <v>4046616</v>
      </c>
      <c r="R349" s="8"/>
      <c r="S349" s="8">
        <v>145179</v>
      </c>
      <c r="T349" s="8"/>
      <c r="U349" s="8">
        <v>5131913</v>
      </c>
      <c r="V349" s="8"/>
      <c r="W349" s="8">
        <v>1646461</v>
      </c>
      <c r="X349" s="8"/>
      <c r="Y349" s="8">
        <v>564226</v>
      </c>
      <c r="Z349" s="8"/>
      <c r="AA349" s="8">
        <v>7860756</v>
      </c>
      <c r="AB349" s="8"/>
      <c r="AC349" s="8">
        <v>3533089</v>
      </c>
      <c r="AD349" s="8"/>
      <c r="AE349" s="8">
        <v>499527</v>
      </c>
      <c r="AF349" s="138"/>
      <c r="AG349" s="12" t="s">
        <v>529</v>
      </c>
      <c r="AH349" s="12"/>
      <c r="AI349" s="12" t="s">
        <v>47</v>
      </c>
      <c r="AJ349" s="12"/>
      <c r="AK349" s="8">
        <v>2306158</v>
      </c>
      <c r="AL349" s="8"/>
      <c r="AM349" s="8">
        <v>599204</v>
      </c>
      <c r="AN349" s="8"/>
      <c r="AO349" s="8">
        <v>2460624</v>
      </c>
      <c r="AP349" s="8"/>
      <c r="AQ349" s="8">
        <v>5327443</v>
      </c>
      <c r="AR349" s="8"/>
      <c r="AS349" s="8"/>
      <c r="AT349" s="8"/>
      <c r="AU349" s="8">
        <v>0</v>
      </c>
      <c r="AV349" s="8"/>
      <c r="AW349" s="8">
        <f t="shared" si="20"/>
        <v>88307220</v>
      </c>
      <c r="AY349" s="8">
        <f>+'St of Activites - GA Rev'!AI349-'St of Activities - GA Exp'!AW349</f>
        <v>3219055</v>
      </c>
      <c r="BA349" s="8">
        <v>32582144</v>
      </c>
      <c r="BC349" s="8">
        <f t="shared" si="21"/>
        <v>35801199</v>
      </c>
      <c r="BE349" s="8">
        <f>+'St of Net Assets - GA'!AA349-'St of Activities - GA Exp'!BC349</f>
        <v>0</v>
      </c>
    </row>
    <row r="350" spans="1:59">
      <c r="A350" s="12" t="s">
        <v>532</v>
      </c>
      <c r="B350" s="12"/>
      <c r="C350" s="12" t="s">
        <v>531</v>
      </c>
      <c r="D350" s="12"/>
      <c r="E350" s="32">
        <v>48520</v>
      </c>
      <c r="G350" s="8">
        <v>7595951</v>
      </c>
      <c r="H350" s="8"/>
      <c r="I350" s="8">
        <v>2393780</v>
      </c>
      <c r="J350" s="8"/>
      <c r="K350" s="8">
        <v>1354717</v>
      </c>
      <c r="L350" s="8"/>
      <c r="M350" s="8">
        <f>6500+117098+2046713</f>
        <v>2170311</v>
      </c>
      <c r="N350" s="8"/>
      <c r="O350" s="8">
        <v>620434</v>
      </c>
      <c r="P350" s="8"/>
      <c r="Q350" s="8">
        <v>560685</v>
      </c>
      <c r="R350" s="8"/>
      <c r="S350" s="8">
        <v>46933</v>
      </c>
      <c r="T350" s="8"/>
      <c r="U350" s="8">
        <v>1769435</v>
      </c>
      <c r="V350" s="8"/>
      <c r="W350" s="8">
        <v>464081</v>
      </c>
      <c r="X350" s="8"/>
      <c r="Y350" s="8">
        <v>0</v>
      </c>
      <c r="Z350" s="8"/>
      <c r="AA350" s="8">
        <v>2190225</v>
      </c>
      <c r="AB350" s="8"/>
      <c r="AC350" s="8">
        <v>1656840</v>
      </c>
      <c r="AD350" s="8"/>
      <c r="AE350" s="8">
        <v>66685</v>
      </c>
      <c r="AF350" s="138"/>
      <c r="AG350" s="12" t="s">
        <v>532</v>
      </c>
      <c r="AH350" s="12"/>
      <c r="AI350" s="12" t="s">
        <v>531</v>
      </c>
      <c r="AJ350" s="12"/>
      <c r="AK350" s="8">
        <v>0</v>
      </c>
      <c r="AL350" s="8"/>
      <c r="AM350" s="8">
        <v>1197145</v>
      </c>
      <c r="AN350" s="8"/>
      <c r="AO350" s="8">
        <v>283332</v>
      </c>
      <c r="AP350" s="8"/>
      <c r="AQ350" s="8">
        <v>312780</v>
      </c>
      <c r="AR350" s="8"/>
      <c r="AS350" s="8"/>
      <c r="AT350" s="8"/>
      <c r="AU350" s="8">
        <v>0</v>
      </c>
      <c r="AV350" s="8"/>
      <c r="AW350" s="8">
        <f t="shared" si="20"/>
        <v>22683334</v>
      </c>
      <c r="AY350" s="8">
        <f>+'St of Activites - GA Rev'!AI350-'St of Activities - GA Exp'!AW350</f>
        <v>711725</v>
      </c>
      <c r="BA350" s="8">
        <v>22667926</v>
      </c>
      <c r="BC350" s="8">
        <f t="shared" si="21"/>
        <v>23379651</v>
      </c>
      <c r="BE350" s="8">
        <f>+'St of Net Assets - GA'!AA350-'St of Activities - GA Exp'!BC350</f>
        <v>0</v>
      </c>
    </row>
    <row r="351" spans="1:59">
      <c r="A351" s="12" t="s">
        <v>460</v>
      </c>
      <c r="B351" s="12"/>
      <c r="C351" s="12" t="s">
        <v>41</v>
      </c>
      <c r="D351" s="12"/>
      <c r="E351" s="32">
        <v>45492</v>
      </c>
      <c r="G351" s="8">
        <v>46237935</v>
      </c>
      <c r="H351" s="8"/>
      <c r="I351" s="8">
        <v>12369370</v>
      </c>
      <c r="J351" s="8"/>
      <c r="K351" s="8">
        <v>2400243</v>
      </c>
      <c r="L351" s="8"/>
      <c r="M351" s="8">
        <v>871025</v>
      </c>
      <c r="N351" s="8"/>
      <c r="O351" s="8">
        <v>6614344</v>
      </c>
      <c r="P351" s="8"/>
      <c r="Q351" s="8">
        <v>5431287</v>
      </c>
      <c r="R351" s="8"/>
      <c r="S351" s="8">
        <v>475375</v>
      </c>
      <c r="T351" s="8"/>
      <c r="U351" s="8">
        <v>6067851</v>
      </c>
      <c r="V351" s="8"/>
      <c r="W351" s="8">
        <v>2602233</v>
      </c>
      <c r="X351" s="8"/>
      <c r="Y351" s="8">
        <v>600821</v>
      </c>
      <c r="Z351" s="8"/>
      <c r="AA351" s="8">
        <v>9331618</v>
      </c>
      <c r="AB351" s="8"/>
      <c r="AC351" s="8">
        <v>6379443</v>
      </c>
      <c r="AD351" s="8"/>
      <c r="AE351" s="8">
        <v>1608402</v>
      </c>
      <c r="AF351" s="138"/>
      <c r="AG351" s="12" t="s">
        <v>460</v>
      </c>
      <c r="AH351" s="12"/>
      <c r="AI351" s="12" t="s">
        <v>41</v>
      </c>
      <c r="AJ351" s="12"/>
      <c r="AK351" s="8">
        <v>2706117</v>
      </c>
      <c r="AL351" s="8"/>
      <c r="AM351" s="8">
        <v>1600570</v>
      </c>
      <c r="AN351" s="8"/>
      <c r="AO351" s="8">
        <v>1973168</v>
      </c>
      <c r="AP351" s="8"/>
      <c r="AQ351" s="8">
        <v>376700</v>
      </c>
      <c r="AR351" s="8"/>
      <c r="AS351" s="8"/>
      <c r="AT351" s="8"/>
      <c r="AU351" s="8">
        <v>0</v>
      </c>
      <c r="AV351" s="8"/>
      <c r="AW351" s="8">
        <f t="shared" si="20"/>
        <v>107646502</v>
      </c>
      <c r="AY351" s="8">
        <f>+'St of Activites - GA Rev'!AI351-'St of Activities - GA Exp'!AW351</f>
        <v>9904598</v>
      </c>
      <c r="BA351" s="8">
        <v>39867693</v>
      </c>
      <c r="BC351" s="8">
        <f t="shared" si="21"/>
        <v>49772291</v>
      </c>
      <c r="BE351" s="8">
        <f>+'St of Net Assets - GA'!AA351-'St of Activities - GA Exp'!BC351</f>
        <v>0</v>
      </c>
    </row>
    <row r="352" spans="1:59">
      <c r="A352" s="12" t="s">
        <v>537</v>
      </c>
      <c r="B352" s="12"/>
      <c r="C352" s="12" t="s">
        <v>48</v>
      </c>
      <c r="D352" s="12"/>
      <c r="E352" s="32">
        <v>48629</v>
      </c>
      <c r="G352" s="8">
        <v>5971103</v>
      </c>
      <c r="H352" s="8"/>
      <c r="I352" s="8">
        <v>1008567</v>
      </c>
      <c r="J352" s="8"/>
      <c r="K352" s="8">
        <v>117996</v>
      </c>
      <c r="L352" s="8"/>
      <c r="M352" s="8">
        <v>16874</v>
      </c>
      <c r="N352" s="8"/>
      <c r="O352" s="8">
        <v>620397</v>
      </c>
      <c r="P352" s="8"/>
      <c r="Q352" s="8">
        <v>302912</v>
      </c>
      <c r="R352" s="8"/>
      <c r="S352" s="8">
        <v>77094</v>
      </c>
      <c r="T352" s="8"/>
      <c r="U352" s="8">
        <v>892248</v>
      </c>
      <c r="V352" s="8"/>
      <c r="W352" s="8">
        <v>368333</v>
      </c>
      <c r="X352" s="8"/>
      <c r="Y352" s="8">
        <v>59185</v>
      </c>
      <c r="Z352" s="8"/>
      <c r="AA352" s="8">
        <v>1039236</v>
      </c>
      <c r="AB352" s="8"/>
      <c r="AC352" s="8">
        <v>861877</v>
      </c>
      <c r="AD352" s="8"/>
      <c r="AE352" s="8">
        <v>277478</v>
      </c>
      <c r="AF352" s="138"/>
      <c r="AG352" s="12" t="s">
        <v>537</v>
      </c>
      <c r="AH352" s="12"/>
      <c r="AI352" s="12" t="s">
        <v>48</v>
      </c>
      <c r="AJ352" s="12"/>
      <c r="AK352" s="8">
        <v>0</v>
      </c>
      <c r="AL352" s="8"/>
      <c r="AM352" s="8">
        <v>430437</v>
      </c>
      <c r="AN352" s="8"/>
      <c r="AO352" s="8">
        <v>432438</v>
      </c>
      <c r="AP352" s="8"/>
      <c r="AQ352" s="8">
        <v>805829</v>
      </c>
      <c r="AR352" s="8"/>
      <c r="AS352" s="8"/>
      <c r="AT352" s="8"/>
      <c r="AU352" s="8">
        <v>0</v>
      </c>
      <c r="AV352" s="8"/>
      <c r="AW352" s="8">
        <f t="shared" si="20"/>
        <v>13282004</v>
      </c>
      <c r="AY352" s="8">
        <f>+'St of Activites - GA Rev'!AI352-'St of Activities - GA Exp'!AW352</f>
        <v>12126613</v>
      </c>
      <c r="BA352" s="8">
        <v>3658864</v>
      </c>
      <c r="BC352" s="8">
        <f t="shared" si="21"/>
        <v>15785477</v>
      </c>
      <c r="BE352" s="8">
        <f>+'St of Net Assets - GA'!AA352-'St of Activities - GA Exp'!BC352</f>
        <v>0</v>
      </c>
    </row>
    <row r="353" spans="1:59">
      <c r="A353" s="12" t="s">
        <v>350</v>
      </c>
      <c r="B353" s="12"/>
      <c r="C353" s="12" t="s">
        <v>26</v>
      </c>
      <c r="D353" s="12"/>
      <c r="E353" s="32">
        <v>46920</v>
      </c>
      <c r="G353" s="8">
        <v>9327694</v>
      </c>
      <c r="H353" s="8"/>
      <c r="I353" s="8">
        <v>2212697</v>
      </c>
      <c r="J353" s="8"/>
      <c r="K353" s="8">
        <v>602705</v>
      </c>
      <c r="L353" s="8"/>
      <c r="M353" s="8">
        <v>1861026</v>
      </c>
      <c r="N353" s="8"/>
      <c r="O353" s="8">
        <v>1315232</v>
      </c>
      <c r="P353" s="8"/>
      <c r="Q353" s="8">
        <v>1552963</v>
      </c>
      <c r="R353" s="8"/>
      <c r="S353" s="8">
        <v>28105</v>
      </c>
      <c r="T353" s="8"/>
      <c r="U353" s="8">
        <v>2310387</v>
      </c>
      <c r="V353" s="8"/>
      <c r="W353" s="8">
        <v>1031684</v>
      </c>
      <c r="X353" s="8"/>
      <c r="Y353" s="8">
        <v>138149</v>
      </c>
      <c r="Z353" s="8"/>
      <c r="AA353" s="8">
        <v>2116377</v>
      </c>
      <c r="AB353" s="8"/>
      <c r="AC353" s="8">
        <v>2084012</v>
      </c>
      <c r="AD353" s="8"/>
      <c r="AE353" s="8">
        <v>3128594</v>
      </c>
      <c r="AF353" s="138"/>
      <c r="AG353" s="12" t="s">
        <v>350</v>
      </c>
      <c r="AH353" s="12"/>
      <c r="AI353" s="12" t="s">
        <v>26</v>
      </c>
      <c r="AJ353" s="12"/>
      <c r="AK353" s="8">
        <v>0</v>
      </c>
      <c r="AL353" s="8"/>
      <c r="AM353" s="8">
        <v>1104671</v>
      </c>
      <c r="AN353" s="8"/>
      <c r="AO353" s="8">
        <v>637595</v>
      </c>
      <c r="AP353" s="8"/>
      <c r="AQ353" s="8">
        <v>840909</v>
      </c>
      <c r="AR353" s="8"/>
      <c r="AS353" s="8"/>
      <c r="AT353" s="8"/>
      <c r="AU353" s="8">
        <v>0</v>
      </c>
      <c r="AV353" s="8"/>
      <c r="AW353" s="8">
        <f t="shared" si="20"/>
        <v>30292800</v>
      </c>
      <c r="AY353" s="8">
        <f>+'St of Activites - GA Rev'!AI353-'St of Activities - GA Exp'!AW353</f>
        <v>9642189</v>
      </c>
      <c r="BA353" s="8">
        <v>26674428</v>
      </c>
      <c r="BC353" s="8">
        <f t="shared" si="21"/>
        <v>36316617</v>
      </c>
      <c r="BE353" s="8">
        <f>+'St of Net Assets - GA'!AA353-'St of Activities - GA Exp'!BC353</f>
        <v>0</v>
      </c>
    </row>
    <row r="354" spans="1:59">
      <c r="A354" s="12" t="s">
        <v>551</v>
      </c>
      <c r="B354" s="12"/>
      <c r="C354" s="12" t="s">
        <v>50</v>
      </c>
      <c r="D354" s="12"/>
      <c r="E354" s="32">
        <v>44396</v>
      </c>
      <c r="G354" s="8">
        <v>25563232</v>
      </c>
      <c r="H354" s="8"/>
      <c r="I354" s="8">
        <v>8117142</v>
      </c>
      <c r="J354" s="8"/>
      <c r="K354" s="8">
        <v>761465</v>
      </c>
      <c r="L354" s="8"/>
      <c r="M354" s="8">
        <v>455939</v>
      </c>
      <c r="N354" s="8"/>
      <c r="O354" s="8">
        <v>4165297</v>
      </c>
      <c r="P354" s="8"/>
      <c r="Q354" s="8">
        <v>1231873</v>
      </c>
      <c r="R354" s="8"/>
      <c r="S354" s="8">
        <v>28248</v>
      </c>
      <c r="T354" s="8"/>
      <c r="U354" s="8">
        <v>3234650</v>
      </c>
      <c r="V354" s="8"/>
      <c r="W354" s="8">
        <v>1007051</v>
      </c>
      <c r="X354" s="8"/>
      <c r="Y354" s="8">
        <v>256977</v>
      </c>
      <c r="Z354" s="8"/>
      <c r="AA354" s="8">
        <v>7431487</v>
      </c>
      <c r="AB354" s="8"/>
      <c r="AC354" s="8">
        <v>2591438</v>
      </c>
      <c r="AD354" s="8"/>
      <c r="AE354" s="8">
        <v>764587</v>
      </c>
      <c r="AF354" s="138"/>
      <c r="AG354" s="12" t="s">
        <v>551</v>
      </c>
      <c r="AH354" s="12"/>
      <c r="AI354" s="12" t="s">
        <v>50</v>
      </c>
      <c r="AJ354" s="12"/>
      <c r="AK354" s="8">
        <v>0</v>
      </c>
      <c r="AL354" s="8"/>
      <c r="AM354" s="8">
        <v>3127505</v>
      </c>
      <c r="AN354" s="8"/>
      <c r="AO354" s="8">
        <v>830644</v>
      </c>
      <c r="AP354" s="8"/>
      <c r="AQ354" s="8">
        <v>2534675</v>
      </c>
      <c r="AR354" s="8"/>
      <c r="AS354" s="8"/>
      <c r="AT354" s="8"/>
      <c r="AU354" s="8">
        <v>443778</v>
      </c>
      <c r="AV354" s="8"/>
      <c r="AW354" s="8">
        <f t="shared" si="20"/>
        <v>62545988</v>
      </c>
      <c r="AY354" s="8">
        <f>+'St of Activites - GA Rev'!AI354-'St of Activities - GA Exp'!AW354</f>
        <v>-4258921</v>
      </c>
      <c r="BA354" s="8">
        <v>22846032</v>
      </c>
      <c r="BC354" s="8">
        <f t="shared" si="21"/>
        <v>18587111</v>
      </c>
      <c r="BE354" s="8">
        <f>+'St of Net Assets - GA'!AA354-'St of Activities - GA Exp'!BC354</f>
        <v>0</v>
      </c>
    </row>
    <row r="355" spans="1:59">
      <c r="A355" s="12" t="s">
        <v>247</v>
      </c>
      <c r="B355" s="12"/>
      <c r="C355" s="12" t="s">
        <v>242</v>
      </c>
      <c r="D355" s="12"/>
      <c r="E355" s="32">
        <v>44404</v>
      </c>
      <c r="G355" s="8">
        <v>28871675</v>
      </c>
      <c r="H355" s="8"/>
      <c r="I355" s="8">
        <v>8897841</v>
      </c>
      <c r="J355" s="8"/>
      <c r="K355" s="8">
        <v>40079</v>
      </c>
      <c r="L355" s="8"/>
      <c r="M355" s="8">
        <f>390194+9365626</f>
        <v>9755820</v>
      </c>
      <c r="N355" s="8"/>
      <c r="O355" s="8">
        <v>4664923</v>
      </c>
      <c r="P355" s="8"/>
      <c r="Q355" s="8">
        <v>5950980</v>
      </c>
      <c r="R355" s="8"/>
      <c r="S355" s="8">
        <v>39990</v>
      </c>
      <c r="T355" s="8"/>
      <c r="U355" s="8">
        <v>5918107</v>
      </c>
      <c r="V355" s="8"/>
      <c r="W355" s="8">
        <v>1350653</v>
      </c>
      <c r="X355" s="8"/>
      <c r="Y355" s="8">
        <v>484511</v>
      </c>
      <c r="Z355" s="8"/>
      <c r="AA355" s="8">
        <v>8501464</v>
      </c>
      <c r="AB355" s="8"/>
      <c r="AC355" s="8">
        <v>3292293</v>
      </c>
      <c r="AD355" s="8"/>
      <c r="AE355" s="8">
        <v>2330840</v>
      </c>
      <c r="AF355" s="138"/>
      <c r="AG355" s="12" t="s">
        <v>247</v>
      </c>
      <c r="AH355" s="12"/>
      <c r="AI355" s="12" t="s">
        <v>242</v>
      </c>
      <c r="AJ355" s="12"/>
      <c r="AK355" s="8">
        <v>3073129</v>
      </c>
      <c r="AL355" s="8"/>
      <c r="AM355" s="8">
        <v>770226</v>
      </c>
      <c r="AN355" s="8"/>
      <c r="AO355" s="8">
        <v>1022353</v>
      </c>
      <c r="AP355" s="8"/>
      <c r="AQ355" s="8">
        <v>3009066</v>
      </c>
      <c r="AR355" s="8"/>
      <c r="AS355" s="8"/>
      <c r="AT355" s="8"/>
      <c r="AU355" s="8">
        <v>0</v>
      </c>
      <c r="AV355" s="8"/>
      <c r="AW355" s="8">
        <f t="shared" si="20"/>
        <v>87973950</v>
      </c>
      <c r="AY355" s="8">
        <f>+'St of Activites - GA Rev'!AI355-'St of Activities - GA Exp'!AW355</f>
        <v>199613</v>
      </c>
      <c r="BA355" s="8">
        <v>25689559</v>
      </c>
      <c r="BC355" s="8">
        <f t="shared" si="21"/>
        <v>25889172</v>
      </c>
      <c r="BE355" s="8">
        <f>+'St of Net Assets - GA'!AA358-'St of Activities - GA Exp'!BC355</f>
        <v>0</v>
      </c>
    </row>
    <row r="356" spans="1:59">
      <c r="A356" s="12" t="s">
        <v>491</v>
      </c>
      <c r="B356" s="12"/>
      <c r="C356" s="12" t="s">
        <v>44</v>
      </c>
      <c r="D356" s="12"/>
      <c r="E356" s="32">
        <v>48173</v>
      </c>
      <c r="G356" s="8">
        <v>13423001</v>
      </c>
      <c r="H356" s="8"/>
      <c r="I356" s="8">
        <v>2414906</v>
      </c>
      <c r="J356" s="8"/>
      <c r="K356" s="8">
        <v>145020</v>
      </c>
      <c r="L356" s="8"/>
      <c r="M356" s="8">
        <v>50852</v>
      </c>
      <c r="N356" s="8"/>
      <c r="O356" s="8">
        <v>1681177</v>
      </c>
      <c r="P356" s="8"/>
      <c r="Q356" s="8">
        <v>426634</v>
      </c>
      <c r="R356" s="8"/>
      <c r="S356" s="8">
        <v>819152</v>
      </c>
      <c r="T356" s="8"/>
      <c r="U356" s="8">
        <v>2794871</v>
      </c>
      <c r="V356" s="8"/>
      <c r="W356" s="8">
        <v>773893</v>
      </c>
      <c r="X356" s="8"/>
      <c r="Y356" s="8">
        <v>421105</v>
      </c>
      <c r="Z356" s="8"/>
      <c r="AA356" s="8">
        <v>2917826</v>
      </c>
      <c r="AB356" s="8"/>
      <c r="AC356" s="8">
        <v>1485501</v>
      </c>
      <c r="AD356" s="8"/>
      <c r="AE356" s="8">
        <v>0</v>
      </c>
      <c r="AF356" s="138"/>
      <c r="AG356" s="12" t="s">
        <v>491</v>
      </c>
      <c r="AH356" s="12"/>
      <c r="AI356" s="12" t="s">
        <v>44</v>
      </c>
      <c r="AJ356" s="12"/>
      <c r="AK356" s="8">
        <v>1041187</v>
      </c>
      <c r="AL356" s="8"/>
      <c r="AM356" s="8">
        <f>5687+133326+43135</f>
        <v>182148</v>
      </c>
      <c r="AN356" s="8"/>
      <c r="AO356" s="8">
        <v>644263</v>
      </c>
      <c r="AP356" s="8"/>
      <c r="AQ356" s="8">
        <v>1424294</v>
      </c>
      <c r="AR356" s="8"/>
      <c r="AS356" s="8"/>
      <c r="AT356" s="8"/>
      <c r="AU356" s="8">
        <v>0</v>
      </c>
      <c r="AV356" s="8"/>
      <c r="AW356" s="8">
        <f t="shared" si="20"/>
        <v>30645830</v>
      </c>
      <c r="AY356" s="8">
        <f>+'St of Activites - GA Rev'!AI356-'St of Activities - GA Exp'!AW356</f>
        <v>-115191</v>
      </c>
      <c r="BA356" s="8">
        <v>10235494</v>
      </c>
      <c r="BC356" s="8">
        <f t="shared" si="21"/>
        <v>10120303</v>
      </c>
      <c r="BE356" s="8">
        <f>+'St of Net Assets - GA'!AA359-'St of Activities - GA Exp'!BC356</f>
        <v>0</v>
      </c>
      <c r="BG356" s="8" t="s">
        <v>956</v>
      </c>
    </row>
    <row r="357" spans="1:59">
      <c r="A357" s="12" t="s">
        <v>270</v>
      </c>
      <c r="B357" s="12"/>
      <c r="C357" s="12" t="s">
        <v>115</v>
      </c>
      <c r="D357" s="12"/>
      <c r="E357" s="32">
        <v>45500</v>
      </c>
      <c r="G357" s="8">
        <v>27561760</v>
      </c>
      <c r="H357" s="8"/>
      <c r="I357" s="8">
        <v>6252646</v>
      </c>
      <c r="J357" s="8"/>
      <c r="K357" s="8">
        <v>310690</v>
      </c>
      <c r="L357" s="8"/>
      <c r="M357" s="8">
        <f>804+963787</f>
        <v>964591</v>
      </c>
      <c r="N357" s="8"/>
      <c r="O357" s="8">
        <v>2363168</v>
      </c>
      <c r="P357" s="8"/>
      <c r="Q357" s="8">
        <v>2820295</v>
      </c>
      <c r="R357" s="8"/>
      <c r="S357" s="8">
        <v>69286</v>
      </c>
      <c r="T357" s="8"/>
      <c r="U357" s="8">
        <v>2885927</v>
      </c>
      <c r="V357" s="8"/>
      <c r="W357" s="8">
        <v>1317895</v>
      </c>
      <c r="X357" s="8"/>
      <c r="Y357" s="8">
        <v>259031</v>
      </c>
      <c r="Z357" s="8"/>
      <c r="AA357" s="8">
        <v>4844561</v>
      </c>
      <c r="AB357" s="8"/>
      <c r="AC357" s="8">
        <v>4321646</v>
      </c>
      <c r="AD357" s="8"/>
      <c r="AE357" s="8">
        <v>759726</v>
      </c>
      <c r="AF357" s="138"/>
      <c r="AG357" s="12" t="s">
        <v>270</v>
      </c>
      <c r="AH357" s="12"/>
      <c r="AI357" s="12" t="s">
        <v>115</v>
      </c>
      <c r="AJ357" s="12"/>
      <c r="AK357" s="8">
        <v>0</v>
      </c>
      <c r="AL357" s="8"/>
      <c r="AM357" s="8">
        <v>4852853</v>
      </c>
      <c r="AN357" s="8"/>
      <c r="AO357" s="8">
        <v>1155734</v>
      </c>
      <c r="AP357" s="8"/>
      <c r="AQ357" s="8">
        <v>3518008</v>
      </c>
      <c r="AR357" s="8"/>
      <c r="AS357" s="8"/>
      <c r="AT357" s="8"/>
      <c r="AU357" s="8">
        <v>0</v>
      </c>
      <c r="AV357" s="8"/>
      <c r="AW357" s="8">
        <f t="shared" si="20"/>
        <v>64257817</v>
      </c>
      <c r="AY357" s="8">
        <f>+'St of Activites - GA Rev'!AI357-'St of Activities - GA Exp'!AW357</f>
        <v>5499487</v>
      </c>
      <c r="BA357" s="8">
        <v>16964968</v>
      </c>
      <c r="BC357" s="8">
        <f t="shared" si="21"/>
        <v>22464455</v>
      </c>
      <c r="BE357" s="8">
        <f>+'St of Net Assets - GA'!AA360-'St of Activities - GA Exp'!BC357</f>
        <v>0</v>
      </c>
    </row>
    <row r="358" spans="1:59" ht="12" hidden="1" customHeight="1">
      <c r="A358" s="12" t="s">
        <v>833</v>
      </c>
      <c r="B358" s="12"/>
      <c r="C358" s="12" t="s">
        <v>727</v>
      </c>
      <c r="D358" s="12"/>
      <c r="E358" s="32">
        <v>50633</v>
      </c>
      <c r="G358" s="8">
        <v>2746636</v>
      </c>
      <c r="H358" s="8"/>
      <c r="I358" s="8">
        <v>862724</v>
      </c>
      <c r="J358" s="8"/>
      <c r="K358" s="8">
        <v>80989</v>
      </c>
      <c r="L358" s="8"/>
      <c r="M358" s="8">
        <f>73636+328403</f>
        <v>402039</v>
      </c>
      <c r="N358" s="8"/>
      <c r="O358" s="8">
        <v>167803</v>
      </c>
      <c r="P358" s="8"/>
      <c r="Q358" s="8">
        <v>198035</v>
      </c>
      <c r="R358" s="8"/>
      <c r="S358" s="8">
        <v>25642</v>
      </c>
      <c r="T358" s="8"/>
      <c r="U358" s="8">
        <v>603909</v>
      </c>
      <c r="V358" s="8"/>
      <c r="W358" s="8">
        <v>130800</v>
      </c>
      <c r="X358" s="8"/>
      <c r="Y358" s="8"/>
      <c r="Z358" s="8"/>
      <c r="AA358" s="8">
        <v>544334</v>
      </c>
      <c r="AB358" s="8"/>
      <c r="AC358" s="8">
        <v>332761</v>
      </c>
      <c r="AD358" s="8"/>
      <c r="AE358" s="8">
        <v>61828</v>
      </c>
      <c r="AF358" s="138"/>
      <c r="AG358" s="12" t="s">
        <v>730</v>
      </c>
      <c r="AH358" s="12"/>
      <c r="AI358" s="12" t="s">
        <v>727</v>
      </c>
      <c r="AJ358" s="12"/>
      <c r="AK358" s="8"/>
      <c r="AL358" s="8"/>
      <c r="AM358" s="8">
        <v>236240</v>
      </c>
      <c r="AN358" s="8"/>
      <c r="AO358" s="8">
        <v>285691</v>
      </c>
      <c r="AP358" s="8"/>
      <c r="AQ358" s="8"/>
      <c r="AR358" s="8"/>
      <c r="AS358" s="8"/>
      <c r="AT358" s="8"/>
      <c r="AU358" s="8">
        <f>12590948+210000+335431+108+6</f>
        <v>13136493</v>
      </c>
      <c r="AV358" s="8"/>
      <c r="AW358" s="8">
        <f t="shared" si="20"/>
        <v>19815924</v>
      </c>
      <c r="AY358" s="8">
        <f>+'St of Activites - GA Rev'!AI358-'St of Activities - GA Exp'!AW358</f>
        <v>-9536654</v>
      </c>
      <c r="BA358" s="8">
        <v>20028513</v>
      </c>
      <c r="BC358" s="8">
        <f t="shared" si="21"/>
        <v>10491859</v>
      </c>
      <c r="BE358" s="8">
        <f>+'St of Net Assets - GA'!AA361-'St of Activities - GA Exp'!BC358</f>
        <v>0</v>
      </c>
    </row>
    <row r="359" spans="1:59" ht="12" hidden="1" customHeight="1">
      <c r="A359" s="88" t="s">
        <v>1001</v>
      </c>
      <c r="B359" s="12"/>
      <c r="C359" s="12" t="s">
        <v>603</v>
      </c>
      <c r="D359" s="12"/>
      <c r="E359" s="32">
        <v>49361</v>
      </c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138"/>
      <c r="AG359" s="12" t="s">
        <v>605</v>
      </c>
      <c r="AH359" s="12"/>
      <c r="AI359" s="12" t="s">
        <v>603</v>
      </c>
      <c r="AJ359" s="12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>
        <f t="shared" si="20"/>
        <v>0</v>
      </c>
      <c r="AY359" s="8">
        <f>+'St of Activites - GA Rev'!AI359-'St of Activities - GA Exp'!AW359</f>
        <v>0</v>
      </c>
      <c r="BC359" s="8">
        <f t="shared" si="21"/>
        <v>0</v>
      </c>
      <c r="BE359" s="8">
        <f>+'St of Net Assets - GA'!AA362-'St of Activities - GA Exp'!BC359</f>
        <v>0</v>
      </c>
      <c r="BG359" s="8" t="s">
        <v>967</v>
      </c>
    </row>
    <row r="360" spans="1:59">
      <c r="A360" s="12" t="s">
        <v>538</v>
      </c>
      <c r="B360" s="12"/>
      <c r="C360" s="12" t="s">
        <v>48</v>
      </c>
      <c r="D360" s="12"/>
      <c r="E360" s="32">
        <v>45518</v>
      </c>
      <c r="G360" s="8">
        <v>8339738</v>
      </c>
      <c r="H360" s="8"/>
      <c r="I360" s="8">
        <v>0</v>
      </c>
      <c r="J360" s="8"/>
      <c r="K360" s="8">
        <v>0</v>
      </c>
      <c r="L360" s="8"/>
      <c r="M360" s="8">
        <v>0</v>
      </c>
      <c r="N360" s="8"/>
      <c r="O360" s="8">
        <v>806740</v>
      </c>
      <c r="P360" s="8"/>
      <c r="Q360" s="8">
        <v>776765</v>
      </c>
      <c r="R360" s="8"/>
      <c r="S360" s="8">
        <v>72191</v>
      </c>
      <c r="T360" s="8"/>
      <c r="U360" s="8">
        <v>1123591</v>
      </c>
      <c r="V360" s="8"/>
      <c r="W360" s="8">
        <v>400555</v>
      </c>
      <c r="X360" s="8"/>
      <c r="Y360" s="8">
        <v>130092</v>
      </c>
      <c r="Z360" s="8"/>
      <c r="AA360" s="8">
        <v>993695</v>
      </c>
      <c r="AB360" s="8"/>
      <c r="AC360" s="8">
        <v>875077</v>
      </c>
      <c r="AD360" s="8"/>
      <c r="AE360" s="8">
        <v>338326</v>
      </c>
      <c r="AF360" s="138"/>
      <c r="AG360" s="12" t="s">
        <v>538</v>
      </c>
      <c r="AH360" s="12"/>
      <c r="AI360" s="12" t="s">
        <v>48</v>
      </c>
      <c r="AJ360" s="12"/>
      <c r="AK360" s="8">
        <v>0</v>
      </c>
      <c r="AL360" s="8"/>
      <c r="AM360" s="8">
        <v>619080</v>
      </c>
      <c r="AN360" s="8"/>
      <c r="AO360" s="8">
        <v>567152</v>
      </c>
      <c r="AP360" s="8"/>
      <c r="AQ360" s="8">
        <v>83924</v>
      </c>
      <c r="AR360" s="8"/>
      <c r="AS360" s="8"/>
      <c r="AT360" s="8"/>
      <c r="AU360" s="8">
        <v>0</v>
      </c>
      <c r="AV360" s="8"/>
      <c r="AW360" s="8">
        <f t="shared" si="20"/>
        <v>15126926</v>
      </c>
      <c r="AY360" s="8">
        <f>+'St of Activites - GA Rev'!AI360-'St of Activities - GA Exp'!AW360</f>
        <v>24487248</v>
      </c>
      <c r="BA360" s="8">
        <v>7358105</v>
      </c>
      <c r="BC360" s="8">
        <f t="shared" si="21"/>
        <v>31845353</v>
      </c>
      <c r="BE360" s="8">
        <f>+'St of Net Assets - GA'!AA363-'St of Activities - GA Exp'!BC360</f>
        <v>0</v>
      </c>
      <c r="BG360" s="10" t="s">
        <v>944</v>
      </c>
    </row>
    <row r="361" spans="1:59">
      <c r="A361" s="12" t="s">
        <v>657</v>
      </c>
      <c r="B361" s="12"/>
      <c r="C361" s="12" t="s">
        <v>62</v>
      </c>
      <c r="D361" s="12"/>
      <c r="E361" s="32">
        <v>49890</v>
      </c>
      <c r="G361" s="8">
        <v>9199381</v>
      </c>
      <c r="H361" s="8"/>
      <c r="I361" s="8">
        <v>2446556</v>
      </c>
      <c r="J361" s="8"/>
      <c r="K361" s="8">
        <v>8502</v>
      </c>
      <c r="L361" s="8"/>
      <c r="M361" s="8">
        <v>4280</v>
      </c>
      <c r="N361" s="8"/>
      <c r="O361" s="8">
        <v>990636</v>
      </c>
      <c r="P361" s="8"/>
      <c r="Q361" s="8">
        <v>868333</v>
      </c>
      <c r="R361" s="8"/>
      <c r="S361" s="8">
        <v>73669</v>
      </c>
      <c r="T361" s="8"/>
      <c r="U361" s="8">
        <v>1576651</v>
      </c>
      <c r="V361" s="8"/>
      <c r="W361" s="8">
        <v>519003</v>
      </c>
      <c r="X361" s="8"/>
      <c r="Y361" s="8">
        <v>101986</v>
      </c>
      <c r="Z361" s="8"/>
      <c r="AA361" s="8">
        <v>1255891</v>
      </c>
      <c r="AB361" s="8"/>
      <c r="AC361" s="8">
        <v>1082787</v>
      </c>
      <c r="AD361" s="8"/>
      <c r="AE361" s="8">
        <v>62543</v>
      </c>
      <c r="AF361" s="138"/>
      <c r="AG361" s="12" t="s">
        <v>657</v>
      </c>
      <c r="AH361" s="12"/>
      <c r="AI361" s="12" t="s">
        <v>62</v>
      </c>
      <c r="AJ361" s="12"/>
      <c r="AK361" s="8">
        <v>922677</v>
      </c>
      <c r="AL361" s="8"/>
      <c r="AM361" s="8">
        <v>51428</v>
      </c>
      <c r="AN361" s="8"/>
      <c r="AO361" s="8">
        <v>569841</v>
      </c>
      <c r="AP361" s="8"/>
      <c r="AQ361" s="8">
        <v>633998</v>
      </c>
      <c r="AR361" s="8"/>
      <c r="AS361" s="8"/>
      <c r="AT361" s="8"/>
      <c r="AU361" s="8">
        <v>40044</v>
      </c>
      <c r="AV361" s="8"/>
      <c r="AW361" s="8">
        <f t="shared" si="20"/>
        <v>20408206</v>
      </c>
      <c r="AY361" s="8">
        <f>+'St of Activites - GA Rev'!AI361-'St of Activities - GA Exp'!AW361</f>
        <v>-479729</v>
      </c>
      <c r="BA361" s="8">
        <v>28021211</v>
      </c>
      <c r="BC361" s="8">
        <f t="shared" si="21"/>
        <v>27541482</v>
      </c>
      <c r="BE361" s="8">
        <f>+'St of Net Assets - GA'!AA364-'St of Activities - GA Exp'!BC361</f>
        <v>0</v>
      </c>
    </row>
    <row r="362" spans="1:59">
      <c r="A362" s="12" t="s">
        <v>629</v>
      </c>
      <c r="B362" s="12"/>
      <c r="C362" s="12" t="s">
        <v>59</v>
      </c>
      <c r="D362" s="12"/>
      <c r="E362" s="32">
        <v>49627</v>
      </c>
      <c r="G362" s="8">
        <v>7825668</v>
      </c>
      <c r="H362" s="8"/>
      <c r="I362" s="8">
        <v>1206712</v>
      </c>
      <c r="J362" s="8"/>
      <c r="K362" s="8">
        <v>237194</v>
      </c>
      <c r="L362" s="8"/>
      <c r="M362" s="8">
        <v>46365</v>
      </c>
      <c r="N362" s="8"/>
      <c r="O362" s="8">
        <v>371238</v>
      </c>
      <c r="P362" s="8"/>
      <c r="Q362" s="8">
        <v>757724</v>
      </c>
      <c r="R362" s="8"/>
      <c r="S362" s="8">
        <v>69499</v>
      </c>
      <c r="T362" s="8"/>
      <c r="U362" s="8">
        <v>1573480</v>
      </c>
      <c r="V362" s="8"/>
      <c r="W362" s="8">
        <v>285621</v>
      </c>
      <c r="X362" s="8"/>
      <c r="Y362" s="8">
        <v>0</v>
      </c>
      <c r="Z362" s="8"/>
      <c r="AA362" s="8">
        <v>1308821</v>
      </c>
      <c r="AB362" s="8"/>
      <c r="AC362" s="8">
        <v>1062003</v>
      </c>
      <c r="AD362" s="8"/>
      <c r="AE362" s="8">
        <v>3198</v>
      </c>
      <c r="AF362" s="138"/>
      <c r="AG362" s="12" t="s">
        <v>629</v>
      </c>
      <c r="AH362" s="12"/>
      <c r="AI362" s="12" t="s">
        <v>59</v>
      </c>
      <c r="AJ362" s="12"/>
      <c r="AK362" s="8">
        <v>0</v>
      </c>
      <c r="AL362" s="8"/>
      <c r="AM362" s="8">
        <v>700391</v>
      </c>
      <c r="AN362" s="8"/>
      <c r="AO362" s="8">
        <v>434836</v>
      </c>
      <c r="AP362" s="8"/>
      <c r="AQ362" s="8">
        <v>159995</v>
      </c>
      <c r="AR362" s="8"/>
      <c r="AS362" s="8"/>
      <c r="AT362" s="8"/>
      <c r="AU362" s="8">
        <v>0</v>
      </c>
      <c r="AV362" s="8"/>
      <c r="AW362" s="8">
        <f t="shared" ref="AW362:AW408" si="22">SUM(G362:AV362)</f>
        <v>16042745</v>
      </c>
      <c r="AY362" s="8">
        <f>+'St of Activites - GA Rev'!AI362-'St of Activities - GA Exp'!AW362</f>
        <v>66030</v>
      </c>
      <c r="BA362" s="8">
        <v>25824234</v>
      </c>
      <c r="BC362" s="8">
        <f t="shared" si="21"/>
        <v>25890264</v>
      </c>
      <c r="BE362" s="8">
        <f>+'St of Net Assets - GA'!AA365-'St of Activities - GA Exp'!BC362</f>
        <v>0</v>
      </c>
    </row>
    <row r="363" spans="1:59">
      <c r="A363" s="12" t="s">
        <v>226</v>
      </c>
      <c r="B363" s="12"/>
      <c r="C363" s="12" t="s">
        <v>14</v>
      </c>
      <c r="D363" s="12"/>
      <c r="E363" s="32">
        <v>45948</v>
      </c>
      <c r="G363" s="8">
        <v>4213559</v>
      </c>
      <c r="H363" s="8"/>
      <c r="I363" s="8">
        <v>674004</v>
      </c>
      <c r="J363" s="8"/>
      <c r="K363" s="8">
        <v>228340</v>
      </c>
      <c r="L363" s="8"/>
      <c r="M363" s="8">
        <v>0</v>
      </c>
      <c r="N363" s="8"/>
      <c r="O363" s="8">
        <v>388459</v>
      </c>
      <c r="P363" s="8"/>
      <c r="Q363" s="8">
        <v>404238</v>
      </c>
      <c r="R363" s="8"/>
      <c r="S363" s="8">
        <v>31292</v>
      </c>
      <c r="T363" s="8"/>
      <c r="U363" s="8">
        <v>714583</v>
      </c>
      <c r="V363" s="8"/>
      <c r="W363" s="8">
        <v>273702</v>
      </c>
      <c r="X363" s="8"/>
      <c r="Y363" s="8">
        <v>0</v>
      </c>
      <c r="Z363" s="8"/>
      <c r="AA363" s="8">
        <v>1001747</v>
      </c>
      <c r="AB363" s="8"/>
      <c r="AC363" s="8">
        <v>223027</v>
      </c>
      <c r="AD363" s="8"/>
      <c r="AE363" s="8">
        <v>62486</v>
      </c>
      <c r="AF363" s="138"/>
      <c r="AG363" s="12" t="s">
        <v>226</v>
      </c>
      <c r="AH363" s="12"/>
      <c r="AI363" s="12" t="s">
        <v>14</v>
      </c>
      <c r="AJ363" s="12"/>
      <c r="AK363" s="8">
        <v>0</v>
      </c>
      <c r="AL363" s="8"/>
      <c r="AM363" s="8">
        <v>396686</v>
      </c>
      <c r="AN363" s="8"/>
      <c r="AO363" s="8">
        <v>354465</v>
      </c>
      <c r="AP363" s="8"/>
      <c r="AQ363" s="8">
        <v>576196</v>
      </c>
      <c r="AR363" s="8"/>
      <c r="AS363" s="8"/>
      <c r="AT363" s="8"/>
      <c r="AU363" s="8">
        <v>0</v>
      </c>
      <c r="AV363" s="8"/>
      <c r="AW363" s="8">
        <f t="shared" si="22"/>
        <v>9542784</v>
      </c>
      <c r="AY363" s="8">
        <f>+'St of Activites - GA Rev'!AI363-'St of Activities - GA Exp'!AW363</f>
        <v>550022</v>
      </c>
      <c r="BA363" s="8">
        <v>4053181</v>
      </c>
      <c r="BC363" s="8">
        <f t="shared" si="21"/>
        <v>4603203</v>
      </c>
      <c r="BE363" s="8">
        <f>+'St of Net Assets - GA'!AA366-'St of Activities - GA Exp'!BC363</f>
        <v>0</v>
      </c>
    </row>
    <row r="364" spans="1:59" ht="12" hidden="1" customHeight="1">
      <c r="A364" s="12" t="s">
        <v>884</v>
      </c>
      <c r="B364" s="12"/>
      <c r="C364" s="12" t="s">
        <v>21</v>
      </c>
      <c r="D364" s="12"/>
      <c r="E364" s="32">
        <v>46672</v>
      </c>
      <c r="G364" s="8">
        <v>2380981</v>
      </c>
      <c r="H364" s="8"/>
      <c r="I364" s="8">
        <v>1056023</v>
      </c>
      <c r="J364" s="8"/>
      <c r="K364" s="8">
        <v>108878</v>
      </c>
      <c r="L364" s="8"/>
      <c r="M364" s="8">
        <v>456940</v>
      </c>
      <c r="N364" s="8"/>
      <c r="O364" s="8">
        <v>271447</v>
      </c>
      <c r="P364" s="8"/>
      <c r="Q364" s="8">
        <v>568513</v>
      </c>
      <c r="R364" s="8"/>
      <c r="S364" s="8">
        <v>16850</v>
      </c>
      <c r="T364" s="8"/>
      <c r="U364" s="8">
        <v>572853</v>
      </c>
      <c r="V364" s="8"/>
      <c r="W364" s="8">
        <v>237971</v>
      </c>
      <c r="X364" s="8"/>
      <c r="Y364" s="8">
        <v>1880</v>
      </c>
      <c r="Z364" s="8"/>
      <c r="AA364" s="8">
        <v>672721</v>
      </c>
      <c r="AB364" s="8"/>
      <c r="AC364" s="8">
        <v>464563</v>
      </c>
      <c r="AD364" s="8"/>
      <c r="AE364" s="8">
        <v>32784</v>
      </c>
      <c r="AF364" s="138"/>
      <c r="AG364" s="12" t="s">
        <v>328</v>
      </c>
      <c r="AH364" s="12"/>
      <c r="AI364" s="12" t="s">
        <v>21</v>
      </c>
      <c r="AJ364" s="12"/>
      <c r="AK364" s="8">
        <v>317518</v>
      </c>
      <c r="AL364" s="8"/>
      <c r="AM364" s="8">
        <v>43213</v>
      </c>
      <c r="AN364" s="8"/>
      <c r="AO364" s="8">
        <v>230292</v>
      </c>
      <c r="AP364" s="8"/>
      <c r="AQ364" s="8">
        <v>55065</v>
      </c>
      <c r="AR364" s="8"/>
      <c r="AS364" s="8"/>
      <c r="AT364" s="8"/>
      <c r="AU364" s="8">
        <f>312+95000</f>
        <v>95312</v>
      </c>
      <c r="AV364" s="8"/>
      <c r="AW364" s="8">
        <f t="shared" si="22"/>
        <v>7583804</v>
      </c>
      <c r="AY364" s="8">
        <f>+'St of Activites - GA Rev'!AI364-'St of Activities - GA Exp'!AW364</f>
        <v>489367</v>
      </c>
      <c r="BA364" s="8">
        <v>2342854</v>
      </c>
      <c r="BC364" s="8">
        <f t="shared" si="21"/>
        <v>2832221</v>
      </c>
      <c r="BE364" s="8">
        <f>+'St of Net Assets - GA'!AA367-'St of Activities - GA Exp'!BC364</f>
        <v>0</v>
      </c>
    </row>
    <row r="365" spans="1:59">
      <c r="A365" s="12" t="s">
        <v>667</v>
      </c>
      <c r="B365" s="12"/>
      <c r="C365" s="12" t="s">
        <v>63</v>
      </c>
      <c r="D365" s="12"/>
      <c r="E365" s="32">
        <v>50039</v>
      </c>
      <c r="G365" s="8">
        <v>4294471</v>
      </c>
      <c r="H365" s="8"/>
      <c r="I365" s="8">
        <v>866422</v>
      </c>
      <c r="J365" s="8"/>
      <c r="K365" s="8">
        <v>90266</v>
      </c>
      <c r="L365" s="8"/>
      <c r="M365" s="8">
        <f>287963+116027</f>
        <v>403990</v>
      </c>
      <c r="N365" s="8"/>
      <c r="O365" s="8">
        <v>528126</v>
      </c>
      <c r="P365" s="8"/>
      <c r="Q365" s="8">
        <v>385459</v>
      </c>
      <c r="R365" s="8"/>
      <c r="S365" s="8">
        <v>46635</v>
      </c>
      <c r="T365" s="8"/>
      <c r="U365" s="8">
        <v>822712</v>
      </c>
      <c r="V365" s="8"/>
      <c r="W365" s="8">
        <v>399392</v>
      </c>
      <c r="X365" s="8"/>
      <c r="Y365" s="8">
        <v>364</v>
      </c>
      <c r="Z365" s="8"/>
      <c r="AA365" s="8">
        <v>1048536</v>
      </c>
      <c r="AB365" s="8"/>
      <c r="AC365" s="8">
        <v>400122</v>
      </c>
      <c r="AD365" s="8"/>
      <c r="AE365" s="8">
        <v>67992</v>
      </c>
      <c r="AF365" s="138"/>
      <c r="AG365" s="12" t="s">
        <v>667</v>
      </c>
      <c r="AH365" s="12"/>
      <c r="AI365" s="12" t="s">
        <v>63</v>
      </c>
      <c r="AJ365" s="12"/>
      <c r="AK365" s="8">
        <v>0</v>
      </c>
      <c r="AL365" s="8"/>
      <c r="AM365" s="8">
        <v>310324</v>
      </c>
      <c r="AN365" s="8"/>
      <c r="AO365" s="8">
        <v>396803</v>
      </c>
      <c r="AP365" s="8"/>
      <c r="AQ365" s="8">
        <v>536422</v>
      </c>
      <c r="AR365" s="8"/>
      <c r="AS365" s="8"/>
      <c r="AT365" s="8"/>
      <c r="AU365" s="8">
        <v>0</v>
      </c>
      <c r="AV365" s="8"/>
      <c r="AW365" s="8">
        <f t="shared" si="22"/>
        <v>10598036</v>
      </c>
      <c r="AY365" s="8">
        <f>+'St of Activites - GA Rev'!AI365-'St of Activities - GA Exp'!AW365</f>
        <v>-542814</v>
      </c>
      <c r="BA365" s="8">
        <v>8319279</v>
      </c>
      <c r="BC365" s="8">
        <f t="shared" si="21"/>
        <v>7776465</v>
      </c>
      <c r="BE365" s="8">
        <f>+'St of Net Assets - GA'!AA368-'St of Activities - GA Exp'!BC365</f>
        <v>0</v>
      </c>
    </row>
    <row r="366" spans="1:59" ht="12" hidden="1" customHeight="1">
      <c r="A366" s="12" t="s">
        <v>842</v>
      </c>
      <c r="B366" s="12"/>
      <c r="C366" s="12" t="s">
        <v>740</v>
      </c>
      <c r="D366" s="12"/>
      <c r="E366" s="32">
        <v>50740</v>
      </c>
      <c r="G366" s="8">
        <v>4128806</v>
      </c>
      <c r="H366" s="8"/>
      <c r="I366" s="8">
        <v>1219428</v>
      </c>
      <c r="J366" s="8"/>
      <c r="K366" s="8">
        <v>107699</v>
      </c>
      <c r="L366" s="8"/>
      <c r="M366" s="8">
        <f>908+19100</f>
        <v>20008</v>
      </c>
      <c r="N366" s="8"/>
      <c r="O366" s="8">
        <v>357099</v>
      </c>
      <c r="P366" s="8"/>
      <c r="Q366" s="8">
        <v>396317</v>
      </c>
      <c r="R366" s="8"/>
      <c r="S366" s="8">
        <v>32343</v>
      </c>
      <c r="T366" s="8"/>
      <c r="U366" s="8">
        <v>639080</v>
      </c>
      <c r="V366" s="8"/>
      <c r="W366" s="8">
        <v>297459</v>
      </c>
      <c r="X366" s="8"/>
      <c r="Y366" s="8">
        <v>29880</v>
      </c>
      <c r="Z366" s="8"/>
      <c r="AA366" s="8">
        <v>843796</v>
      </c>
      <c r="AB366" s="8"/>
      <c r="AC366" s="8">
        <v>503785</v>
      </c>
      <c r="AD366" s="8"/>
      <c r="AE366" s="8">
        <v>37605</v>
      </c>
      <c r="AF366" s="138"/>
      <c r="AG366" s="12" t="s">
        <v>741</v>
      </c>
      <c r="AH366" s="12"/>
      <c r="AI366" s="12" t="s">
        <v>740</v>
      </c>
      <c r="AJ366" s="12"/>
      <c r="AK366" s="8">
        <v>382017</v>
      </c>
      <c r="AL366" s="8"/>
      <c r="AM366" s="8">
        <v>110</v>
      </c>
      <c r="AN366" s="8"/>
      <c r="AO366" s="8">
        <v>379081</v>
      </c>
      <c r="AP366" s="8"/>
      <c r="AQ366" s="8"/>
      <c r="AR366" s="8"/>
      <c r="AS366" s="8"/>
      <c r="AT366" s="8"/>
      <c r="AU366" s="8">
        <f>158508+210000+292408</f>
        <v>660916</v>
      </c>
      <c r="AV366" s="8"/>
      <c r="AW366" s="8">
        <f t="shared" si="22"/>
        <v>10035429</v>
      </c>
      <c r="AY366" s="8">
        <f>+'St of Activites - GA Rev'!AI366-'St of Activities - GA Exp'!AW366</f>
        <v>290278</v>
      </c>
      <c r="BA366" s="8">
        <v>1588421</v>
      </c>
      <c r="BC366" s="8">
        <f t="shared" si="21"/>
        <v>1878699</v>
      </c>
      <c r="BE366" s="8">
        <f>+'St of Net Assets - GA'!AA369-'St of Activities - GA Exp'!BC366</f>
        <v>0</v>
      </c>
    </row>
    <row r="367" spans="1:59">
      <c r="A367" s="12" t="s">
        <v>248</v>
      </c>
      <c r="B367" s="12"/>
      <c r="C367" s="12" t="s">
        <v>242</v>
      </c>
      <c r="D367" s="12"/>
      <c r="E367" s="32">
        <v>139303</v>
      </c>
      <c r="G367" s="8">
        <v>10334336</v>
      </c>
      <c r="H367" s="8"/>
      <c r="I367" s="8">
        <v>1234270</v>
      </c>
      <c r="J367" s="8"/>
      <c r="K367" s="8">
        <v>0</v>
      </c>
      <c r="L367" s="8"/>
      <c r="M367" s="8">
        <v>35221</v>
      </c>
      <c r="N367" s="8"/>
      <c r="O367" s="8">
        <v>850125</v>
      </c>
      <c r="P367" s="8"/>
      <c r="Q367" s="8">
        <v>1008308</v>
      </c>
      <c r="R367" s="8"/>
      <c r="S367" s="8">
        <v>98368</v>
      </c>
      <c r="T367" s="8"/>
      <c r="U367" s="8">
        <v>1611985</v>
      </c>
      <c r="V367" s="8"/>
      <c r="W367" s="8">
        <v>623938</v>
      </c>
      <c r="X367" s="8"/>
      <c r="Y367" s="8">
        <v>138065</v>
      </c>
      <c r="Z367" s="8"/>
      <c r="AA367" s="8">
        <v>2456252</v>
      </c>
      <c r="AB367" s="8"/>
      <c r="AC367" s="8">
        <v>1472138</v>
      </c>
      <c r="AD367" s="8"/>
      <c r="AE367" s="8">
        <v>459038</v>
      </c>
      <c r="AF367" s="138"/>
      <c r="AG367" s="12" t="s">
        <v>248</v>
      </c>
      <c r="AH367" s="12"/>
      <c r="AI367" s="12" t="s">
        <v>242</v>
      </c>
      <c r="AJ367" s="12"/>
      <c r="AK367" s="8">
        <v>876803</v>
      </c>
      <c r="AL367" s="8"/>
      <c r="AM367" s="8">
        <v>0</v>
      </c>
      <c r="AN367" s="8"/>
      <c r="AO367" s="8">
        <v>790591</v>
      </c>
      <c r="AP367" s="8"/>
      <c r="AQ367" s="8">
        <v>1516964</v>
      </c>
      <c r="AR367" s="8"/>
      <c r="AS367" s="8"/>
      <c r="AT367" s="8"/>
      <c r="AU367" s="8">
        <v>0</v>
      </c>
      <c r="AV367" s="8"/>
      <c r="AW367" s="8">
        <f t="shared" si="22"/>
        <v>23506402</v>
      </c>
      <c r="AY367" s="8">
        <f>+'St of Activites - GA Rev'!AI367-'St of Activities - GA Exp'!AW367</f>
        <v>-776402</v>
      </c>
      <c r="BA367" s="8">
        <v>3975135</v>
      </c>
      <c r="BC367" s="8">
        <f t="shared" si="21"/>
        <v>3198733</v>
      </c>
      <c r="BE367" s="8">
        <f>+'St of Net Assets - GA'!AA370-'St of Activities - GA Exp'!BC367</f>
        <v>41267</v>
      </c>
      <c r="BG367" s="10" t="s">
        <v>1000</v>
      </c>
    </row>
    <row r="368" spans="1:59">
      <c r="A368" s="12" t="s">
        <v>444</v>
      </c>
      <c r="B368" s="12"/>
      <c r="C368" s="12" t="s">
        <v>37</v>
      </c>
      <c r="D368" s="12"/>
      <c r="E368" s="32">
        <v>47712</v>
      </c>
      <c r="G368" s="8">
        <v>3080157</v>
      </c>
      <c r="H368" s="8"/>
      <c r="I368" s="8">
        <v>543963</v>
      </c>
      <c r="J368" s="8"/>
      <c r="K368" s="8">
        <v>261760</v>
      </c>
      <c r="L368" s="8"/>
      <c r="M368" s="8">
        <v>550</v>
      </c>
      <c r="N368" s="8"/>
      <c r="O368" s="8">
        <v>263284</v>
      </c>
      <c r="P368" s="8"/>
      <c r="Q368" s="8">
        <v>427245</v>
      </c>
      <c r="R368" s="8"/>
      <c r="S368" s="8">
        <v>55675</v>
      </c>
      <c r="T368" s="8"/>
      <c r="U368" s="8">
        <v>516337</v>
      </c>
      <c r="V368" s="8"/>
      <c r="W368" s="8">
        <v>245359</v>
      </c>
      <c r="X368" s="8"/>
      <c r="Y368" s="8">
        <v>2138</v>
      </c>
      <c r="Z368" s="8"/>
      <c r="AA368" s="8">
        <v>585605</v>
      </c>
      <c r="AB368" s="8"/>
      <c r="AC368" s="8">
        <v>320029</v>
      </c>
      <c r="AD368" s="8"/>
      <c r="AE368" s="8">
        <v>590</v>
      </c>
      <c r="AF368" s="138"/>
      <c r="AG368" s="12" t="s">
        <v>444</v>
      </c>
      <c r="AH368" s="12"/>
      <c r="AI368" s="12" t="s">
        <v>37</v>
      </c>
      <c r="AJ368" s="12"/>
      <c r="AK368" s="8">
        <v>0</v>
      </c>
      <c r="AL368" s="8"/>
      <c r="AM368" s="8">
        <v>371444</v>
      </c>
      <c r="AN368" s="8"/>
      <c r="AO368" s="8">
        <v>227833</v>
      </c>
      <c r="AP368" s="8"/>
      <c r="AQ368" s="8">
        <v>5677</v>
      </c>
      <c r="AR368" s="8"/>
      <c r="AS368" s="8"/>
      <c r="AT368" s="8"/>
      <c r="AU368" s="8">
        <v>0</v>
      </c>
      <c r="AV368" s="8"/>
      <c r="AW368" s="8">
        <f t="shared" si="22"/>
        <v>6907646</v>
      </c>
      <c r="AY368" s="8">
        <f>+'St of Activites - GA Rev'!AI368-'St of Activities - GA Exp'!AW368</f>
        <v>-687610</v>
      </c>
      <c r="BA368" s="8">
        <v>3292702</v>
      </c>
      <c r="BC368" s="8">
        <f t="shared" si="21"/>
        <v>2605092</v>
      </c>
      <c r="BE368" s="8">
        <f>+'St of Net Assets - GA'!AA371-'St of Activities - GA Exp'!BC368</f>
        <v>0</v>
      </c>
    </row>
    <row r="369" spans="1:59">
      <c r="A369" s="12" t="s">
        <v>731</v>
      </c>
      <c r="B369" s="12"/>
      <c r="C369" s="12" t="s">
        <v>727</v>
      </c>
      <c r="D369" s="12"/>
      <c r="E369" s="32">
        <v>45526</v>
      </c>
      <c r="G369" s="8">
        <v>5218260</v>
      </c>
      <c r="H369" s="8"/>
      <c r="I369" s="8">
        <v>1142735</v>
      </c>
      <c r="J369" s="8"/>
      <c r="K369" s="8">
        <v>165669</v>
      </c>
      <c r="L369" s="8"/>
      <c r="M369" s="8">
        <f>7416+51523+385756</f>
        <v>444695</v>
      </c>
      <c r="N369" s="8"/>
      <c r="O369" s="8">
        <v>456118</v>
      </c>
      <c r="P369" s="8"/>
      <c r="Q369" s="8">
        <v>443283</v>
      </c>
      <c r="R369" s="8"/>
      <c r="S369" s="8">
        <v>32302</v>
      </c>
      <c r="T369" s="8"/>
      <c r="U369" s="8">
        <v>695415</v>
      </c>
      <c r="V369" s="8"/>
      <c r="W369" s="8">
        <v>246101</v>
      </c>
      <c r="X369" s="8"/>
      <c r="Y369" s="8">
        <v>70</v>
      </c>
      <c r="Z369" s="8"/>
      <c r="AA369" s="8">
        <v>1911255</v>
      </c>
      <c r="AB369" s="8"/>
      <c r="AC369" s="8">
        <v>406219</v>
      </c>
      <c r="AD369" s="8"/>
      <c r="AE369" s="8">
        <v>313753</v>
      </c>
      <c r="AF369" s="138"/>
      <c r="AG369" s="12" t="s">
        <v>731</v>
      </c>
      <c r="AH369" s="12"/>
      <c r="AI369" s="12" t="s">
        <v>727</v>
      </c>
      <c r="AJ369" s="12"/>
      <c r="AK369" s="8">
        <v>0</v>
      </c>
      <c r="AL369" s="8"/>
      <c r="AM369" s="8">
        <v>496523</v>
      </c>
      <c r="AN369" s="8"/>
      <c r="AO369" s="8">
        <v>357092</v>
      </c>
      <c r="AP369" s="8"/>
      <c r="AQ369" s="8">
        <v>191400</v>
      </c>
      <c r="AR369" s="8"/>
      <c r="AS369" s="8"/>
      <c r="AT369" s="8"/>
      <c r="AU369" s="8">
        <v>123215</v>
      </c>
      <c r="AV369" s="8"/>
      <c r="AW369" s="8">
        <f t="shared" si="22"/>
        <v>12644105</v>
      </c>
      <c r="AY369" s="8">
        <f>+'St of Activites - GA Rev'!AI369-'St of Activities - GA Exp'!AW369</f>
        <v>-1791413</v>
      </c>
      <c r="BA369" s="8">
        <v>27207360</v>
      </c>
      <c r="BC369" s="8">
        <f t="shared" si="21"/>
        <v>25415947</v>
      </c>
      <c r="BE369" s="8">
        <f>+'St of Net Assets - GA'!AA372-'St of Activities - GA Exp'!BC369</f>
        <v>0</v>
      </c>
    </row>
    <row r="370" spans="1:59">
      <c r="A370" s="12" t="s">
        <v>558</v>
      </c>
      <c r="B370" s="12"/>
      <c r="C370" s="12" t="s">
        <v>559</v>
      </c>
      <c r="D370" s="12"/>
      <c r="E370" s="32">
        <v>48777</v>
      </c>
      <c r="G370" s="8">
        <v>10280361</v>
      </c>
      <c r="H370" s="8"/>
      <c r="I370" s="8">
        <v>2869241</v>
      </c>
      <c r="J370" s="8"/>
      <c r="K370" s="8">
        <v>1036960</v>
      </c>
      <c r="L370" s="8"/>
      <c r="M370" s="8">
        <v>371448</v>
      </c>
      <c r="N370" s="8"/>
      <c r="O370" s="8">
        <v>828180</v>
      </c>
      <c r="P370" s="8"/>
      <c r="Q370" s="8">
        <v>817802</v>
      </c>
      <c r="R370" s="8"/>
      <c r="S370" s="8">
        <v>104187</v>
      </c>
      <c r="T370" s="8"/>
      <c r="U370" s="8">
        <v>1855952</v>
      </c>
      <c r="V370" s="8"/>
      <c r="W370" s="8">
        <v>640855</v>
      </c>
      <c r="X370" s="8"/>
      <c r="Y370" s="8">
        <v>240326</v>
      </c>
      <c r="Z370" s="8"/>
      <c r="AA370" s="8">
        <v>1726786</v>
      </c>
      <c r="AB370" s="8"/>
      <c r="AC370" s="8">
        <v>1857878</v>
      </c>
      <c r="AD370" s="8"/>
      <c r="AE370" s="8">
        <v>188334</v>
      </c>
      <c r="AF370" s="138"/>
      <c r="AG370" s="12" t="s">
        <v>558</v>
      </c>
      <c r="AH370" s="12"/>
      <c r="AI370" s="12" t="s">
        <v>559</v>
      </c>
      <c r="AJ370" s="12"/>
      <c r="AK370" s="8">
        <v>1140618</v>
      </c>
      <c r="AL370" s="8"/>
      <c r="AM370" s="8">
        <v>0</v>
      </c>
      <c r="AN370" s="8"/>
      <c r="AO370" s="8">
        <v>260383</v>
      </c>
      <c r="AP370" s="8"/>
      <c r="AQ370" s="8">
        <v>436734</v>
      </c>
      <c r="AR370" s="8"/>
      <c r="AS370" s="8"/>
      <c r="AT370" s="8"/>
      <c r="AU370" s="8">
        <v>0</v>
      </c>
      <c r="AV370" s="8"/>
      <c r="AW370" s="8">
        <f t="shared" si="22"/>
        <v>24656045</v>
      </c>
      <c r="AY370" s="8">
        <f>+'St of Activites - GA Rev'!AI370-'St of Activities - GA Exp'!AW370</f>
        <v>-66366</v>
      </c>
      <c r="BA370" s="8">
        <v>41759369</v>
      </c>
      <c r="BC370" s="8">
        <f t="shared" si="21"/>
        <v>41693003</v>
      </c>
      <c r="BE370" s="8">
        <f>+'St of Net Assets - GA'!AA373-'St of Activities - GA Exp'!BC370</f>
        <v>0</v>
      </c>
    </row>
    <row r="371" spans="1:59">
      <c r="A371" s="13" t="s">
        <v>858</v>
      </c>
      <c r="B371" s="12"/>
      <c r="C371" s="12" t="s">
        <v>78</v>
      </c>
      <c r="D371" s="12"/>
      <c r="E371" s="32">
        <v>45534</v>
      </c>
      <c r="G371" s="8">
        <v>4431299</v>
      </c>
      <c r="H371" s="8"/>
      <c r="I371" s="8">
        <v>1242429</v>
      </c>
      <c r="J371" s="8"/>
      <c r="K371" s="8">
        <v>338524</v>
      </c>
      <c r="L371" s="8"/>
      <c r="M371" s="8">
        <v>1224222</v>
      </c>
      <c r="N371" s="8"/>
      <c r="O371" s="8">
        <v>539132</v>
      </c>
      <c r="P371" s="8"/>
      <c r="Q371" s="8">
        <v>452822</v>
      </c>
      <c r="R371" s="8"/>
      <c r="S371" s="8">
        <v>53079</v>
      </c>
      <c r="T371" s="8"/>
      <c r="U371" s="8">
        <v>803378</v>
      </c>
      <c r="V371" s="8"/>
      <c r="W371" s="8">
        <v>448919</v>
      </c>
      <c r="X371" s="8"/>
      <c r="Y371" s="8">
        <v>0</v>
      </c>
      <c r="Z371" s="8"/>
      <c r="AA371" s="8">
        <v>1147933</v>
      </c>
      <c r="AB371" s="8"/>
      <c r="AC371" s="8">
        <v>495745</v>
      </c>
      <c r="AD371" s="8"/>
      <c r="AE371" s="8">
        <v>28218</v>
      </c>
      <c r="AF371" s="138"/>
      <c r="AG371" s="12" t="s">
        <v>561</v>
      </c>
      <c r="AH371" s="12"/>
      <c r="AI371" s="12" t="s">
        <v>78</v>
      </c>
      <c r="AJ371" s="12"/>
      <c r="AK371" s="8">
        <v>404361</v>
      </c>
      <c r="AL371" s="8"/>
      <c r="AM371" s="8">
        <v>1000</v>
      </c>
      <c r="AN371" s="8"/>
      <c r="AO371" s="8">
        <v>329487</v>
      </c>
      <c r="AP371" s="8"/>
      <c r="AQ371" s="8">
        <v>516230</v>
      </c>
      <c r="AR371" s="8"/>
      <c r="AS371" s="8"/>
      <c r="AT371" s="8"/>
      <c r="AU371" s="8">
        <v>0</v>
      </c>
      <c r="AV371" s="8"/>
      <c r="AW371" s="8">
        <f t="shared" si="22"/>
        <v>12456778</v>
      </c>
      <c r="AY371" s="8">
        <f>+'St of Activites - GA Rev'!AI371-'St of Activities - GA Exp'!AW371</f>
        <v>1502132</v>
      </c>
      <c r="BA371" s="8">
        <v>27953590</v>
      </c>
      <c r="BC371" s="8">
        <f t="shared" si="21"/>
        <v>29455722</v>
      </c>
      <c r="BE371" s="8">
        <f>+'St of Net Assets - GA'!AA374-'St of Activities - GA Exp'!BC371</f>
        <v>0</v>
      </c>
      <c r="BG371" s="8"/>
    </row>
    <row r="372" spans="1:59">
      <c r="A372" s="12" t="s">
        <v>457</v>
      </c>
      <c r="B372" s="12"/>
      <c r="C372" s="12" t="s">
        <v>40</v>
      </c>
      <c r="D372" s="12"/>
      <c r="E372" s="32">
        <v>44420</v>
      </c>
      <c r="G372" s="8">
        <v>17753871</v>
      </c>
      <c r="H372" s="8"/>
      <c r="I372" s="8">
        <v>4170514</v>
      </c>
      <c r="J372" s="8"/>
      <c r="K372" s="8">
        <v>392430</v>
      </c>
      <c r="L372" s="8"/>
      <c r="M372" s="8">
        <v>0</v>
      </c>
      <c r="N372" s="8"/>
      <c r="O372" s="8">
        <v>1864985</v>
      </c>
      <c r="P372" s="8"/>
      <c r="Q372" s="8">
        <v>2600157</v>
      </c>
      <c r="R372" s="8"/>
      <c r="S372" s="8">
        <v>30094</v>
      </c>
      <c r="T372" s="8"/>
      <c r="U372" s="8">
        <v>2678166</v>
      </c>
      <c r="V372" s="8"/>
      <c r="W372" s="8">
        <v>2341227</v>
      </c>
      <c r="X372" s="8"/>
      <c r="Y372" s="8">
        <v>185168</v>
      </c>
      <c r="Z372" s="8"/>
      <c r="AA372" s="8">
        <v>2869598</v>
      </c>
      <c r="AB372" s="8"/>
      <c r="AC372" s="8">
        <v>1483630</v>
      </c>
      <c r="AD372" s="8"/>
      <c r="AE372" s="8">
        <v>151100</v>
      </c>
      <c r="AF372" s="138"/>
      <c r="AG372" s="12" t="s">
        <v>457</v>
      </c>
      <c r="AH372" s="12"/>
      <c r="AI372" s="12" t="s">
        <v>40</v>
      </c>
      <c r="AJ372" s="12"/>
      <c r="AK372" s="8">
        <v>1307052</v>
      </c>
      <c r="AL372" s="8"/>
      <c r="AM372" s="8">
        <v>233821</v>
      </c>
      <c r="AN372" s="8"/>
      <c r="AO372" s="8">
        <v>734747</v>
      </c>
      <c r="AP372" s="8"/>
      <c r="AQ372" s="8">
        <v>356151</v>
      </c>
      <c r="AR372" s="8"/>
      <c r="AS372" s="8"/>
      <c r="AT372" s="8"/>
      <c r="AU372" s="8">
        <v>0</v>
      </c>
      <c r="AV372" s="8"/>
      <c r="AW372" s="8">
        <f t="shared" si="22"/>
        <v>39152711</v>
      </c>
      <c r="AY372" s="8">
        <f>+'St of Activites - GA Rev'!AI372-'St of Activities - GA Exp'!AW372</f>
        <v>-1297371</v>
      </c>
      <c r="BA372" s="8">
        <v>21018910</v>
      </c>
      <c r="BC372" s="8">
        <f t="shared" si="21"/>
        <v>19721539</v>
      </c>
      <c r="BE372" s="8">
        <f>+'St of Net Assets - GA'!AA375-'St of Activities - GA Exp'!BC372</f>
        <v>0</v>
      </c>
    </row>
    <row r="373" spans="1:59">
      <c r="A373" s="13" t="s">
        <v>1057</v>
      </c>
      <c r="B373" s="12"/>
      <c r="C373" s="12" t="s">
        <v>32</v>
      </c>
      <c r="D373" s="12"/>
      <c r="E373" s="32">
        <v>44412</v>
      </c>
      <c r="G373" s="8">
        <v>13515256</v>
      </c>
      <c r="H373" s="8"/>
      <c r="I373" s="8">
        <v>4837942</v>
      </c>
      <c r="J373" s="8"/>
      <c r="K373" s="8">
        <v>175151</v>
      </c>
      <c r="L373" s="8"/>
      <c r="M373" s="8">
        <v>5443635</v>
      </c>
      <c r="N373" s="8"/>
      <c r="O373" s="8">
        <v>2586109</v>
      </c>
      <c r="P373" s="8"/>
      <c r="Q373" s="8">
        <v>2627152</v>
      </c>
      <c r="R373" s="8"/>
      <c r="S373" s="8">
        <v>101481</v>
      </c>
      <c r="T373" s="8"/>
      <c r="U373" s="8">
        <v>2664780</v>
      </c>
      <c r="V373" s="8"/>
      <c r="W373" s="8">
        <v>713982</v>
      </c>
      <c r="X373" s="8"/>
      <c r="Y373" s="8">
        <v>140707</v>
      </c>
      <c r="Z373" s="8"/>
      <c r="AA373" s="8">
        <v>3346293</v>
      </c>
      <c r="AB373" s="8"/>
      <c r="AC373" s="8">
        <v>2516990</v>
      </c>
      <c r="AD373" s="8"/>
      <c r="AE373" s="8">
        <v>298543</v>
      </c>
      <c r="AF373" s="138"/>
      <c r="AG373" s="12" t="s">
        <v>400</v>
      </c>
      <c r="AH373" s="12"/>
      <c r="AI373" s="12" t="s">
        <v>32</v>
      </c>
      <c r="AJ373" s="12"/>
      <c r="AK373" s="8">
        <v>0</v>
      </c>
      <c r="AL373" s="8"/>
      <c r="AM373" s="8">
        <v>1970843</v>
      </c>
      <c r="AN373" s="8"/>
      <c r="AO373" s="8">
        <v>738944</v>
      </c>
      <c r="AP373" s="8"/>
      <c r="AQ373" s="8">
        <v>1677710</v>
      </c>
      <c r="AR373" s="8"/>
      <c r="AS373" s="8"/>
      <c r="AT373" s="8"/>
      <c r="AU373" s="8">
        <v>0</v>
      </c>
      <c r="AV373" s="8"/>
      <c r="AW373" s="8">
        <f t="shared" si="22"/>
        <v>43355518</v>
      </c>
      <c r="AY373" s="8">
        <f>+'St of Activites - GA Rev'!AI373-'St of Activities - GA Exp'!AW373</f>
        <v>2316299</v>
      </c>
      <c r="BA373" s="8">
        <v>66459674</v>
      </c>
      <c r="BC373" s="8">
        <f t="shared" si="21"/>
        <v>68775973</v>
      </c>
      <c r="BE373" s="8">
        <f>+'St of Net Assets - GA'!AA376-'St of Activities - GA Exp'!BC373</f>
        <v>0</v>
      </c>
      <c r="BG373" s="15" t="s">
        <v>905</v>
      </c>
    </row>
    <row r="374" spans="1:59">
      <c r="A374" s="12" t="s">
        <v>432</v>
      </c>
      <c r="B374" s="12"/>
      <c r="C374" s="12" t="s">
        <v>34</v>
      </c>
      <c r="D374" s="12"/>
      <c r="E374" s="32">
        <v>44438</v>
      </c>
      <c r="G374" s="8">
        <v>8792495</v>
      </c>
      <c r="H374" s="8"/>
      <c r="I374" s="8">
        <v>4399108</v>
      </c>
      <c r="J374" s="8"/>
      <c r="K374" s="8">
        <v>238638</v>
      </c>
      <c r="L374" s="8"/>
      <c r="M374" s="8">
        <v>1559094</v>
      </c>
      <c r="N374" s="8"/>
      <c r="O374" s="8">
        <v>1054983</v>
      </c>
      <c r="P374" s="8"/>
      <c r="Q374" s="8">
        <v>348848</v>
      </c>
      <c r="R374" s="8"/>
      <c r="S374" s="8">
        <v>40052</v>
      </c>
      <c r="T374" s="8"/>
      <c r="U374" s="8">
        <v>1740369</v>
      </c>
      <c r="V374" s="8"/>
      <c r="W374" s="8">
        <v>652231</v>
      </c>
      <c r="X374" s="8"/>
      <c r="Y374" s="8">
        <v>0</v>
      </c>
      <c r="Z374" s="8"/>
      <c r="AA374" s="8">
        <v>1715260</v>
      </c>
      <c r="AB374" s="8"/>
      <c r="AC374" s="8">
        <v>716314</v>
      </c>
      <c r="AD374" s="8"/>
      <c r="AE374" s="8">
        <v>405318</v>
      </c>
      <c r="AF374" s="138"/>
      <c r="AG374" s="12" t="s">
        <v>432</v>
      </c>
      <c r="AH374" s="12"/>
      <c r="AI374" s="12" t="s">
        <v>34</v>
      </c>
      <c r="AJ374" s="12"/>
      <c r="AK374" s="8">
        <v>0</v>
      </c>
      <c r="AL374" s="8"/>
      <c r="AM374" s="8">
        <v>891855</v>
      </c>
      <c r="AN374" s="8"/>
      <c r="AO374" s="8">
        <v>780005</v>
      </c>
      <c r="AP374" s="8"/>
      <c r="AQ374" s="8">
        <v>340823</v>
      </c>
      <c r="AR374" s="8"/>
      <c r="AS374" s="8"/>
      <c r="AT374" s="8"/>
      <c r="AU374" s="8">
        <v>0</v>
      </c>
      <c r="AV374" s="8"/>
      <c r="AW374" s="8">
        <f t="shared" si="22"/>
        <v>23675393</v>
      </c>
      <c r="AY374" s="8">
        <f>+'St of Activites - GA Rev'!AI374-'St of Activities - GA Exp'!AW374</f>
        <v>808918</v>
      </c>
      <c r="BA374" s="8">
        <v>10696801</v>
      </c>
      <c r="BC374" s="8">
        <f t="shared" si="21"/>
        <v>11505719</v>
      </c>
      <c r="BE374" s="8">
        <f>+'St of Net Assets - GA'!AA377-'St of Activities - GA Exp'!BC374</f>
        <v>0</v>
      </c>
    </row>
    <row r="375" spans="1:59">
      <c r="A375" s="12" t="s">
        <v>224</v>
      </c>
      <c r="B375" s="12"/>
      <c r="C375" s="12" t="s">
        <v>13</v>
      </c>
      <c r="D375" s="12"/>
      <c r="E375" s="32">
        <v>44446</v>
      </c>
      <c r="G375" s="8">
        <v>4217841</v>
      </c>
      <c r="H375" s="8"/>
      <c r="I375" s="8">
        <v>1558431</v>
      </c>
      <c r="J375" s="8"/>
      <c r="K375" s="8">
        <v>80013</v>
      </c>
      <c r="L375" s="8"/>
      <c r="M375" s="8">
        <v>155430</v>
      </c>
      <c r="N375" s="8"/>
      <c r="O375" s="8">
        <v>307251</v>
      </c>
      <c r="P375" s="8"/>
      <c r="Q375" s="8">
        <v>1047306</v>
      </c>
      <c r="R375" s="8"/>
      <c r="S375" s="8">
        <v>55883</v>
      </c>
      <c r="T375" s="8"/>
      <c r="U375" s="8">
        <v>1237257</v>
      </c>
      <c r="V375" s="8"/>
      <c r="W375" s="8">
        <v>349901</v>
      </c>
      <c r="X375" s="8"/>
      <c r="Y375" s="8">
        <v>0</v>
      </c>
      <c r="Z375" s="8"/>
      <c r="AA375" s="8">
        <v>1032655</v>
      </c>
      <c r="AB375" s="8"/>
      <c r="AC375" s="8">
        <v>842829</v>
      </c>
      <c r="AD375" s="8"/>
      <c r="AE375" s="8">
        <v>880</v>
      </c>
      <c r="AF375" s="138"/>
      <c r="AG375" s="12" t="s">
        <v>224</v>
      </c>
      <c r="AH375" s="12"/>
      <c r="AI375" s="12" t="s">
        <v>13</v>
      </c>
      <c r="AJ375" s="12"/>
      <c r="AK375" s="8">
        <v>420644</v>
      </c>
      <c r="AL375" s="8"/>
      <c r="AM375" s="8">
        <v>60755</v>
      </c>
      <c r="AN375" s="8"/>
      <c r="AO375" s="8">
        <v>267263</v>
      </c>
      <c r="AP375" s="8"/>
      <c r="AQ375" s="8">
        <v>330306</v>
      </c>
      <c r="AR375" s="8"/>
      <c r="AS375" s="8"/>
      <c r="AT375" s="8"/>
      <c r="AU375" s="8">
        <v>0</v>
      </c>
      <c r="AV375" s="8"/>
      <c r="AW375" s="8">
        <f t="shared" si="22"/>
        <v>11964645</v>
      </c>
      <c r="AY375" s="8">
        <f>+'St of Activites - GA Rev'!AI375-'St of Activities - GA Exp'!AW375</f>
        <v>7625609</v>
      </c>
      <c r="BA375" s="8">
        <v>25243602</v>
      </c>
      <c r="BC375" s="8">
        <f t="shared" si="21"/>
        <v>32869211</v>
      </c>
      <c r="BE375" s="8">
        <f>+'St of Net Assets - GA'!AA378-'St of Activities - GA Exp'!BC375</f>
        <v>0</v>
      </c>
    </row>
    <row r="376" spans="1:59" ht="12" customHeight="1">
      <c r="A376" s="12" t="s">
        <v>825</v>
      </c>
      <c r="B376" s="12"/>
      <c r="C376" s="12" t="s">
        <v>27</v>
      </c>
      <c r="D376" s="12"/>
      <c r="E376" s="32">
        <v>44461</v>
      </c>
      <c r="G376" s="8">
        <v>23641775</v>
      </c>
      <c r="H376" s="8"/>
      <c r="I376" s="8">
        <v>3545003</v>
      </c>
      <c r="J376" s="8"/>
      <c r="K376" s="8">
        <v>2468299</v>
      </c>
      <c r="L376" s="8"/>
      <c r="M376" s="8">
        <v>2800</v>
      </c>
      <c r="N376" s="8"/>
      <c r="O376" s="8">
        <v>2688509</v>
      </c>
      <c r="P376" s="8"/>
      <c r="Q376" s="8">
        <v>1830033</v>
      </c>
      <c r="R376" s="8"/>
      <c r="S376" s="8">
        <v>62520</v>
      </c>
      <c r="T376" s="8"/>
      <c r="U376" s="8">
        <v>3188968</v>
      </c>
      <c r="V376" s="8"/>
      <c r="W376" s="8">
        <v>0</v>
      </c>
      <c r="X376" s="8"/>
      <c r="Y376" s="8">
        <v>1732937</v>
      </c>
      <c r="Z376" s="8"/>
      <c r="AA376" s="8">
        <v>4527618</v>
      </c>
      <c r="AB376" s="8"/>
      <c r="AC376" s="8">
        <v>2520125</v>
      </c>
      <c r="AD376" s="8"/>
      <c r="AE376" s="8">
        <v>294848</v>
      </c>
      <c r="AF376" s="138"/>
      <c r="AG376" s="12" t="s">
        <v>825</v>
      </c>
      <c r="AH376" s="12"/>
      <c r="AI376" s="12" t="s">
        <v>27</v>
      </c>
      <c r="AJ376" s="12"/>
      <c r="AK376" s="8">
        <v>1440009</v>
      </c>
      <c r="AL376" s="8"/>
      <c r="AM376" s="8">
        <f>456166+500981</f>
        <v>957147</v>
      </c>
      <c r="AN376" s="8"/>
      <c r="AO376" s="8">
        <v>2128718</v>
      </c>
      <c r="AP376" s="8"/>
      <c r="AQ376" s="8">
        <v>4533747</v>
      </c>
      <c r="AR376" s="8"/>
      <c r="AS376" s="8"/>
      <c r="AT376" s="8"/>
      <c r="AU376" s="8">
        <v>0</v>
      </c>
      <c r="AV376" s="8"/>
      <c r="AW376" s="8">
        <f t="shared" si="22"/>
        <v>55563056</v>
      </c>
      <c r="AY376" s="8">
        <f>+'St of Activites - GA Rev'!AI376-'St of Activities - GA Exp'!AW376</f>
        <v>6018171</v>
      </c>
      <c r="BA376" s="8">
        <v>33436497</v>
      </c>
      <c r="BC376" s="8">
        <f t="shared" si="21"/>
        <v>39454668</v>
      </c>
      <c r="BE376" s="8">
        <f>+'St of Net Assets - GA'!AA379-'St of Activities - GA Exp'!BC376</f>
        <v>0</v>
      </c>
    </row>
    <row r="377" spans="1:59">
      <c r="A377" s="12" t="s">
        <v>630</v>
      </c>
      <c r="B377" s="12"/>
      <c r="C377" s="12" t="s">
        <v>59</v>
      </c>
      <c r="D377" s="12"/>
      <c r="E377" s="32">
        <v>44461</v>
      </c>
      <c r="G377" s="8">
        <v>2278807</v>
      </c>
      <c r="H377" s="8"/>
      <c r="I377" s="8">
        <v>582140</v>
      </c>
      <c r="J377" s="8"/>
      <c r="K377" s="8">
        <v>7460</v>
      </c>
      <c r="L377" s="8"/>
      <c r="M377" s="8">
        <v>75126</v>
      </c>
      <c r="N377" s="8"/>
      <c r="O377" s="8">
        <v>175373</v>
      </c>
      <c r="P377" s="8"/>
      <c r="Q377" s="8">
        <v>418336</v>
      </c>
      <c r="R377" s="8"/>
      <c r="S377" s="8">
        <v>16763</v>
      </c>
      <c r="T377" s="8"/>
      <c r="U377" s="8">
        <v>485848</v>
      </c>
      <c r="V377" s="8"/>
      <c r="W377" s="8">
        <v>213733</v>
      </c>
      <c r="X377" s="8"/>
      <c r="Y377" s="8">
        <v>0</v>
      </c>
      <c r="Z377" s="8"/>
      <c r="AA377" s="8">
        <v>411085</v>
      </c>
      <c r="AB377" s="8"/>
      <c r="AC377" s="8">
        <v>163402</v>
      </c>
      <c r="AD377" s="8"/>
      <c r="AE377" s="8">
        <v>51091</v>
      </c>
      <c r="AF377" s="138"/>
      <c r="AG377" s="12" t="s">
        <v>630</v>
      </c>
      <c r="AH377" s="12"/>
      <c r="AI377" s="12" t="s">
        <v>59</v>
      </c>
      <c r="AJ377" s="12"/>
      <c r="AK377" s="8">
        <v>224633</v>
      </c>
      <c r="AL377" s="8"/>
      <c r="AM377" s="8">
        <v>0</v>
      </c>
      <c r="AN377" s="8"/>
      <c r="AO377" s="8">
        <v>106088</v>
      </c>
      <c r="AP377" s="8"/>
      <c r="AQ377" s="8">
        <v>67617</v>
      </c>
      <c r="AR377" s="8"/>
      <c r="AS377" s="8"/>
      <c r="AT377" s="8"/>
      <c r="AU377" s="8">
        <v>0</v>
      </c>
      <c r="AV377" s="8"/>
      <c r="AW377" s="8">
        <f t="shared" si="22"/>
        <v>5277502</v>
      </c>
      <c r="AY377" s="8">
        <f>+'St of Activites - GA Rev'!AI377-'St of Activities - GA Exp'!AW377</f>
        <v>17281447</v>
      </c>
      <c r="BA377" s="8">
        <v>3022052</v>
      </c>
      <c r="BC377" s="8">
        <f t="shared" si="21"/>
        <v>20303499</v>
      </c>
      <c r="BE377" s="8">
        <f>+'St of Net Assets - GA'!AA380-'St of Activities - GA Exp'!BC377</f>
        <v>0</v>
      </c>
    </row>
    <row r="378" spans="1:59">
      <c r="A378" s="12" t="s">
        <v>227</v>
      </c>
      <c r="B378" s="12"/>
      <c r="C378" s="12" t="s">
        <v>14</v>
      </c>
      <c r="D378" s="12"/>
      <c r="E378" s="32">
        <v>45955</v>
      </c>
      <c r="G378" s="8">
        <v>4455684</v>
      </c>
      <c r="H378" s="8"/>
      <c r="I378" s="8">
        <v>335527</v>
      </c>
      <c r="J378" s="8"/>
      <c r="K378" s="8">
        <v>293789</v>
      </c>
      <c r="L378" s="8"/>
      <c r="M378" s="8">
        <v>0</v>
      </c>
      <c r="N378" s="8"/>
      <c r="O378" s="8">
        <v>479816</v>
      </c>
      <c r="P378" s="8"/>
      <c r="Q378" s="8">
        <v>440209</v>
      </c>
      <c r="R378" s="8"/>
      <c r="S378" s="8">
        <v>25843</v>
      </c>
      <c r="T378" s="8"/>
      <c r="U378" s="8">
        <v>785518</v>
      </c>
      <c r="V378" s="8"/>
      <c r="W378" s="8">
        <v>220503</v>
      </c>
      <c r="X378" s="8"/>
      <c r="Y378" s="8">
        <v>0</v>
      </c>
      <c r="Z378" s="8"/>
      <c r="AA378" s="8">
        <v>942929</v>
      </c>
      <c r="AB378" s="8"/>
      <c r="AC378" s="8">
        <v>175187</v>
      </c>
      <c r="AD378" s="8"/>
      <c r="AE378" s="8">
        <v>57149</v>
      </c>
      <c r="AF378" s="138"/>
      <c r="AG378" s="12" t="s">
        <v>227</v>
      </c>
      <c r="AH378" s="12"/>
      <c r="AI378" s="12" t="s">
        <v>14</v>
      </c>
      <c r="AJ378" s="12"/>
      <c r="AK378" s="8">
        <v>0</v>
      </c>
      <c r="AL378" s="8"/>
      <c r="AM378" s="8">
        <v>336530</v>
      </c>
      <c r="AN378" s="8"/>
      <c r="AO378" s="8">
        <v>507124</v>
      </c>
      <c r="AP378" s="8"/>
      <c r="AQ378" s="8">
        <v>312879</v>
      </c>
      <c r="AR378" s="8"/>
      <c r="AS378" s="8"/>
      <c r="AT378" s="8"/>
      <c r="AU378" s="8">
        <v>0</v>
      </c>
      <c r="AV378" s="8"/>
      <c r="AW378" s="8">
        <f t="shared" si="22"/>
        <v>9368687</v>
      </c>
      <c r="AY378" s="8">
        <f>+'St of Activites - GA Rev'!AI378-'St of Activities - GA Exp'!AW378</f>
        <v>1769602</v>
      </c>
      <c r="BA378" s="8">
        <v>11901946</v>
      </c>
      <c r="BC378" s="8">
        <f t="shared" si="21"/>
        <v>13671548</v>
      </c>
      <c r="BE378" s="8">
        <f>+'St of Net Assets - GA'!AA381-'St of Activities - GA Exp'!BC378</f>
        <v>0</v>
      </c>
    </row>
    <row r="379" spans="1:59" ht="12" hidden="1" customHeight="1">
      <c r="A379" s="12" t="s">
        <v>1041</v>
      </c>
      <c r="B379" s="12"/>
      <c r="C379" s="12" t="s">
        <v>14</v>
      </c>
      <c r="D379" s="12"/>
      <c r="E379" s="32">
        <v>45963</v>
      </c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138"/>
      <c r="AG379" s="13" t="s">
        <v>228</v>
      </c>
      <c r="AH379" s="13"/>
      <c r="AI379" s="13" t="s">
        <v>14</v>
      </c>
      <c r="AJ379" s="13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>
        <f t="shared" si="22"/>
        <v>0</v>
      </c>
      <c r="AY379" s="8">
        <f>+'St of Activites - GA Rev'!AI379-'St of Activities - GA Exp'!AW379</f>
        <v>0</v>
      </c>
      <c r="BC379" s="8">
        <f t="shared" si="21"/>
        <v>0</v>
      </c>
      <c r="BE379" s="8">
        <f>+'St of Net Assets - GA'!AA382-'St of Activities - GA Exp'!BC379</f>
        <v>0</v>
      </c>
    </row>
    <row r="380" spans="1:59" ht="12" customHeight="1">
      <c r="A380" s="12" t="s">
        <v>552</v>
      </c>
      <c r="B380" s="12"/>
      <c r="C380" s="12" t="s">
        <v>50</v>
      </c>
      <c r="D380" s="12"/>
      <c r="E380" s="32">
        <v>48710</v>
      </c>
      <c r="G380" s="8">
        <v>4610860</v>
      </c>
      <c r="H380" s="8"/>
      <c r="I380" s="8">
        <v>1210859</v>
      </c>
      <c r="J380" s="8"/>
      <c r="K380" s="8">
        <v>0</v>
      </c>
      <c r="L380" s="8"/>
      <c r="M380" s="8">
        <v>278679</v>
      </c>
      <c r="N380" s="8"/>
      <c r="O380" s="8">
        <v>427400</v>
      </c>
      <c r="P380" s="8"/>
      <c r="Q380" s="8">
        <v>759846</v>
      </c>
      <c r="R380" s="8"/>
      <c r="S380" s="8">
        <v>103910</v>
      </c>
      <c r="T380" s="8"/>
      <c r="U380" s="8">
        <v>863843</v>
      </c>
      <c r="V380" s="8"/>
      <c r="W380" s="8">
        <v>325660</v>
      </c>
      <c r="X380" s="8"/>
      <c r="Y380" s="8">
        <v>91513</v>
      </c>
      <c r="Z380" s="8"/>
      <c r="AA380" s="8">
        <v>1420693</v>
      </c>
      <c r="AB380" s="8"/>
      <c r="AC380" s="8">
        <v>535536</v>
      </c>
      <c r="AD380" s="8"/>
      <c r="AE380" s="8">
        <v>189498</v>
      </c>
      <c r="AF380" s="138"/>
      <c r="AG380" s="12" t="s">
        <v>552</v>
      </c>
      <c r="AH380" s="12"/>
      <c r="AI380" s="12" t="s">
        <v>50</v>
      </c>
      <c r="AJ380" s="12"/>
      <c r="AK380" s="8">
        <v>474914</v>
      </c>
      <c r="AL380" s="8"/>
      <c r="AM380" s="8">
        <v>728</v>
      </c>
      <c r="AN380" s="8"/>
      <c r="AO380" s="8">
        <v>484688</v>
      </c>
      <c r="AP380" s="8"/>
      <c r="AQ380" s="8">
        <v>198003</v>
      </c>
      <c r="AR380" s="8"/>
      <c r="AS380" s="8"/>
      <c r="AT380" s="8"/>
      <c r="AU380" s="8">
        <v>0</v>
      </c>
      <c r="AV380" s="8"/>
      <c r="AW380" s="8">
        <f t="shared" si="22"/>
        <v>11976630</v>
      </c>
      <c r="AY380" s="8">
        <f>+'St of Activites - GA Rev'!AI383-'St of Activities - GA Exp'!AW380</f>
        <v>438223</v>
      </c>
      <c r="BA380" s="8">
        <v>27379084</v>
      </c>
      <c r="BC380" s="8">
        <f t="shared" si="21"/>
        <v>27817307</v>
      </c>
      <c r="BE380" s="8">
        <f>+'St of Net Assets - GA'!AA383-'St of Activities - GA Exp'!BC380</f>
        <v>0</v>
      </c>
    </row>
    <row r="381" spans="1:59" hidden="1">
      <c r="A381" s="12" t="s">
        <v>580</v>
      </c>
      <c r="B381" s="12"/>
      <c r="C381" s="12" t="s">
        <v>579</v>
      </c>
      <c r="D381" s="12"/>
      <c r="E381" s="32">
        <v>44479</v>
      </c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138"/>
      <c r="AG381" s="12" t="s">
        <v>580</v>
      </c>
      <c r="AH381" s="12"/>
      <c r="AI381" s="12" t="s">
        <v>579</v>
      </c>
      <c r="AJ381" s="12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>
        <f t="shared" si="22"/>
        <v>0</v>
      </c>
      <c r="AY381" s="8">
        <f>+'St of Activites - GA Rev'!AI384-'St of Activities - GA Exp'!AW381</f>
        <v>0</v>
      </c>
      <c r="BC381" s="8">
        <f t="shared" si="21"/>
        <v>0</v>
      </c>
      <c r="BE381" s="8">
        <f>+'St of Net Assets - GA'!AA384-'St of Activities - GA Exp'!BC381</f>
        <v>0</v>
      </c>
    </row>
    <row r="382" spans="1:59">
      <c r="A382" s="12" t="s">
        <v>445</v>
      </c>
      <c r="B382" s="12"/>
      <c r="C382" s="12" t="s">
        <v>37</v>
      </c>
      <c r="D382" s="12"/>
      <c r="E382" s="32">
        <v>47720</v>
      </c>
      <c r="G382" s="8">
        <v>5285753</v>
      </c>
      <c r="H382" s="8"/>
      <c r="I382" s="8">
        <v>1065220</v>
      </c>
      <c r="J382" s="8"/>
      <c r="K382" s="8">
        <v>373773</v>
      </c>
      <c r="L382" s="8"/>
      <c r="M382" s="8">
        <f>15532+73626</f>
        <v>89158</v>
      </c>
      <c r="N382" s="8"/>
      <c r="O382" s="8">
        <v>297905</v>
      </c>
      <c r="P382" s="8"/>
      <c r="Q382" s="8">
        <v>544137</v>
      </c>
      <c r="R382" s="8"/>
      <c r="S382" s="8">
        <v>10364</v>
      </c>
      <c r="T382" s="8"/>
      <c r="U382" s="8">
        <v>799598</v>
      </c>
      <c r="V382" s="8"/>
      <c r="W382" s="8">
        <v>255652</v>
      </c>
      <c r="X382" s="8"/>
      <c r="Y382" s="8">
        <v>4621</v>
      </c>
      <c r="Z382" s="8"/>
      <c r="AA382" s="8">
        <v>870221</v>
      </c>
      <c r="AB382" s="8"/>
      <c r="AC382" s="8">
        <v>544531</v>
      </c>
      <c r="AD382" s="8"/>
      <c r="AE382" s="8">
        <v>0</v>
      </c>
      <c r="AF382" s="138"/>
      <c r="AG382" s="12" t="s">
        <v>445</v>
      </c>
      <c r="AH382" s="12"/>
      <c r="AI382" s="12" t="s">
        <v>37</v>
      </c>
      <c r="AJ382" s="12"/>
      <c r="AK382" s="8">
        <v>388111</v>
      </c>
      <c r="AL382" s="8"/>
      <c r="AM382" s="8">
        <v>303</v>
      </c>
      <c r="AN382" s="8"/>
      <c r="AO382" s="8">
        <v>369729</v>
      </c>
      <c r="AP382" s="8"/>
      <c r="AQ382" s="8">
        <v>124307</v>
      </c>
      <c r="AR382" s="8"/>
      <c r="AS382" s="8"/>
      <c r="AT382" s="8"/>
      <c r="AU382" s="8">
        <v>0</v>
      </c>
      <c r="AV382" s="8"/>
      <c r="AW382" s="8">
        <f t="shared" si="22"/>
        <v>11023383</v>
      </c>
      <c r="AY382" s="8">
        <f>+'St of Activites - GA Rev'!AI385-'St of Activities - GA Exp'!AW382</f>
        <v>-380635</v>
      </c>
      <c r="BA382" s="8">
        <v>14307929</v>
      </c>
      <c r="BC382" s="8">
        <f t="shared" si="21"/>
        <v>13927294</v>
      </c>
      <c r="BE382" s="8">
        <f>+'St of Net Assets - GA'!AA385-'St of Activities - GA Exp'!BC382</f>
        <v>0</v>
      </c>
    </row>
    <row r="383" spans="1:59">
      <c r="A383" s="12" t="s">
        <v>249</v>
      </c>
      <c r="B383" s="12"/>
      <c r="C383" s="12" t="s">
        <v>242</v>
      </c>
      <c r="D383" s="12"/>
      <c r="E383" s="32">
        <v>46136</v>
      </c>
      <c r="G383" s="8">
        <v>3720409</v>
      </c>
      <c r="H383" s="8"/>
      <c r="I383" s="8">
        <v>394087</v>
      </c>
      <c r="J383" s="8"/>
      <c r="K383" s="8">
        <v>0</v>
      </c>
      <c r="L383" s="8"/>
      <c r="M383" s="8">
        <v>58995</v>
      </c>
      <c r="N383" s="8"/>
      <c r="O383" s="8">
        <v>257605</v>
      </c>
      <c r="P383" s="8"/>
      <c r="Q383" s="8">
        <v>233701</v>
      </c>
      <c r="R383" s="8"/>
      <c r="S383" s="8">
        <v>56698</v>
      </c>
      <c r="T383" s="8"/>
      <c r="U383" s="8">
        <v>875525</v>
      </c>
      <c r="V383" s="8"/>
      <c r="W383" s="8">
        <v>192723</v>
      </c>
      <c r="X383" s="8"/>
      <c r="Y383" s="8">
        <v>57848</v>
      </c>
      <c r="Z383" s="8"/>
      <c r="AA383" s="8">
        <v>829718</v>
      </c>
      <c r="AB383" s="8"/>
      <c r="AC383" s="8">
        <v>424804</v>
      </c>
      <c r="AD383" s="8"/>
      <c r="AE383" s="8">
        <v>0</v>
      </c>
      <c r="AF383" s="138"/>
      <c r="AG383" s="12" t="s">
        <v>249</v>
      </c>
      <c r="AH383" s="12"/>
      <c r="AI383" s="12" t="s">
        <v>242</v>
      </c>
      <c r="AJ383" s="12"/>
      <c r="AK383" s="8">
        <v>466122</v>
      </c>
      <c r="AL383" s="8"/>
      <c r="AM383" s="8">
        <v>0</v>
      </c>
      <c r="AN383" s="8"/>
      <c r="AO383" s="8">
        <v>165440</v>
      </c>
      <c r="AP383" s="8"/>
      <c r="AQ383" s="8">
        <v>92052</v>
      </c>
      <c r="AR383" s="8"/>
      <c r="AS383" s="8"/>
      <c r="AT383" s="8"/>
      <c r="AU383" s="8">
        <v>0</v>
      </c>
      <c r="AV383" s="8"/>
      <c r="AW383" s="8">
        <f t="shared" si="22"/>
        <v>7825727</v>
      </c>
      <c r="AY383" s="8">
        <f>+'St of Activites - GA Rev'!AI386-'St of Activities - GA Exp'!AW383</f>
        <v>776017</v>
      </c>
      <c r="BA383" s="8">
        <v>12935205</v>
      </c>
      <c r="BC383" s="8">
        <f t="shared" si="21"/>
        <v>13711222</v>
      </c>
      <c r="BE383" s="8">
        <f>+'St of Net Assets - GA'!AA386-'St of Activities - GA Exp'!BC383</f>
        <v>0</v>
      </c>
    </row>
    <row r="384" spans="1:59">
      <c r="A384" s="12" t="s">
        <v>698</v>
      </c>
      <c r="B384" s="12"/>
      <c r="C384" s="12" t="s">
        <v>65</v>
      </c>
      <c r="D384" s="12"/>
      <c r="E384" s="32">
        <v>44487</v>
      </c>
      <c r="G384" s="8">
        <v>11127830</v>
      </c>
      <c r="H384" s="8"/>
      <c r="I384" s="8">
        <v>2402646</v>
      </c>
      <c r="J384" s="8"/>
      <c r="K384" s="8">
        <v>113525</v>
      </c>
      <c r="L384" s="8"/>
      <c r="M384" s="8">
        <v>460820</v>
      </c>
      <c r="N384" s="8"/>
      <c r="O384" s="8">
        <v>1312299</v>
      </c>
      <c r="P384" s="8"/>
      <c r="Q384" s="8">
        <v>965897</v>
      </c>
      <c r="R384" s="8"/>
      <c r="S384" s="8">
        <v>73951</v>
      </c>
      <c r="T384" s="8"/>
      <c r="U384" s="8">
        <v>2180048</v>
      </c>
      <c r="V384" s="8"/>
      <c r="W384" s="8">
        <v>814663</v>
      </c>
      <c r="X384" s="8"/>
      <c r="Y384" s="8">
        <v>0</v>
      </c>
      <c r="Z384" s="8"/>
      <c r="AA384" s="8">
        <v>2481900</v>
      </c>
      <c r="AB384" s="8"/>
      <c r="AC384" s="8">
        <v>660681</v>
      </c>
      <c r="AD384" s="8"/>
      <c r="AE384" s="8">
        <v>0</v>
      </c>
      <c r="AF384" s="138"/>
      <c r="AG384" s="12" t="s">
        <v>698</v>
      </c>
      <c r="AH384" s="12"/>
      <c r="AI384" s="12" t="s">
        <v>65</v>
      </c>
      <c r="AJ384" s="12"/>
      <c r="AK384" s="8">
        <v>782855</v>
      </c>
      <c r="AL384" s="8"/>
      <c r="AM384" s="8">
        <v>504189</v>
      </c>
      <c r="AN384" s="8"/>
      <c r="AO384" s="8">
        <v>1003038</v>
      </c>
      <c r="AP384" s="8"/>
      <c r="AQ384" s="8">
        <v>261117</v>
      </c>
      <c r="AR384" s="8"/>
      <c r="AS384" s="8"/>
      <c r="AT384" s="8"/>
      <c r="AU384" s="8">
        <v>0</v>
      </c>
      <c r="AV384" s="8"/>
      <c r="AW384" s="8">
        <f t="shared" si="22"/>
        <v>25145459</v>
      </c>
      <c r="AY384" s="8">
        <f>+'St of Activites - GA Rev'!AI387-'St of Activities - GA Exp'!AW384</f>
        <v>2599778</v>
      </c>
      <c r="BA384" s="8">
        <v>12878364</v>
      </c>
      <c r="BC384" s="8">
        <f t="shared" si="21"/>
        <v>15478142</v>
      </c>
      <c r="BE384" s="8">
        <f>+'St of Net Assets - GA'!AA387-'St of Activities - GA Exp'!BC384</f>
        <v>0</v>
      </c>
    </row>
    <row r="385" spans="1:59">
      <c r="A385" s="12" t="s">
        <v>271</v>
      </c>
      <c r="B385" s="12"/>
      <c r="C385" s="12" t="s">
        <v>115</v>
      </c>
      <c r="D385" s="12"/>
      <c r="E385" s="32">
        <v>45559</v>
      </c>
      <c r="G385" s="8">
        <v>13775112</v>
      </c>
      <c r="H385" s="8"/>
      <c r="I385" s="8">
        <v>3423329</v>
      </c>
      <c r="J385" s="8"/>
      <c r="K385" s="8">
        <v>0</v>
      </c>
      <c r="L385" s="8"/>
      <c r="M385" s="8">
        <v>21971</v>
      </c>
      <c r="N385" s="8"/>
      <c r="O385" s="8">
        <v>1258753</v>
      </c>
      <c r="P385" s="8"/>
      <c r="Q385" s="8">
        <v>1256132</v>
      </c>
      <c r="R385" s="8"/>
      <c r="S385" s="8">
        <v>155500</v>
      </c>
      <c r="T385" s="8"/>
      <c r="U385" s="8">
        <v>1630861</v>
      </c>
      <c r="V385" s="8"/>
      <c r="W385" s="8">
        <v>780838</v>
      </c>
      <c r="X385" s="8"/>
      <c r="Y385" s="8">
        <v>0</v>
      </c>
      <c r="Z385" s="8"/>
      <c r="AA385" s="8">
        <v>3004891</v>
      </c>
      <c r="AB385" s="8"/>
      <c r="AC385" s="8">
        <v>1833418</v>
      </c>
      <c r="AD385" s="8"/>
      <c r="AE385" s="8">
        <v>316101</v>
      </c>
      <c r="AF385" s="138"/>
      <c r="AG385" s="12" t="s">
        <v>271</v>
      </c>
      <c r="AH385" s="12"/>
      <c r="AI385" s="12" t="s">
        <v>115</v>
      </c>
      <c r="AJ385" s="12"/>
      <c r="AK385" s="8">
        <v>0</v>
      </c>
      <c r="AL385" s="8"/>
      <c r="AM385" s="8">
        <v>0</v>
      </c>
      <c r="AN385" s="8"/>
      <c r="AO385" s="8">
        <v>574375</v>
      </c>
      <c r="AP385" s="8"/>
      <c r="AQ385" s="8">
        <v>12535</v>
      </c>
      <c r="AR385" s="8"/>
      <c r="AS385" s="8"/>
      <c r="AT385" s="8"/>
      <c r="AU385" s="8">
        <v>0</v>
      </c>
      <c r="AV385" s="8"/>
      <c r="AW385" s="8">
        <f t="shared" si="22"/>
        <v>28043816</v>
      </c>
      <c r="AY385" s="8">
        <f>+'St of Activites - GA Rev'!AI388-'St of Activities - GA Exp'!AW385</f>
        <v>528051</v>
      </c>
      <c r="BA385" s="8">
        <v>32436328</v>
      </c>
      <c r="BC385" s="8">
        <f t="shared" si="21"/>
        <v>32964379</v>
      </c>
      <c r="BE385" s="8">
        <f>+'St of Net Assets - GA'!AA388-'St of Activities - GA Exp'!BC385</f>
        <v>0</v>
      </c>
    </row>
    <row r="386" spans="1:59" ht="12" hidden="1" customHeight="1">
      <c r="A386" s="12" t="s">
        <v>637</v>
      </c>
      <c r="B386" s="12"/>
      <c r="C386" s="12" t="s">
        <v>60</v>
      </c>
      <c r="D386" s="12"/>
      <c r="E386" s="32">
        <v>49718</v>
      </c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138"/>
      <c r="AG386" s="12" t="s">
        <v>637</v>
      </c>
      <c r="AH386" s="12"/>
      <c r="AI386" s="12" t="s">
        <v>60</v>
      </c>
      <c r="AJ386" s="12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>
        <f t="shared" si="22"/>
        <v>0</v>
      </c>
      <c r="AY386" s="8" t="e">
        <f>+'St of Activites - GA Rev'!#REF!-'St of Activities - GA Exp'!AW386</f>
        <v>#REF!</v>
      </c>
      <c r="BC386" s="8" t="e">
        <f t="shared" si="21"/>
        <v>#REF!</v>
      </c>
      <c r="BE386" s="8" t="e">
        <f>+'St of Net Assets - GA'!AA389-'St of Activities - GA Exp'!BC386</f>
        <v>#REF!</v>
      </c>
    </row>
    <row r="387" spans="1:59" ht="12" customHeight="1">
      <c r="A387" s="12"/>
      <c r="B387" s="12"/>
      <c r="C387" s="12"/>
      <c r="D387" s="12"/>
      <c r="E387" s="32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138"/>
      <c r="AG387" s="12"/>
      <c r="AH387" s="12"/>
      <c r="AI387" s="12"/>
      <c r="AJ387" s="12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</row>
    <row r="388" spans="1:59" ht="12" customHeight="1">
      <c r="A388" s="12"/>
      <c r="B388" s="12"/>
      <c r="C388" s="12"/>
      <c r="D388" s="12"/>
      <c r="E388" s="32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 t="s">
        <v>805</v>
      </c>
      <c r="AF388" s="138"/>
      <c r="AG388" s="12"/>
      <c r="AH388" s="12"/>
      <c r="AI388" s="12"/>
      <c r="AJ388" s="12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BC388" s="8" t="s">
        <v>805</v>
      </c>
    </row>
    <row r="389" spans="1:59" ht="12" customHeight="1">
      <c r="A389" s="12"/>
      <c r="B389" s="12"/>
      <c r="C389" s="12"/>
      <c r="D389" s="12"/>
      <c r="E389" s="32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138"/>
      <c r="AG389" s="12"/>
      <c r="AH389" s="12"/>
      <c r="AI389" s="12"/>
      <c r="AJ389" s="12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</row>
    <row r="390" spans="1:59">
      <c r="A390" s="12" t="s">
        <v>478</v>
      </c>
      <c r="B390" s="12"/>
      <c r="C390" s="12" t="s">
        <v>42</v>
      </c>
      <c r="D390" s="12"/>
      <c r="E390" s="32">
        <v>44453</v>
      </c>
      <c r="G390" s="35">
        <v>28042461</v>
      </c>
      <c r="H390" s="35"/>
      <c r="I390" s="35">
        <v>7867634</v>
      </c>
      <c r="J390" s="35"/>
      <c r="K390" s="35">
        <v>482489</v>
      </c>
      <c r="L390" s="35"/>
      <c r="M390" s="35">
        <v>587205</v>
      </c>
      <c r="N390" s="35"/>
      <c r="O390" s="35">
        <v>3268163</v>
      </c>
      <c r="P390" s="35"/>
      <c r="Q390" s="35">
        <v>4650488</v>
      </c>
      <c r="R390" s="35"/>
      <c r="S390" s="35">
        <v>257859</v>
      </c>
      <c r="T390" s="35"/>
      <c r="U390" s="35">
        <v>3597685</v>
      </c>
      <c r="V390" s="35"/>
      <c r="W390" s="35">
        <v>1156392</v>
      </c>
      <c r="X390" s="35"/>
      <c r="Y390" s="35">
        <v>629211</v>
      </c>
      <c r="Z390" s="35"/>
      <c r="AA390" s="35">
        <v>5472649</v>
      </c>
      <c r="AB390" s="35"/>
      <c r="AC390" s="35">
        <v>1950329</v>
      </c>
      <c r="AD390" s="35"/>
      <c r="AE390" s="35">
        <v>1071009</v>
      </c>
      <c r="AF390" s="138"/>
      <c r="AG390" s="12" t="s">
        <v>478</v>
      </c>
      <c r="AH390" s="12"/>
      <c r="AI390" s="12" t="s">
        <v>42</v>
      </c>
      <c r="AJ390" s="12"/>
      <c r="AK390" s="35">
        <v>2850515</v>
      </c>
      <c r="AL390" s="35"/>
      <c r="AM390" s="35">
        <v>748448</v>
      </c>
      <c r="AN390" s="35"/>
      <c r="AO390" s="35">
        <v>1011699</v>
      </c>
      <c r="AP390" s="35"/>
      <c r="AQ390" s="35">
        <v>3064035</v>
      </c>
      <c r="AR390" s="35"/>
      <c r="AS390" s="35"/>
      <c r="AT390" s="35"/>
      <c r="AU390" s="35">
        <v>0</v>
      </c>
      <c r="AV390" s="35"/>
      <c r="AW390" s="35">
        <f t="shared" si="22"/>
        <v>66708271</v>
      </c>
      <c r="AX390" s="35"/>
      <c r="AY390" s="35">
        <f>+'St of Activites - GA Rev'!AI389-'St of Activities - GA Exp'!AW390</f>
        <v>75931297</v>
      </c>
      <c r="AZ390" s="35"/>
      <c r="BA390" s="35">
        <v>24588488</v>
      </c>
      <c r="BB390" s="35"/>
      <c r="BC390" s="35">
        <f t="shared" si="21"/>
        <v>100519785</v>
      </c>
      <c r="BE390" s="8">
        <f>+'St of Net Assets - GA'!AA390-'St of Activities - GA Exp'!BC390</f>
        <v>0</v>
      </c>
    </row>
    <row r="391" spans="1:59">
      <c r="A391" s="12" t="s">
        <v>382</v>
      </c>
      <c r="B391" s="12"/>
      <c r="C391" s="12" t="s">
        <v>30</v>
      </c>
      <c r="D391" s="12"/>
      <c r="E391" s="32">
        <v>47217</v>
      </c>
      <c r="G391" s="8">
        <v>3850869</v>
      </c>
      <c r="H391" s="8"/>
      <c r="I391" s="8">
        <v>772807</v>
      </c>
      <c r="J391" s="8"/>
      <c r="K391" s="8">
        <v>70958</v>
      </c>
      <c r="L391" s="8"/>
      <c r="M391" s="8">
        <v>21869</v>
      </c>
      <c r="N391" s="8"/>
      <c r="O391" s="8">
        <v>402652</v>
      </c>
      <c r="P391" s="8"/>
      <c r="Q391" s="8">
        <v>185547</v>
      </c>
      <c r="R391" s="8"/>
      <c r="S391" s="8">
        <v>85539</v>
      </c>
      <c r="T391" s="8"/>
      <c r="U391" s="8">
        <v>582437</v>
      </c>
      <c r="V391" s="8"/>
      <c r="W391" s="8">
        <v>281790</v>
      </c>
      <c r="X391" s="8"/>
      <c r="Y391" s="8">
        <v>0</v>
      </c>
      <c r="Z391" s="8"/>
      <c r="AA391" s="8">
        <v>782087</v>
      </c>
      <c r="AB391" s="8"/>
      <c r="AC391" s="8">
        <v>552101</v>
      </c>
      <c r="AD391" s="8"/>
      <c r="AE391" s="8">
        <v>67330</v>
      </c>
      <c r="AF391" s="138"/>
      <c r="AG391" s="12" t="s">
        <v>382</v>
      </c>
      <c r="AH391" s="12"/>
      <c r="AI391" s="12" t="s">
        <v>30</v>
      </c>
      <c r="AJ391" s="12"/>
      <c r="AK391" s="8">
        <v>205791</v>
      </c>
      <c r="AL391" s="8"/>
      <c r="AM391" s="8">
        <v>149585</v>
      </c>
      <c r="AN391" s="8"/>
      <c r="AO391" s="8">
        <v>305022</v>
      </c>
      <c r="AP391" s="8"/>
      <c r="AQ391" s="8">
        <v>3082</v>
      </c>
      <c r="AR391" s="8"/>
      <c r="AS391" s="8"/>
      <c r="AT391" s="8"/>
      <c r="AU391" s="8">
        <v>0</v>
      </c>
      <c r="AV391" s="8"/>
      <c r="AW391" s="8">
        <f t="shared" si="22"/>
        <v>8319466</v>
      </c>
      <c r="AY391" s="8">
        <f>+'St of Activites - GA Rev'!AI390-'St of Activities - GA Exp'!AW391</f>
        <v>-491190</v>
      </c>
      <c r="BA391" s="8">
        <v>4569900</v>
      </c>
      <c r="BC391" s="8">
        <f t="shared" si="21"/>
        <v>4078710</v>
      </c>
      <c r="BE391" s="8">
        <f>+'St of Net Assets - GA'!AA391-'St of Activities - GA Exp'!BC391</f>
        <v>0</v>
      </c>
    </row>
    <row r="392" spans="1:59">
      <c r="A392" s="12" t="s">
        <v>699</v>
      </c>
      <c r="B392" s="12"/>
      <c r="C392" s="12" t="s">
        <v>65</v>
      </c>
      <c r="D392" s="12"/>
      <c r="E392" s="32">
        <v>45542</v>
      </c>
      <c r="G392" s="8">
        <v>4985932</v>
      </c>
      <c r="H392" s="8"/>
      <c r="I392" s="8">
        <v>1084948</v>
      </c>
      <c r="J392" s="8"/>
      <c r="K392" s="8">
        <v>94335</v>
      </c>
      <c r="L392" s="8"/>
      <c r="M392" s="8">
        <v>456537</v>
      </c>
      <c r="N392" s="8"/>
      <c r="O392" s="8">
        <v>416933</v>
      </c>
      <c r="P392" s="8"/>
      <c r="Q392" s="8">
        <v>827359</v>
      </c>
      <c r="R392" s="8"/>
      <c r="S392" s="8">
        <v>61142</v>
      </c>
      <c r="T392" s="8"/>
      <c r="U392" s="8">
        <v>1001194</v>
      </c>
      <c r="V392" s="8"/>
      <c r="W392" s="8">
        <v>325431</v>
      </c>
      <c r="X392" s="8"/>
      <c r="Y392" s="8">
        <v>0</v>
      </c>
      <c r="Z392" s="8"/>
      <c r="AA392" s="8">
        <v>1540386</v>
      </c>
      <c r="AB392" s="8"/>
      <c r="AC392" s="8">
        <v>498571</v>
      </c>
      <c r="AD392" s="8"/>
      <c r="AE392" s="8">
        <v>0</v>
      </c>
      <c r="AF392" s="138"/>
      <c r="AG392" s="12" t="s">
        <v>699</v>
      </c>
      <c r="AH392" s="12"/>
      <c r="AI392" s="12" t="s">
        <v>65</v>
      </c>
      <c r="AJ392" s="12"/>
      <c r="AK392" s="8">
        <v>577384</v>
      </c>
      <c r="AL392" s="8"/>
      <c r="AM392" s="8">
        <v>46370</v>
      </c>
      <c r="AN392" s="8"/>
      <c r="AO392" s="8">
        <v>406367</v>
      </c>
      <c r="AP392" s="8"/>
      <c r="AQ392" s="8">
        <v>184826</v>
      </c>
      <c r="AR392" s="8"/>
      <c r="AS392" s="8"/>
      <c r="AT392" s="8"/>
      <c r="AU392" s="8">
        <v>0</v>
      </c>
      <c r="AV392" s="8"/>
      <c r="AW392" s="8">
        <f t="shared" si="22"/>
        <v>12507715</v>
      </c>
      <c r="AY392" s="8">
        <f>+'St of Activites - GA Rev'!AI391-'St of Activities - GA Exp'!AW392</f>
        <v>-472215</v>
      </c>
      <c r="BA392" s="8">
        <v>14257561</v>
      </c>
      <c r="BC392" s="8">
        <f t="shared" si="21"/>
        <v>13785346</v>
      </c>
      <c r="BE392" s="8">
        <f>+'St of Net Assets - GA'!AA392-'St of Activities - GA Exp'!BC392</f>
        <v>0</v>
      </c>
    </row>
    <row r="393" spans="1:59" ht="12" customHeight="1">
      <c r="A393" s="12" t="s">
        <v>690</v>
      </c>
      <c r="B393" s="12"/>
      <c r="C393" s="12" t="s">
        <v>64</v>
      </c>
      <c r="D393" s="12"/>
      <c r="E393" s="32">
        <v>45567</v>
      </c>
      <c r="G393" s="8">
        <v>6469863</v>
      </c>
      <c r="H393" s="8"/>
      <c r="I393" s="8">
        <v>1498096</v>
      </c>
      <c r="J393" s="8"/>
      <c r="K393" s="8">
        <v>149121</v>
      </c>
      <c r="L393" s="8"/>
      <c r="M393" s="8">
        <v>25564</v>
      </c>
      <c r="N393" s="8"/>
      <c r="O393" s="8">
        <v>567918</v>
      </c>
      <c r="P393" s="8"/>
      <c r="Q393" s="8">
        <v>484363</v>
      </c>
      <c r="R393" s="8"/>
      <c r="S393" s="8">
        <v>288845</v>
      </c>
      <c r="T393" s="8"/>
      <c r="U393" s="8">
        <v>1110233</v>
      </c>
      <c r="V393" s="8"/>
      <c r="W393" s="8">
        <v>322210</v>
      </c>
      <c r="X393" s="8"/>
      <c r="Y393" s="8">
        <v>0</v>
      </c>
      <c r="Z393" s="8"/>
      <c r="AA393" s="8">
        <v>1140267</v>
      </c>
      <c r="AB393" s="8"/>
      <c r="AC393" s="8">
        <v>676829</v>
      </c>
      <c r="AD393" s="8"/>
      <c r="AE393" s="8">
        <v>265649</v>
      </c>
      <c r="AF393" s="138"/>
      <c r="AG393" s="12" t="s">
        <v>690</v>
      </c>
      <c r="AH393" s="12"/>
      <c r="AI393" s="12" t="s">
        <v>64</v>
      </c>
      <c r="AJ393" s="12"/>
      <c r="AK393" s="8">
        <v>492245</v>
      </c>
      <c r="AL393" s="8"/>
      <c r="AM393" s="8">
        <v>81583</v>
      </c>
      <c r="AN393" s="8"/>
      <c r="AO393" s="8">
        <v>398464</v>
      </c>
      <c r="AP393" s="8"/>
      <c r="AQ393" s="8">
        <v>218904</v>
      </c>
      <c r="AR393" s="8"/>
      <c r="AS393" s="8"/>
      <c r="AT393" s="8"/>
      <c r="AU393" s="8">
        <v>0</v>
      </c>
      <c r="AV393" s="8"/>
      <c r="AW393" s="8">
        <f t="shared" si="22"/>
        <v>14190154</v>
      </c>
      <c r="AY393" s="8">
        <f>+'St of Activites - GA Rev'!AI392-'St of Activities - GA Exp'!AW393</f>
        <v>-192749</v>
      </c>
      <c r="BA393" s="8">
        <v>19715625</v>
      </c>
      <c r="BC393" s="8">
        <f t="shared" si="21"/>
        <v>19522876</v>
      </c>
      <c r="BE393" s="8">
        <f>+'St of Net Assets - GA'!AA393-'St of Activities - GA Exp'!BC393</f>
        <v>0</v>
      </c>
    </row>
    <row r="394" spans="1:59">
      <c r="A394" s="12" t="s">
        <v>539</v>
      </c>
      <c r="B394" s="12"/>
      <c r="C394" s="12" t="s">
        <v>48</v>
      </c>
      <c r="D394" s="12"/>
      <c r="E394" s="32">
        <v>48637</v>
      </c>
      <c r="G394" s="8">
        <v>2564840</v>
      </c>
      <c r="H394" s="8"/>
      <c r="I394" s="8">
        <v>431899</v>
      </c>
      <c r="J394" s="8"/>
      <c r="K394" s="8">
        <v>1392</v>
      </c>
      <c r="L394" s="8"/>
      <c r="M394" s="8">
        <v>8686</v>
      </c>
      <c r="N394" s="8"/>
      <c r="O394" s="8">
        <v>254206</v>
      </c>
      <c r="P394" s="8"/>
      <c r="Q394" s="8">
        <v>187859</v>
      </c>
      <c r="R394" s="8"/>
      <c r="S394" s="8">
        <v>8686</v>
      </c>
      <c r="T394" s="8"/>
      <c r="U394" s="8">
        <v>721071</v>
      </c>
      <c r="V394" s="8"/>
      <c r="W394" s="8">
        <v>225532</v>
      </c>
      <c r="X394" s="8"/>
      <c r="Y394" s="8">
        <v>975</v>
      </c>
      <c r="Z394" s="8"/>
      <c r="AA394" s="8">
        <v>397709</v>
      </c>
      <c r="AB394" s="8"/>
      <c r="AC394" s="8">
        <v>257910</v>
      </c>
      <c r="AD394" s="8"/>
      <c r="AE394" s="8">
        <v>4377</v>
      </c>
      <c r="AF394" s="138"/>
      <c r="AG394" s="12" t="s">
        <v>539</v>
      </c>
      <c r="AH394" s="12"/>
      <c r="AI394" s="12" t="s">
        <v>48</v>
      </c>
      <c r="AJ394" s="12"/>
      <c r="AK394" s="8">
        <v>158053</v>
      </c>
      <c r="AL394" s="8"/>
      <c r="AM394" s="8">
        <v>5100</v>
      </c>
      <c r="AN394" s="8"/>
      <c r="AO394" s="8">
        <v>221239</v>
      </c>
      <c r="AP394" s="8"/>
      <c r="AQ394" s="8">
        <v>412037</v>
      </c>
      <c r="AR394" s="8"/>
      <c r="AS394" s="8"/>
      <c r="AT394" s="8"/>
      <c r="AU394" s="8">
        <v>0</v>
      </c>
      <c r="AV394" s="8"/>
      <c r="AW394" s="8">
        <f t="shared" si="22"/>
        <v>5861571</v>
      </c>
      <c r="AY394" s="8">
        <f>+'St of Activites - GA Rev'!AI393-'St of Activities - GA Exp'!AW394</f>
        <v>1065566</v>
      </c>
      <c r="BA394" s="8">
        <v>13992981</v>
      </c>
      <c r="BC394" s="8">
        <f t="shared" si="21"/>
        <v>15058547</v>
      </c>
      <c r="BE394" s="8">
        <f>+'St of Net Assets - GA'!AA394-'St of Activities - GA Exp'!BC394</f>
        <v>0</v>
      </c>
    </row>
    <row r="395" spans="1:59" ht="12" customHeight="1">
      <c r="A395" s="12" t="s">
        <v>820</v>
      </c>
      <c r="B395" s="12"/>
      <c r="C395" s="12" t="s">
        <v>64</v>
      </c>
      <c r="D395" s="12"/>
      <c r="E395" s="32"/>
      <c r="G395" s="8">
        <v>12646805</v>
      </c>
      <c r="H395" s="8"/>
      <c r="I395" s="8">
        <v>3198469</v>
      </c>
      <c r="J395" s="8"/>
      <c r="K395" s="8">
        <v>162057</v>
      </c>
      <c r="L395" s="8"/>
      <c r="M395" s="8">
        <v>1074142</v>
      </c>
      <c r="N395" s="8"/>
      <c r="O395" s="8">
        <v>1265183</v>
      </c>
      <c r="P395" s="8"/>
      <c r="Q395" s="8">
        <v>891943</v>
      </c>
      <c r="R395" s="8"/>
      <c r="S395" s="8">
        <v>58047</v>
      </c>
      <c r="T395" s="8"/>
      <c r="U395" s="8">
        <v>2455889</v>
      </c>
      <c r="V395" s="8"/>
      <c r="W395" s="8">
        <v>566235</v>
      </c>
      <c r="X395" s="8"/>
      <c r="Y395" s="8">
        <v>155257</v>
      </c>
      <c r="Z395" s="8"/>
      <c r="AA395" s="8">
        <v>2462247</v>
      </c>
      <c r="AB395" s="8"/>
      <c r="AC395" s="8">
        <v>968903</v>
      </c>
      <c r="AD395" s="8"/>
      <c r="AE395" s="8">
        <v>227776</v>
      </c>
      <c r="AF395" s="138"/>
      <c r="AG395" s="12" t="s">
        <v>820</v>
      </c>
      <c r="AH395" s="12"/>
      <c r="AI395" s="12" t="s">
        <v>64</v>
      </c>
      <c r="AJ395" s="12"/>
      <c r="AK395" s="8">
        <v>1148216</v>
      </c>
      <c r="AL395" s="8"/>
      <c r="AM395" s="8">
        <v>229936</v>
      </c>
      <c r="AN395" s="8"/>
      <c r="AO395" s="8">
        <v>509459</v>
      </c>
      <c r="AP395" s="8"/>
      <c r="AQ395" s="8">
        <v>351337</v>
      </c>
      <c r="AR395" s="8"/>
      <c r="AS395" s="8"/>
      <c r="AT395" s="8"/>
      <c r="AU395" s="8">
        <v>0</v>
      </c>
      <c r="AV395" s="8"/>
      <c r="AW395" s="8">
        <f t="shared" si="22"/>
        <v>28371901</v>
      </c>
      <c r="AY395" s="8">
        <f>+'St of Activites - GA Rev'!AI394-'St of Activities - GA Exp'!AW395</f>
        <v>40254157</v>
      </c>
      <c r="BA395" s="8">
        <v>7590591</v>
      </c>
      <c r="BC395" s="8">
        <f t="shared" si="21"/>
        <v>47844748</v>
      </c>
      <c r="BE395" s="8">
        <f>+'St of Net Assets - GA'!AA395-'St of Activities - GA Exp'!BC395</f>
        <v>0</v>
      </c>
    </row>
    <row r="396" spans="1:59">
      <c r="A396" s="12" t="s">
        <v>570</v>
      </c>
      <c r="B396" s="12"/>
      <c r="C396" s="12" t="s">
        <v>52</v>
      </c>
      <c r="D396" s="12"/>
      <c r="E396" s="32">
        <v>48900</v>
      </c>
      <c r="G396" s="8">
        <v>4331503</v>
      </c>
      <c r="H396" s="8"/>
      <c r="I396" s="8">
        <v>945147</v>
      </c>
      <c r="J396" s="8"/>
      <c r="K396" s="8">
        <v>283774</v>
      </c>
      <c r="L396" s="8"/>
      <c r="M396" s="8">
        <v>0</v>
      </c>
      <c r="N396" s="8"/>
      <c r="O396" s="8">
        <v>337911</v>
      </c>
      <c r="P396" s="8"/>
      <c r="Q396" s="8">
        <v>459970</v>
      </c>
      <c r="R396" s="8"/>
      <c r="S396" s="8">
        <v>52258</v>
      </c>
      <c r="T396" s="8"/>
      <c r="U396" s="8">
        <v>1046407</v>
      </c>
      <c r="V396" s="8"/>
      <c r="W396" s="8">
        <v>358339</v>
      </c>
      <c r="X396" s="8"/>
      <c r="Y396" s="8">
        <v>13081</v>
      </c>
      <c r="Z396" s="8"/>
      <c r="AA396" s="8">
        <v>881942</v>
      </c>
      <c r="AB396" s="8"/>
      <c r="AC396" s="8">
        <v>969880</v>
      </c>
      <c r="AD396" s="8"/>
      <c r="AE396" s="8">
        <v>3967</v>
      </c>
      <c r="AF396" s="138"/>
      <c r="AG396" s="12" t="s">
        <v>570</v>
      </c>
      <c r="AH396" s="12"/>
      <c r="AI396" s="12" t="s">
        <v>52</v>
      </c>
      <c r="AJ396" s="12"/>
      <c r="AK396" s="8">
        <v>537156</v>
      </c>
      <c r="AL396" s="8"/>
      <c r="AM396" s="8">
        <v>0</v>
      </c>
      <c r="AN396" s="8"/>
      <c r="AO396" s="8">
        <v>207144</v>
      </c>
      <c r="AP396" s="8"/>
      <c r="AQ396" s="8">
        <v>23196</v>
      </c>
      <c r="AR396" s="8"/>
      <c r="AS396" s="8"/>
      <c r="AT396" s="8"/>
      <c r="AU396" s="8">
        <v>0</v>
      </c>
      <c r="AV396" s="8"/>
      <c r="AW396" s="8">
        <f t="shared" si="22"/>
        <v>10451675</v>
      </c>
      <c r="AY396" s="8">
        <f>+'St of Activites - GA Rev'!AI395-'St of Activities - GA Exp'!AW396</f>
        <v>-25260</v>
      </c>
      <c r="BA396" s="8">
        <v>6185897</v>
      </c>
      <c r="BC396" s="8">
        <f t="shared" si="21"/>
        <v>6160637</v>
      </c>
      <c r="BE396" s="8">
        <f>+'St of Net Assets - GA'!AA396-'St of Activities - GA Exp'!BC396</f>
        <v>0</v>
      </c>
    </row>
    <row r="397" spans="1:59">
      <c r="A397" s="12" t="s">
        <v>668</v>
      </c>
      <c r="B397" s="12"/>
      <c r="C397" s="12" t="s">
        <v>63</v>
      </c>
      <c r="D397" s="12"/>
      <c r="E397" s="32">
        <v>50047</v>
      </c>
      <c r="G397" s="8">
        <v>18341443</v>
      </c>
      <c r="H397" s="8"/>
      <c r="I397" s="8">
        <v>4765679</v>
      </c>
      <c r="J397" s="8"/>
      <c r="K397" s="8">
        <v>382247</v>
      </c>
      <c r="L397" s="8"/>
      <c r="M397" s="8">
        <v>644108</v>
      </c>
      <c r="N397" s="8"/>
      <c r="O397" s="8">
        <v>3736451</v>
      </c>
      <c r="P397" s="8"/>
      <c r="Q397" s="8">
        <v>1294769</v>
      </c>
      <c r="R397" s="8"/>
      <c r="S397" s="8">
        <v>86547</v>
      </c>
      <c r="T397" s="8"/>
      <c r="U397" s="8">
        <v>2760485</v>
      </c>
      <c r="V397" s="8"/>
      <c r="W397" s="8">
        <v>1113388</v>
      </c>
      <c r="X397" s="8"/>
      <c r="Y397" s="8">
        <v>285569</v>
      </c>
      <c r="Z397" s="8"/>
      <c r="AA397" s="8">
        <v>5162153</v>
      </c>
      <c r="AB397" s="8"/>
      <c r="AC397" s="8">
        <v>2684699</v>
      </c>
      <c r="AD397" s="8"/>
      <c r="AE397" s="8">
        <v>173619</v>
      </c>
      <c r="AF397" s="138"/>
      <c r="AG397" s="12" t="s">
        <v>668</v>
      </c>
      <c r="AH397" s="12"/>
      <c r="AI397" s="12" t="s">
        <v>63</v>
      </c>
      <c r="AJ397" s="12"/>
      <c r="AK397" s="8">
        <v>1501302</v>
      </c>
      <c r="AL397" s="8"/>
      <c r="AM397" s="8">
        <v>719252</v>
      </c>
      <c r="AN397" s="8"/>
      <c r="AO397" s="8">
        <v>1528821</v>
      </c>
      <c r="AP397" s="8"/>
      <c r="AQ397" s="8">
        <v>1699038</v>
      </c>
      <c r="AR397" s="8"/>
      <c r="AS397" s="8"/>
      <c r="AT397" s="8"/>
      <c r="AU397" s="8">
        <v>0</v>
      </c>
      <c r="AV397" s="8"/>
      <c r="AW397" s="8">
        <f t="shared" si="22"/>
        <v>46879570</v>
      </c>
      <c r="AY397" s="8">
        <f>+'St of Activites - GA Rev'!AI396-'St of Activities - GA Exp'!AW397</f>
        <v>-386248</v>
      </c>
      <c r="BA397" s="8">
        <v>14704987</v>
      </c>
      <c r="BC397" s="8">
        <f t="shared" si="21"/>
        <v>14318739</v>
      </c>
      <c r="BE397" s="8">
        <f>+'St of Net Assets - GA'!AA397-'St of Activities - GA Exp'!BC397</f>
        <v>0</v>
      </c>
    </row>
    <row r="398" spans="1:59">
      <c r="A398" s="12" t="s">
        <v>735</v>
      </c>
      <c r="B398" s="12"/>
      <c r="C398" s="12" t="s">
        <v>72</v>
      </c>
      <c r="D398" s="12"/>
      <c r="E398" s="32">
        <v>50708</v>
      </c>
      <c r="G398" s="8">
        <v>2853453</v>
      </c>
      <c r="H398" s="8"/>
      <c r="I398" s="8">
        <v>1323695</v>
      </c>
      <c r="J398" s="8"/>
      <c r="K398" s="8">
        <v>0</v>
      </c>
      <c r="L398" s="8"/>
      <c r="M398" s="8">
        <v>713935</v>
      </c>
      <c r="N398" s="8"/>
      <c r="O398" s="8">
        <v>200623</v>
      </c>
      <c r="P398" s="8"/>
      <c r="Q398" s="8">
        <v>406484</v>
      </c>
      <c r="R398" s="8"/>
      <c r="S398" s="8">
        <v>105638</v>
      </c>
      <c r="T398" s="8"/>
      <c r="U398" s="8">
        <v>648564</v>
      </c>
      <c r="V398" s="8"/>
      <c r="W398" s="8">
        <v>274131</v>
      </c>
      <c r="X398" s="8"/>
      <c r="Y398" s="8">
        <v>0</v>
      </c>
      <c r="Z398" s="8"/>
      <c r="AA398" s="8">
        <v>760673</v>
      </c>
      <c r="AB398" s="8"/>
      <c r="AC398" s="8">
        <v>234291</v>
      </c>
      <c r="AD398" s="8"/>
      <c r="AE398" s="8">
        <v>0</v>
      </c>
      <c r="AF398" s="138"/>
      <c r="AG398" s="12" t="s">
        <v>735</v>
      </c>
      <c r="AH398" s="12"/>
      <c r="AI398" s="12" t="s">
        <v>72</v>
      </c>
      <c r="AJ398" s="12"/>
      <c r="AK398" s="8">
        <v>245908</v>
      </c>
      <c r="AL398" s="8"/>
      <c r="AM398" s="8">
        <v>0</v>
      </c>
      <c r="AN398" s="8"/>
      <c r="AO398" s="8">
        <v>270601</v>
      </c>
      <c r="AP398" s="8"/>
      <c r="AQ398" s="8">
        <v>64460</v>
      </c>
      <c r="AR398" s="8"/>
      <c r="AS398" s="8"/>
      <c r="AT398" s="8"/>
      <c r="AU398" s="8">
        <v>0</v>
      </c>
      <c r="AV398" s="8"/>
      <c r="AW398" s="8">
        <f t="shared" si="22"/>
        <v>8102456</v>
      </c>
      <c r="AY398" s="8">
        <f>+'St of Activites - GA Rev'!AI397-'St of Activities - GA Exp'!AW398</f>
        <v>114238</v>
      </c>
      <c r="BA398" s="8">
        <v>1758707</v>
      </c>
      <c r="BC398" s="8">
        <f t="shared" si="21"/>
        <v>1872945</v>
      </c>
      <c r="BE398" s="8">
        <f>+'St of Net Assets - GA'!AA398-'St of Activities - GA Exp'!BC398</f>
        <v>-2214</v>
      </c>
      <c r="BG398" s="10" t="s">
        <v>959</v>
      </c>
    </row>
    <row r="399" spans="1:59" ht="12" hidden="1" customHeight="1">
      <c r="A399" s="12" t="s">
        <v>574</v>
      </c>
      <c r="B399" s="12"/>
      <c r="C399" s="12" t="s">
        <v>53</v>
      </c>
      <c r="D399" s="12"/>
      <c r="E399" s="32">
        <v>48967</v>
      </c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138"/>
      <c r="AG399" s="12" t="s">
        <v>574</v>
      </c>
      <c r="AH399" s="12"/>
      <c r="AI399" s="12" t="s">
        <v>53</v>
      </c>
      <c r="AJ399" s="12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>
        <f t="shared" si="22"/>
        <v>0</v>
      </c>
      <c r="AY399" s="8">
        <f>+'St of Activites - GA Rev'!AI398-'St of Activities - GA Exp'!AW399</f>
        <v>0</v>
      </c>
      <c r="BC399" s="8">
        <f t="shared" si="21"/>
        <v>0</v>
      </c>
      <c r="BE399" s="8">
        <f>+'St of Net Assets - GA'!AA399-'St of Activities - GA Exp'!BC399</f>
        <v>0</v>
      </c>
    </row>
    <row r="400" spans="1:59">
      <c r="A400" s="12" t="s">
        <v>658</v>
      </c>
      <c r="B400" s="12"/>
      <c r="C400" s="12" t="s">
        <v>62</v>
      </c>
      <c r="D400" s="12"/>
      <c r="E400" s="32">
        <v>44503</v>
      </c>
      <c r="G400" s="8">
        <v>20402969</v>
      </c>
      <c r="H400" s="8"/>
      <c r="I400" s="8">
        <v>3359210</v>
      </c>
      <c r="J400" s="8"/>
      <c r="K400" s="8">
        <v>1769512</v>
      </c>
      <c r="L400" s="8"/>
      <c r="M400" s="8">
        <f>44863+138557</f>
        <v>183420</v>
      </c>
      <c r="N400" s="8"/>
      <c r="O400" s="8">
        <v>2490617</v>
      </c>
      <c r="P400" s="8"/>
      <c r="Q400" s="8">
        <v>2606453</v>
      </c>
      <c r="R400" s="8"/>
      <c r="S400" s="8">
        <v>22490</v>
      </c>
      <c r="T400" s="8"/>
      <c r="U400" s="8">
        <v>3370207</v>
      </c>
      <c r="V400" s="8"/>
      <c r="W400" s="8">
        <v>967170</v>
      </c>
      <c r="X400" s="8"/>
      <c r="Y400" s="8">
        <v>32609</v>
      </c>
      <c r="Z400" s="8"/>
      <c r="AA400" s="8">
        <v>4121057</v>
      </c>
      <c r="AB400" s="8"/>
      <c r="AC400" s="8">
        <v>2841987</v>
      </c>
      <c r="AD400" s="8"/>
      <c r="AE400" s="8">
        <v>372835</v>
      </c>
      <c r="AF400" s="138"/>
      <c r="AG400" s="12" t="s">
        <v>658</v>
      </c>
      <c r="AH400" s="12"/>
      <c r="AI400" s="12" t="s">
        <v>62</v>
      </c>
      <c r="AJ400" s="12"/>
      <c r="AK400" s="8">
        <v>1537505</v>
      </c>
      <c r="AL400" s="8"/>
      <c r="AM400" s="8">
        <v>307485</v>
      </c>
      <c r="AN400" s="8"/>
      <c r="AO400" s="8">
        <v>1241542</v>
      </c>
      <c r="AP400" s="8"/>
      <c r="AQ400" s="8">
        <v>1201792</v>
      </c>
      <c r="AR400" s="8"/>
      <c r="AS400" s="8"/>
      <c r="AT400" s="8"/>
      <c r="AU400" s="8">
        <v>0</v>
      </c>
      <c r="AV400" s="8"/>
      <c r="AW400" s="8">
        <f t="shared" si="22"/>
        <v>46828860</v>
      </c>
      <c r="AY400" s="8">
        <f>+'St of Activites - GA Rev'!AI399-'St of Activities - GA Exp'!AW400</f>
        <v>-601181</v>
      </c>
      <c r="BA400" s="8">
        <v>3756952</v>
      </c>
      <c r="BC400" s="8">
        <f t="shared" si="21"/>
        <v>3155771</v>
      </c>
      <c r="BE400" s="8">
        <f>+'St of Net Assets - GA'!AA400-'St of Activities - GA Exp'!BC400</f>
        <v>0</v>
      </c>
    </row>
    <row r="401" spans="1:57" hidden="1">
      <c r="A401" s="12" t="s">
        <v>722</v>
      </c>
      <c r="B401" s="12"/>
      <c r="C401" s="12" t="s">
        <v>727</v>
      </c>
      <c r="D401" s="12"/>
      <c r="E401" s="32">
        <v>50641</v>
      </c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138"/>
      <c r="AG401" s="12" t="s">
        <v>722</v>
      </c>
      <c r="AH401" s="12"/>
      <c r="AI401" s="12" t="s">
        <v>727</v>
      </c>
      <c r="AJ401" s="12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>
        <f t="shared" si="22"/>
        <v>0</v>
      </c>
      <c r="AY401" s="8">
        <f>+'St of Activites - GA Rev'!AI400-'St of Activities - GA Exp'!AW401</f>
        <v>0</v>
      </c>
      <c r="BC401" s="8">
        <f t="shared" si="21"/>
        <v>0</v>
      </c>
      <c r="BE401" s="8">
        <f>+'St of Net Assets - GA'!AA401-'St of Activities - GA Exp'!BC401</f>
        <v>0</v>
      </c>
    </row>
    <row r="402" spans="1:57" ht="12" customHeight="1">
      <c r="A402" s="12" t="s">
        <v>401</v>
      </c>
      <c r="B402" s="12"/>
      <c r="C402" s="12" t="s">
        <v>32</v>
      </c>
      <c r="D402" s="12"/>
      <c r="E402" s="32">
        <v>44511</v>
      </c>
      <c r="G402" s="8">
        <v>6079211</v>
      </c>
      <c r="H402" s="8"/>
      <c r="I402" s="8">
        <v>2254952</v>
      </c>
      <c r="J402" s="8"/>
      <c r="K402" s="8">
        <v>45183</v>
      </c>
      <c r="L402" s="8"/>
      <c r="M402" s="8">
        <f>711969+34884+10347</f>
        <v>757200</v>
      </c>
      <c r="N402" s="8"/>
      <c r="O402" s="8">
        <v>1043785</v>
      </c>
      <c r="P402" s="8"/>
      <c r="Q402" s="8">
        <v>1413918</v>
      </c>
      <c r="R402" s="8"/>
      <c r="S402" s="8">
        <v>45948</v>
      </c>
      <c r="T402" s="8"/>
      <c r="U402" s="8">
        <v>1016321</v>
      </c>
      <c r="V402" s="8"/>
      <c r="W402" s="8">
        <v>307880</v>
      </c>
      <c r="X402" s="8"/>
      <c r="Y402" s="8">
        <v>5645</v>
      </c>
      <c r="Z402" s="8"/>
      <c r="AA402" s="8">
        <v>1806056</v>
      </c>
      <c r="AB402" s="8"/>
      <c r="AC402" s="8">
        <v>253921</v>
      </c>
      <c r="AD402" s="8"/>
      <c r="AE402" s="8">
        <v>83685</v>
      </c>
      <c r="AF402" s="138"/>
      <c r="AG402" s="12" t="s">
        <v>401</v>
      </c>
      <c r="AH402" s="12"/>
      <c r="AI402" s="12" t="s">
        <v>32</v>
      </c>
      <c r="AJ402" s="12"/>
      <c r="AK402" s="8">
        <v>0</v>
      </c>
      <c r="AL402" s="8"/>
      <c r="AM402" s="8">
        <v>840519</v>
      </c>
      <c r="AN402" s="8"/>
      <c r="AO402" s="8">
        <v>353669</v>
      </c>
      <c r="AP402" s="8"/>
      <c r="AQ402" s="8">
        <v>433884</v>
      </c>
      <c r="AR402" s="8"/>
      <c r="AS402" s="8"/>
      <c r="AT402" s="8"/>
      <c r="AU402" s="8">
        <v>0</v>
      </c>
      <c r="AV402" s="8"/>
      <c r="AW402" s="8">
        <f t="shared" si="22"/>
        <v>16741777</v>
      </c>
      <c r="AY402" s="8">
        <f>+'St of Activites - GA Rev'!AI401-'St of Activities - GA Exp'!AW402</f>
        <v>11552984</v>
      </c>
      <c r="BA402" s="8">
        <v>8925499</v>
      </c>
      <c r="BC402" s="8">
        <f t="shared" si="21"/>
        <v>20478483</v>
      </c>
      <c r="BE402" s="8">
        <f>+'St of Net Assets - GA'!AA402-'St of Activities - GA Exp'!BC402</f>
        <v>0</v>
      </c>
    </row>
    <row r="403" spans="1:57">
      <c r="A403" s="12" t="s">
        <v>479</v>
      </c>
      <c r="B403" s="12"/>
      <c r="C403" s="12" t="s">
        <v>42</v>
      </c>
      <c r="D403" s="12"/>
      <c r="E403" s="32">
        <v>48025</v>
      </c>
      <c r="G403" s="8">
        <v>6166119</v>
      </c>
      <c r="H403" s="8"/>
      <c r="I403" s="8">
        <v>2970403</v>
      </c>
      <c r="J403" s="8"/>
      <c r="K403" s="8">
        <v>309078</v>
      </c>
      <c r="L403" s="8"/>
      <c r="M403" s="8">
        <v>263311</v>
      </c>
      <c r="N403" s="8"/>
      <c r="O403" s="8">
        <v>1408511</v>
      </c>
      <c r="P403" s="8"/>
      <c r="Q403" s="8">
        <v>260539</v>
      </c>
      <c r="R403" s="8"/>
      <c r="S403" s="8">
        <v>31433</v>
      </c>
      <c r="T403" s="8"/>
      <c r="U403" s="8">
        <v>1328640</v>
      </c>
      <c r="V403" s="8"/>
      <c r="W403" s="8">
        <v>477277</v>
      </c>
      <c r="X403" s="8"/>
      <c r="Y403" s="8">
        <v>0</v>
      </c>
      <c r="Z403" s="8"/>
      <c r="AA403" s="8">
        <v>1889488</v>
      </c>
      <c r="AB403" s="8"/>
      <c r="AC403" s="8">
        <v>1442030</v>
      </c>
      <c r="AD403" s="8"/>
      <c r="AE403" s="8">
        <v>368649</v>
      </c>
      <c r="AF403" s="138"/>
      <c r="AG403" s="12" t="s">
        <v>479</v>
      </c>
      <c r="AH403" s="12"/>
      <c r="AI403" s="12" t="s">
        <v>42</v>
      </c>
      <c r="AJ403" s="12"/>
      <c r="AK403" s="8">
        <v>865848</v>
      </c>
      <c r="AL403" s="8"/>
      <c r="AM403" s="8">
        <v>0</v>
      </c>
      <c r="AN403" s="8"/>
      <c r="AO403" s="8">
        <v>817144</v>
      </c>
      <c r="AP403" s="8"/>
      <c r="AQ403" s="8">
        <v>440569</v>
      </c>
      <c r="AR403" s="8"/>
      <c r="AS403" s="8"/>
      <c r="AT403" s="8"/>
      <c r="AU403" s="8">
        <v>0</v>
      </c>
      <c r="AV403" s="8"/>
      <c r="AW403" s="8">
        <f t="shared" si="22"/>
        <v>19039039</v>
      </c>
      <c r="AY403" s="8">
        <f>+'St of Activites - GA Rev'!AI402-'St of Activities - GA Exp'!AW403</f>
        <v>-743536</v>
      </c>
      <c r="BA403" s="8">
        <v>27375844</v>
      </c>
      <c r="BC403" s="8">
        <f t="shared" si="21"/>
        <v>26632308</v>
      </c>
      <c r="BE403" s="8">
        <f>+'St of Net Assets - GA'!AA403-'St of Activities - GA Exp'!BC403</f>
        <v>0</v>
      </c>
    </row>
    <row r="404" spans="1:57" ht="12" customHeight="1">
      <c r="A404" s="12" t="s">
        <v>313</v>
      </c>
      <c r="B404" s="12"/>
      <c r="C404" s="12" t="s">
        <v>20</v>
      </c>
      <c r="D404" s="12"/>
      <c r="E404" s="32">
        <v>44529</v>
      </c>
      <c r="G404" s="8">
        <v>23652717</v>
      </c>
      <c r="H404" s="8"/>
      <c r="I404" s="8">
        <v>7123538</v>
      </c>
      <c r="J404" s="8"/>
      <c r="K404" s="8">
        <v>417734</v>
      </c>
      <c r="L404" s="8"/>
      <c r="M404" s="8">
        <f>8101+334122</f>
        <v>342223</v>
      </c>
      <c r="N404" s="8"/>
      <c r="O404" s="8">
        <v>4411393</v>
      </c>
      <c r="P404" s="8"/>
      <c r="Q404" s="8">
        <v>1332384</v>
      </c>
      <c r="R404" s="8"/>
      <c r="S404" s="8">
        <v>248137</v>
      </c>
      <c r="T404" s="8"/>
      <c r="U404" s="8">
        <v>4075728</v>
      </c>
      <c r="V404" s="8"/>
      <c r="W404" s="8">
        <v>1082243</v>
      </c>
      <c r="X404" s="8"/>
      <c r="Y404" s="8">
        <v>141211</v>
      </c>
      <c r="Z404" s="8"/>
      <c r="AA404" s="8">
        <v>4906171</v>
      </c>
      <c r="AB404" s="8"/>
      <c r="AC404" s="8">
        <v>2451920</v>
      </c>
      <c r="AD404" s="8"/>
      <c r="AE404" s="8">
        <v>1243114</v>
      </c>
      <c r="AF404" s="138"/>
      <c r="AG404" s="12" t="s">
        <v>313</v>
      </c>
      <c r="AH404" s="12"/>
      <c r="AI404" s="12" t="s">
        <v>20</v>
      </c>
      <c r="AJ404" s="12"/>
      <c r="AK404" s="8">
        <v>1520884</v>
      </c>
      <c r="AL404" s="8"/>
      <c r="AM404" s="8">
        <v>449194</v>
      </c>
      <c r="AN404" s="8"/>
      <c r="AO404" s="8">
        <v>1663067</v>
      </c>
      <c r="AP404" s="8"/>
      <c r="AQ404" s="8">
        <v>22413</v>
      </c>
      <c r="AR404" s="8"/>
      <c r="AS404" s="8"/>
      <c r="AT404" s="8"/>
      <c r="AU404" s="8">
        <v>0</v>
      </c>
      <c r="AV404" s="8"/>
      <c r="AW404" s="8">
        <f t="shared" si="22"/>
        <v>55084071</v>
      </c>
      <c r="AY404" s="8">
        <f>+'St of Activites - GA Rev'!AI403-'St of Activities - GA Exp'!AW404</f>
        <v>-2315626</v>
      </c>
      <c r="BA404" s="8">
        <v>25523384</v>
      </c>
      <c r="BC404" s="8">
        <f t="shared" si="21"/>
        <v>23207758</v>
      </c>
      <c r="BE404" s="8">
        <f>+'St of Net Assets - GA'!AA404-'St of Activities - GA Exp'!BC404</f>
        <v>0</v>
      </c>
    </row>
    <row r="405" spans="1:57" s="35" customFormat="1">
      <c r="A405" s="34" t="s">
        <v>492</v>
      </c>
      <c r="B405" s="34"/>
      <c r="C405" s="34" t="s">
        <v>44</v>
      </c>
      <c r="D405" s="34"/>
      <c r="E405" s="34">
        <v>44537</v>
      </c>
      <c r="G405" s="8">
        <v>14918937</v>
      </c>
      <c r="H405" s="8"/>
      <c r="I405" s="8">
        <v>4296050</v>
      </c>
      <c r="J405" s="8"/>
      <c r="K405" s="8">
        <v>331312</v>
      </c>
      <c r="L405" s="8"/>
      <c r="M405" s="8">
        <v>1076261</v>
      </c>
      <c r="N405" s="8"/>
      <c r="O405" s="8">
        <v>1751588</v>
      </c>
      <c r="P405" s="8"/>
      <c r="Q405" s="8">
        <v>2696766</v>
      </c>
      <c r="R405" s="8"/>
      <c r="S405" s="8">
        <v>87447</v>
      </c>
      <c r="T405" s="8"/>
      <c r="U405" s="8">
        <v>2207492</v>
      </c>
      <c r="V405" s="8"/>
      <c r="W405" s="8">
        <v>735038</v>
      </c>
      <c r="X405" s="8"/>
      <c r="Y405" s="8">
        <v>267577</v>
      </c>
      <c r="Z405" s="8"/>
      <c r="AA405" s="8">
        <v>3065138</v>
      </c>
      <c r="AB405" s="8"/>
      <c r="AC405" s="8">
        <v>2328188</v>
      </c>
      <c r="AD405" s="8"/>
      <c r="AE405" s="8">
        <v>60837</v>
      </c>
      <c r="AF405" s="139"/>
      <c r="AG405" s="34" t="s">
        <v>492</v>
      </c>
      <c r="AH405" s="34"/>
      <c r="AI405" s="34" t="s">
        <v>44</v>
      </c>
      <c r="AJ405" s="34"/>
      <c r="AK405" s="8">
        <v>1115919</v>
      </c>
      <c r="AL405" s="8"/>
      <c r="AM405" s="8">
        <v>579679</v>
      </c>
      <c r="AN405" s="8"/>
      <c r="AO405" s="8">
        <v>769471</v>
      </c>
      <c r="AP405" s="8"/>
      <c r="AQ405" s="8">
        <v>308459</v>
      </c>
      <c r="AR405" s="8"/>
      <c r="AS405" s="8"/>
      <c r="AT405" s="8"/>
      <c r="AU405" s="8">
        <v>0</v>
      </c>
      <c r="AV405" s="8"/>
      <c r="AW405" s="8">
        <f t="shared" si="22"/>
        <v>36596159</v>
      </c>
      <c r="AX405" s="8"/>
      <c r="AY405" s="8">
        <f>+'St of Activites - GA Rev'!AI404-'St of Activities - GA Exp'!AW405</f>
        <v>-3043067</v>
      </c>
      <c r="AZ405" s="8"/>
      <c r="BA405" s="8">
        <v>17476283</v>
      </c>
      <c r="BB405" s="8"/>
      <c r="BC405" s="8">
        <f t="shared" si="21"/>
        <v>14433216</v>
      </c>
      <c r="BE405" s="35">
        <f>+'St of Net Assets - GA'!AA405-'St of Activities - GA Exp'!BC405</f>
        <v>0</v>
      </c>
    </row>
    <row r="406" spans="1:57">
      <c r="A406" s="12" t="s">
        <v>314</v>
      </c>
      <c r="B406" s="12"/>
      <c r="C406" s="12" t="s">
        <v>20</v>
      </c>
      <c r="D406" s="12"/>
      <c r="E406" s="32">
        <v>44545</v>
      </c>
      <c r="G406" s="8">
        <v>22398158</v>
      </c>
      <c r="H406" s="8"/>
      <c r="I406" s="8">
        <v>4129027</v>
      </c>
      <c r="J406" s="8"/>
      <c r="K406" s="8">
        <v>193977</v>
      </c>
      <c r="L406" s="8"/>
      <c r="M406" s="8">
        <v>1672402</v>
      </c>
      <c r="N406" s="8"/>
      <c r="O406" s="8">
        <v>2611154</v>
      </c>
      <c r="P406" s="8"/>
      <c r="Q406" s="8">
        <v>2295479</v>
      </c>
      <c r="R406" s="8"/>
      <c r="S406" s="8">
        <v>27253</v>
      </c>
      <c r="T406" s="8"/>
      <c r="U406" s="8">
        <v>3431405</v>
      </c>
      <c r="V406" s="8"/>
      <c r="W406" s="8">
        <v>1093106</v>
      </c>
      <c r="X406" s="8"/>
      <c r="Y406" s="8">
        <v>339281</v>
      </c>
      <c r="Z406" s="8"/>
      <c r="AA406" s="8">
        <v>3816336</v>
      </c>
      <c r="AB406" s="8"/>
      <c r="AC406" s="8">
        <v>3093446</v>
      </c>
      <c r="AD406" s="8"/>
      <c r="AE406" s="8">
        <v>613370</v>
      </c>
      <c r="AF406" s="138"/>
      <c r="AG406" s="12" t="s">
        <v>314</v>
      </c>
      <c r="AH406" s="12"/>
      <c r="AI406" s="12" t="s">
        <v>20</v>
      </c>
      <c r="AJ406" s="12"/>
      <c r="AK406" s="8">
        <v>1442093</v>
      </c>
      <c r="AL406" s="8"/>
      <c r="AM406" s="8">
        <v>733812</v>
      </c>
      <c r="AN406" s="8"/>
      <c r="AO406" s="8">
        <v>976880</v>
      </c>
      <c r="AP406" s="8"/>
      <c r="AQ406" s="8">
        <v>1122733</v>
      </c>
      <c r="AR406" s="8"/>
      <c r="AS406" s="8">
        <v>0</v>
      </c>
      <c r="AT406" s="8"/>
      <c r="AU406" s="8">
        <v>0</v>
      </c>
      <c r="AV406" s="8"/>
      <c r="AW406" s="8">
        <f t="shared" si="22"/>
        <v>49989912</v>
      </c>
      <c r="AY406" s="8">
        <f>+'St of Activites - GA Rev'!AI405-'St of Activities - GA Exp'!AW406</f>
        <v>-233480</v>
      </c>
      <c r="BA406" s="8">
        <v>17432518</v>
      </c>
      <c r="BC406" s="8">
        <f t="shared" si="21"/>
        <v>17199038</v>
      </c>
      <c r="BE406" s="8">
        <f>+'St of Net Assets - GA'!AA406-'St of Activities - GA Exp'!BC406</f>
        <v>0</v>
      </c>
    </row>
    <row r="407" spans="1:57">
      <c r="A407" s="12" t="s">
        <v>704</v>
      </c>
      <c r="B407" s="12"/>
      <c r="C407" s="12" t="s">
        <v>66</v>
      </c>
      <c r="D407" s="12"/>
      <c r="E407" s="32">
        <v>50336</v>
      </c>
      <c r="G407" s="8">
        <v>6872194</v>
      </c>
      <c r="H407" s="8"/>
      <c r="I407" s="8">
        <v>1544659</v>
      </c>
      <c r="J407" s="8"/>
      <c r="K407" s="8">
        <v>749287</v>
      </c>
      <c r="L407" s="8"/>
      <c r="M407" s="8">
        <v>0</v>
      </c>
      <c r="N407" s="8"/>
      <c r="O407" s="8">
        <v>595217</v>
      </c>
      <c r="P407" s="8"/>
      <c r="Q407" s="8">
        <v>906368</v>
      </c>
      <c r="R407" s="8"/>
      <c r="S407" s="8">
        <v>58502</v>
      </c>
      <c r="T407" s="8"/>
      <c r="U407" s="8">
        <v>1088926</v>
      </c>
      <c r="V407" s="8"/>
      <c r="W407" s="8">
        <v>450528</v>
      </c>
      <c r="X407" s="8"/>
      <c r="Y407" s="8">
        <v>0</v>
      </c>
      <c r="Z407" s="8"/>
      <c r="AA407" s="8">
        <v>1821057</v>
      </c>
      <c r="AB407" s="8"/>
      <c r="AC407" s="8">
        <v>942527</v>
      </c>
      <c r="AD407" s="8"/>
      <c r="AE407" s="8">
        <v>22906</v>
      </c>
      <c r="AF407" s="138"/>
      <c r="AG407" s="12" t="s">
        <v>704</v>
      </c>
      <c r="AH407" s="12"/>
      <c r="AI407" s="12" t="s">
        <v>66</v>
      </c>
      <c r="AJ407" s="12"/>
      <c r="AK407" s="8">
        <v>0</v>
      </c>
      <c r="AL407" s="8"/>
      <c r="AM407" s="8">
        <v>650829</v>
      </c>
      <c r="AN407" s="8"/>
      <c r="AO407" s="8">
        <v>315255</v>
      </c>
      <c r="AP407" s="8"/>
      <c r="AQ407" s="8">
        <v>510558</v>
      </c>
      <c r="AR407" s="8"/>
      <c r="AS407" s="8">
        <v>0</v>
      </c>
      <c r="AT407" s="8"/>
      <c r="AU407" s="8">
        <v>0</v>
      </c>
      <c r="AV407" s="8"/>
      <c r="AW407" s="8">
        <f t="shared" si="22"/>
        <v>16528813</v>
      </c>
      <c r="AY407" s="8">
        <f>+'St of Activites - GA Rev'!AI406-'St of Activities - GA Exp'!AW407</f>
        <v>833302</v>
      </c>
      <c r="BA407" s="8">
        <v>38456398</v>
      </c>
      <c r="BC407" s="8">
        <f t="shared" si="21"/>
        <v>39289700</v>
      </c>
      <c r="BE407" s="8">
        <f>+'St of Net Assets - GA'!AA407-'St of Activities - GA Exp'!BC407</f>
        <v>0</v>
      </c>
    </row>
    <row r="408" spans="1:57">
      <c r="A408" s="12" t="s">
        <v>262</v>
      </c>
      <c r="B408" s="12"/>
      <c r="C408" s="12" t="s">
        <v>17</v>
      </c>
      <c r="D408" s="12"/>
      <c r="E408" s="32">
        <v>46250</v>
      </c>
      <c r="G408" s="8">
        <v>14341718</v>
      </c>
      <c r="H408" s="8"/>
      <c r="I408" s="8">
        <v>2965675</v>
      </c>
      <c r="J408" s="8"/>
      <c r="K408" s="8">
        <v>897566</v>
      </c>
      <c r="L408" s="8"/>
      <c r="M408" s="8">
        <f>41989+12096</f>
        <v>54085</v>
      </c>
      <c r="N408" s="8"/>
      <c r="O408" s="8">
        <v>1704572</v>
      </c>
      <c r="P408" s="8"/>
      <c r="Q408" s="8">
        <v>1673594</v>
      </c>
      <c r="R408" s="8"/>
      <c r="S408" s="8">
        <v>60841</v>
      </c>
      <c r="T408" s="8"/>
      <c r="U408" s="8">
        <v>2739611</v>
      </c>
      <c r="V408" s="8"/>
      <c r="W408" s="8">
        <v>665450</v>
      </c>
      <c r="X408" s="8"/>
      <c r="Y408" s="8">
        <v>0</v>
      </c>
      <c r="Z408" s="8"/>
      <c r="AA408" s="8">
        <v>2734986</v>
      </c>
      <c r="AB408" s="8"/>
      <c r="AC408" s="8">
        <v>1868592</v>
      </c>
      <c r="AD408" s="8"/>
      <c r="AE408" s="8">
        <v>10193</v>
      </c>
      <c r="AF408" s="138"/>
      <c r="AG408" s="12" t="s">
        <v>262</v>
      </c>
      <c r="AH408" s="12"/>
      <c r="AI408" s="12" t="s">
        <v>17</v>
      </c>
      <c r="AJ408" s="12"/>
      <c r="AK408" s="8">
        <v>0</v>
      </c>
      <c r="AL408" s="8"/>
      <c r="AM408" s="8">
        <v>1635850</v>
      </c>
      <c r="AN408" s="8"/>
      <c r="AO408" s="8">
        <v>1047659</v>
      </c>
      <c r="AP408" s="8"/>
      <c r="AQ408" s="8">
        <v>243088</v>
      </c>
      <c r="AR408" s="8"/>
      <c r="AS408" s="8">
        <v>0</v>
      </c>
      <c r="AT408" s="8"/>
      <c r="AU408" s="8">
        <v>0</v>
      </c>
      <c r="AV408" s="8"/>
      <c r="AW408" s="8">
        <f t="shared" si="22"/>
        <v>32643480</v>
      </c>
      <c r="AY408" s="8">
        <f>+'St of Activites - GA Rev'!AI407-'St of Activities - GA Exp'!AW408</f>
        <v>1314364</v>
      </c>
      <c r="BA408" s="8">
        <v>21023904</v>
      </c>
      <c r="BC408" s="8">
        <f t="shared" si="21"/>
        <v>22338268</v>
      </c>
      <c r="BE408" s="8">
        <f>+'St of Net Assets - GA'!AA408-'St of Activities - GA Exp'!BC408</f>
        <v>0</v>
      </c>
    </row>
    <row r="409" spans="1:57" hidden="1">
      <c r="A409" s="12" t="s">
        <v>262</v>
      </c>
      <c r="B409" s="12"/>
      <c r="C409" s="12" t="s">
        <v>22</v>
      </c>
      <c r="D409" s="12"/>
      <c r="E409" s="32">
        <v>46722</v>
      </c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138"/>
      <c r="AG409" s="12" t="s">
        <v>262</v>
      </c>
      <c r="AH409" s="12"/>
      <c r="AI409" s="12" t="s">
        <v>22</v>
      </c>
      <c r="AJ409" s="12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>
        <f t="shared" si="20"/>
        <v>0</v>
      </c>
      <c r="AY409" s="8">
        <f>+'St of Activites - GA Rev'!AI408-'St of Activities - GA Exp'!AW409</f>
        <v>0</v>
      </c>
      <c r="BC409" s="8">
        <f t="shared" si="21"/>
        <v>0</v>
      </c>
      <c r="BE409" s="8">
        <f>+'St of Net Assets - GA'!AA409-'St of Activities - GA Exp'!BC409</f>
        <v>0</v>
      </c>
    </row>
    <row r="410" spans="1:57" ht="12" customHeight="1">
      <c r="A410" s="12" t="s">
        <v>553</v>
      </c>
      <c r="B410" s="12"/>
      <c r="C410" s="12" t="s">
        <v>50</v>
      </c>
      <c r="D410" s="12"/>
      <c r="E410" s="32">
        <v>48728</v>
      </c>
      <c r="G410" s="8">
        <v>25155452</v>
      </c>
      <c r="H410" s="8"/>
      <c r="I410" s="8">
        <v>10454549</v>
      </c>
      <c r="J410" s="8"/>
      <c r="K410" s="8">
        <v>289347</v>
      </c>
      <c r="L410" s="8"/>
      <c r="M410" s="8">
        <v>25699</v>
      </c>
      <c r="N410" s="8"/>
      <c r="O410" s="8">
        <v>3951577</v>
      </c>
      <c r="P410" s="8"/>
      <c r="Q410" s="8">
        <v>535779</v>
      </c>
      <c r="R410" s="8"/>
      <c r="S410" s="8">
        <v>117772</v>
      </c>
      <c r="T410" s="8"/>
      <c r="U410" s="8">
        <v>3346418</v>
      </c>
      <c r="V410" s="8"/>
      <c r="W410" s="8">
        <v>1028529</v>
      </c>
      <c r="X410" s="8"/>
      <c r="Y410" s="8">
        <v>432094</v>
      </c>
      <c r="Z410" s="8"/>
      <c r="AA410" s="8">
        <v>3903643</v>
      </c>
      <c r="AB410" s="8"/>
      <c r="AC410" s="8">
        <v>2126754</v>
      </c>
      <c r="AD410" s="8"/>
      <c r="AE410" s="8">
        <v>356690</v>
      </c>
      <c r="AF410" s="138"/>
      <c r="AG410" s="12" t="s">
        <v>553</v>
      </c>
      <c r="AH410" s="12"/>
      <c r="AI410" s="12" t="s">
        <v>50</v>
      </c>
      <c r="AJ410" s="12"/>
      <c r="AK410" s="8">
        <v>0</v>
      </c>
      <c r="AL410" s="8"/>
      <c r="AM410" s="8">
        <v>3906456</v>
      </c>
      <c r="AN410" s="8"/>
      <c r="AO410" s="8">
        <v>1227247</v>
      </c>
      <c r="AP410" s="8"/>
      <c r="AQ410" s="8">
        <v>34303</v>
      </c>
      <c r="AR410" s="8"/>
      <c r="AS410" s="8">
        <v>0</v>
      </c>
      <c r="AT410" s="8"/>
      <c r="AU410" s="8">
        <v>0</v>
      </c>
      <c r="AV410" s="8"/>
      <c r="AW410" s="8">
        <f t="shared" si="20"/>
        <v>56892309</v>
      </c>
      <c r="AY410" s="8">
        <f>+'St of Activites - GA Rev'!AI409-'St of Activities - GA Exp'!AW410</f>
        <v>-709841</v>
      </c>
      <c r="BA410" s="8">
        <v>10745209</v>
      </c>
      <c r="BC410" s="8">
        <f>+AY410+BA410</f>
        <v>10035368</v>
      </c>
      <c r="BE410" s="8">
        <f>+'St of Net Assets - GA'!AA410-'St of Activities - GA Exp'!BC410</f>
        <v>0</v>
      </c>
    </row>
    <row r="411" spans="1:57">
      <c r="A411" s="12" t="s">
        <v>562</v>
      </c>
      <c r="B411" s="12"/>
      <c r="C411" s="12" t="s">
        <v>78</v>
      </c>
      <c r="D411" s="12"/>
      <c r="E411" s="32">
        <v>48819</v>
      </c>
      <c r="G411" s="8">
        <v>4698425</v>
      </c>
      <c r="H411" s="8"/>
      <c r="I411" s="8">
        <v>1445879</v>
      </c>
      <c r="J411" s="8"/>
      <c r="K411" s="8">
        <v>269829</v>
      </c>
      <c r="L411" s="8"/>
      <c r="M411" s="8">
        <v>1026558</v>
      </c>
      <c r="N411" s="8"/>
      <c r="O411" s="8">
        <v>364053</v>
      </c>
      <c r="P411" s="8"/>
      <c r="Q411" s="8">
        <v>654899</v>
      </c>
      <c r="R411" s="8"/>
      <c r="S411" s="8">
        <v>35883</v>
      </c>
      <c r="T411" s="8"/>
      <c r="U411" s="8">
        <v>1069384</v>
      </c>
      <c r="V411" s="8"/>
      <c r="W411" s="8">
        <v>446836</v>
      </c>
      <c r="X411" s="8"/>
      <c r="Y411" s="8">
        <v>0</v>
      </c>
      <c r="Z411" s="8"/>
      <c r="AA411" s="8">
        <v>933755</v>
      </c>
      <c r="AB411" s="8"/>
      <c r="AC411" s="8">
        <v>694101</v>
      </c>
      <c r="AD411" s="8"/>
      <c r="AE411" s="8">
        <v>5157</v>
      </c>
      <c r="AF411" s="138"/>
      <c r="AG411" s="12" t="s">
        <v>562</v>
      </c>
      <c r="AH411" s="12"/>
      <c r="AI411" s="12" t="s">
        <v>78</v>
      </c>
      <c r="AJ411" s="12"/>
      <c r="AK411" s="8">
        <v>432889</v>
      </c>
      <c r="AL411" s="8"/>
      <c r="AM411" s="8">
        <v>0</v>
      </c>
      <c r="AN411" s="8"/>
      <c r="AO411" s="8">
        <v>300172</v>
      </c>
      <c r="AP411" s="8"/>
      <c r="AQ411" s="8">
        <v>653200</v>
      </c>
      <c r="AR411" s="8"/>
      <c r="AS411" s="8">
        <v>0</v>
      </c>
      <c r="AT411" s="8"/>
      <c r="AU411" s="8">
        <v>0</v>
      </c>
      <c r="AV411" s="8"/>
      <c r="AW411" s="8">
        <f t="shared" si="20"/>
        <v>13031020</v>
      </c>
      <c r="AY411" s="8">
        <f>+'St of Activites - GA Rev'!AI410-'St of Activities - GA Exp'!AW411</f>
        <v>20131169</v>
      </c>
      <c r="BA411" s="8">
        <v>2531205</v>
      </c>
      <c r="BC411" s="8">
        <f t="shared" si="21"/>
        <v>22662374</v>
      </c>
      <c r="BE411" s="8">
        <f>+'St of Net Assets - GA'!AA411-'St of Activities - GA Exp'!BC411</f>
        <v>0</v>
      </c>
    </row>
    <row r="412" spans="1:57">
      <c r="A412" s="12" t="s">
        <v>480</v>
      </c>
      <c r="B412" s="12"/>
      <c r="C412" s="12" t="s">
        <v>50</v>
      </c>
      <c r="D412" s="12"/>
      <c r="E412" s="32">
        <v>48033</v>
      </c>
      <c r="G412" s="8">
        <v>8924674</v>
      </c>
      <c r="H412" s="8"/>
      <c r="I412" s="8">
        <v>3042752</v>
      </c>
      <c r="J412" s="8"/>
      <c r="K412" s="8">
        <v>216791</v>
      </c>
      <c r="L412" s="8"/>
      <c r="M412" s="8">
        <v>560238</v>
      </c>
      <c r="N412" s="8"/>
      <c r="O412" s="8">
        <v>1584356</v>
      </c>
      <c r="P412" s="8"/>
      <c r="Q412" s="8">
        <v>753272</v>
      </c>
      <c r="R412" s="8"/>
      <c r="S412" s="8">
        <v>27048</v>
      </c>
      <c r="T412" s="8"/>
      <c r="U412" s="8">
        <v>1674211</v>
      </c>
      <c r="V412" s="8"/>
      <c r="W412" s="8">
        <v>396420</v>
      </c>
      <c r="X412" s="8"/>
      <c r="Y412" s="8">
        <v>214543</v>
      </c>
      <c r="Z412" s="8"/>
      <c r="AA412" s="8">
        <v>2138340</v>
      </c>
      <c r="AB412" s="8"/>
      <c r="AC412" s="8">
        <v>1045325</v>
      </c>
      <c r="AD412" s="8"/>
      <c r="AE412" s="8">
        <v>62011</v>
      </c>
      <c r="AF412" s="138"/>
      <c r="AG412" s="12" t="s">
        <v>480</v>
      </c>
      <c r="AH412" s="12"/>
      <c r="AI412" s="12" t="s">
        <v>50</v>
      </c>
      <c r="AJ412" s="12"/>
      <c r="AK412" s="8">
        <v>0</v>
      </c>
      <c r="AL412" s="8"/>
      <c r="AM412" s="8">
        <v>1024452</v>
      </c>
      <c r="AN412" s="8"/>
      <c r="AO412" s="8">
        <v>758857</v>
      </c>
      <c r="AP412" s="8"/>
      <c r="AQ412" s="8">
        <v>348081</v>
      </c>
      <c r="AR412" s="8"/>
      <c r="AS412" s="8">
        <v>0</v>
      </c>
      <c r="AT412" s="8"/>
      <c r="AU412" s="8">
        <v>0</v>
      </c>
      <c r="AV412" s="8"/>
      <c r="AW412" s="8">
        <f t="shared" si="20"/>
        <v>22771371</v>
      </c>
      <c r="AY412" s="8">
        <f>+'St of Activites - GA Rev'!AI411-'St of Activities - GA Exp'!AW412</f>
        <v>436494</v>
      </c>
      <c r="BA412" s="8">
        <v>9708417</v>
      </c>
      <c r="BC412" s="8">
        <f>+AY412+BA412</f>
        <v>10144911</v>
      </c>
      <c r="BE412" s="8">
        <f>+'St of Net Assets - GA'!AA412-'St of Activities - GA Exp'!BC412</f>
        <v>0</v>
      </c>
    </row>
    <row r="413" spans="1:57">
      <c r="A413" s="12" t="s">
        <v>480</v>
      </c>
      <c r="B413" s="12"/>
      <c r="C413" s="12" t="s">
        <v>42</v>
      </c>
      <c r="D413" s="12"/>
      <c r="E413" s="32">
        <v>48736</v>
      </c>
      <c r="G413" s="8">
        <v>5500840</v>
      </c>
      <c r="H413" s="8"/>
      <c r="I413" s="8">
        <v>1050698</v>
      </c>
      <c r="J413" s="8"/>
      <c r="K413" s="8">
        <v>162842</v>
      </c>
      <c r="L413" s="8"/>
      <c r="M413" s="8">
        <v>106521</v>
      </c>
      <c r="N413" s="8"/>
      <c r="O413" s="8">
        <v>702324</v>
      </c>
      <c r="P413" s="8"/>
      <c r="Q413" s="8">
        <v>387095</v>
      </c>
      <c r="R413" s="8"/>
      <c r="S413" s="8">
        <v>70794</v>
      </c>
      <c r="T413" s="8"/>
      <c r="U413" s="8">
        <v>978932</v>
      </c>
      <c r="V413" s="8"/>
      <c r="W413" s="8">
        <v>377609</v>
      </c>
      <c r="X413" s="8"/>
      <c r="Y413" s="8">
        <v>0</v>
      </c>
      <c r="Z413" s="8"/>
      <c r="AA413" s="8">
        <v>980916</v>
      </c>
      <c r="AB413" s="8"/>
      <c r="AC413" s="8">
        <v>1527286</v>
      </c>
      <c r="AD413" s="8"/>
      <c r="AE413" s="8">
        <v>134430</v>
      </c>
      <c r="AF413" s="138"/>
      <c r="AG413" s="12" t="s">
        <v>480</v>
      </c>
      <c r="AH413" s="12"/>
      <c r="AI413" s="12" t="s">
        <v>42</v>
      </c>
      <c r="AJ413" s="12"/>
      <c r="AK413" s="8">
        <v>447858</v>
      </c>
      <c r="AL413" s="8"/>
      <c r="AM413" s="8">
        <v>6562</v>
      </c>
      <c r="AN413" s="8"/>
      <c r="AO413" s="8">
        <v>301060</v>
      </c>
      <c r="AP413" s="8"/>
      <c r="AQ413" s="8">
        <v>341770</v>
      </c>
      <c r="AR413" s="8"/>
      <c r="AS413" s="8">
        <v>0</v>
      </c>
      <c r="AT413" s="8"/>
      <c r="AU413" s="8">
        <v>0</v>
      </c>
      <c r="AV413" s="8"/>
      <c r="AW413" s="8">
        <f t="shared" si="20"/>
        <v>13077537</v>
      </c>
      <c r="AY413" s="8">
        <f>+'St of Activites - GA Rev'!AI412-'St of Activities - GA Exp'!AW413</f>
        <v>-1114914</v>
      </c>
      <c r="BA413" s="8">
        <v>7655132</v>
      </c>
      <c r="BC413" s="8">
        <f t="shared" si="21"/>
        <v>6540218</v>
      </c>
      <c r="BE413" s="8">
        <f>+'St of Net Assets - GA'!AA413-'St of Activities - GA Exp'!BC413</f>
        <v>0</v>
      </c>
    </row>
    <row r="414" spans="1:57">
      <c r="A414" s="12" t="s">
        <v>402</v>
      </c>
      <c r="B414" s="12"/>
      <c r="C414" s="12" t="s">
        <v>32</v>
      </c>
      <c r="D414" s="12"/>
      <c r="E414" s="32">
        <v>47365</v>
      </c>
      <c r="G414" s="8">
        <v>38783808</v>
      </c>
      <c r="H414" s="8"/>
      <c r="I414" s="8">
        <v>9866696</v>
      </c>
      <c r="J414" s="8"/>
      <c r="K414" s="8">
        <v>209349</v>
      </c>
      <c r="L414" s="8"/>
      <c r="M414" s="8">
        <v>1091607</v>
      </c>
      <c r="N414" s="8"/>
      <c r="O414" s="8">
        <v>5191242</v>
      </c>
      <c r="P414" s="8"/>
      <c r="Q414" s="8">
        <v>5774646</v>
      </c>
      <c r="R414" s="8"/>
      <c r="S414" s="8">
        <v>93830</v>
      </c>
      <c r="T414" s="8"/>
      <c r="U414" s="8">
        <v>6041145</v>
      </c>
      <c r="V414" s="8"/>
      <c r="W414" s="8">
        <v>1807516</v>
      </c>
      <c r="X414" s="8"/>
      <c r="Y414" s="8">
        <v>720409</v>
      </c>
      <c r="Z414" s="8"/>
      <c r="AA414" s="8">
        <v>7029199</v>
      </c>
      <c r="AB414" s="8"/>
      <c r="AC414" s="8">
        <v>4595467</v>
      </c>
      <c r="AD414" s="8"/>
      <c r="AE414" s="8">
        <v>1586120</v>
      </c>
      <c r="AF414" s="138"/>
      <c r="AG414" s="12" t="s">
        <v>402</v>
      </c>
      <c r="AH414" s="12"/>
      <c r="AI414" s="12" t="s">
        <v>32</v>
      </c>
      <c r="AJ414" s="12"/>
      <c r="AK414" s="8">
        <v>0</v>
      </c>
      <c r="AL414" s="8"/>
      <c r="AM414" s="8">
        <v>8306507</v>
      </c>
      <c r="AN414" s="8"/>
      <c r="AO414" s="8">
        <v>1861017</v>
      </c>
      <c r="AP414" s="8"/>
      <c r="AQ414" s="8">
        <v>964410</v>
      </c>
      <c r="AR414" s="8"/>
      <c r="AS414" s="8">
        <v>0</v>
      </c>
      <c r="AT414" s="8"/>
      <c r="AU414" s="8">
        <v>0</v>
      </c>
      <c r="AV414" s="8"/>
      <c r="AW414" s="8">
        <f t="shared" ref="AW414:AW419" si="23">SUM(G414:AV414)</f>
        <v>93922968</v>
      </c>
      <c r="AY414" s="8">
        <f>+'St of Activites - GA Rev'!AI413-'St of Activities - GA Exp'!AW414</f>
        <v>6852843</v>
      </c>
      <c r="BA414" s="8">
        <v>21875161</v>
      </c>
      <c r="BC414" s="8">
        <f t="shared" ref="BC414:BC426" si="24">+AY414+BA414</f>
        <v>28728004</v>
      </c>
      <c r="BE414" s="8">
        <f>+'St of Net Assets - GA'!AA414-'St of Activities - GA Exp'!BC414</f>
        <v>0</v>
      </c>
    </row>
    <row r="415" spans="1:57">
      <c r="A415" s="12" t="s">
        <v>402</v>
      </c>
      <c r="B415" s="12"/>
      <c r="C415" s="12" t="s">
        <v>59</v>
      </c>
      <c r="D415" s="12"/>
      <c r="E415" s="32">
        <v>49635</v>
      </c>
      <c r="G415" s="8">
        <v>8484765</v>
      </c>
      <c r="H415" s="8"/>
      <c r="I415" s="8">
        <v>1497895</v>
      </c>
      <c r="J415" s="8"/>
      <c r="K415" s="8">
        <v>80776</v>
      </c>
      <c r="L415" s="8"/>
      <c r="M415" s="8">
        <f>5252+490165</f>
        <v>495417</v>
      </c>
      <c r="N415" s="8"/>
      <c r="O415" s="8">
        <v>754033</v>
      </c>
      <c r="P415" s="8"/>
      <c r="Q415" s="8">
        <v>1244932</v>
      </c>
      <c r="R415" s="8"/>
      <c r="S415" s="8">
        <v>35338</v>
      </c>
      <c r="T415" s="8"/>
      <c r="U415" s="8">
        <v>1159090</v>
      </c>
      <c r="V415" s="8"/>
      <c r="W415" s="8">
        <v>314979</v>
      </c>
      <c r="X415" s="8"/>
      <c r="Y415" s="8">
        <v>0</v>
      </c>
      <c r="Z415" s="8"/>
      <c r="AA415" s="8">
        <v>1772241</v>
      </c>
      <c r="AB415" s="8"/>
      <c r="AC415" s="8">
        <v>1709892</v>
      </c>
      <c r="AD415" s="8"/>
      <c r="AE415" s="8">
        <v>25360</v>
      </c>
      <c r="AF415" s="138"/>
      <c r="AG415" s="12" t="s">
        <v>402</v>
      </c>
      <c r="AH415" s="12"/>
      <c r="AI415" s="12" t="s">
        <v>59</v>
      </c>
      <c r="AJ415" s="12"/>
      <c r="AK415" s="8">
        <v>0</v>
      </c>
      <c r="AL415" s="8"/>
      <c r="AM415" s="8">
        <v>861246</v>
      </c>
      <c r="AN415" s="8"/>
      <c r="AO415" s="8">
        <v>343138</v>
      </c>
      <c r="AP415" s="8"/>
      <c r="AQ415" s="8">
        <v>223034</v>
      </c>
      <c r="AR415" s="8"/>
      <c r="AS415" s="8">
        <v>0</v>
      </c>
      <c r="AT415" s="8"/>
      <c r="AU415" s="8">
        <v>0</v>
      </c>
      <c r="AV415" s="8"/>
      <c r="AW415" s="8">
        <f t="shared" si="23"/>
        <v>19002136</v>
      </c>
      <c r="AY415" s="8">
        <f>+'St of Activites - GA Rev'!AI414-'St of Activities - GA Exp'!AW415</f>
        <v>-1452767</v>
      </c>
      <c r="BA415" s="8">
        <v>27011595</v>
      </c>
      <c r="BC415" s="8">
        <f t="shared" si="24"/>
        <v>25558828</v>
      </c>
      <c r="BE415" s="8">
        <f>+'St of Net Assets - GA'!AA415-'St of Activities - GA Exp'!BC415</f>
        <v>0</v>
      </c>
    </row>
    <row r="416" spans="1:57">
      <c r="A416" s="12" t="s">
        <v>402</v>
      </c>
      <c r="B416" s="12"/>
      <c r="C416" s="12" t="s">
        <v>62</v>
      </c>
      <c r="D416" s="12"/>
      <c r="E416" s="32">
        <v>49908</v>
      </c>
      <c r="G416" s="8">
        <v>9089557</v>
      </c>
      <c r="H416" s="8"/>
      <c r="I416" s="8">
        <v>2668708</v>
      </c>
      <c r="J416" s="8"/>
      <c r="K416" s="8">
        <v>324990</v>
      </c>
      <c r="L416" s="8"/>
      <c r="M416" s="8">
        <v>121041</v>
      </c>
      <c r="N416" s="8"/>
      <c r="O416" s="8">
        <v>832097</v>
      </c>
      <c r="P416" s="8"/>
      <c r="Q416" s="8">
        <v>309925</v>
      </c>
      <c r="R416" s="8"/>
      <c r="S416" s="8">
        <v>70688</v>
      </c>
      <c r="T416" s="8"/>
      <c r="U416" s="8">
        <v>1721416</v>
      </c>
      <c r="V416" s="8"/>
      <c r="W416" s="8">
        <v>429955</v>
      </c>
      <c r="X416" s="8"/>
      <c r="Y416" s="8">
        <v>0</v>
      </c>
      <c r="Z416" s="8"/>
      <c r="AA416" s="8">
        <v>1769635</v>
      </c>
      <c r="AB416" s="8"/>
      <c r="AC416" s="8">
        <v>1128761</v>
      </c>
      <c r="AD416" s="8"/>
      <c r="AE416" s="8">
        <v>274357</v>
      </c>
      <c r="AF416" s="138"/>
      <c r="AG416" s="12" t="s">
        <v>402</v>
      </c>
      <c r="AH416" s="12"/>
      <c r="AI416" s="12" t="s">
        <v>62</v>
      </c>
      <c r="AJ416" s="12"/>
      <c r="AK416" s="8">
        <v>791954</v>
      </c>
      <c r="AL416" s="8"/>
      <c r="AM416" s="8">
        <v>101166</v>
      </c>
      <c r="AN416" s="8"/>
      <c r="AO416" s="8">
        <v>402851</v>
      </c>
      <c r="AP416" s="8"/>
      <c r="AQ416" s="8">
        <v>990800</v>
      </c>
      <c r="AR416" s="8"/>
      <c r="AS416" s="8">
        <v>0</v>
      </c>
      <c r="AT416" s="8"/>
      <c r="AU416" s="8">
        <v>0</v>
      </c>
      <c r="AV416" s="8"/>
      <c r="AW416" s="8">
        <f t="shared" si="23"/>
        <v>21027901</v>
      </c>
      <c r="AY416" s="8">
        <f>+'St of Activites - GA Rev'!AI415-'St of Activities - GA Exp'!AW416</f>
        <v>283970</v>
      </c>
      <c r="BA416" s="8">
        <v>699796</v>
      </c>
      <c r="BC416" s="8">
        <f t="shared" si="24"/>
        <v>983766</v>
      </c>
      <c r="BE416" s="8">
        <f>+'St of Net Assets - GA'!AA416-'St of Activities - GA Exp'!BC416</f>
        <v>0</v>
      </c>
    </row>
    <row r="417" spans="1:57">
      <c r="A417" s="12" t="s">
        <v>263</v>
      </c>
      <c r="B417" s="12"/>
      <c r="C417" s="12" t="s">
        <v>17</v>
      </c>
      <c r="D417" s="12"/>
      <c r="E417" s="32">
        <v>46268</v>
      </c>
      <c r="G417" s="8">
        <v>8182195</v>
      </c>
      <c r="H417" s="8"/>
      <c r="I417" s="8">
        <v>1969317</v>
      </c>
      <c r="J417" s="8"/>
      <c r="K417" s="8">
        <v>0</v>
      </c>
      <c r="L417" s="8"/>
      <c r="M417" s="8">
        <v>32723</v>
      </c>
      <c r="N417" s="8"/>
      <c r="O417" s="8">
        <v>552789</v>
      </c>
      <c r="P417" s="8"/>
      <c r="Q417" s="8">
        <v>821024</v>
      </c>
      <c r="R417" s="8"/>
      <c r="S417" s="8">
        <v>85564</v>
      </c>
      <c r="T417" s="8"/>
      <c r="U417" s="8">
        <v>1281015</v>
      </c>
      <c r="V417" s="8"/>
      <c r="W417" s="8">
        <v>387960</v>
      </c>
      <c r="X417" s="8"/>
      <c r="Y417" s="8">
        <v>0</v>
      </c>
      <c r="Z417" s="8"/>
      <c r="AA417" s="8">
        <v>1577031</v>
      </c>
      <c r="AB417" s="8"/>
      <c r="AC417" s="8">
        <v>1080172</v>
      </c>
      <c r="AD417" s="8"/>
      <c r="AE417" s="8">
        <v>25421</v>
      </c>
      <c r="AF417" s="138"/>
      <c r="AG417" s="12" t="s">
        <v>263</v>
      </c>
      <c r="AH417" s="12"/>
      <c r="AI417" s="12" t="s">
        <v>17</v>
      </c>
      <c r="AJ417" s="12"/>
      <c r="AK417" s="8">
        <v>599373</v>
      </c>
      <c r="AL417" s="8"/>
      <c r="AM417" s="8">
        <f>428+38272</f>
        <v>38700</v>
      </c>
      <c r="AN417" s="8"/>
      <c r="AO417" s="8">
        <v>451488</v>
      </c>
      <c r="AP417" s="8"/>
      <c r="AQ417" s="8">
        <v>32301</v>
      </c>
      <c r="AR417" s="8"/>
      <c r="AS417" s="8">
        <v>0</v>
      </c>
      <c r="AT417" s="8"/>
      <c r="AU417" s="8">
        <v>0</v>
      </c>
      <c r="AV417" s="8"/>
      <c r="AW417" s="8">
        <f t="shared" si="23"/>
        <v>17117073</v>
      </c>
      <c r="AY417" s="8">
        <f>+'St of Activites - GA Rev'!AI416-'St of Activities - GA Exp'!AW417</f>
        <v>-386066</v>
      </c>
      <c r="BA417" s="8">
        <v>8380258</v>
      </c>
      <c r="BC417" s="8">
        <f t="shared" si="24"/>
        <v>7994192</v>
      </c>
      <c r="BE417" s="8">
        <f>+'St of Net Assets - GA'!AA417-'St of Activities - GA Exp'!BC417</f>
        <v>0</v>
      </c>
    </row>
    <row r="418" spans="1:57">
      <c r="A418" s="12" t="s">
        <v>736</v>
      </c>
      <c r="B418" s="12"/>
      <c r="C418" s="12" t="s">
        <v>72</v>
      </c>
      <c r="D418" s="12"/>
      <c r="E418" s="32">
        <v>50716</v>
      </c>
      <c r="G418" s="8">
        <v>4760711</v>
      </c>
      <c r="H418" s="8"/>
      <c r="I418" s="8">
        <v>1353373</v>
      </c>
      <c r="J418" s="8"/>
      <c r="K418" s="8">
        <v>176304</v>
      </c>
      <c r="L418" s="8"/>
      <c r="M418" s="8">
        <v>0</v>
      </c>
      <c r="N418" s="8"/>
      <c r="O418" s="8">
        <v>313798</v>
      </c>
      <c r="P418" s="8"/>
      <c r="Q418" s="8">
        <v>496401</v>
      </c>
      <c r="R418" s="8"/>
      <c r="S418" s="8">
        <v>13818</v>
      </c>
      <c r="T418" s="8"/>
      <c r="U418" s="8">
        <v>819811</v>
      </c>
      <c r="V418" s="8"/>
      <c r="W418" s="8">
        <v>382219</v>
      </c>
      <c r="X418" s="8"/>
      <c r="Y418" s="8">
        <v>0</v>
      </c>
      <c r="Z418" s="8"/>
      <c r="AA418" s="8">
        <v>931050</v>
      </c>
      <c r="AB418" s="8"/>
      <c r="AC418" s="8">
        <v>418641</v>
      </c>
      <c r="AD418" s="8"/>
      <c r="AE418" s="8">
        <v>27348</v>
      </c>
      <c r="AF418" s="138"/>
      <c r="AG418" s="12" t="s">
        <v>736</v>
      </c>
      <c r="AH418" s="12"/>
      <c r="AI418" s="12" t="s">
        <v>72</v>
      </c>
      <c r="AJ418" s="12"/>
      <c r="AK418" s="8">
        <v>0</v>
      </c>
      <c r="AL418" s="8"/>
      <c r="AM418" s="8">
        <v>448865</v>
      </c>
      <c r="AN418" s="8"/>
      <c r="AO418" s="8">
        <v>378919</v>
      </c>
      <c r="AP418" s="8"/>
      <c r="AQ418" s="8">
        <v>80348</v>
      </c>
      <c r="AR418" s="8"/>
      <c r="AS418" s="8">
        <v>0</v>
      </c>
      <c r="AT418" s="8"/>
      <c r="AU418" s="8">
        <v>0</v>
      </c>
      <c r="AV418" s="8"/>
      <c r="AW418" s="8">
        <f t="shared" si="23"/>
        <v>10601606</v>
      </c>
      <c r="AY418" s="8">
        <f>+'St of Activites - GA Rev'!AI417-'St of Activities - GA Exp'!AW418</f>
        <v>1493324</v>
      </c>
      <c r="BA418" s="8">
        <v>6344600</v>
      </c>
      <c r="BC418" s="8">
        <f t="shared" si="24"/>
        <v>7837924</v>
      </c>
      <c r="BE418" s="8">
        <f>+'St of Net Assets - GA'!AA418-'St of Activities - GA Exp'!BC418</f>
        <v>0</v>
      </c>
    </row>
    <row r="419" spans="1:57">
      <c r="A419" s="12" t="s">
        <v>669</v>
      </c>
      <c r="B419" s="12"/>
      <c r="C419" s="12" t="s">
        <v>63</v>
      </c>
      <c r="D419" s="12"/>
      <c r="E419" s="32">
        <v>44552</v>
      </c>
      <c r="G419" s="8">
        <v>10644647</v>
      </c>
      <c r="H419" s="8"/>
      <c r="I419" s="8">
        <v>1873425</v>
      </c>
      <c r="J419" s="8"/>
      <c r="K419" s="8">
        <v>931855</v>
      </c>
      <c r="L419" s="8"/>
      <c r="M419" s="8">
        <f>4087+278751</f>
        <v>282838</v>
      </c>
      <c r="N419" s="8"/>
      <c r="O419" s="8">
        <v>724112</v>
      </c>
      <c r="P419" s="8"/>
      <c r="Q419" s="8">
        <v>1031316</v>
      </c>
      <c r="R419" s="8"/>
      <c r="S419" s="8">
        <v>33614</v>
      </c>
      <c r="T419" s="8"/>
      <c r="U419" s="8">
        <v>1570572</v>
      </c>
      <c r="V419" s="8"/>
      <c r="W419" s="8">
        <v>600106</v>
      </c>
      <c r="X419" s="8"/>
      <c r="Y419" s="8">
        <v>287777</v>
      </c>
      <c r="Z419" s="8"/>
      <c r="AA419" s="8">
        <v>2031679</v>
      </c>
      <c r="AB419" s="8"/>
      <c r="AC419" s="8">
        <v>1421743</v>
      </c>
      <c r="AD419" s="8"/>
      <c r="AE419" s="8">
        <v>79908</v>
      </c>
      <c r="AF419" s="138"/>
      <c r="AG419" s="12" t="s">
        <v>669</v>
      </c>
      <c r="AH419" s="12"/>
      <c r="AI419" s="12" t="s">
        <v>63</v>
      </c>
      <c r="AJ419" s="12"/>
      <c r="AK419" s="8">
        <v>830670</v>
      </c>
      <c r="AL419" s="8"/>
      <c r="AM419" s="8">
        <v>4734</v>
      </c>
      <c r="AN419" s="8"/>
      <c r="AO419" s="8">
        <v>513452</v>
      </c>
      <c r="AP419" s="8"/>
      <c r="AQ419" s="8">
        <v>7562</v>
      </c>
      <c r="AR419" s="8"/>
      <c r="AS419" s="8">
        <v>0</v>
      </c>
      <c r="AT419" s="8"/>
      <c r="AU419" s="8">
        <v>0</v>
      </c>
      <c r="AV419" s="8"/>
      <c r="AW419" s="8">
        <f t="shared" si="23"/>
        <v>22870010</v>
      </c>
      <c r="AY419" s="8">
        <f>+'St of Activites - GA Rev'!AI418-'St of Activities - GA Exp'!AW419</f>
        <v>118477</v>
      </c>
      <c r="BA419" s="8">
        <v>10885179</v>
      </c>
      <c r="BC419" s="8">
        <f t="shared" si="24"/>
        <v>11003656</v>
      </c>
      <c r="BE419" s="8">
        <f>+'St of Net Assets - GA'!AA419-'St of Activities - GA Exp'!BC419</f>
        <v>0</v>
      </c>
    </row>
    <row r="420" spans="1:57">
      <c r="A420" s="12" t="s">
        <v>446</v>
      </c>
      <c r="B420" s="12"/>
      <c r="C420" s="12" t="s">
        <v>37</v>
      </c>
      <c r="D420" s="12"/>
      <c r="E420" s="32">
        <v>44560</v>
      </c>
      <c r="G420" s="8">
        <v>11833815</v>
      </c>
      <c r="H420" s="8"/>
      <c r="I420" s="8">
        <v>3766240</v>
      </c>
      <c r="J420" s="8"/>
      <c r="K420" s="8">
        <v>206860</v>
      </c>
      <c r="L420" s="8"/>
      <c r="M420" s="8">
        <f>73547+21026+840479</f>
        <v>935052</v>
      </c>
      <c r="N420" s="8"/>
      <c r="O420" s="8">
        <v>1087764</v>
      </c>
      <c r="P420" s="8"/>
      <c r="Q420" s="8">
        <v>2255424</v>
      </c>
      <c r="R420" s="8"/>
      <c r="S420" s="8">
        <v>176844</v>
      </c>
      <c r="T420" s="8"/>
      <c r="U420" s="8">
        <v>2251367</v>
      </c>
      <c r="V420" s="8"/>
      <c r="W420" s="8">
        <v>460676</v>
      </c>
      <c r="X420" s="8"/>
      <c r="Y420" s="8">
        <v>72452</v>
      </c>
      <c r="Z420" s="8"/>
      <c r="AA420" s="8">
        <v>2820766</v>
      </c>
      <c r="AB420" s="8"/>
      <c r="AC420" s="8">
        <v>833486</v>
      </c>
      <c r="AD420" s="8"/>
      <c r="AE420" s="8">
        <v>100778</v>
      </c>
      <c r="AF420" s="138"/>
      <c r="AG420" s="12" t="s">
        <v>446</v>
      </c>
      <c r="AH420" s="12"/>
      <c r="AI420" s="12" t="s">
        <v>37</v>
      </c>
      <c r="AJ420" s="12"/>
      <c r="AK420" s="8">
        <v>1056455</v>
      </c>
      <c r="AL420" s="8"/>
      <c r="AM420" s="8">
        <v>604528</v>
      </c>
      <c r="AN420" s="8"/>
      <c r="AO420" s="8">
        <v>670529</v>
      </c>
      <c r="AP420" s="8"/>
      <c r="AQ420" s="8">
        <v>571324</v>
      </c>
      <c r="AR420" s="8"/>
      <c r="AS420" s="8"/>
      <c r="AT420" s="8"/>
      <c r="AU420" s="8">
        <v>0</v>
      </c>
      <c r="AV420" s="8"/>
      <c r="AW420" s="8">
        <f t="shared" ref="AW420:AW430" si="25">SUM(G420:AV420)</f>
        <v>29704360</v>
      </c>
      <c r="AY420" s="8">
        <f>+'St of Activites - GA Rev'!AI419-'St of Activities - GA Exp'!AW420</f>
        <v>-2378906</v>
      </c>
      <c r="BA420" s="8">
        <v>28502824</v>
      </c>
      <c r="BC420" s="8">
        <f t="shared" si="24"/>
        <v>26123918</v>
      </c>
      <c r="BE420" s="8">
        <f>+'St of Net Assets - GA'!AA420-'St of Activities - GA Exp'!BC420</f>
        <v>0</v>
      </c>
    </row>
    <row r="421" spans="1:57">
      <c r="A421" s="12" t="s">
        <v>865</v>
      </c>
      <c r="B421" s="12"/>
      <c r="C421" s="12" t="s">
        <v>32</v>
      </c>
      <c r="D421" s="12"/>
      <c r="E421" s="32">
        <v>44578</v>
      </c>
      <c r="G421" s="8">
        <v>12641033</v>
      </c>
      <c r="H421" s="8"/>
      <c r="I421" s="8">
        <v>3064482</v>
      </c>
      <c r="J421" s="8"/>
      <c r="K421" s="8">
        <v>0</v>
      </c>
      <c r="L421" s="8"/>
      <c r="M421" s="8">
        <v>658728</v>
      </c>
      <c r="N421" s="8"/>
      <c r="O421" s="8">
        <v>1878281</v>
      </c>
      <c r="P421" s="8"/>
      <c r="Q421" s="8">
        <v>1437385</v>
      </c>
      <c r="R421" s="8"/>
      <c r="S421" s="8">
        <v>37521</v>
      </c>
      <c r="T421" s="8"/>
      <c r="U421" s="8">
        <v>1732077</v>
      </c>
      <c r="V421" s="8"/>
      <c r="W421" s="8">
        <v>609813</v>
      </c>
      <c r="X421" s="8"/>
      <c r="Y421" s="8">
        <v>0</v>
      </c>
      <c r="Z421" s="8"/>
      <c r="AA421" s="8">
        <v>2790455</v>
      </c>
      <c r="AB421" s="8"/>
      <c r="AC421" s="8">
        <v>628997</v>
      </c>
      <c r="AD421" s="8"/>
      <c r="AE421" s="8">
        <v>522515</v>
      </c>
      <c r="AF421" s="138"/>
      <c r="AG421" s="12" t="s">
        <v>865</v>
      </c>
      <c r="AH421" s="12"/>
      <c r="AI421" s="12" t="s">
        <v>32</v>
      </c>
      <c r="AJ421" s="12"/>
      <c r="AK421" s="8">
        <v>1199134</v>
      </c>
      <c r="AL421" s="8"/>
      <c r="AM421" s="8">
        <v>81420</v>
      </c>
      <c r="AN421" s="8"/>
      <c r="AO421" s="8">
        <v>667302</v>
      </c>
      <c r="AP421" s="8"/>
      <c r="AQ421" s="8">
        <v>258246</v>
      </c>
      <c r="AR421" s="8"/>
      <c r="AS421" s="8"/>
      <c r="AT421" s="8"/>
      <c r="AU421" s="8">
        <v>0</v>
      </c>
      <c r="AV421" s="8"/>
      <c r="AW421" s="8">
        <f t="shared" si="25"/>
        <v>28207389</v>
      </c>
      <c r="AY421" s="8">
        <f>+'St of Activites - GA Rev'!AI420-'St of Activities - GA Exp'!AW421</f>
        <v>-2152669</v>
      </c>
      <c r="BA421" s="8">
        <v>10574239</v>
      </c>
      <c r="BC421" s="8">
        <f t="shared" si="24"/>
        <v>8421570</v>
      </c>
      <c r="BE421" s="8">
        <f>+'St of Net Assets - GA'!AA421-'St of Activities - GA Exp'!BC421</f>
        <v>0</v>
      </c>
    </row>
    <row r="422" spans="1:57">
      <c r="A422" s="12" t="s">
        <v>404</v>
      </c>
      <c r="B422" s="12"/>
      <c r="C422" s="12" t="s">
        <v>32</v>
      </c>
      <c r="D422" s="12"/>
      <c r="E422" s="32">
        <v>47373</v>
      </c>
      <c r="G422" s="8">
        <v>34367193</v>
      </c>
      <c r="H422" s="8"/>
      <c r="I422" s="8">
        <v>7318037</v>
      </c>
      <c r="J422" s="8"/>
      <c r="K422" s="8">
        <v>55544</v>
      </c>
      <c r="L422" s="8"/>
      <c r="M422" s="8">
        <v>304023</v>
      </c>
      <c r="N422" s="8"/>
      <c r="O422" s="8">
        <v>4372678</v>
      </c>
      <c r="P422" s="8"/>
      <c r="Q422" s="8">
        <v>7246802</v>
      </c>
      <c r="R422" s="8"/>
      <c r="S422" s="8">
        <v>176351</v>
      </c>
      <c r="T422" s="8"/>
      <c r="U422" s="8">
        <v>5075386</v>
      </c>
      <c r="V422" s="8"/>
      <c r="W422" s="8">
        <v>1208804</v>
      </c>
      <c r="X422" s="8"/>
      <c r="Y422" s="8">
        <v>106493</v>
      </c>
      <c r="Z422" s="8"/>
      <c r="AA422" s="8">
        <v>6649473</v>
      </c>
      <c r="AB422" s="8"/>
      <c r="AC422" s="8">
        <v>2721131</v>
      </c>
      <c r="AD422" s="8"/>
      <c r="AE422" s="8">
        <v>501881</v>
      </c>
      <c r="AF422" s="138"/>
      <c r="AG422" s="12" t="s">
        <v>404</v>
      </c>
      <c r="AH422" s="12"/>
      <c r="AI422" s="12" t="s">
        <v>32</v>
      </c>
      <c r="AJ422" s="12"/>
      <c r="AK422" s="8">
        <v>0</v>
      </c>
      <c r="AL422" s="8"/>
      <c r="AM422" s="8">
        <v>4891470</v>
      </c>
      <c r="AN422" s="8"/>
      <c r="AO422" s="8">
        <v>1829779</v>
      </c>
      <c r="AP422" s="8"/>
      <c r="AQ422" s="8">
        <v>2054725</v>
      </c>
      <c r="AR422" s="8"/>
      <c r="AS422" s="8"/>
      <c r="AT422" s="8"/>
      <c r="AU422" s="8">
        <v>0</v>
      </c>
      <c r="AV422" s="8"/>
      <c r="AW422" s="8">
        <f t="shared" si="25"/>
        <v>78879770</v>
      </c>
      <c r="AY422" s="8">
        <f>+'St of Activites - GA Rev'!AI421-'St of Activities - GA Exp'!AW422</f>
        <v>1019010</v>
      </c>
      <c r="BA422" s="8">
        <v>34915788</v>
      </c>
      <c r="BC422" s="8">
        <f t="shared" si="24"/>
        <v>35934798</v>
      </c>
      <c r="BE422" s="8">
        <f>+'St of Net Assets - GA'!AA422-'St of Activities - GA Exp'!BC422</f>
        <v>0</v>
      </c>
    </row>
    <row r="423" spans="1:57">
      <c r="A423" s="12" t="s">
        <v>554</v>
      </c>
      <c r="B423" s="12"/>
      <c r="C423" s="12" t="s">
        <v>50</v>
      </c>
      <c r="D423" s="12"/>
      <c r="E423" s="32">
        <v>44586</v>
      </c>
      <c r="G423" s="8">
        <v>12019223</v>
      </c>
      <c r="H423" s="8"/>
      <c r="I423" s="8">
        <v>2503122</v>
      </c>
      <c r="J423" s="8"/>
      <c r="K423" s="8">
        <v>0</v>
      </c>
      <c r="L423" s="8"/>
      <c r="M423" s="8">
        <v>188221</v>
      </c>
      <c r="N423" s="8"/>
      <c r="O423" s="8">
        <v>1428049</v>
      </c>
      <c r="P423" s="8"/>
      <c r="Q423" s="8">
        <v>378666</v>
      </c>
      <c r="R423" s="8"/>
      <c r="S423" s="8">
        <v>22280</v>
      </c>
      <c r="T423" s="8"/>
      <c r="U423" s="8">
        <v>1836783</v>
      </c>
      <c r="V423" s="8"/>
      <c r="W423" s="8">
        <v>741075</v>
      </c>
      <c r="X423" s="8"/>
      <c r="Y423" s="8">
        <v>1199</v>
      </c>
      <c r="Z423" s="8"/>
      <c r="AA423" s="8">
        <v>2008395</v>
      </c>
      <c r="AB423" s="8"/>
      <c r="AC423" s="8">
        <v>186332</v>
      </c>
      <c r="AD423" s="8"/>
      <c r="AE423" s="8">
        <v>642728</v>
      </c>
      <c r="AF423" s="138"/>
      <c r="AG423" s="12" t="s">
        <v>554</v>
      </c>
      <c r="AH423" s="12"/>
      <c r="AI423" s="12" t="s">
        <v>50</v>
      </c>
      <c r="AJ423" s="12"/>
      <c r="AK423" s="8">
        <v>357786</v>
      </c>
      <c r="AL423" s="8"/>
      <c r="AM423" s="8">
        <f>504208+42481</f>
        <v>546689</v>
      </c>
      <c r="AN423" s="8"/>
      <c r="AO423" s="8">
        <v>1039945</v>
      </c>
      <c r="AP423" s="8"/>
      <c r="AQ423" s="8">
        <v>782584</v>
      </c>
      <c r="AR423" s="8"/>
      <c r="AS423" s="8"/>
      <c r="AT423" s="8"/>
      <c r="AU423" s="8">
        <v>0</v>
      </c>
      <c r="AV423" s="8"/>
      <c r="AW423" s="8">
        <f t="shared" si="25"/>
        <v>24683077</v>
      </c>
      <c r="AY423" s="8">
        <f>+'St of Activites - GA Rev'!AI422-'St of Activities - GA Exp'!AW423</f>
        <v>2139201</v>
      </c>
      <c r="BA423" s="8">
        <v>2696698</v>
      </c>
      <c r="BC423" s="8">
        <f t="shared" si="24"/>
        <v>4835899</v>
      </c>
      <c r="BE423" s="8">
        <f>+'St of Net Assets - GA'!AA423-'St of Activities - GA Exp'!BC423</f>
        <v>0</v>
      </c>
    </row>
    <row r="424" spans="1:57" s="35" customFormat="1">
      <c r="A424" s="34" t="s">
        <v>493</v>
      </c>
      <c r="B424" s="34"/>
      <c r="C424" s="34" t="s">
        <v>44</v>
      </c>
      <c r="D424" s="34"/>
      <c r="E424" s="32">
        <v>44594</v>
      </c>
      <c r="G424" s="8">
        <v>7168017</v>
      </c>
      <c r="H424" s="8"/>
      <c r="I424" s="8">
        <v>1178956</v>
      </c>
      <c r="J424" s="8"/>
      <c r="K424" s="8">
        <v>97882</v>
      </c>
      <c r="L424" s="8"/>
      <c r="M424" s="8">
        <v>523235</v>
      </c>
      <c r="N424" s="8"/>
      <c r="O424" s="8">
        <v>1045927</v>
      </c>
      <c r="P424" s="8"/>
      <c r="Q424" s="8">
        <v>477222</v>
      </c>
      <c r="R424" s="8"/>
      <c r="S424" s="8">
        <v>87583</v>
      </c>
      <c r="T424" s="8"/>
      <c r="U424" s="8">
        <v>1488164</v>
      </c>
      <c r="V424" s="8"/>
      <c r="W424" s="8">
        <v>399813</v>
      </c>
      <c r="X424" s="8"/>
      <c r="Y424" s="8">
        <v>191276</v>
      </c>
      <c r="Z424" s="8"/>
      <c r="AA424" s="8">
        <v>1583473</v>
      </c>
      <c r="AB424" s="8"/>
      <c r="AC424" s="8">
        <v>463755</v>
      </c>
      <c r="AD424" s="8"/>
      <c r="AE424" s="8">
        <v>49935</v>
      </c>
      <c r="AF424" s="139"/>
      <c r="AG424" s="34" t="s">
        <v>493</v>
      </c>
      <c r="AH424" s="34"/>
      <c r="AI424" s="34" t="s">
        <v>44</v>
      </c>
      <c r="AJ424" s="34"/>
      <c r="AK424" s="8">
        <v>394603</v>
      </c>
      <c r="AL424" s="8"/>
      <c r="AM424" s="8">
        <v>0</v>
      </c>
      <c r="AN424" s="8"/>
      <c r="AO424" s="8">
        <v>380279</v>
      </c>
      <c r="AP424" s="8"/>
      <c r="AQ424" s="8">
        <v>21129</v>
      </c>
      <c r="AR424" s="8"/>
      <c r="AS424" s="8"/>
      <c r="AT424" s="8"/>
      <c r="AU424" s="8">
        <v>0</v>
      </c>
      <c r="AV424" s="8"/>
      <c r="AW424" s="8">
        <f t="shared" si="25"/>
        <v>15551249</v>
      </c>
      <c r="AX424" s="8"/>
      <c r="AY424" s="8">
        <f>+'St of Activites - GA Rev'!AI423-'St of Activities - GA Exp'!AW424</f>
        <v>-707133</v>
      </c>
      <c r="AZ424" s="8"/>
      <c r="BA424" s="8">
        <v>5728398</v>
      </c>
      <c r="BB424" s="8"/>
      <c r="BC424" s="8">
        <f t="shared" si="24"/>
        <v>5021265</v>
      </c>
      <c r="BD424" s="8"/>
      <c r="BE424" s="8">
        <f>+'St of Net Assets - GA'!AA424-'St of Activities - GA Exp'!BC424</f>
        <v>0</v>
      </c>
    </row>
    <row r="425" spans="1:57" ht="12" hidden="1" customHeight="1">
      <c r="A425" s="13" t="s">
        <v>834</v>
      </c>
      <c r="B425" s="12"/>
      <c r="C425" s="12" t="s">
        <v>60</v>
      </c>
      <c r="D425" s="12"/>
      <c r="E425" s="32">
        <v>49726</v>
      </c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138"/>
      <c r="AG425" s="12" t="s">
        <v>638</v>
      </c>
      <c r="AH425" s="12"/>
      <c r="AI425" s="12" t="s">
        <v>60</v>
      </c>
      <c r="AJ425" s="12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>
        <f t="shared" si="25"/>
        <v>0</v>
      </c>
      <c r="AY425" s="8">
        <f>+'St of Activites - GA Rev'!AI424-'St of Activities - GA Exp'!AW425</f>
        <v>0</v>
      </c>
      <c r="BC425" s="8">
        <f t="shared" si="24"/>
        <v>0</v>
      </c>
      <c r="BE425" s="8">
        <f>+'St of Net Assets - GA'!AA425-'St of Activities - GA Exp'!BC425</f>
        <v>0</v>
      </c>
    </row>
    <row r="426" spans="1:57">
      <c r="A426" s="12" t="s">
        <v>335</v>
      </c>
      <c r="B426" s="12"/>
      <c r="C426" s="12" t="s">
        <v>23</v>
      </c>
      <c r="D426" s="12"/>
      <c r="E426" s="32">
        <v>46763</v>
      </c>
      <c r="G426" s="8">
        <v>69871104</v>
      </c>
      <c r="H426" s="8"/>
      <c r="I426" s="8">
        <v>14217873</v>
      </c>
      <c r="J426" s="8"/>
      <c r="K426" s="8">
        <v>1106266</v>
      </c>
      <c r="L426" s="8"/>
      <c r="M426" s="8">
        <v>0</v>
      </c>
      <c r="N426" s="8"/>
      <c r="O426" s="8">
        <v>6159601</v>
      </c>
      <c r="P426" s="8"/>
      <c r="Q426" s="8">
        <v>8125921</v>
      </c>
      <c r="R426" s="8"/>
      <c r="S426" s="8">
        <v>533635</v>
      </c>
      <c r="T426" s="8"/>
      <c r="U426" s="8">
        <v>7718207</v>
      </c>
      <c r="V426" s="8"/>
      <c r="W426" s="8">
        <v>0</v>
      </c>
      <c r="X426" s="8"/>
      <c r="Y426" s="8">
        <v>3208353</v>
      </c>
      <c r="Z426" s="8"/>
      <c r="AA426" s="8">
        <v>15245349</v>
      </c>
      <c r="AB426" s="8"/>
      <c r="AC426" s="8">
        <v>7904571</v>
      </c>
      <c r="AD426" s="8"/>
      <c r="AE426" s="8">
        <v>2487193</v>
      </c>
      <c r="AF426" s="138"/>
      <c r="AG426" s="12" t="s">
        <v>335</v>
      </c>
      <c r="AH426" s="12"/>
      <c r="AI426" s="12" t="s">
        <v>23</v>
      </c>
      <c r="AJ426" s="12"/>
      <c r="AK426" s="8">
        <v>6276750</v>
      </c>
      <c r="AL426" s="8"/>
      <c r="AM426" s="8">
        <v>730475</v>
      </c>
      <c r="AN426" s="8"/>
      <c r="AO426" s="8">
        <v>4656175</v>
      </c>
      <c r="AP426" s="8"/>
      <c r="AQ426" s="8">
        <v>17325099</v>
      </c>
      <c r="AR426" s="8"/>
      <c r="AS426" s="8"/>
      <c r="AT426" s="8"/>
      <c r="AU426" s="8">
        <v>0</v>
      </c>
      <c r="AV426" s="8"/>
      <c r="AW426" s="8">
        <f t="shared" si="25"/>
        <v>165566572</v>
      </c>
      <c r="AY426" s="8">
        <f>+'St of Activites - GA Rev'!AI425-'St of Activities - GA Exp'!AW426</f>
        <v>-3708174</v>
      </c>
      <c r="BA426" s="8">
        <v>51553222</v>
      </c>
      <c r="BC426" s="8">
        <f t="shared" si="24"/>
        <v>47845048</v>
      </c>
      <c r="BE426" s="8">
        <f>+'St of Net Assets - GA'!AA429-'St of Activities - GA Exp'!BC426</f>
        <v>0</v>
      </c>
    </row>
    <row r="427" spans="1:57" s="8" customFormat="1">
      <c r="A427" s="13" t="s">
        <v>315</v>
      </c>
      <c r="B427" s="13"/>
      <c r="C427" s="13" t="s">
        <v>20</v>
      </c>
      <c r="D427" s="13"/>
      <c r="E427" s="13">
        <v>46573</v>
      </c>
      <c r="G427" s="8">
        <v>18613194</v>
      </c>
      <c r="I427" s="8">
        <v>4527423</v>
      </c>
      <c r="K427" s="8">
        <v>521375</v>
      </c>
      <c r="M427" s="8">
        <v>66557</v>
      </c>
      <c r="O427" s="8">
        <v>1750276</v>
      </c>
      <c r="Q427" s="8">
        <v>1304546</v>
      </c>
      <c r="S427" s="8">
        <v>170455</v>
      </c>
      <c r="U427" s="8">
        <v>2755052</v>
      </c>
      <c r="W427" s="8">
        <v>864132</v>
      </c>
      <c r="Y427" s="8">
        <v>3548</v>
      </c>
      <c r="AA427" s="8">
        <v>3531454</v>
      </c>
      <c r="AC427" s="8">
        <v>2241113</v>
      </c>
      <c r="AE427" s="8">
        <v>408012</v>
      </c>
      <c r="AF427" s="138"/>
      <c r="AG427" s="13" t="s">
        <v>315</v>
      </c>
      <c r="AH427" s="13"/>
      <c r="AI427" s="13" t="s">
        <v>20</v>
      </c>
      <c r="AJ427" s="13"/>
      <c r="AK427" s="8">
        <v>1190268</v>
      </c>
      <c r="AM427" s="8">
        <v>132282</v>
      </c>
      <c r="AO427" s="8">
        <v>1703493</v>
      </c>
      <c r="AQ427" s="8">
        <v>1317744</v>
      </c>
      <c r="AU427" s="8">
        <v>0</v>
      </c>
      <c r="AW427" s="8">
        <f t="shared" si="25"/>
        <v>41100924</v>
      </c>
      <c r="AY427" s="8">
        <f>+'St of Activites - GA Rev'!AI426-'St of Activities - GA Exp'!AW427</f>
        <v>8025527</v>
      </c>
      <c r="BA427" s="8">
        <v>18176802</v>
      </c>
      <c r="BC427" s="8">
        <f t="shared" ref="BC427:BC494" si="26">+AY427+BA427</f>
        <v>26202329</v>
      </c>
      <c r="BE427" s="8">
        <f>+'St of Net Assets - GA'!AA430-'St of Activities - GA Exp'!BC427</f>
        <v>0</v>
      </c>
    </row>
    <row r="428" spans="1:57">
      <c r="A428" s="12" t="s">
        <v>613</v>
      </c>
      <c r="B428" s="12"/>
      <c r="C428" s="12" t="s">
        <v>112</v>
      </c>
      <c r="D428" s="12"/>
      <c r="E428" s="32">
        <v>49478</v>
      </c>
      <c r="G428" s="8">
        <v>7061489</v>
      </c>
      <c r="H428" s="8"/>
      <c r="I428" s="8">
        <v>1292675</v>
      </c>
      <c r="J428" s="8"/>
      <c r="K428" s="8">
        <v>276117</v>
      </c>
      <c r="L428" s="8"/>
      <c r="M428" s="8">
        <v>372801</v>
      </c>
      <c r="N428" s="8"/>
      <c r="O428" s="8">
        <v>980183</v>
      </c>
      <c r="P428" s="8"/>
      <c r="Q428" s="8">
        <v>1013886</v>
      </c>
      <c r="R428" s="8"/>
      <c r="S428" s="8">
        <v>47715</v>
      </c>
      <c r="T428" s="8"/>
      <c r="U428" s="8">
        <v>1276302</v>
      </c>
      <c r="V428" s="8"/>
      <c r="W428" s="8">
        <v>561004</v>
      </c>
      <c r="X428" s="8"/>
      <c r="Y428" s="8">
        <v>0</v>
      </c>
      <c r="Z428" s="8"/>
      <c r="AA428" s="8">
        <v>2155369</v>
      </c>
      <c r="AB428" s="8"/>
      <c r="AC428" s="8">
        <v>944073</v>
      </c>
      <c r="AD428" s="8"/>
      <c r="AE428" s="8">
        <v>40659</v>
      </c>
      <c r="AF428" s="138"/>
      <c r="AG428" s="12" t="s">
        <v>613</v>
      </c>
      <c r="AH428" s="12"/>
      <c r="AI428" s="12" t="s">
        <v>112</v>
      </c>
      <c r="AJ428" s="12"/>
      <c r="AK428" s="8">
        <v>695087</v>
      </c>
      <c r="AL428" s="8"/>
      <c r="AM428" s="8">
        <v>21487</v>
      </c>
      <c r="AN428" s="8"/>
      <c r="AO428" s="8">
        <v>794311</v>
      </c>
      <c r="AP428" s="8"/>
      <c r="AQ428" s="8">
        <v>772935</v>
      </c>
      <c r="AR428" s="8"/>
      <c r="AS428" s="8"/>
      <c r="AT428" s="8"/>
      <c r="AU428" s="8">
        <v>0</v>
      </c>
      <c r="AV428" s="8"/>
      <c r="AW428" s="8">
        <f t="shared" si="25"/>
        <v>18306093</v>
      </c>
      <c r="AY428" s="8">
        <f>+'St of Activites - GA Rev'!AI427-'St of Activities - GA Exp'!AW428</f>
        <v>90237</v>
      </c>
      <c r="BA428" s="8">
        <v>14848563</v>
      </c>
      <c r="BC428" s="8">
        <f t="shared" si="26"/>
        <v>14938800</v>
      </c>
      <c r="BE428" s="8">
        <f>+'St of Net Assets - GA'!AA431-'St of Activities - GA Exp'!BC428</f>
        <v>0</v>
      </c>
    </row>
    <row r="429" spans="1:57">
      <c r="A429" s="12" t="s">
        <v>316</v>
      </c>
      <c r="B429" s="12"/>
      <c r="C429" s="12" t="s">
        <v>20</v>
      </c>
      <c r="D429" s="12"/>
      <c r="E429" s="32">
        <v>46581</v>
      </c>
      <c r="G429" s="8">
        <v>19320888</v>
      </c>
      <c r="H429" s="8"/>
      <c r="I429" s="8">
        <v>6374462</v>
      </c>
      <c r="J429" s="8"/>
      <c r="K429" s="8">
        <v>338162</v>
      </c>
      <c r="L429" s="8"/>
      <c r="M429" s="8">
        <v>0</v>
      </c>
      <c r="N429" s="8"/>
      <c r="O429" s="8">
        <v>3336127</v>
      </c>
      <c r="P429" s="8"/>
      <c r="Q429" s="8">
        <v>4081959</v>
      </c>
      <c r="R429" s="8"/>
      <c r="S429" s="8">
        <v>160757</v>
      </c>
      <c r="T429" s="8"/>
      <c r="U429" s="8">
        <v>2968787</v>
      </c>
      <c r="V429" s="8"/>
      <c r="W429" s="8">
        <v>1169115</v>
      </c>
      <c r="X429" s="8"/>
      <c r="Y429" s="8">
        <v>598414</v>
      </c>
      <c r="Z429" s="8"/>
      <c r="AA429" s="8">
        <v>5284630</v>
      </c>
      <c r="AB429" s="8"/>
      <c r="AC429" s="8">
        <v>3485290</v>
      </c>
      <c r="AD429" s="8"/>
      <c r="AE429" s="8">
        <v>1189474</v>
      </c>
      <c r="AF429" s="138"/>
      <c r="AG429" s="12" t="s">
        <v>316</v>
      </c>
      <c r="AH429" s="12"/>
      <c r="AI429" s="12" t="s">
        <v>20</v>
      </c>
      <c r="AJ429" s="12"/>
      <c r="AK429" s="8">
        <v>672018</v>
      </c>
      <c r="AL429" s="8"/>
      <c r="AM429" s="8">
        <v>714550</v>
      </c>
      <c r="AN429" s="8"/>
      <c r="AO429" s="8">
        <v>1608333</v>
      </c>
      <c r="AP429" s="8"/>
      <c r="AQ429" s="8">
        <v>1286551</v>
      </c>
      <c r="AR429" s="8"/>
      <c r="AS429" s="8"/>
      <c r="AT429" s="8"/>
      <c r="AU429" s="8">
        <v>0</v>
      </c>
      <c r="AV429" s="8"/>
      <c r="AW429" s="8">
        <f t="shared" si="25"/>
        <v>52589517</v>
      </c>
      <c r="AY429" s="8">
        <f>+'St of Activites - GA Rev'!AI428-'St of Activities - GA Exp'!AW429</f>
        <v>1643899</v>
      </c>
      <c r="BA429" s="8">
        <v>53214489</v>
      </c>
      <c r="BC429" s="8">
        <f t="shared" si="26"/>
        <v>54858388</v>
      </c>
      <c r="BE429" s="8">
        <f>+'St of Net Assets - GA'!AA432-'St of Activities - GA Exp'!BC429</f>
        <v>0</v>
      </c>
    </row>
    <row r="430" spans="1:57" ht="12" customHeight="1">
      <c r="A430" s="12" t="s">
        <v>498</v>
      </c>
      <c r="B430" s="12"/>
      <c r="C430" s="12" t="s">
        <v>117</v>
      </c>
      <c r="D430" s="12"/>
      <c r="E430" s="32">
        <v>44602</v>
      </c>
      <c r="G430" s="8">
        <v>17281147</v>
      </c>
      <c r="H430" s="8"/>
      <c r="I430" s="8">
        <v>4037987</v>
      </c>
      <c r="J430" s="8"/>
      <c r="K430" s="8">
        <v>3341229</v>
      </c>
      <c r="L430" s="8"/>
      <c r="M430" s="8">
        <f>829397+66097</f>
        <v>895494</v>
      </c>
      <c r="N430" s="8"/>
      <c r="O430" s="8">
        <v>1774831</v>
      </c>
      <c r="P430" s="8"/>
      <c r="Q430" s="8">
        <v>3223068</v>
      </c>
      <c r="R430" s="8"/>
      <c r="S430" s="8">
        <v>48341</v>
      </c>
      <c r="T430" s="8"/>
      <c r="U430" s="8">
        <v>3014858</v>
      </c>
      <c r="V430" s="8"/>
      <c r="W430" s="8">
        <v>942606</v>
      </c>
      <c r="X430" s="8"/>
      <c r="Y430" s="8">
        <v>292105</v>
      </c>
      <c r="Z430" s="8"/>
      <c r="AA430" s="8">
        <v>4541563</v>
      </c>
      <c r="AB430" s="8"/>
      <c r="AC430" s="8">
        <v>2073160</v>
      </c>
      <c r="AD430" s="8"/>
      <c r="AE430" s="8">
        <v>450</v>
      </c>
      <c r="AF430" s="138"/>
      <c r="AG430" s="12" t="s">
        <v>498</v>
      </c>
      <c r="AH430" s="12"/>
      <c r="AI430" s="12" t="s">
        <v>117</v>
      </c>
      <c r="AJ430" s="12"/>
      <c r="AK430" s="8">
        <v>1664925</v>
      </c>
      <c r="AL430" s="8"/>
      <c r="AM430" s="8">
        <v>206659</v>
      </c>
      <c r="AN430" s="8"/>
      <c r="AO430" s="8">
        <v>1001984</v>
      </c>
      <c r="AP430" s="8"/>
      <c r="AQ430" s="8">
        <v>1955232</v>
      </c>
      <c r="AR430" s="8"/>
      <c r="AS430" s="8"/>
      <c r="AT430" s="8"/>
      <c r="AU430" s="8">
        <v>0</v>
      </c>
      <c r="AV430" s="8"/>
      <c r="AW430" s="8">
        <f t="shared" si="25"/>
        <v>46295639</v>
      </c>
      <c r="AY430" s="8">
        <f>+'St of Activites - GA Rev'!AI429-'St of Activities - GA Exp'!AW430</f>
        <v>1627028</v>
      </c>
      <c r="BA430" s="8">
        <v>17528559</v>
      </c>
      <c r="BC430" s="8">
        <f t="shared" si="26"/>
        <v>19155587</v>
      </c>
      <c r="BE430" s="8">
        <f>+'St of Net Assets - GA'!AA433-'St of Activities - GA Exp'!BC430</f>
        <v>0</v>
      </c>
    </row>
    <row r="431" spans="1:57">
      <c r="A431" s="12" t="s">
        <v>723</v>
      </c>
      <c r="B431" s="12"/>
      <c r="C431" s="12" t="s">
        <v>71</v>
      </c>
      <c r="D431" s="12"/>
      <c r="E431" s="32">
        <v>44610</v>
      </c>
      <c r="G431" s="8">
        <v>7995633</v>
      </c>
      <c r="H431" s="8"/>
      <c r="I431" s="8">
        <v>1183107</v>
      </c>
      <c r="J431" s="8"/>
      <c r="K431" s="8">
        <v>182090</v>
      </c>
      <c r="L431" s="8"/>
      <c r="M431" s="8">
        <f>127625+888355</f>
        <v>1015980</v>
      </c>
      <c r="N431" s="8"/>
      <c r="O431" s="8">
        <v>862589</v>
      </c>
      <c r="P431" s="8"/>
      <c r="Q431" s="8">
        <v>842535</v>
      </c>
      <c r="R431" s="8"/>
      <c r="S431" s="8">
        <v>130252</v>
      </c>
      <c r="T431" s="8"/>
      <c r="U431" s="8">
        <v>1438946</v>
      </c>
      <c r="V431" s="8"/>
      <c r="W431" s="8">
        <v>419931</v>
      </c>
      <c r="X431" s="8"/>
      <c r="Y431" s="8">
        <v>96108</v>
      </c>
      <c r="Z431" s="8"/>
      <c r="AA431" s="8">
        <v>1349833</v>
      </c>
      <c r="AB431" s="8"/>
      <c r="AC431" s="8">
        <v>539401</v>
      </c>
      <c r="AD431" s="8"/>
      <c r="AE431" s="8">
        <v>51448</v>
      </c>
      <c r="AF431" s="138"/>
      <c r="AG431" s="12" t="s">
        <v>723</v>
      </c>
      <c r="AH431" s="12"/>
      <c r="AI431" s="12" t="s">
        <v>71</v>
      </c>
      <c r="AJ431" s="12"/>
      <c r="AK431" s="8">
        <v>701831</v>
      </c>
      <c r="AL431" s="8"/>
      <c r="AM431" s="8">
        <v>0</v>
      </c>
      <c r="AN431" s="8"/>
      <c r="AO431" s="8">
        <v>428401</v>
      </c>
      <c r="AP431" s="8"/>
      <c r="AQ431" s="8">
        <v>1195496</v>
      </c>
      <c r="AR431" s="8"/>
      <c r="AS431" s="8"/>
      <c r="AT431" s="8"/>
      <c r="AU431" s="8">
        <v>0</v>
      </c>
      <c r="AV431" s="8"/>
      <c r="AW431" s="8">
        <f t="shared" ref="AW431:AW494" si="27">SUM(G431:AV431)</f>
        <v>18433581</v>
      </c>
      <c r="AY431" s="8">
        <f>+'St of Activites - GA Rev'!AI430-'St of Activities - GA Exp'!AW431</f>
        <v>8261</v>
      </c>
      <c r="BA431" s="8">
        <v>3266001</v>
      </c>
      <c r="BC431" s="8">
        <f t="shared" si="26"/>
        <v>3274262</v>
      </c>
      <c r="BE431" s="8">
        <f>+'St of Net Assets - GA'!AA434-'St of Activities - GA Exp'!BC431</f>
        <v>0</v>
      </c>
    </row>
    <row r="432" spans="1:57">
      <c r="A432" s="12" t="s">
        <v>659</v>
      </c>
      <c r="B432" s="12"/>
      <c r="C432" s="12" t="s">
        <v>62</v>
      </c>
      <c r="D432" s="12"/>
      <c r="E432" s="32">
        <v>49916</v>
      </c>
      <c r="G432" s="8">
        <v>3649025</v>
      </c>
      <c r="H432" s="8"/>
      <c r="I432" s="8">
        <v>786975</v>
      </c>
      <c r="J432" s="8"/>
      <c r="K432" s="8">
        <v>148331</v>
      </c>
      <c r="L432" s="8"/>
      <c r="M432" s="8">
        <v>857554</v>
      </c>
      <c r="N432" s="8"/>
      <c r="O432" s="8">
        <v>299493</v>
      </c>
      <c r="P432" s="8"/>
      <c r="Q432" s="8">
        <v>171941</v>
      </c>
      <c r="R432" s="8"/>
      <c r="S432" s="8">
        <v>23296</v>
      </c>
      <c r="T432" s="8"/>
      <c r="U432" s="8">
        <v>732734</v>
      </c>
      <c r="V432" s="8"/>
      <c r="W432" s="8">
        <v>259738</v>
      </c>
      <c r="X432" s="8"/>
      <c r="Y432" s="8">
        <v>10880</v>
      </c>
      <c r="Z432" s="8"/>
      <c r="AA432" s="8">
        <v>713732</v>
      </c>
      <c r="AB432" s="8"/>
      <c r="AC432" s="8">
        <v>612475</v>
      </c>
      <c r="AD432" s="8"/>
      <c r="AE432" s="8">
        <v>25991</v>
      </c>
      <c r="AF432" s="138"/>
      <c r="AG432" s="12" t="s">
        <v>659</v>
      </c>
      <c r="AH432" s="12"/>
      <c r="AI432" s="12" t="s">
        <v>62</v>
      </c>
      <c r="AJ432" s="12"/>
      <c r="AK432" s="8">
        <v>356012</v>
      </c>
      <c r="AL432" s="8"/>
      <c r="AM432" s="8">
        <v>23659</v>
      </c>
      <c r="AN432" s="8"/>
      <c r="AO432" s="8">
        <v>457157</v>
      </c>
      <c r="AP432" s="8"/>
      <c r="AQ432" s="8">
        <v>368472</v>
      </c>
      <c r="AR432" s="8"/>
      <c r="AS432" s="8"/>
      <c r="AT432" s="8"/>
      <c r="AU432" s="8">
        <v>0</v>
      </c>
      <c r="AV432" s="8"/>
      <c r="AW432" s="8">
        <f t="shared" si="27"/>
        <v>9497465</v>
      </c>
      <c r="AY432" s="8">
        <f>+'St of Activites - GA Rev'!AI431-'St of Activities - GA Exp'!AW432</f>
        <v>-46210</v>
      </c>
      <c r="BA432" s="8">
        <v>20234235</v>
      </c>
      <c r="BC432" s="8">
        <f t="shared" si="26"/>
        <v>20188025</v>
      </c>
      <c r="BE432" s="8">
        <f>+'St of Net Assets - GA'!AA435-'St of Activities - GA Exp'!BC432</f>
        <v>0</v>
      </c>
    </row>
    <row r="433" spans="1:59">
      <c r="A433" s="12" t="s">
        <v>737</v>
      </c>
      <c r="B433" s="12"/>
      <c r="C433" s="12" t="s">
        <v>72</v>
      </c>
      <c r="D433" s="12"/>
      <c r="E433" s="32">
        <v>50724</v>
      </c>
      <c r="G433" s="8">
        <v>7359184</v>
      </c>
      <c r="H433" s="8"/>
      <c r="I433" s="8">
        <v>2375799</v>
      </c>
      <c r="J433" s="8"/>
      <c r="K433" s="8">
        <v>50174</v>
      </c>
      <c r="L433" s="8"/>
      <c r="M433" s="8">
        <v>0</v>
      </c>
      <c r="N433" s="8"/>
      <c r="O433" s="8">
        <v>675162</v>
      </c>
      <c r="P433" s="8"/>
      <c r="Q433" s="8">
        <v>731183</v>
      </c>
      <c r="R433" s="8"/>
      <c r="S433" s="8">
        <v>20265</v>
      </c>
      <c r="T433" s="8"/>
      <c r="U433" s="8">
        <v>1168869</v>
      </c>
      <c r="V433" s="8"/>
      <c r="W433" s="8">
        <v>381398</v>
      </c>
      <c r="X433" s="8"/>
      <c r="Y433" s="8">
        <v>1128</v>
      </c>
      <c r="Z433" s="8"/>
      <c r="AA433" s="8">
        <v>1270012</v>
      </c>
      <c r="AB433" s="8"/>
      <c r="AC433" s="8">
        <v>878227</v>
      </c>
      <c r="AD433" s="8"/>
      <c r="AE433" s="8">
        <v>0</v>
      </c>
      <c r="AF433" s="138"/>
      <c r="AG433" s="12" t="s">
        <v>737</v>
      </c>
      <c r="AH433" s="12"/>
      <c r="AI433" s="12" t="s">
        <v>72</v>
      </c>
      <c r="AJ433" s="12"/>
      <c r="AK433" s="8">
        <v>0</v>
      </c>
      <c r="AL433" s="8"/>
      <c r="AM433" s="8">
        <v>683810</v>
      </c>
      <c r="AN433" s="8"/>
      <c r="AO433" s="8">
        <v>438657</v>
      </c>
      <c r="AP433" s="8"/>
      <c r="AQ433" s="8">
        <v>804129</v>
      </c>
      <c r="AR433" s="8"/>
      <c r="AS433" s="8"/>
      <c r="AT433" s="8"/>
      <c r="AU433" s="8">
        <v>0</v>
      </c>
      <c r="AV433" s="8"/>
      <c r="AW433" s="8">
        <f t="shared" si="27"/>
        <v>16837997</v>
      </c>
      <c r="AY433" s="8">
        <f>+'St of Activites - GA Rev'!AI432-'St of Activities - GA Exp'!AW433</f>
        <v>-229326</v>
      </c>
      <c r="BA433" s="8">
        <v>5975487</v>
      </c>
      <c r="BC433" s="8">
        <f t="shared" si="26"/>
        <v>5746161</v>
      </c>
      <c r="BE433" s="8">
        <f>+'St of Net Assets - GA'!AA436-'St of Activities - GA Exp'!BC433</f>
        <v>0</v>
      </c>
    </row>
    <row r="434" spans="1:59">
      <c r="A434" s="12" t="s">
        <v>499</v>
      </c>
      <c r="B434" s="12"/>
      <c r="C434" s="12" t="s">
        <v>117</v>
      </c>
      <c r="D434" s="12"/>
      <c r="E434" s="32">
        <v>48215</v>
      </c>
      <c r="G434" s="8">
        <v>9237267</v>
      </c>
      <c r="H434" s="8"/>
      <c r="I434" s="8">
        <v>0</v>
      </c>
      <c r="J434" s="8"/>
      <c r="K434" s="8">
        <v>0</v>
      </c>
      <c r="L434" s="8"/>
      <c r="M434" s="8">
        <v>0</v>
      </c>
      <c r="N434" s="8"/>
      <c r="O434" s="8">
        <v>717748</v>
      </c>
      <c r="P434" s="8"/>
      <c r="Q434" s="8">
        <v>593476</v>
      </c>
      <c r="R434" s="8"/>
      <c r="S434" s="8">
        <v>24564</v>
      </c>
      <c r="T434" s="8"/>
      <c r="U434" s="8">
        <v>970906</v>
      </c>
      <c r="V434" s="8"/>
      <c r="W434" s="8">
        <v>466461</v>
      </c>
      <c r="X434" s="8"/>
      <c r="Y434" s="8">
        <v>0</v>
      </c>
      <c r="Z434" s="8"/>
      <c r="AA434" s="8">
        <v>1635137</v>
      </c>
      <c r="AB434" s="8"/>
      <c r="AC434" s="8">
        <v>49482</v>
      </c>
      <c r="AD434" s="8"/>
      <c r="AE434" s="8">
        <v>50433</v>
      </c>
      <c r="AF434" s="138"/>
      <c r="AG434" s="12" t="s">
        <v>499</v>
      </c>
      <c r="AH434" s="12"/>
      <c r="AI434" s="12" t="s">
        <v>117</v>
      </c>
      <c r="AJ434" s="12"/>
      <c r="AK434" s="8">
        <v>0</v>
      </c>
      <c r="AL434" s="8"/>
      <c r="AM434" s="8">
        <v>368955</v>
      </c>
      <c r="AN434" s="8"/>
      <c r="AO434" s="8">
        <v>661345</v>
      </c>
      <c r="AP434" s="8"/>
      <c r="AQ434" s="8">
        <v>175869</v>
      </c>
      <c r="AR434" s="8"/>
      <c r="AS434" s="8"/>
      <c r="AT434" s="8"/>
      <c r="AU434" s="8">
        <v>0</v>
      </c>
      <c r="AV434" s="8"/>
      <c r="AW434" s="8">
        <f t="shared" si="27"/>
        <v>14951643</v>
      </c>
      <c r="AY434" s="8">
        <f>+'St of Activites - GA Rev'!AI433-'St of Activities - GA Exp'!AW434</f>
        <v>-105593</v>
      </c>
      <c r="BA434" s="8">
        <v>7206861</v>
      </c>
      <c r="BC434" s="8">
        <f t="shared" si="26"/>
        <v>7101268</v>
      </c>
      <c r="BE434" s="8">
        <f>+'St of Net Assets - GA'!AA437-'St of Activities - GA Exp'!BC434</f>
        <v>0</v>
      </c>
      <c r="BG434" s="10" t="s">
        <v>1009</v>
      </c>
    </row>
    <row r="435" spans="1:59" ht="12" hidden="1" customHeight="1">
      <c r="A435" s="108" t="s">
        <v>1047</v>
      </c>
      <c r="B435" s="12"/>
      <c r="C435" s="12" t="s">
        <v>603</v>
      </c>
      <c r="D435" s="12"/>
      <c r="E435" s="32">
        <v>49379</v>
      </c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138"/>
      <c r="AG435" s="12" t="s">
        <v>606</v>
      </c>
      <c r="AH435" s="12"/>
      <c r="AI435" s="12" t="s">
        <v>603</v>
      </c>
      <c r="AJ435" s="12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>
        <f t="shared" si="27"/>
        <v>0</v>
      </c>
      <c r="AY435" s="8">
        <f>+'St of Activites - GA Rev'!AI434-'St of Activities - GA Exp'!AW435</f>
        <v>0</v>
      </c>
      <c r="BC435" s="8">
        <f t="shared" si="26"/>
        <v>0</v>
      </c>
      <c r="BE435" s="8">
        <f>+'St of Net Assets - GA'!AA438-'St of Activities - GA Exp'!BC435</f>
        <v>0</v>
      </c>
    </row>
    <row r="436" spans="1:59" ht="12" hidden="1" customHeight="1">
      <c r="A436" s="108" t="s">
        <v>1046</v>
      </c>
      <c r="B436" s="12"/>
      <c r="C436" s="12" t="s">
        <v>603</v>
      </c>
      <c r="D436" s="12"/>
      <c r="E436" s="32">
        <v>49387</v>
      </c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138"/>
      <c r="AG436" s="12" t="s">
        <v>607</v>
      </c>
      <c r="AH436" s="12"/>
      <c r="AI436" s="12" t="s">
        <v>603</v>
      </c>
      <c r="AJ436" s="12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>
        <f t="shared" si="27"/>
        <v>0</v>
      </c>
      <c r="AY436" s="8">
        <f>+'St of Activites - GA Rev'!AI435-'St of Activities - GA Exp'!AW436</f>
        <v>0</v>
      </c>
      <c r="BC436" s="8">
        <f t="shared" si="26"/>
        <v>0</v>
      </c>
      <c r="BE436" s="8">
        <f>+'St of Net Assets - GA'!AA439-'St of Activities - GA Exp'!BC436</f>
        <v>0</v>
      </c>
    </row>
    <row r="437" spans="1:59">
      <c r="A437" s="12" t="s">
        <v>461</v>
      </c>
      <c r="B437" s="12"/>
      <c r="C437" s="12" t="s">
        <v>41</v>
      </c>
      <c r="D437" s="12"/>
      <c r="E437" s="32">
        <v>44628</v>
      </c>
      <c r="G437" s="8">
        <v>13903231</v>
      </c>
      <c r="H437" s="8"/>
      <c r="I437" s="8">
        <v>4936315</v>
      </c>
      <c r="J437" s="8"/>
      <c r="K437" s="8">
        <v>334567</v>
      </c>
      <c r="L437" s="8"/>
      <c r="M437" s="8">
        <v>2851734</v>
      </c>
      <c r="N437" s="8"/>
      <c r="O437" s="8">
        <v>2370043</v>
      </c>
      <c r="P437" s="8"/>
      <c r="Q437" s="8">
        <v>2306819</v>
      </c>
      <c r="R437" s="8"/>
      <c r="S437" s="8">
        <v>120868</v>
      </c>
      <c r="T437" s="8"/>
      <c r="U437" s="8">
        <v>3917052</v>
      </c>
      <c r="V437" s="8"/>
      <c r="W437" s="8">
        <v>631284</v>
      </c>
      <c r="X437" s="8"/>
      <c r="Y437" s="8">
        <v>91279</v>
      </c>
      <c r="Z437" s="8"/>
      <c r="AA437" s="8">
        <v>3034051</v>
      </c>
      <c r="AB437" s="8"/>
      <c r="AC437" s="8">
        <v>1474016</v>
      </c>
      <c r="AD437" s="8"/>
      <c r="AE437" s="8">
        <v>443628</v>
      </c>
      <c r="AF437" s="138"/>
      <c r="AG437" s="12" t="s">
        <v>461</v>
      </c>
      <c r="AH437" s="12"/>
      <c r="AI437" s="12" t="s">
        <v>41</v>
      </c>
      <c r="AJ437" s="12"/>
      <c r="AK437" s="8">
        <v>0</v>
      </c>
      <c r="AL437" s="8"/>
      <c r="AM437" s="8">
        <v>2336739</v>
      </c>
      <c r="AN437" s="8"/>
      <c r="AO437" s="8">
        <v>637084</v>
      </c>
      <c r="AP437" s="8"/>
      <c r="AQ437" s="8">
        <v>1427532</v>
      </c>
      <c r="AR437" s="8"/>
      <c r="AS437" s="8"/>
      <c r="AT437" s="8"/>
      <c r="AU437" s="8">
        <v>0</v>
      </c>
      <c r="AV437" s="8"/>
      <c r="AW437" s="8">
        <f t="shared" si="27"/>
        <v>40816242</v>
      </c>
      <c r="AY437" s="8">
        <f>+'St of Activites - GA Rev'!AI436-'St of Activities - GA Exp'!AW437</f>
        <v>8758103</v>
      </c>
      <c r="BA437" s="8">
        <v>63294475</v>
      </c>
      <c r="BC437" s="8">
        <f t="shared" si="26"/>
        <v>72052578</v>
      </c>
      <c r="BE437" s="8">
        <f>+'St of Net Assets - GA'!AA440-'St of Activities - GA Exp'!BC437</f>
        <v>0</v>
      </c>
    </row>
    <row r="438" spans="1:59" ht="12" hidden="1" customHeight="1">
      <c r="A438" s="12" t="s">
        <v>1003</v>
      </c>
      <c r="B438" s="12"/>
      <c r="C438" s="12" t="s">
        <v>41</v>
      </c>
      <c r="D438" s="12"/>
      <c r="E438" s="32">
        <v>47894</v>
      </c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138"/>
      <c r="AG438" s="12" t="s">
        <v>462</v>
      </c>
      <c r="AH438" s="12"/>
      <c r="AI438" s="12" t="s">
        <v>41</v>
      </c>
      <c r="AJ438" s="12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>
        <f t="shared" si="27"/>
        <v>0</v>
      </c>
      <c r="AY438" s="8">
        <f>+'St of Activites - GA Rev'!AI437-'St of Activities - GA Exp'!AW438</f>
        <v>0</v>
      </c>
      <c r="BC438" s="8">
        <f t="shared" si="26"/>
        <v>0</v>
      </c>
      <c r="BE438" s="8">
        <f>+'St of Net Assets - GA'!AA441-'St of Activities - GA Exp'!BC438</f>
        <v>0</v>
      </c>
      <c r="BG438" s="8" t="s">
        <v>1029</v>
      </c>
    </row>
    <row r="439" spans="1:59" ht="12" customHeight="1">
      <c r="A439" s="12" t="s">
        <v>619</v>
      </c>
      <c r="B439" s="12"/>
      <c r="C439" s="12" t="s">
        <v>58</v>
      </c>
      <c r="D439" s="12"/>
      <c r="E439" s="32">
        <v>49510</v>
      </c>
      <c r="G439" s="8">
        <v>4853880</v>
      </c>
      <c r="H439" s="8"/>
      <c r="I439" s="8">
        <v>1444313</v>
      </c>
      <c r="J439" s="8"/>
      <c r="K439" s="8">
        <v>1469</v>
      </c>
      <c r="L439" s="8"/>
      <c r="M439" s="8">
        <v>772527</v>
      </c>
      <c r="N439" s="8"/>
      <c r="O439" s="8">
        <v>330896</v>
      </c>
      <c r="P439" s="8"/>
      <c r="Q439" s="8">
        <v>256216</v>
      </c>
      <c r="R439" s="8"/>
      <c r="S439" s="8">
        <v>180083</v>
      </c>
      <c r="T439" s="8"/>
      <c r="U439" s="8">
        <v>618924</v>
      </c>
      <c r="V439" s="8"/>
      <c r="W439" s="8">
        <v>282796</v>
      </c>
      <c r="X439" s="8"/>
      <c r="Y439" s="8">
        <v>0</v>
      </c>
      <c r="Z439" s="8"/>
      <c r="AA439" s="8">
        <v>1040005</v>
      </c>
      <c r="AB439" s="8"/>
      <c r="AC439" s="8">
        <v>579628</v>
      </c>
      <c r="AD439" s="8"/>
      <c r="AE439" s="8">
        <v>0</v>
      </c>
      <c r="AF439" s="138"/>
      <c r="AG439" s="12" t="s">
        <v>619</v>
      </c>
      <c r="AH439" s="12"/>
      <c r="AI439" s="12" t="s">
        <v>58</v>
      </c>
      <c r="AJ439" s="12"/>
      <c r="AK439" s="8">
        <v>0</v>
      </c>
      <c r="AL439" s="8"/>
      <c r="AM439" s="8">
        <v>325866</v>
      </c>
      <c r="AN439" s="8"/>
      <c r="AO439" s="8">
        <v>275094</v>
      </c>
      <c r="AP439" s="8"/>
      <c r="AQ439" s="8">
        <v>91695</v>
      </c>
      <c r="AR439" s="8"/>
      <c r="AS439" s="8"/>
      <c r="AT439" s="8"/>
      <c r="AU439" s="8">
        <v>0</v>
      </c>
      <c r="AV439" s="8"/>
      <c r="AW439" s="8">
        <f t="shared" si="27"/>
        <v>11053392</v>
      </c>
      <c r="AY439" s="8">
        <f>+'St of Activites - GA Rev'!AI438-'St of Activities - GA Exp'!AW439</f>
        <v>298296</v>
      </c>
      <c r="BA439" s="8">
        <v>20922361</v>
      </c>
      <c r="BC439" s="8">
        <f t="shared" si="26"/>
        <v>21220657</v>
      </c>
      <c r="BE439" s="8">
        <f>+'St of Net Assets - GA'!AA442-'St of Activities - GA Exp'!BC439</f>
        <v>0</v>
      </c>
      <c r="BG439" s="8" t="s">
        <v>956</v>
      </c>
    </row>
    <row r="440" spans="1:59" ht="12" hidden="1" customHeight="1">
      <c r="A440" s="91" t="s">
        <v>1004</v>
      </c>
      <c r="B440" s="12"/>
      <c r="C440" s="12" t="s">
        <v>603</v>
      </c>
      <c r="D440" s="12"/>
      <c r="E440" s="32">
        <v>49395</v>
      </c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138"/>
      <c r="AG440" s="12" t="s">
        <v>608</v>
      </c>
      <c r="AH440" s="12"/>
      <c r="AI440" s="12" t="s">
        <v>603</v>
      </c>
      <c r="AJ440" s="12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>
        <f t="shared" si="27"/>
        <v>0</v>
      </c>
      <c r="AY440" s="8">
        <f>+'St of Activites - GA Rev'!AI439-'St of Activities - GA Exp'!AW440</f>
        <v>0</v>
      </c>
      <c r="BC440" s="8">
        <f t="shared" si="26"/>
        <v>0</v>
      </c>
      <c r="BE440" s="8">
        <f>+'St of Net Assets - GA'!AA443-'St of Activities - GA Exp'!BC440</f>
        <v>0</v>
      </c>
    </row>
    <row r="441" spans="1:59" ht="12" hidden="1" customHeight="1">
      <c r="A441" s="12" t="s">
        <v>1005</v>
      </c>
      <c r="B441" s="12"/>
      <c r="C441" s="12" t="s">
        <v>534</v>
      </c>
      <c r="D441" s="12"/>
      <c r="E441" s="32">
        <v>48579</v>
      </c>
      <c r="G441" s="8">
        <v>4393755</v>
      </c>
      <c r="H441" s="8"/>
      <c r="I441" s="8">
        <v>2123060</v>
      </c>
      <c r="J441" s="8"/>
      <c r="K441" s="8">
        <v>192266</v>
      </c>
      <c r="L441" s="8"/>
      <c r="M441" s="8">
        <v>14799</v>
      </c>
      <c r="N441" s="8"/>
      <c r="O441" s="8">
        <v>289428</v>
      </c>
      <c r="P441" s="8"/>
      <c r="Q441" s="8">
        <v>490602</v>
      </c>
      <c r="R441" s="8"/>
      <c r="S441" s="8">
        <v>14803</v>
      </c>
      <c r="T441" s="8"/>
      <c r="U441" s="8">
        <v>776378</v>
      </c>
      <c r="V441" s="8"/>
      <c r="W441" s="8">
        <v>362265</v>
      </c>
      <c r="X441" s="8"/>
      <c r="Y441" s="8"/>
      <c r="Z441" s="8"/>
      <c r="AA441" s="8">
        <v>1035013</v>
      </c>
      <c r="AB441" s="8"/>
      <c r="AC441" s="8">
        <v>451648</v>
      </c>
      <c r="AD441" s="8"/>
      <c r="AE441" s="8">
        <v>41140</v>
      </c>
      <c r="AF441" s="138"/>
      <c r="AG441" s="12" t="s">
        <v>535</v>
      </c>
      <c r="AH441" s="12"/>
      <c r="AI441" s="12" t="s">
        <v>534</v>
      </c>
      <c r="AJ441" s="12"/>
      <c r="AK441" s="8">
        <v>416550</v>
      </c>
      <c r="AL441" s="8"/>
      <c r="AM441" s="8">
        <v>64189</v>
      </c>
      <c r="AN441" s="8"/>
      <c r="AO441" s="8">
        <v>324203</v>
      </c>
      <c r="AP441" s="8"/>
      <c r="AQ441" s="8"/>
      <c r="AR441" s="8"/>
      <c r="AS441" s="8"/>
      <c r="AT441" s="8"/>
      <c r="AU441" s="8">
        <f>50843+325000+429349</f>
        <v>805192</v>
      </c>
      <c r="AV441" s="8"/>
      <c r="AW441" s="8">
        <f t="shared" si="27"/>
        <v>11795291</v>
      </c>
      <c r="AY441" s="8">
        <f>+'St of Activites - GA Rev'!AI440-'St of Activities - GA Exp'!AW441</f>
        <v>54143</v>
      </c>
      <c r="BA441" s="8">
        <v>5557499</v>
      </c>
      <c r="BC441" s="8">
        <f t="shared" si="26"/>
        <v>5611642</v>
      </c>
      <c r="BE441" s="8">
        <f>+'St of Net Assets - GA'!AA444-'St of Activities - GA Exp'!BC441</f>
        <v>0</v>
      </c>
    </row>
    <row r="442" spans="1:59">
      <c r="A442" s="12" t="s">
        <v>317</v>
      </c>
      <c r="B442" s="12"/>
      <c r="C442" s="12" t="s">
        <v>20</v>
      </c>
      <c r="D442" s="12"/>
      <c r="E442" s="32">
        <v>44636</v>
      </c>
      <c r="G442" s="8">
        <v>65226656</v>
      </c>
      <c r="H442" s="8"/>
      <c r="I442" s="8">
        <v>19384887</v>
      </c>
      <c r="J442" s="8"/>
      <c r="K442" s="8">
        <v>3849418</v>
      </c>
      <c r="L442" s="8"/>
      <c r="M442" s="8">
        <f>127830+142599</f>
        <v>270429</v>
      </c>
      <c r="N442" s="8"/>
      <c r="O442" s="8">
        <v>9586270</v>
      </c>
      <c r="P442" s="8"/>
      <c r="Q442" s="8">
        <v>6492174</v>
      </c>
      <c r="R442" s="8"/>
      <c r="S442" s="8">
        <v>1037891</v>
      </c>
      <c r="T442" s="8"/>
      <c r="U442" s="8">
        <v>12277352</v>
      </c>
      <c r="V442" s="8"/>
      <c r="W442" s="8">
        <v>2419024</v>
      </c>
      <c r="X442" s="8"/>
      <c r="Y442" s="8">
        <v>1264997</v>
      </c>
      <c r="Z442" s="8"/>
      <c r="AA442" s="8">
        <v>13034090</v>
      </c>
      <c r="AB442" s="8"/>
      <c r="AC442" s="8">
        <v>6730868</v>
      </c>
      <c r="AD442" s="8"/>
      <c r="AE442" s="8">
        <v>2829210</v>
      </c>
      <c r="AF442" s="138"/>
      <c r="AG442" s="12" t="s">
        <v>317</v>
      </c>
      <c r="AH442" s="12"/>
      <c r="AI442" s="12" t="s">
        <v>20</v>
      </c>
      <c r="AJ442" s="12"/>
      <c r="AK442" s="8">
        <v>4223187</v>
      </c>
      <c r="AL442" s="8"/>
      <c r="AM442" s="8">
        <f>4438049+109491+1190753</f>
        <v>5738293</v>
      </c>
      <c r="AN442" s="8"/>
      <c r="AO442" s="8">
        <v>3209617</v>
      </c>
      <c r="AP442" s="8"/>
      <c r="AQ442" s="8">
        <v>2194907</v>
      </c>
      <c r="AR442" s="8"/>
      <c r="AS442" s="8"/>
      <c r="AT442" s="8"/>
      <c r="AU442" s="8">
        <v>0</v>
      </c>
      <c r="AV442" s="8"/>
      <c r="AW442" s="8">
        <f t="shared" si="27"/>
        <v>159769270</v>
      </c>
      <c r="AY442" s="8">
        <f>+'St of Activites - GA Rev'!AI441-'St of Activities - GA Exp'!AW442</f>
        <v>-6469270</v>
      </c>
      <c r="BA442" s="8">
        <v>36863609</v>
      </c>
      <c r="BC442" s="8">
        <f t="shared" si="26"/>
        <v>30394339</v>
      </c>
      <c r="BE442" s="8">
        <f>+'St of Net Assets - GA'!AA445-'St of Activities - GA Exp'!BC442</f>
        <v>5661</v>
      </c>
      <c r="BG442" s="10" t="s">
        <v>1000</v>
      </c>
    </row>
    <row r="443" spans="1:59">
      <c r="A443" s="12" t="s">
        <v>433</v>
      </c>
      <c r="B443" s="12"/>
      <c r="C443" s="12" t="s">
        <v>34</v>
      </c>
      <c r="D443" s="12"/>
      <c r="E443" s="32">
        <v>47597</v>
      </c>
      <c r="G443" s="8">
        <v>4912748</v>
      </c>
      <c r="H443" s="8"/>
      <c r="I443" s="8">
        <v>1251296</v>
      </c>
      <c r="J443" s="8"/>
      <c r="K443" s="8">
        <v>4608</v>
      </c>
      <c r="L443" s="8"/>
      <c r="M443" s="8">
        <v>404335</v>
      </c>
      <c r="N443" s="8"/>
      <c r="O443" s="8">
        <v>465050</v>
      </c>
      <c r="P443" s="8"/>
      <c r="Q443" s="8">
        <v>543105</v>
      </c>
      <c r="R443" s="8"/>
      <c r="S443" s="8">
        <v>34383</v>
      </c>
      <c r="T443" s="8"/>
      <c r="U443" s="8">
        <v>1036310</v>
      </c>
      <c r="V443" s="8"/>
      <c r="W443" s="8">
        <v>346512</v>
      </c>
      <c r="X443" s="8"/>
      <c r="Y443" s="8">
        <v>123949</v>
      </c>
      <c r="Z443" s="8"/>
      <c r="AA443" s="8">
        <v>980920</v>
      </c>
      <c r="AB443" s="8"/>
      <c r="AC443" s="8">
        <v>542568</v>
      </c>
      <c r="AD443" s="8"/>
      <c r="AE443" s="8">
        <v>228418</v>
      </c>
      <c r="AF443" s="138"/>
      <c r="AG443" s="12" t="s">
        <v>433</v>
      </c>
      <c r="AH443" s="12"/>
      <c r="AI443" s="12" t="s">
        <v>34</v>
      </c>
      <c r="AJ443" s="12"/>
      <c r="AK443" s="8">
        <v>0</v>
      </c>
      <c r="AL443" s="8"/>
      <c r="AM443" s="8">
        <v>457249</v>
      </c>
      <c r="AN443" s="8"/>
      <c r="AO443" s="8">
        <v>486907</v>
      </c>
      <c r="AP443" s="8"/>
      <c r="AQ443" s="8">
        <v>180449</v>
      </c>
      <c r="AR443" s="8"/>
      <c r="AS443" s="8"/>
      <c r="AT443" s="8"/>
      <c r="AU443" s="8">
        <v>276295</v>
      </c>
      <c r="AV443" s="8"/>
      <c r="AW443" s="8">
        <f t="shared" si="27"/>
        <v>12275102</v>
      </c>
      <c r="AY443" s="8">
        <f>+'St of Activites - GA Rev'!AI442-'St of Activities - GA Exp'!AW443</f>
        <v>-232990</v>
      </c>
      <c r="BA443" s="8">
        <v>12035900</v>
      </c>
      <c r="BC443" s="8">
        <f t="shared" si="26"/>
        <v>11802910</v>
      </c>
      <c r="BE443" s="8">
        <f>+'St of Net Assets - GA'!AA446-'St of Activities - GA Exp'!BC443</f>
        <v>0</v>
      </c>
    </row>
    <row r="444" spans="1:59" ht="12" hidden="1" customHeight="1">
      <c r="A444" s="12" t="s">
        <v>1007</v>
      </c>
      <c r="B444" s="12"/>
      <c r="C444" s="12" t="s">
        <v>576</v>
      </c>
      <c r="D444" s="12"/>
      <c r="E444" s="32">
        <v>45575</v>
      </c>
      <c r="G444" s="8">
        <v>7736535</v>
      </c>
      <c r="H444" s="8"/>
      <c r="I444" s="8">
        <v>1752772</v>
      </c>
      <c r="J444" s="8"/>
      <c r="K444" s="8">
        <v>14732</v>
      </c>
      <c r="L444" s="8"/>
      <c r="M444" s="8"/>
      <c r="N444" s="8"/>
      <c r="O444" s="8">
        <v>647626</v>
      </c>
      <c r="P444" s="8"/>
      <c r="Q444" s="8">
        <v>635804</v>
      </c>
      <c r="R444" s="8"/>
      <c r="S444" s="8">
        <v>65277</v>
      </c>
      <c r="T444" s="8"/>
      <c r="U444" s="8">
        <v>1136385</v>
      </c>
      <c r="V444" s="8"/>
      <c r="W444" s="8">
        <v>493422</v>
      </c>
      <c r="X444" s="8"/>
      <c r="Y444" s="8">
        <v>84005</v>
      </c>
      <c r="Z444" s="8"/>
      <c r="AA444" s="8">
        <v>1303194</v>
      </c>
      <c r="AB444" s="8"/>
      <c r="AC444" s="8">
        <v>841416</v>
      </c>
      <c r="AD444" s="8"/>
      <c r="AE444" s="8">
        <v>5750</v>
      </c>
      <c r="AF444" s="138"/>
      <c r="AG444" s="12" t="s">
        <v>577</v>
      </c>
      <c r="AH444" s="12"/>
      <c r="AI444" s="12" t="s">
        <v>576</v>
      </c>
      <c r="AJ444" s="12"/>
      <c r="AK444" s="8"/>
      <c r="AL444" s="8"/>
      <c r="AM444" s="8">
        <v>582147</v>
      </c>
      <c r="AN444" s="8"/>
      <c r="AO444" s="8">
        <v>424456</v>
      </c>
      <c r="AP444" s="8"/>
      <c r="AQ444" s="8">
        <v>389684</v>
      </c>
      <c r="AR444" s="8"/>
      <c r="AS444" s="8"/>
      <c r="AT444" s="8"/>
      <c r="AU444" s="8">
        <f>203377+198906</f>
        <v>402283</v>
      </c>
      <c r="AV444" s="8"/>
      <c r="AW444" s="8">
        <f t="shared" si="27"/>
        <v>16515488</v>
      </c>
      <c r="AY444" s="8">
        <f>+'St of Activites - GA Rev'!AI443-'St of Activities - GA Exp'!AW444</f>
        <v>856533</v>
      </c>
      <c r="BA444" s="8">
        <v>2538111</v>
      </c>
      <c r="BC444" s="8">
        <f t="shared" si="26"/>
        <v>3394644</v>
      </c>
      <c r="BE444" s="8">
        <f>+'St of Net Assets - GA'!AA447-'St of Activities - GA Exp'!BC444</f>
        <v>0</v>
      </c>
    </row>
    <row r="445" spans="1:59">
      <c r="A445" s="12" t="s">
        <v>340</v>
      </c>
      <c r="B445" s="12"/>
      <c r="C445" s="12" t="s">
        <v>24</v>
      </c>
      <c r="D445" s="12"/>
      <c r="E445" s="32">
        <v>46813</v>
      </c>
      <c r="G445" s="8">
        <v>10698634</v>
      </c>
      <c r="H445" s="8"/>
      <c r="I445" s="8">
        <v>2835625</v>
      </c>
      <c r="J445" s="8"/>
      <c r="K445" s="8">
        <v>154784</v>
      </c>
      <c r="L445" s="8"/>
      <c r="M445" s="8">
        <v>408419</v>
      </c>
      <c r="N445" s="8"/>
      <c r="O445" s="8">
        <v>1657484</v>
      </c>
      <c r="P445" s="8"/>
      <c r="Q445" s="8">
        <v>1128098</v>
      </c>
      <c r="R445" s="8"/>
      <c r="S445" s="8">
        <v>23256</v>
      </c>
      <c r="T445" s="8"/>
      <c r="U445" s="8">
        <v>1460435</v>
      </c>
      <c r="V445" s="8"/>
      <c r="W445" s="8">
        <v>581201</v>
      </c>
      <c r="X445" s="8"/>
      <c r="Y445" s="8">
        <v>12014</v>
      </c>
      <c r="Z445" s="8"/>
      <c r="AA445" s="8">
        <v>2105584</v>
      </c>
      <c r="AB445" s="8"/>
      <c r="AC445" s="8">
        <v>901425</v>
      </c>
      <c r="AD445" s="8"/>
      <c r="AE445" s="8">
        <v>71113</v>
      </c>
      <c r="AF445" s="138"/>
      <c r="AG445" s="12" t="s">
        <v>340</v>
      </c>
      <c r="AH445" s="12"/>
      <c r="AI445" s="12" t="s">
        <v>24</v>
      </c>
      <c r="AJ445" s="12"/>
      <c r="AK445" s="8">
        <v>929462</v>
      </c>
      <c r="AL445" s="8"/>
      <c r="AM445" s="8">
        <v>50304</v>
      </c>
      <c r="AN445" s="8"/>
      <c r="AO445" s="8">
        <v>718799</v>
      </c>
      <c r="AP445" s="8"/>
      <c r="AQ445" s="8">
        <v>124169</v>
      </c>
      <c r="AR445" s="8"/>
      <c r="AS445" s="8"/>
      <c r="AT445" s="8"/>
      <c r="AU445" s="8">
        <v>0</v>
      </c>
      <c r="AV445" s="8"/>
      <c r="AW445" s="8">
        <f t="shared" si="27"/>
        <v>23860806</v>
      </c>
      <c r="AY445" s="8">
        <f>+'St of Activites - GA Rev'!AI444-'St of Activities - GA Exp'!AW445</f>
        <v>1967560</v>
      </c>
      <c r="BA445" s="8">
        <v>11530568</v>
      </c>
      <c r="BC445" s="8">
        <f t="shared" si="26"/>
        <v>13498128</v>
      </c>
      <c r="BE445" s="8">
        <f>+'St of Net Assets - GA'!AA448-'St of Activities - GA Exp'!BC445</f>
        <v>0</v>
      </c>
    </row>
    <row r="446" spans="1:59" hidden="1">
      <c r="A446" s="12" t="s">
        <v>1008</v>
      </c>
      <c r="B446" s="12"/>
      <c r="C446" s="12" t="s">
        <v>10</v>
      </c>
      <c r="D446" s="12"/>
      <c r="E446" s="32"/>
      <c r="G446" s="8">
        <v>2886120</v>
      </c>
      <c r="H446" s="8"/>
      <c r="I446" s="8">
        <v>834602</v>
      </c>
      <c r="J446" s="8"/>
      <c r="K446" s="8">
        <v>912804</v>
      </c>
      <c r="L446" s="8"/>
      <c r="M446" s="8"/>
      <c r="N446" s="8"/>
      <c r="O446" s="8">
        <v>194042</v>
      </c>
      <c r="P446" s="8"/>
      <c r="Q446" s="8">
        <v>237809</v>
      </c>
      <c r="R446" s="8"/>
      <c r="S446" s="8">
        <v>32168</v>
      </c>
      <c r="T446" s="8"/>
      <c r="U446" s="8">
        <v>593508</v>
      </c>
      <c r="V446" s="8"/>
      <c r="W446" s="8">
        <v>248131</v>
      </c>
      <c r="X446" s="8"/>
      <c r="Y446" s="8"/>
      <c r="Z446" s="8"/>
      <c r="AA446" s="8">
        <v>764758</v>
      </c>
      <c r="AB446" s="8"/>
      <c r="AC446" s="8">
        <v>327285</v>
      </c>
      <c r="AD446" s="8"/>
      <c r="AE446" s="8">
        <v>2240</v>
      </c>
      <c r="AF446" s="138"/>
      <c r="AG446" s="12" t="s">
        <v>1008</v>
      </c>
      <c r="AH446" s="12"/>
      <c r="AI446" s="12" t="s">
        <v>10</v>
      </c>
      <c r="AJ446" s="12"/>
      <c r="AK446" s="8">
        <v>417694</v>
      </c>
      <c r="AL446" s="8"/>
      <c r="AM446" s="8"/>
      <c r="AN446" s="8"/>
      <c r="AO446" s="8">
        <v>294021</v>
      </c>
      <c r="AP446" s="8"/>
      <c r="AQ446" s="8"/>
      <c r="AR446" s="8"/>
      <c r="AS446" s="8"/>
      <c r="AT446" s="8"/>
      <c r="AU446" s="8">
        <f>173184+203164+35745</f>
        <v>412093</v>
      </c>
      <c r="AV446" s="8"/>
      <c r="AW446" s="8">
        <f t="shared" si="27"/>
        <v>8157275</v>
      </c>
      <c r="AY446" s="8">
        <f>+'St of Activites - GA Rev'!AI445-'St of Activities - GA Exp'!AW446</f>
        <v>-69032</v>
      </c>
      <c r="BA446" s="8">
        <v>3145585</v>
      </c>
      <c r="BC446" s="8">
        <f t="shared" si="26"/>
        <v>3076553</v>
      </c>
      <c r="BE446" s="8">
        <f>+'St of Net Assets - GA'!AA449-'St of Activities - GA Exp'!BC446</f>
        <v>0</v>
      </c>
    </row>
    <row r="447" spans="1:59" ht="12" customHeight="1">
      <c r="A447" s="12" t="s">
        <v>211</v>
      </c>
      <c r="B447" s="12"/>
      <c r="C447" s="12" t="s">
        <v>41</v>
      </c>
      <c r="D447" s="12"/>
      <c r="E447" s="32">
        <v>47902</v>
      </c>
      <c r="G447" s="8">
        <v>14536488</v>
      </c>
      <c r="H447" s="8"/>
      <c r="I447" s="8">
        <v>1320251</v>
      </c>
      <c r="J447" s="8"/>
      <c r="K447" s="8">
        <v>120587</v>
      </c>
      <c r="L447" s="8"/>
      <c r="M447" s="8">
        <v>770761</v>
      </c>
      <c r="N447" s="8"/>
      <c r="O447" s="8">
        <v>1031255</v>
      </c>
      <c r="P447" s="8"/>
      <c r="Q447" s="8">
        <v>1532979</v>
      </c>
      <c r="R447" s="8"/>
      <c r="S447" s="8">
        <v>86509</v>
      </c>
      <c r="T447" s="8"/>
      <c r="U447" s="8">
        <v>1702892</v>
      </c>
      <c r="V447" s="8"/>
      <c r="W447" s="8">
        <v>790862</v>
      </c>
      <c r="X447" s="8"/>
      <c r="Y447" s="8">
        <v>115727</v>
      </c>
      <c r="Z447" s="8"/>
      <c r="AA447" s="8">
        <v>4255754</v>
      </c>
      <c r="AB447" s="8"/>
      <c r="AC447" s="8">
        <v>1479169</v>
      </c>
      <c r="AD447" s="8"/>
      <c r="AE447" s="8">
        <v>37888</v>
      </c>
      <c r="AF447" s="138"/>
      <c r="AG447" s="12" t="s">
        <v>211</v>
      </c>
      <c r="AH447" s="12"/>
      <c r="AI447" s="12" t="s">
        <v>41</v>
      </c>
      <c r="AJ447" s="12"/>
      <c r="AK447" s="8">
        <v>968702</v>
      </c>
      <c r="AL447" s="8"/>
      <c r="AM447" s="8">
        <f>189723+194898+16138</f>
        <v>400759</v>
      </c>
      <c r="AN447" s="8"/>
      <c r="AO447" s="8">
        <v>1351305</v>
      </c>
      <c r="AP447" s="8"/>
      <c r="AQ447" s="8">
        <v>83295</v>
      </c>
      <c r="AR447" s="8"/>
      <c r="AS447" s="8"/>
      <c r="AT447" s="8"/>
      <c r="AU447" s="8">
        <v>0</v>
      </c>
      <c r="AV447" s="8"/>
      <c r="AW447" s="8">
        <f t="shared" si="27"/>
        <v>30585183</v>
      </c>
      <c r="AY447" s="8">
        <f>+'St of Activites - GA Rev'!AI446-'St of Activities - GA Exp'!AW447</f>
        <v>-940162</v>
      </c>
      <c r="BA447" s="8">
        <v>79755901</v>
      </c>
      <c r="BC447" s="8">
        <f t="shared" si="26"/>
        <v>78815739</v>
      </c>
      <c r="BE447" s="8">
        <f>+'St of Net Assets - GA'!AA450-'St of Activities - GA Exp'!BC447</f>
        <v>0</v>
      </c>
    </row>
    <row r="448" spans="1:59">
      <c r="A448" s="12" t="s">
        <v>211</v>
      </c>
      <c r="B448" s="12"/>
      <c r="C448" s="12" t="s">
        <v>62</v>
      </c>
      <c r="D448" s="12"/>
      <c r="E448" s="32">
        <v>49924</v>
      </c>
      <c r="G448" s="8">
        <v>18955120</v>
      </c>
      <c r="H448" s="8"/>
      <c r="I448" s="8">
        <v>4306702</v>
      </c>
      <c r="J448" s="8"/>
      <c r="K448" s="8">
        <v>2277302</v>
      </c>
      <c r="L448" s="8"/>
      <c r="M448" s="8">
        <f>23080+312779+4746</f>
        <v>340605</v>
      </c>
      <c r="N448" s="8"/>
      <c r="O448" s="8">
        <v>3050957</v>
      </c>
      <c r="P448" s="8"/>
      <c r="Q448" s="8">
        <v>1675466</v>
      </c>
      <c r="R448" s="8"/>
      <c r="S448" s="8">
        <v>138644</v>
      </c>
      <c r="T448" s="8"/>
      <c r="U448" s="8">
        <v>3094305</v>
      </c>
      <c r="V448" s="8"/>
      <c r="W448" s="8">
        <v>743797</v>
      </c>
      <c r="X448" s="8"/>
      <c r="Y448" s="8">
        <v>197222</v>
      </c>
      <c r="Z448" s="8"/>
      <c r="AA448" s="8">
        <v>4103671</v>
      </c>
      <c r="AB448" s="8"/>
      <c r="AC448" s="8">
        <v>2021390</v>
      </c>
      <c r="AD448" s="8"/>
      <c r="AE448" s="8">
        <v>508852</v>
      </c>
      <c r="AF448" s="138"/>
      <c r="AG448" s="12" t="s">
        <v>211</v>
      </c>
      <c r="AH448" s="12"/>
      <c r="AI448" s="12" t="s">
        <v>62</v>
      </c>
      <c r="AJ448" s="12"/>
      <c r="AK448" s="8">
        <v>0</v>
      </c>
      <c r="AL448" s="8"/>
      <c r="AM448" s="8">
        <v>2152677</v>
      </c>
      <c r="AN448" s="8"/>
      <c r="AO448" s="8">
        <v>1174069</v>
      </c>
      <c r="AP448" s="8"/>
      <c r="AQ448" s="8">
        <v>15451</v>
      </c>
      <c r="AR448" s="8"/>
      <c r="AS448" s="8"/>
      <c r="AT448" s="8"/>
      <c r="AU448" s="8">
        <v>0</v>
      </c>
      <c r="AV448" s="8"/>
      <c r="AW448" s="8">
        <f>SUM(G448:AV448)</f>
        <v>44756230</v>
      </c>
      <c r="AY448" s="8">
        <f>+'St of Activites - GA Rev'!AI447-'St of Activities - GA Exp'!AW448</f>
        <v>3160189</v>
      </c>
      <c r="BA448" s="8">
        <v>42857252</v>
      </c>
      <c r="BC448" s="8">
        <f t="shared" si="26"/>
        <v>46017441</v>
      </c>
      <c r="BE448" s="8">
        <f>+'St of Net Assets - GA'!AA451-'St of Activities - GA Exp'!BC448</f>
        <v>0</v>
      </c>
    </row>
    <row r="449" spans="1:59">
      <c r="A449" s="12" t="s">
        <v>738</v>
      </c>
      <c r="B449" s="12"/>
      <c r="C449" s="12" t="s">
        <v>72</v>
      </c>
      <c r="D449" s="12"/>
      <c r="E449" s="32">
        <v>45583</v>
      </c>
      <c r="G449" s="8">
        <v>23677966</v>
      </c>
      <c r="H449" s="8"/>
      <c r="I449" s="8">
        <v>4826671</v>
      </c>
      <c r="J449" s="8"/>
      <c r="K449" s="8">
        <v>0</v>
      </c>
      <c r="L449" s="8"/>
      <c r="M449" s="8">
        <v>269637</v>
      </c>
      <c r="N449" s="8"/>
      <c r="O449" s="8">
        <v>2695319</v>
      </c>
      <c r="P449" s="8"/>
      <c r="Q449" s="8">
        <v>777257</v>
      </c>
      <c r="R449" s="8"/>
      <c r="S449" s="8">
        <v>42434</v>
      </c>
      <c r="T449" s="8"/>
      <c r="U449" s="8">
        <v>2680131</v>
      </c>
      <c r="V449" s="8"/>
      <c r="W449" s="8">
        <v>922620</v>
      </c>
      <c r="X449" s="8"/>
      <c r="Y449" s="8">
        <v>181487</v>
      </c>
      <c r="Z449" s="8"/>
      <c r="AA449" s="8">
        <v>4499705</v>
      </c>
      <c r="AB449" s="8"/>
      <c r="AC449" s="8">
        <v>1730304</v>
      </c>
      <c r="AD449" s="8"/>
      <c r="AE449" s="8">
        <v>133208</v>
      </c>
      <c r="AF449" s="138"/>
      <c r="AG449" s="12" t="s">
        <v>738</v>
      </c>
      <c r="AH449" s="12"/>
      <c r="AI449" s="12" t="s">
        <v>72</v>
      </c>
      <c r="AJ449" s="12"/>
      <c r="AK449" s="8">
        <v>1833301</v>
      </c>
      <c r="AL449" s="8"/>
      <c r="AM449" s="8">
        <f>403760+209133</f>
        <v>612893</v>
      </c>
      <c r="AN449" s="8"/>
      <c r="AO449" s="8">
        <v>1564634</v>
      </c>
      <c r="AP449" s="8"/>
      <c r="AQ449" s="8">
        <v>1562210</v>
      </c>
      <c r="AR449" s="8"/>
      <c r="AS449" s="8"/>
      <c r="AT449" s="8"/>
      <c r="AU449" s="8">
        <v>0</v>
      </c>
      <c r="AV449" s="8"/>
      <c r="AW449" s="8">
        <f t="shared" si="27"/>
        <v>48009777</v>
      </c>
      <c r="AY449" s="8">
        <f>+'St of Activites - GA Rev'!AI448-'St of Activities - GA Exp'!AW449</f>
        <v>-157903</v>
      </c>
      <c r="BA449" s="8">
        <v>16995183</v>
      </c>
      <c r="BC449" s="8">
        <f t="shared" si="26"/>
        <v>16837280</v>
      </c>
      <c r="BE449" s="8">
        <f>+'St of Net Assets - GA'!AA452-'St of Activities - GA Exp'!BC449</f>
        <v>0</v>
      </c>
    </row>
    <row r="450" spans="1:59">
      <c r="A450" s="12" t="s">
        <v>371</v>
      </c>
      <c r="B450" s="12"/>
      <c r="C450" s="12" t="s">
        <v>28</v>
      </c>
      <c r="D450" s="12"/>
      <c r="E450" s="32">
        <v>47076</v>
      </c>
      <c r="G450" s="8">
        <v>2401882</v>
      </c>
      <c r="H450" s="8"/>
      <c r="I450" s="8">
        <v>392039</v>
      </c>
      <c r="J450" s="8"/>
      <c r="K450" s="8">
        <v>196826</v>
      </c>
      <c r="L450" s="8"/>
      <c r="M450" s="8">
        <v>30595</v>
      </c>
      <c r="N450" s="8"/>
      <c r="O450" s="8">
        <v>143623</v>
      </c>
      <c r="P450" s="8"/>
      <c r="Q450" s="8">
        <v>146484</v>
      </c>
      <c r="R450" s="8"/>
      <c r="S450" s="8">
        <v>15436</v>
      </c>
      <c r="T450" s="8"/>
      <c r="U450" s="8">
        <v>503796</v>
      </c>
      <c r="V450" s="8"/>
      <c r="W450" s="8">
        <v>207018</v>
      </c>
      <c r="X450" s="8"/>
      <c r="Y450" s="8">
        <v>939</v>
      </c>
      <c r="Z450" s="8"/>
      <c r="AA450" s="8">
        <v>424744</v>
      </c>
      <c r="AB450" s="8"/>
      <c r="AC450" s="8">
        <v>238216</v>
      </c>
      <c r="AD450" s="8"/>
      <c r="AE450" s="8">
        <v>73229</v>
      </c>
      <c r="AF450" s="138"/>
      <c r="AG450" s="12" t="s">
        <v>371</v>
      </c>
      <c r="AH450" s="12"/>
      <c r="AI450" s="12" t="s">
        <v>28</v>
      </c>
      <c r="AJ450" s="12"/>
      <c r="AK450" s="8">
        <v>0</v>
      </c>
      <c r="AL450" s="8"/>
      <c r="AM450" s="8">
        <v>251997</v>
      </c>
      <c r="AN450" s="8"/>
      <c r="AO450" s="8">
        <v>438952</v>
      </c>
      <c r="AP450" s="8"/>
      <c r="AQ450" s="8">
        <v>126429</v>
      </c>
      <c r="AR450" s="8"/>
      <c r="AS450" s="8"/>
      <c r="AT450" s="8"/>
      <c r="AU450" s="8">
        <v>213933</v>
      </c>
      <c r="AV450" s="8"/>
      <c r="AW450" s="8">
        <f t="shared" si="27"/>
        <v>5806138</v>
      </c>
      <c r="AY450" s="8">
        <f>+'St of Activites - GA Rev'!AI449-'St of Activities - GA Exp'!AW450</f>
        <v>1700832</v>
      </c>
      <c r="BA450" s="8">
        <v>3705950</v>
      </c>
      <c r="BC450" s="8">
        <f t="shared" si="26"/>
        <v>5406782</v>
      </c>
      <c r="BE450" s="8">
        <f>+'St of Net Assets - GA'!AA453-'St of Activities - GA Exp'!BC450</f>
        <v>0</v>
      </c>
      <c r="BG450" s="8" t="s">
        <v>956</v>
      </c>
    </row>
    <row r="451" spans="1:59">
      <c r="A451" s="12" t="s">
        <v>349</v>
      </c>
      <c r="B451" s="12"/>
      <c r="C451" s="12" t="s">
        <v>25</v>
      </c>
      <c r="D451" s="12"/>
      <c r="E451" s="32">
        <v>46896</v>
      </c>
      <c r="G451" s="8">
        <v>49069735</v>
      </c>
      <c r="H451" s="8"/>
      <c r="I451" s="8">
        <v>7847020</v>
      </c>
      <c r="J451" s="8"/>
      <c r="K451" s="8">
        <v>1115837</v>
      </c>
      <c r="L451" s="8"/>
      <c r="M451" s="8">
        <v>2824261</v>
      </c>
      <c r="N451" s="8"/>
      <c r="O451" s="8">
        <v>4669725</v>
      </c>
      <c r="P451" s="8"/>
      <c r="Q451" s="8">
        <v>6755547</v>
      </c>
      <c r="R451" s="8"/>
      <c r="S451" s="8">
        <v>528045</v>
      </c>
      <c r="T451" s="8"/>
      <c r="U451" s="8">
        <v>7916045</v>
      </c>
      <c r="V451" s="8"/>
      <c r="W451" s="8">
        <v>1718035</v>
      </c>
      <c r="X451" s="8"/>
      <c r="Y451" s="8">
        <v>624827</v>
      </c>
      <c r="Z451" s="8"/>
      <c r="AA451" s="8">
        <v>9375277</v>
      </c>
      <c r="AB451" s="8"/>
      <c r="AC451" s="8">
        <v>5034148</v>
      </c>
      <c r="AD451" s="8"/>
      <c r="AE451" s="8">
        <v>176045</v>
      </c>
      <c r="AF451" s="138"/>
      <c r="AG451" s="12" t="s">
        <v>349</v>
      </c>
      <c r="AH451" s="12"/>
      <c r="AI451" s="12" t="s">
        <v>25</v>
      </c>
      <c r="AJ451" s="12"/>
      <c r="AK451" s="8">
        <v>4134640</v>
      </c>
      <c r="AL451" s="8"/>
      <c r="AM451" s="8">
        <v>72379</v>
      </c>
      <c r="AN451" s="8"/>
      <c r="AO451" s="8">
        <v>2799921</v>
      </c>
      <c r="AP451" s="8"/>
      <c r="AQ451" s="8">
        <v>8870980</v>
      </c>
      <c r="AR451" s="8"/>
      <c r="AS451" s="8"/>
      <c r="AT451" s="8"/>
      <c r="AU451" s="8">
        <v>0</v>
      </c>
      <c r="AV451" s="8"/>
      <c r="AW451" s="8">
        <f t="shared" si="27"/>
        <v>113532467</v>
      </c>
      <c r="AY451" s="8">
        <f>+'St of Activites - GA Rev'!AI450-'St of Activities - GA Exp'!AW451</f>
        <v>55360641</v>
      </c>
      <c r="BA451" s="8">
        <v>26957772</v>
      </c>
      <c r="BC451" s="8">
        <f t="shared" si="26"/>
        <v>82318413</v>
      </c>
      <c r="BE451" s="8">
        <f>+'St of Net Assets - GA'!AA454-'St of Activities - GA Exp'!BC451</f>
        <v>0</v>
      </c>
    </row>
    <row r="452" spans="1:59">
      <c r="A452" s="12" t="s">
        <v>372</v>
      </c>
      <c r="B452" s="12"/>
      <c r="C452" s="12" t="s">
        <v>28</v>
      </c>
      <c r="D452" s="12"/>
      <c r="E452" s="32">
        <v>47084</v>
      </c>
      <c r="G452" s="8">
        <v>6485292</v>
      </c>
      <c r="H452" s="8"/>
      <c r="I452" s="8">
        <v>1765260</v>
      </c>
      <c r="J452" s="8"/>
      <c r="K452" s="8">
        <v>140694</v>
      </c>
      <c r="L452" s="8"/>
      <c r="M452" s="8">
        <v>0</v>
      </c>
      <c r="N452" s="8"/>
      <c r="O452" s="8">
        <v>671862</v>
      </c>
      <c r="P452" s="8"/>
      <c r="Q452" s="8">
        <v>709290</v>
      </c>
      <c r="R452" s="8"/>
      <c r="S452" s="8">
        <v>23697</v>
      </c>
      <c r="T452" s="8"/>
      <c r="U452" s="8">
        <v>1006309</v>
      </c>
      <c r="V452" s="8"/>
      <c r="W452" s="8">
        <v>373581</v>
      </c>
      <c r="X452" s="8"/>
      <c r="Y452" s="8">
        <v>48193</v>
      </c>
      <c r="Z452" s="8"/>
      <c r="AA452" s="8">
        <v>1478719</v>
      </c>
      <c r="AB452" s="8"/>
      <c r="AC452" s="8">
        <v>893072</v>
      </c>
      <c r="AD452" s="8"/>
      <c r="AE452" s="8">
        <v>78174</v>
      </c>
      <c r="AF452" s="138"/>
      <c r="AG452" s="13" t="s">
        <v>372</v>
      </c>
      <c r="AH452" s="13"/>
      <c r="AI452" s="13" t="s">
        <v>28</v>
      </c>
      <c r="AJ452" s="13"/>
      <c r="AK452" s="8">
        <v>0</v>
      </c>
      <c r="AL452" s="8"/>
      <c r="AM452" s="8">
        <v>537171</v>
      </c>
      <c r="AN452" s="8"/>
      <c r="AO452" s="8">
        <v>608210</v>
      </c>
      <c r="AP452" s="8"/>
      <c r="AQ452" s="8">
        <v>597953</v>
      </c>
      <c r="AR452" s="8"/>
      <c r="AS452" s="8"/>
      <c r="AT452" s="8"/>
      <c r="AU452" s="8">
        <v>0</v>
      </c>
      <c r="AV452" s="8"/>
      <c r="AW452" s="8">
        <f t="shared" si="27"/>
        <v>15417477</v>
      </c>
      <c r="AY452" s="8">
        <f>+'St of Activites - GA Rev'!AI451-'St of Activities - GA Exp'!AW452</f>
        <v>13539693</v>
      </c>
      <c r="BA452" s="8">
        <v>14507598</v>
      </c>
      <c r="BC452" s="8">
        <f t="shared" si="26"/>
        <v>28047291</v>
      </c>
      <c r="BE452" s="8">
        <f>+'St of Net Assets - GA'!AA455-'St of Activities - GA Exp'!BC452</f>
        <v>0</v>
      </c>
    </row>
    <row r="453" spans="1:59">
      <c r="A453" s="12" t="s">
        <v>540</v>
      </c>
      <c r="B453" s="12"/>
      <c r="C453" s="12" t="s">
        <v>48</v>
      </c>
      <c r="D453" s="12"/>
      <c r="E453" s="32">
        <v>44644</v>
      </c>
      <c r="G453" s="8">
        <v>19185487</v>
      </c>
      <c r="H453" s="8"/>
      <c r="I453" s="8">
        <v>0</v>
      </c>
      <c r="J453" s="8"/>
      <c r="K453" s="8">
        <v>0</v>
      </c>
      <c r="L453" s="8"/>
      <c r="M453" s="8">
        <v>0</v>
      </c>
      <c r="N453" s="8"/>
      <c r="O453" s="8">
        <v>1563984</v>
      </c>
      <c r="P453" s="8"/>
      <c r="Q453" s="8">
        <v>1954338</v>
      </c>
      <c r="R453" s="8"/>
      <c r="S453" s="8">
        <v>32189</v>
      </c>
      <c r="T453" s="8"/>
      <c r="U453" s="8">
        <v>2330316</v>
      </c>
      <c r="V453" s="8"/>
      <c r="W453" s="8">
        <v>382588</v>
      </c>
      <c r="X453" s="8"/>
      <c r="Y453" s="8">
        <v>56246</v>
      </c>
      <c r="Z453" s="8"/>
      <c r="AA453" s="8">
        <v>2903991</v>
      </c>
      <c r="AB453" s="8"/>
      <c r="AC453" s="8">
        <v>1262006</v>
      </c>
      <c r="AD453" s="8"/>
      <c r="AE453" s="8">
        <v>211194</v>
      </c>
      <c r="AF453" s="138"/>
      <c r="AG453" s="12" t="s">
        <v>540</v>
      </c>
      <c r="AH453" s="12"/>
      <c r="AI453" s="12" t="s">
        <v>48</v>
      </c>
      <c r="AJ453" s="12"/>
      <c r="AK453" s="8">
        <v>1808378</v>
      </c>
      <c r="AL453" s="8"/>
      <c r="AM453" s="8">
        <v>295329</v>
      </c>
      <c r="AN453" s="8"/>
      <c r="AO453" s="8">
        <v>790688</v>
      </c>
      <c r="AP453" s="8"/>
      <c r="AQ453" s="8">
        <v>552623</v>
      </c>
      <c r="AR453" s="8"/>
      <c r="AS453" s="8"/>
      <c r="AT453" s="8"/>
      <c r="AU453" s="8">
        <v>0</v>
      </c>
      <c r="AV453" s="8"/>
      <c r="AW453" s="8">
        <f t="shared" si="27"/>
        <v>33329357</v>
      </c>
      <c r="AY453" s="8">
        <f>+'St of Activites - GA Rev'!AI452-'St of Activities - GA Exp'!AW453</f>
        <v>3203501</v>
      </c>
      <c r="BA453" s="8">
        <v>26228516</v>
      </c>
      <c r="BC453" s="8">
        <f t="shared" si="26"/>
        <v>29432017</v>
      </c>
      <c r="BE453" s="8">
        <f>+'St of Net Assets - GA'!AA456-'St of Activities - GA Exp'!BC453</f>
        <v>0</v>
      </c>
      <c r="BG453" s="10" t="s">
        <v>1009</v>
      </c>
    </row>
    <row r="454" spans="1:59" ht="12" hidden="1" customHeight="1">
      <c r="A454" s="77" t="s">
        <v>1010</v>
      </c>
      <c r="B454" s="12"/>
      <c r="C454" s="12" t="s">
        <v>27</v>
      </c>
      <c r="D454" s="12"/>
      <c r="E454" s="32">
        <v>46995</v>
      </c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138"/>
      <c r="AG454" s="12" t="s">
        <v>361</v>
      </c>
      <c r="AH454" s="12"/>
      <c r="AI454" s="12" t="s">
        <v>27</v>
      </c>
      <c r="AJ454" s="12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>
        <f t="shared" si="27"/>
        <v>0</v>
      </c>
      <c r="AY454" s="8">
        <f>+'St of Activites - GA Rev'!AI453-'St of Activities - GA Exp'!AW454</f>
        <v>0</v>
      </c>
      <c r="BC454" s="8">
        <f t="shared" si="26"/>
        <v>0</v>
      </c>
      <c r="BE454" s="8">
        <f>+'St of Net Assets - GA'!AA457-'St of Activities - GA Exp'!BC454</f>
        <v>0</v>
      </c>
      <c r="BG454" s="8" t="s">
        <v>1011</v>
      </c>
    </row>
    <row r="455" spans="1:59">
      <c r="A455" s="12" t="s">
        <v>361</v>
      </c>
      <c r="B455" s="12"/>
      <c r="C455" s="12" t="s">
        <v>62</v>
      </c>
      <c r="D455" s="12"/>
      <c r="E455" s="32">
        <v>49932</v>
      </c>
      <c r="G455" s="8">
        <v>25277086</v>
      </c>
      <c r="H455" s="8"/>
      <c r="I455" s="8">
        <v>5377978</v>
      </c>
      <c r="J455" s="8"/>
      <c r="K455" s="8">
        <v>1997502</v>
      </c>
      <c r="L455" s="8"/>
      <c r="M455" s="8">
        <f>4418+297706</f>
        <v>302124</v>
      </c>
      <c r="N455" s="8"/>
      <c r="O455" s="8">
        <v>2962909</v>
      </c>
      <c r="P455" s="8"/>
      <c r="Q455" s="8">
        <v>3962851</v>
      </c>
      <c r="R455" s="8"/>
      <c r="S455" s="8">
        <v>95845</v>
      </c>
      <c r="T455" s="8"/>
      <c r="U455" s="8">
        <v>3717664</v>
      </c>
      <c r="V455" s="8"/>
      <c r="W455" s="8">
        <v>915475</v>
      </c>
      <c r="X455" s="8"/>
      <c r="Y455" s="8">
        <v>15753</v>
      </c>
      <c r="Z455" s="8"/>
      <c r="AA455" s="8">
        <v>4797454</v>
      </c>
      <c r="AB455" s="8"/>
      <c r="AC455" s="8">
        <v>2069306</v>
      </c>
      <c r="AD455" s="8"/>
      <c r="AE455" s="8">
        <v>216407</v>
      </c>
      <c r="AF455" s="138"/>
      <c r="AG455" s="12" t="s">
        <v>361</v>
      </c>
      <c r="AH455" s="12"/>
      <c r="AI455" s="12" t="s">
        <v>62</v>
      </c>
      <c r="AJ455" s="12"/>
      <c r="AK455" s="8">
        <v>2392061</v>
      </c>
      <c r="AL455" s="8"/>
      <c r="AM455" s="8">
        <v>665350</v>
      </c>
      <c r="AN455" s="8"/>
      <c r="AO455" s="8">
        <v>1064028</v>
      </c>
      <c r="AP455" s="8"/>
      <c r="AQ455" s="8">
        <v>2607515</v>
      </c>
      <c r="AR455" s="8"/>
      <c r="AS455" s="8"/>
      <c r="AT455" s="8"/>
      <c r="AU455" s="8">
        <v>0</v>
      </c>
      <c r="AV455" s="8"/>
      <c r="AW455" s="8">
        <f t="shared" si="27"/>
        <v>58437308</v>
      </c>
      <c r="AY455" s="8">
        <f>+'St of Activites - GA Rev'!AI454-'St of Activities - GA Exp'!AW455</f>
        <v>-1856738</v>
      </c>
      <c r="BA455" s="8">
        <v>22063186</v>
      </c>
      <c r="BC455" s="8">
        <f t="shared" si="26"/>
        <v>20206448</v>
      </c>
      <c r="BE455" s="8">
        <f>+'St of Net Assets - GA'!AA458-'St of Activities - GA Exp'!BC455</f>
        <v>0</v>
      </c>
    </row>
    <row r="456" spans="1:59">
      <c r="A456" s="12" t="s">
        <v>522</v>
      </c>
      <c r="B456" s="12"/>
      <c r="C456" s="12" t="s">
        <v>46</v>
      </c>
      <c r="D456" s="12"/>
      <c r="E456" s="32">
        <v>48421</v>
      </c>
      <c r="G456" s="8">
        <v>7092025</v>
      </c>
      <c r="H456" s="8"/>
      <c r="I456" s="8">
        <v>859182</v>
      </c>
      <c r="J456" s="8"/>
      <c r="K456" s="8">
        <v>170223</v>
      </c>
      <c r="L456" s="8"/>
      <c r="M456" s="8">
        <v>19450</v>
      </c>
      <c r="N456" s="8"/>
      <c r="O456" s="8">
        <v>460749</v>
      </c>
      <c r="P456" s="8"/>
      <c r="Q456" s="8">
        <v>365766</v>
      </c>
      <c r="R456" s="8"/>
      <c r="S456" s="8">
        <v>93717</v>
      </c>
      <c r="T456" s="8"/>
      <c r="U456" s="8">
        <v>1187316</v>
      </c>
      <c r="V456" s="8"/>
      <c r="W456" s="8">
        <v>334457</v>
      </c>
      <c r="X456" s="8"/>
      <c r="Y456" s="8">
        <v>0</v>
      </c>
      <c r="Z456" s="8"/>
      <c r="AA456" s="8">
        <v>1220733</v>
      </c>
      <c r="AB456" s="8"/>
      <c r="AC456" s="8">
        <v>469608</v>
      </c>
      <c r="AD456" s="8"/>
      <c r="AE456" s="8">
        <v>0</v>
      </c>
      <c r="AF456" s="138"/>
      <c r="AG456" s="12" t="s">
        <v>522</v>
      </c>
      <c r="AH456" s="12"/>
      <c r="AI456" s="12" t="s">
        <v>46</v>
      </c>
      <c r="AJ456" s="12"/>
      <c r="AK456" s="8">
        <v>0</v>
      </c>
      <c r="AL456" s="8"/>
      <c r="AM456" s="8">
        <v>510033</v>
      </c>
      <c r="AN456" s="8"/>
      <c r="AO456" s="8">
        <v>496591</v>
      </c>
      <c r="AP456" s="8"/>
      <c r="AQ456" s="8">
        <v>117217</v>
      </c>
      <c r="AR456" s="8"/>
      <c r="AS456" s="8"/>
      <c r="AT456" s="8"/>
      <c r="AU456" s="8">
        <v>0</v>
      </c>
      <c r="AV456" s="8"/>
      <c r="AW456" s="8">
        <f t="shared" si="27"/>
        <v>13397067</v>
      </c>
      <c r="AY456" s="8">
        <f>+'St of Activites - GA Rev'!AI455-'St of Activities - GA Exp'!AW456</f>
        <v>-265166</v>
      </c>
      <c r="BA456" s="8">
        <v>10485913</v>
      </c>
      <c r="BC456" s="8">
        <f t="shared" si="26"/>
        <v>10220747</v>
      </c>
      <c r="BE456" s="8">
        <f>+'St of Net Assets - GA'!AA459-'St of Activities - GA Exp'!BC456</f>
        <v>0</v>
      </c>
    </row>
    <row r="457" spans="1:59">
      <c r="A457" s="12" t="s">
        <v>614</v>
      </c>
      <c r="B457" s="12"/>
      <c r="C457" s="12" t="s">
        <v>112</v>
      </c>
      <c r="D457" s="12"/>
      <c r="E457" s="32">
        <v>49460</v>
      </c>
      <c r="G457" s="8">
        <v>3751192</v>
      </c>
      <c r="H457" s="8"/>
      <c r="I457" s="8">
        <v>1001112</v>
      </c>
      <c r="J457" s="8"/>
      <c r="K457" s="8">
        <v>214849</v>
      </c>
      <c r="L457" s="8"/>
      <c r="M457" s="8">
        <v>442593</v>
      </c>
      <c r="N457" s="8"/>
      <c r="O457" s="8">
        <v>441735</v>
      </c>
      <c r="P457" s="8"/>
      <c r="Q457" s="8">
        <v>429699</v>
      </c>
      <c r="R457" s="8"/>
      <c r="S457" s="8">
        <v>20512</v>
      </c>
      <c r="T457" s="8"/>
      <c r="U457" s="8">
        <v>781171</v>
      </c>
      <c r="V457" s="8"/>
      <c r="W457" s="8">
        <v>1050359</v>
      </c>
      <c r="X457" s="8"/>
      <c r="Y457" s="8">
        <v>4503</v>
      </c>
      <c r="Z457" s="8"/>
      <c r="AA457" s="8">
        <v>1328734</v>
      </c>
      <c r="AB457" s="8"/>
      <c r="AC457" s="8">
        <v>511573</v>
      </c>
      <c r="AD457" s="8"/>
      <c r="AE457" s="8">
        <v>59641</v>
      </c>
      <c r="AF457" s="138"/>
      <c r="AG457" s="12" t="s">
        <v>614</v>
      </c>
      <c r="AH457" s="12"/>
      <c r="AI457" s="12" t="s">
        <v>112</v>
      </c>
      <c r="AJ457" s="12"/>
      <c r="AK457" s="8">
        <v>525003</v>
      </c>
      <c r="AL457" s="8"/>
      <c r="AM457" s="8">
        <v>0</v>
      </c>
      <c r="AN457" s="8"/>
      <c r="AO457" s="8">
        <v>365609</v>
      </c>
      <c r="AP457" s="8"/>
      <c r="AQ457" s="8">
        <v>121203</v>
      </c>
      <c r="AR457" s="8"/>
      <c r="AS457" s="8"/>
      <c r="AT457" s="8"/>
      <c r="AU457" s="8">
        <v>14998</v>
      </c>
      <c r="AV457" s="8"/>
      <c r="AW457" s="8">
        <f t="shared" si="27"/>
        <v>11064486</v>
      </c>
      <c r="AY457" s="8">
        <f>+'St of Activites - GA Rev'!AI456-'St of Activities - GA Exp'!AW457</f>
        <v>-1297711</v>
      </c>
      <c r="BA457" s="8">
        <v>22678726</v>
      </c>
      <c r="BC457" s="8">
        <f t="shared" si="26"/>
        <v>21381015</v>
      </c>
      <c r="BE457" s="8">
        <f>+'St of Net Assets - GA'!AA460-'St of Activities - GA Exp'!BC457</f>
        <v>0</v>
      </c>
    </row>
    <row r="458" spans="1:59" ht="12" customHeight="1">
      <c r="A458" s="12" t="s">
        <v>1072</v>
      </c>
      <c r="B458" s="12"/>
      <c r="C458" s="12" t="s">
        <v>45</v>
      </c>
      <c r="D458" s="12"/>
      <c r="E458" s="32">
        <v>48348</v>
      </c>
      <c r="G458" s="8">
        <v>11070709</v>
      </c>
      <c r="H458" s="8"/>
      <c r="I458" s="8">
        <v>1454106</v>
      </c>
      <c r="J458" s="8"/>
      <c r="K458" s="8">
        <v>89832</v>
      </c>
      <c r="L458" s="8"/>
      <c r="M458" s="8">
        <f>107780+590</f>
        <v>108370</v>
      </c>
      <c r="N458" s="8"/>
      <c r="O458" s="8">
        <v>1244673</v>
      </c>
      <c r="P458" s="8"/>
      <c r="Q458" s="8">
        <v>420997</v>
      </c>
      <c r="R458" s="8"/>
      <c r="S458" s="8">
        <v>39415</v>
      </c>
      <c r="T458" s="8"/>
      <c r="U458" s="8">
        <v>1551479</v>
      </c>
      <c r="V458" s="8"/>
      <c r="W458" s="8">
        <v>565332</v>
      </c>
      <c r="X458" s="8"/>
      <c r="Y458" s="8">
        <v>480</v>
      </c>
      <c r="Z458" s="8"/>
      <c r="AA458" s="8">
        <v>2394156</v>
      </c>
      <c r="AB458" s="8"/>
      <c r="AC458" s="8">
        <v>1173514</v>
      </c>
      <c r="AD458" s="8"/>
      <c r="AE458" s="8">
        <v>12427</v>
      </c>
      <c r="AF458" s="138"/>
      <c r="AG458" s="12" t="s">
        <v>514</v>
      </c>
      <c r="AH458" s="12"/>
      <c r="AI458" s="12" t="s">
        <v>45</v>
      </c>
      <c r="AJ458" s="12"/>
      <c r="AK458" s="8">
        <v>800989</v>
      </c>
      <c r="AL458" s="8"/>
      <c r="AM458" s="8">
        <v>361781</v>
      </c>
      <c r="AN458" s="8"/>
      <c r="AO458" s="8">
        <v>683122</v>
      </c>
      <c r="AP458" s="8"/>
      <c r="AQ458" s="8">
        <v>607886</v>
      </c>
      <c r="AR458" s="8"/>
      <c r="AS458" s="8"/>
      <c r="AT458" s="8"/>
      <c r="AU458" s="8">
        <v>0</v>
      </c>
      <c r="AV458" s="8"/>
      <c r="AW458" s="8">
        <f t="shared" si="27"/>
        <v>22579268</v>
      </c>
      <c r="AY458" s="8">
        <f>+'St of Activites - GA Rev'!AI460-'St of Activities - GA Exp'!AW458</f>
        <v>-9181</v>
      </c>
      <c r="BA458" s="8">
        <v>2755515</v>
      </c>
      <c r="BC458" s="8">
        <f t="shared" si="26"/>
        <v>2746334</v>
      </c>
      <c r="BE458" s="8">
        <f>+'St of Net Assets - GA'!AA461-'St of Activities - GA Exp'!BC458</f>
        <v>-100</v>
      </c>
      <c r="BG458" s="15" t="s">
        <v>1012</v>
      </c>
    </row>
    <row r="459" spans="1:59">
      <c r="A459" s="12" t="s">
        <v>575</v>
      </c>
      <c r="B459" s="12"/>
      <c r="C459" s="12" t="s">
        <v>53</v>
      </c>
      <c r="D459" s="12"/>
      <c r="E459" s="32">
        <v>44651</v>
      </c>
      <c r="G459" s="8">
        <v>8943384</v>
      </c>
      <c r="H459" s="8"/>
      <c r="I459" s="8">
        <v>2412735</v>
      </c>
      <c r="J459" s="8"/>
      <c r="K459" s="8">
        <v>127987</v>
      </c>
      <c r="L459" s="8"/>
      <c r="M459" s="8">
        <v>747127</v>
      </c>
      <c r="N459" s="8"/>
      <c r="O459" s="8">
        <v>1923504</v>
      </c>
      <c r="P459" s="8"/>
      <c r="Q459" s="8">
        <v>447273</v>
      </c>
      <c r="R459" s="8"/>
      <c r="S459" s="8">
        <v>20045</v>
      </c>
      <c r="T459" s="8"/>
      <c r="U459" s="8">
        <v>1418718</v>
      </c>
      <c r="V459" s="8"/>
      <c r="W459" s="8">
        <v>680221</v>
      </c>
      <c r="X459" s="8"/>
      <c r="Y459" s="8">
        <v>0</v>
      </c>
      <c r="Z459" s="8"/>
      <c r="AA459" s="8">
        <v>2368717</v>
      </c>
      <c r="AB459" s="8"/>
      <c r="AC459" s="8">
        <v>1218418</v>
      </c>
      <c r="AD459" s="8"/>
      <c r="AE459" s="8">
        <v>174116</v>
      </c>
      <c r="AF459" s="138"/>
      <c r="AG459" s="12" t="s">
        <v>575</v>
      </c>
      <c r="AH459" s="12"/>
      <c r="AI459" s="12" t="s">
        <v>53</v>
      </c>
      <c r="AJ459" s="12"/>
      <c r="AK459" s="8">
        <v>694727</v>
      </c>
      <c r="AL459" s="8"/>
      <c r="AM459" s="8">
        <v>130754</v>
      </c>
      <c r="AN459" s="8"/>
      <c r="AO459" s="8">
        <v>585339</v>
      </c>
      <c r="AP459" s="8"/>
      <c r="AQ459" s="8">
        <v>112024</v>
      </c>
      <c r="AR459" s="8"/>
      <c r="AS459" s="8"/>
      <c r="AT459" s="8"/>
      <c r="AU459" s="8">
        <v>0</v>
      </c>
      <c r="AV459" s="8"/>
      <c r="AW459" s="8">
        <f t="shared" si="27"/>
        <v>22005089</v>
      </c>
      <c r="AY459" s="8">
        <f>+'St of Activites - GA Rev'!AI461-'St of Activities - GA Exp'!AW459</f>
        <v>1716117</v>
      </c>
      <c r="BA459" s="8">
        <v>10062001</v>
      </c>
      <c r="BC459" s="8">
        <f t="shared" si="26"/>
        <v>11778118</v>
      </c>
      <c r="BE459" s="8">
        <f>+'St of Net Assets - GA'!AA462-'St of Activities - GA Exp'!BC459</f>
        <v>0</v>
      </c>
    </row>
    <row r="460" spans="1:59" ht="12" customHeight="1">
      <c r="A460" s="12" t="s">
        <v>631</v>
      </c>
      <c r="B460" s="12"/>
      <c r="C460" s="12" t="s">
        <v>59</v>
      </c>
      <c r="D460" s="12"/>
      <c r="E460" s="32">
        <v>44669</v>
      </c>
      <c r="G460" s="8">
        <v>13573992</v>
      </c>
      <c r="H460" s="8"/>
      <c r="I460" s="8">
        <v>4950325</v>
      </c>
      <c r="J460" s="8"/>
      <c r="K460" s="8">
        <v>507713</v>
      </c>
      <c r="L460" s="8"/>
      <c r="M460" s="8">
        <f>1541524+35600</f>
        <v>1577124</v>
      </c>
      <c r="N460" s="8"/>
      <c r="O460" s="8">
        <v>1610831</v>
      </c>
      <c r="P460" s="8"/>
      <c r="Q460" s="8">
        <v>2244651</v>
      </c>
      <c r="R460" s="8"/>
      <c r="S460" s="8">
        <v>24501</v>
      </c>
      <c r="T460" s="8"/>
      <c r="U460" s="8">
        <v>1838174</v>
      </c>
      <c r="V460" s="8"/>
      <c r="W460" s="8">
        <v>750674</v>
      </c>
      <c r="X460" s="8"/>
      <c r="Y460" s="8">
        <v>76787</v>
      </c>
      <c r="Z460" s="8"/>
      <c r="AA460" s="8">
        <v>2867303</v>
      </c>
      <c r="AB460" s="8"/>
      <c r="AC460" s="8">
        <v>592894</v>
      </c>
      <c r="AD460" s="8"/>
      <c r="AE460" s="8">
        <v>344578</v>
      </c>
      <c r="AF460" s="138"/>
      <c r="AG460" s="12" t="s">
        <v>631</v>
      </c>
      <c r="AH460" s="12"/>
      <c r="AI460" s="12" t="s">
        <v>59</v>
      </c>
      <c r="AJ460" s="12"/>
      <c r="AK460" s="8">
        <v>0</v>
      </c>
      <c r="AL460" s="8"/>
      <c r="AM460" s="8">
        <v>1362363</v>
      </c>
      <c r="AN460" s="8"/>
      <c r="AO460" s="8">
        <v>338911</v>
      </c>
      <c r="AP460" s="8"/>
      <c r="AQ460" s="8">
        <v>640624</v>
      </c>
      <c r="AR460" s="8"/>
      <c r="AS460" s="8"/>
      <c r="AT460" s="8"/>
      <c r="AU460" s="8">
        <v>0</v>
      </c>
      <c r="AV460" s="8"/>
      <c r="AW460" s="8">
        <f t="shared" si="27"/>
        <v>33301445</v>
      </c>
      <c r="AY460" s="8">
        <f>+'St of Activites - GA Rev'!AI462-'St of Activities - GA Exp'!AW460</f>
        <v>-933329</v>
      </c>
      <c r="BA460" s="8">
        <v>52450703</v>
      </c>
      <c r="BC460" s="8">
        <f t="shared" si="26"/>
        <v>51517374</v>
      </c>
      <c r="BE460" s="8">
        <f>+'St of Net Assets - GA'!AA463-'St of Activities - GA Exp'!BC460</f>
        <v>0</v>
      </c>
    </row>
    <row r="461" spans="1:59" ht="12" hidden="1" customHeight="1">
      <c r="A461" s="12" t="s">
        <v>1013</v>
      </c>
      <c r="B461" s="12"/>
      <c r="C461" s="12" t="s">
        <v>57</v>
      </c>
      <c r="D461" s="12"/>
      <c r="E461" s="32">
        <v>49288</v>
      </c>
      <c r="G461" s="8">
        <v>5561596</v>
      </c>
      <c r="H461" s="8"/>
      <c r="I461" s="8">
        <v>1384715</v>
      </c>
      <c r="J461" s="8"/>
      <c r="K461" s="8">
        <v>429820</v>
      </c>
      <c r="L461" s="8"/>
      <c r="M461" s="8">
        <v>2322</v>
      </c>
      <c r="N461" s="8"/>
      <c r="O461" s="8">
        <v>656225</v>
      </c>
      <c r="P461" s="8"/>
      <c r="Q461" s="8">
        <v>493295</v>
      </c>
      <c r="R461" s="8"/>
      <c r="S461" s="8">
        <v>52520</v>
      </c>
      <c r="T461" s="8"/>
      <c r="U461" s="8">
        <v>1220727</v>
      </c>
      <c r="V461" s="8"/>
      <c r="W461" s="8">
        <v>414815</v>
      </c>
      <c r="X461" s="8"/>
      <c r="Y461" s="8">
        <v>3584</v>
      </c>
      <c r="Z461" s="8"/>
      <c r="AA461" s="8">
        <v>1803201</v>
      </c>
      <c r="AB461" s="8"/>
      <c r="AC461" s="8">
        <v>880481</v>
      </c>
      <c r="AD461" s="8"/>
      <c r="AE461" s="8">
        <v>308432</v>
      </c>
      <c r="AF461" s="138"/>
      <c r="AG461" s="12" t="s">
        <v>599</v>
      </c>
      <c r="AH461" s="12"/>
      <c r="AI461" s="12" t="s">
        <v>57</v>
      </c>
      <c r="AJ461" s="12"/>
      <c r="AK461" s="8"/>
      <c r="AL461" s="8"/>
      <c r="AM461" s="8">
        <v>642762</v>
      </c>
      <c r="AN461" s="8"/>
      <c r="AO461" s="8">
        <v>332774</v>
      </c>
      <c r="AP461" s="8"/>
      <c r="AQ461" s="8">
        <v>132910</v>
      </c>
      <c r="AR461" s="8"/>
      <c r="AS461" s="8"/>
      <c r="AT461" s="8"/>
      <c r="AU461" s="8"/>
      <c r="AV461" s="8"/>
      <c r="AW461" s="8">
        <f t="shared" si="27"/>
        <v>14320179</v>
      </c>
      <c r="AY461" s="8">
        <f>+'St of Activites - GA Rev'!AI463-'St of Activities - GA Exp'!AW461</f>
        <v>1288257</v>
      </c>
      <c r="BA461" s="8">
        <v>11724962</v>
      </c>
      <c r="BC461" s="8">
        <f t="shared" si="26"/>
        <v>13013219</v>
      </c>
      <c r="BE461" s="8">
        <f>+'St of Net Assets - GA'!AA464-'St of Activities - GA Exp'!BC461</f>
        <v>0</v>
      </c>
    </row>
    <row r="462" spans="1:59">
      <c r="A462" s="12" t="s">
        <v>405</v>
      </c>
      <c r="B462" s="12"/>
      <c r="C462" s="12" t="s">
        <v>32</v>
      </c>
      <c r="D462" s="12"/>
      <c r="E462" s="32">
        <v>44677</v>
      </c>
      <c r="G462" s="8">
        <v>31672212</v>
      </c>
      <c r="H462" s="8"/>
      <c r="I462" s="8">
        <v>7692396</v>
      </c>
      <c r="J462" s="8"/>
      <c r="K462" s="8">
        <v>0</v>
      </c>
      <c r="L462" s="8"/>
      <c r="M462" s="8">
        <v>3894669</v>
      </c>
      <c r="N462" s="8"/>
      <c r="O462" s="8">
        <v>4973405</v>
      </c>
      <c r="P462" s="8"/>
      <c r="Q462" s="8">
        <v>6930120</v>
      </c>
      <c r="R462" s="8"/>
      <c r="S462" s="8">
        <v>288917</v>
      </c>
      <c r="T462" s="8"/>
      <c r="U462" s="8">
        <v>8292485</v>
      </c>
      <c r="V462" s="8"/>
      <c r="W462" s="8">
        <v>2455576</v>
      </c>
      <c r="X462" s="8"/>
      <c r="Y462" s="8">
        <v>526099</v>
      </c>
      <c r="Z462" s="8"/>
      <c r="AA462" s="8">
        <v>7931346</v>
      </c>
      <c r="AB462" s="8"/>
      <c r="AC462" s="8">
        <v>4839807</v>
      </c>
      <c r="AD462" s="8"/>
      <c r="AE462" s="8">
        <v>1552170</v>
      </c>
      <c r="AF462" s="138"/>
      <c r="AG462" s="12" t="s">
        <v>405</v>
      </c>
      <c r="AH462" s="12"/>
      <c r="AI462" s="12" t="s">
        <v>32</v>
      </c>
      <c r="AJ462" s="12"/>
      <c r="AK462" s="8">
        <v>2268855</v>
      </c>
      <c r="AL462" s="8"/>
      <c r="AM462" s="8">
        <v>3072756</v>
      </c>
      <c r="AN462" s="8"/>
      <c r="AO462" s="8">
        <v>1697938</v>
      </c>
      <c r="AP462" s="8"/>
      <c r="AQ462" s="8">
        <v>3557493</v>
      </c>
      <c r="AR462" s="8"/>
      <c r="AS462" s="8"/>
      <c r="AT462" s="8"/>
      <c r="AU462" s="8">
        <v>0</v>
      </c>
      <c r="AV462" s="8"/>
      <c r="AW462" s="8">
        <f t="shared" si="27"/>
        <v>91646244</v>
      </c>
      <c r="AY462" s="8">
        <f>+'St of Activites - GA Rev'!AI464-'St of Activities - GA Exp'!AW462</f>
        <v>-3672868</v>
      </c>
      <c r="BA462" s="8">
        <v>58735067</v>
      </c>
      <c r="BC462" s="8">
        <f t="shared" si="26"/>
        <v>55062199</v>
      </c>
      <c r="BE462" s="8">
        <f>+'St of Net Assets - GA'!AA465-'St of Activities - GA Exp'!BC462</f>
        <v>0</v>
      </c>
    </row>
    <row r="463" spans="1:59" ht="12" customHeight="1">
      <c r="A463" s="12" t="s">
        <v>222</v>
      </c>
      <c r="B463" s="12"/>
      <c r="C463" s="12" t="s">
        <v>12</v>
      </c>
      <c r="D463" s="12"/>
      <c r="E463" s="32">
        <v>45880</v>
      </c>
      <c r="G463" s="8">
        <v>5616365</v>
      </c>
      <c r="H463" s="8"/>
      <c r="I463" s="8">
        <v>1303051</v>
      </c>
      <c r="J463" s="8"/>
      <c r="K463" s="8">
        <v>225124</v>
      </c>
      <c r="L463" s="8"/>
      <c r="M463" s="8">
        <v>656776</v>
      </c>
      <c r="N463" s="8"/>
      <c r="O463" s="8">
        <v>675887</v>
      </c>
      <c r="P463" s="8"/>
      <c r="Q463" s="8">
        <v>228631</v>
      </c>
      <c r="R463" s="8"/>
      <c r="S463" s="8">
        <v>24208</v>
      </c>
      <c r="T463" s="8"/>
      <c r="U463" s="8">
        <v>1054357</v>
      </c>
      <c r="V463" s="8"/>
      <c r="W463" s="8">
        <v>299917</v>
      </c>
      <c r="X463" s="8"/>
      <c r="Y463" s="8">
        <v>54022</v>
      </c>
      <c r="Z463" s="8"/>
      <c r="AA463" s="8">
        <v>1255998</v>
      </c>
      <c r="AB463" s="8"/>
      <c r="AC463" s="8">
        <v>1071520</v>
      </c>
      <c r="AD463" s="8"/>
      <c r="AE463" s="8">
        <v>74631</v>
      </c>
      <c r="AF463" s="138"/>
      <c r="AG463" s="12" t="s">
        <v>222</v>
      </c>
      <c r="AH463" s="12"/>
      <c r="AI463" s="12" t="s">
        <v>12</v>
      </c>
      <c r="AJ463" s="12"/>
      <c r="AK463" s="8">
        <v>613616</v>
      </c>
      <c r="AL463" s="8"/>
      <c r="AM463" s="8">
        <v>26504</v>
      </c>
      <c r="AN463" s="8"/>
      <c r="AO463" s="8">
        <v>490100</v>
      </c>
      <c r="AP463" s="8"/>
      <c r="AQ463" s="8">
        <v>353649</v>
      </c>
      <c r="AR463" s="8"/>
      <c r="AS463" s="8"/>
      <c r="AT463" s="8"/>
      <c r="AU463" s="8">
        <v>0</v>
      </c>
      <c r="AV463" s="8"/>
      <c r="AW463" s="8">
        <f t="shared" si="27"/>
        <v>14024356</v>
      </c>
      <c r="AY463" s="8">
        <f>+'St of Activites - GA Rev'!AI465-'St of Activities - GA Exp'!AW463</f>
        <v>-461883</v>
      </c>
      <c r="BA463" s="8">
        <v>24263679</v>
      </c>
      <c r="BC463" s="8">
        <f t="shared" si="26"/>
        <v>23801796</v>
      </c>
      <c r="BE463" s="8">
        <f>+'St of Net Assets - GA'!AA466-'St of Activities - GA Exp'!BC463</f>
        <v>0</v>
      </c>
    </row>
    <row r="464" spans="1:59">
      <c r="A464" s="12" t="s">
        <v>866</v>
      </c>
      <c r="B464" s="12"/>
      <c r="C464" s="12" t="s">
        <v>56</v>
      </c>
      <c r="D464" s="12"/>
      <c r="E464" s="32"/>
      <c r="G464" s="8">
        <v>11849348</v>
      </c>
      <c r="H464" s="8"/>
      <c r="I464" s="8">
        <v>4687832</v>
      </c>
      <c r="J464" s="8"/>
      <c r="K464" s="8">
        <v>398396</v>
      </c>
      <c r="L464" s="8"/>
      <c r="M464" s="8">
        <f>24217+1431913</f>
        <v>1456130</v>
      </c>
      <c r="N464" s="8"/>
      <c r="O464" s="8">
        <v>1273851</v>
      </c>
      <c r="P464" s="8"/>
      <c r="Q464" s="8">
        <v>981478</v>
      </c>
      <c r="R464" s="8"/>
      <c r="S464" s="8">
        <v>47616</v>
      </c>
      <c r="T464" s="8"/>
      <c r="U464" s="8">
        <v>2493243</v>
      </c>
      <c r="V464" s="8"/>
      <c r="W464" s="8">
        <v>709894</v>
      </c>
      <c r="X464" s="8"/>
      <c r="Y464" s="8">
        <v>293979</v>
      </c>
      <c r="Z464" s="8"/>
      <c r="AA464" s="8">
        <v>2787265</v>
      </c>
      <c r="AB464" s="8"/>
      <c r="AC464" s="8">
        <v>1216674</v>
      </c>
      <c r="AD464" s="8"/>
      <c r="AE464" s="8">
        <v>700610</v>
      </c>
      <c r="AF464" s="138"/>
      <c r="AG464" s="12" t="s">
        <v>799</v>
      </c>
      <c r="AH464" s="12"/>
      <c r="AI464" s="12" t="s">
        <v>56</v>
      </c>
      <c r="AJ464" s="12"/>
      <c r="AK464" s="8">
        <v>1162128</v>
      </c>
      <c r="AL464" s="8"/>
      <c r="AM464" s="8">
        <v>253505</v>
      </c>
      <c r="AN464" s="8"/>
      <c r="AO464" s="8">
        <v>974191</v>
      </c>
      <c r="AP464" s="8"/>
      <c r="AQ464" s="8">
        <v>1266687</v>
      </c>
      <c r="AR464" s="8"/>
      <c r="AS464" s="8"/>
      <c r="AT464" s="8"/>
      <c r="AU464" s="8">
        <v>0</v>
      </c>
      <c r="AV464" s="8"/>
      <c r="AW464" s="8">
        <f t="shared" si="27"/>
        <v>32552827</v>
      </c>
      <c r="AY464" s="8">
        <f>+'St of Activites - GA Rev'!AI466-'St of Activities - GA Exp'!AW464</f>
        <v>2005973</v>
      </c>
      <c r="BA464" s="8">
        <v>17513946</v>
      </c>
      <c r="BC464" s="8">
        <f t="shared" si="26"/>
        <v>19519919</v>
      </c>
      <c r="BE464" s="8">
        <f>+'St of Net Assets - GA'!AA467-'St of Activities - GA Exp'!BC464</f>
        <v>0</v>
      </c>
    </row>
    <row r="465" spans="1:59">
      <c r="A465" s="12"/>
      <c r="B465" s="12"/>
      <c r="C465" s="12"/>
      <c r="D465" s="12"/>
      <c r="E465" s="32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138"/>
      <c r="AG465" s="12"/>
      <c r="AH465" s="12"/>
      <c r="AI465" s="12"/>
      <c r="AJ465" s="12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</row>
    <row r="466" spans="1:59">
      <c r="A466" s="12"/>
      <c r="B466" s="12"/>
      <c r="C466" s="12"/>
      <c r="D466" s="12"/>
      <c r="E466" s="32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 t="s">
        <v>805</v>
      </c>
      <c r="AF466" s="138"/>
      <c r="AG466" s="12"/>
      <c r="AH466" s="12"/>
      <c r="AI466" s="12"/>
      <c r="AJ466" s="12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BC466" s="8" t="s">
        <v>805</v>
      </c>
    </row>
    <row r="467" spans="1:59">
      <c r="A467" s="12"/>
      <c r="B467" s="12"/>
      <c r="C467" s="12"/>
      <c r="D467" s="12"/>
      <c r="E467" s="32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138"/>
      <c r="AG467" s="12"/>
      <c r="AH467" s="12"/>
      <c r="AI467" s="12"/>
      <c r="AJ467" s="12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</row>
    <row r="468" spans="1:59" ht="12" customHeight="1">
      <c r="A468" s="12" t="s">
        <v>406</v>
      </c>
      <c r="B468" s="12"/>
      <c r="C468" s="12" t="s">
        <v>32</v>
      </c>
      <c r="D468" s="12"/>
      <c r="E468" s="32">
        <v>44693</v>
      </c>
      <c r="G468" s="35">
        <v>6857831</v>
      </c>
      <c r="H468" s="35"/>
      <c r="I468" s="35">
        <v>1920568</v>
      </c>
      <c r="J468" s="35"/>
      <c r="K468" s="35">
        <v>97822</v>
      </c>
      <c r="L468" s="35"/>
      <c r="M468" s="35">
        <v>390204</v>
      </c>
      <c r="N468" s="35"/>
      <c r="O468" s="35">
        <v>935118</v>
      </c>
      <c r="P468" s="35"/>
      <c r="Q468" s="35">
        <v>903508</v>
      </c>
      <c r="R468" s="35"/>
      <c r="S468" s="35">
        <v>35460</v>
      </c>
      <c r="T468" s="35"/>
      <c r="U468" s="35">
        <v>1282635</v>
      </c>
      <c r="V468" s="35"/>
      <c r="W468" s="35">
        <v>414397</v>
      </c>
      <c r="X468" s="35"/>
      <c r="Y468" s="35">
        <v>25713</v>
      </c>
      <c r="Z468" s="35"/>
      <c r="AA468" s="35">
        <v>996963</v>
      </c>
      <c r="AB468" s="35"/>
      <c r="AC468" s="35">
        <v>221478</v>
      </c>
      <c r="AD468" s="35"/>
      <c r="AE468" s="35">
        <v>266784</v>
      </c>
      <c r="AF468" s="138"/>
      <c r="AG468" s="12" t="s">
        <v>406</v>
      </c>
      <c r="AH468" s="12"/>
      <c r="AI468" s="12" t="s">
        <v>32</v>
      </c>
      <c r="AJ468" s="12"/>
      <c r="AK468" s="35">
        <v>0</v>
      </c>
      <c r="AL468" s="35"/>
      <c r="AM468" s="35">
        <v>1413855</v>
      </c>
      <c r="AN468" s="35"/>
      <c r="AO468" s="35">
        <v>601192</v>
      </c>
      <c r="AP468" s="35"/>
      <c r="AQ468" s="35">
        <v>18321</v>
      </c>
      <c r="AR468" s="35"/>
      <c r="AS468" s="35"/>
      <c r="AT468" s="35"/>
      <c r="AU468" s="35">
        <v>0</v>
      </c>
      <c r="AV468" s="35"/>
      <c r="AW468" s="35">
        <f t="shared" si="27"/>
        <v>16381849</v>
      </c>
      <c r="AX468" s="35"/>
      <c r="AY468" s="35">
        <f>+'St of Activites - GA Rev'!AI467-'St of Activities - GA Exp'!AW468</f>
        <v>-646804</v>
      </c>
      <c r="AZ468" s="35"/>
      <c r="BA468" s="35">
        <v>4315055</v>
      </c>
      <c r="BB468" s="35"/>
      <c r="BC468" s="35">
        <f t="shared" si="26"/>
        <v>3668251</v>
      </c>
      <c r="BE468" s="8">
        <f>+'St of Net Assets - GA'!AA468-'St of Activities - GA Exp'!BC468</f>
        <v>0</v>
      </c>
    </row>
    <row r="469" spans="1:59">
      <c r="A469" s="12" t="s">
        <v>670</v>
      </c>
      <c r="B469" s="12"/>
      <c r="C469" s="12" t="s">
        <v>63</v>
      </c>
      <c r="D469" s="12"/>
      <c r="E469" s="32">
        <v>50054</v>
      </c>
      <c r="G469" s="8">
        <v>15300286</v>
      </c>
      <c r="H469" s="8"/>
      <c r="I469" s="8">
        <v>2933627</v>
      </c>
      <c r="J469" s="8"/>
      <c r="K469" s="8">
        <v>470854</v>
      </c>
      <c r="L469" s="8"/>
      <c r="M469" s="8">
        <v>540204</v>
      </c>
      <c r="N469" s="8"/>
      <c r="O469" s="8">
        <v>1555964</v>
      </c>
      <c r="P469" s="8"/>
      <c r="Q469" s="8">
        <v>879633</v>
      </c>
      <c r="R469" s="8"/>
      <c r="S469" s="8">
        <v>415496</v>
      </c>
      <c r="T469" s="8"/>
      <c r="U469" s="8">
        <v>2163091</v>
      </c>
      <c r="V469" s="8"/>
      <c r="W469" s="8">
        <v>972146</v>
      </c>
      <c r="X469" s="8"/>
      <c r="Y469" s="8">
        <v>65816</v>
      </c>
      <c r="Z469" s="8"/>
      <c r="AA469" s="8">
        <v>4000082</v>
      </c>
      <c r="AB469" s="8"/>
      <c r="AC469" s="8">
        <v>2111135</v>
      </c>
      <c r="AD469" s="8"/>
      <c r="AE469" s="8">
        <v>232897</v>
      </c>
      <c r="AF469" s="138"/>
      <c r="AG469" s="12" t="s">
        <v>670</v>
      </c>
      <c r="AH469" s="12"/>
      <c r="AI469" s="12" t="s">
        <v>63</v>
      </c>
      <c r="AJ469" s="12"/>
      <c r="AK469" s="8">
        <v>774313</v>
      </c>
      <c r="AL469" s="8"/>
      <c r="AM469" s="8">
        <v>274345</v>
      </c>
      <c r="AN469" s="8"/>
      <c r="AO469" s="8">
        <v>1077207</v>
      </c>
      <c r="AP469" s="8"/>
      <c r="AQ469" s="8">
        <f>501551+36778</f>
        <v>538329</v>
      </c>
      <c r="AR469" s="8"/>
      <c r="AS469" s="8"/>
      <c r="AT469" s="8"/>
      <c r="AU469" s="8">
        <v>0</v>
      </c>
      <c r="AV469" s="8"/>
      <c r="AW469" s="8">
        <f t="shared" si="27"/>
        <v>34305425</v>
      </c>
      <c r="AY469" s="8">
        <f>+'St of Activites - GA Rev'!AI468-'St of Activities - GA Exp'!AW469</f>
        <v>682629</v>
      </c>
      <c r="BA469" s="8">
        <v>22910771</v>
      </c>
      <c r="BC469" s="8">
        <f t="shared" si="26"/>
        <v>23593400</v>
      </c>
      <c r="BE469" s="8">
        <f>+'St of Net Assets - GA'!AA469-'St of Activities - GA Exp'!BC469</f>
        <v>0</v>
      </c>
    </row>
    <row r="470" spans="1:59">
      <c r="A470" s="12" t="s">
        <v>362</v>
      </c>
      <c r="B470" s="12"/>
      <c r="C470" s="12" t="s">
        <v>27</v>
      </c>
      <c r="D470" s="12"/>
      <c r="E470" s="32">
        <v>47001</v>
      </c>
      <c r="G470" s="8">
        <v>29067286</v>
      </c>
      <c r="H470" s="8"/>
      <c r="I470" s="8">
        <v>4023078</v>
      </c>
      <c r="J470" s="8"/>
      <c r="K470" s="8">
        <v>416872</v>
      </c>
      <c r="L470" s="8"/>
      <c r="M470" s="8">
        <f>500+647226</f>
        <v>647726</v>
      </c>
      <c r="N470" s="8"/>
      <c r="O470" s="8">
        <v>11246486</v>
      </c>
      <c r="P470" s="8"/>
      <c r="Q470" s="8">
        <v>1834009</v>
      </c>
      <c r="R470" s="8"/>
      <c r="S470" s="8">
        <v>61027</v>
      </c>
      <c r="T470" s="8"/>
      <c r="U470" s="8">
        <v>5895840</v>
      </c>
      <c r="V470" s="8"/>
      <c r="W470" s="8">
        <v>1584241</v>
      </c>
      <c r="X470" s="8"/>
      <c r="Y470" s="8">
        <v>355072</v>
      </c>
      <c r="Z470" s="8"/>
      <c r="AA470" s="8">
        <v>6140522</v>
      </c>
      <c r="AB470" s="8"/>
      <c r="AC470" s="8">
        <v>3393932</v>
      </c>
      <c r="AD470" s="8"/>
      <c r="AE470" s="8">
        <v>579507</v>
      </c>
      <c r="AF470" s="138"/>
      <c r="AG470" s="12" t="s">
        <v>362</v>
      </c>
      <c r="AH470" s="12"/>
      <c r="AI470" s="12" t="s">
        <v>27</v>
      </c>
      <c r="AJ470" s="12"/>
      <c r="AK470" s="8">
        <v>2335419</v>
      </c>
      <c r="AL470" s="8"/>
      <c r="AM470" s="8">
        <v>461376</v>
      </c>
      <c r="AN470" s="8"/>
      <c r="AO470" s="8">
        <v>1559695</v>
      </c>
      <c r="AP470" s="8"/>
      <c r="AQ470" s="8">
        <v>6334886</v>
      </c>
      <c r="AR470" s="8"/>
      <c r="AS470" s="8"/>
      <c r="AT470" s="8"/>
      <c r="AU470" s="8">
        <v>0</v>
      </c>
      <c r="AV470" s="8"/>
      <c r="AW470" s="8">
        <f t="shared" si="27"/>
        <v>75936974</v>
      </c>
      <c r="AY470" s="8">
        <f>+'St of Activites - GA Rev'!AI469-'St of Activities - GA Exp'!AW470</f>
        <v>53297048</v>
      </c>
      <c r="BA470" s="8">
        <v>20167222</v>
      </c>
      <c r="BC470" s="8">
        <f t="shared" si="26"/>
        <v>73464270</v>
      </c>
      <c r="BE470" s="8">
        <f>+'St of Net Assets - GA'!AA470-'St of Activities - GA Exp'!BC470</f>
        <v>0</v>
      </c>
    </row>
    <row r="471" spans="1:59" ht="12" customHeight="1">
      <c r="A471" s="12" t="s">
        <v>318</v>
      </c>
      <c r="B471" s="12"/>
      <c r="C471" s="12" t="s">
        <v>20</v>
      </c>
      <c r="D471" s="12"/>
      <c r="E471" s="32">
        <v>46599</v>
      </c>
      <c r="G471" s="8">
        <v>5992038</v>
      </c>
      <c r="H471" s="8"/>
      <c r="I471" s="8">
        <v>1417485</v>
      </c>
      <c r="J471" s="8"/>
      <c r="K471" s="8">
        <v>123878</v>
      </c>
      <c r="L471" s="8"/>
      <c r="M471" s="8">
        <v>0</v>
      </c>
      <c r="N471" s="8"/>
      <c r="O471" s="8">
        <v>732715</v>
      </c>
      <c r="P471" s="8"/>
      <c r="Q471" s="8">
        <v>310733</v>
      </c>
      <c r="R471" s="8"/>
      <c r="S471" s="8">
        <v>104627</v>
      </c>
      <c r="T471" s="8"/>
      <c r="U471" s="8">
        <v>1069318</v>
      </c>
      <c r="V471" s="8"/>
      <c r="W471" s="8">
        <v>363982</v>
      </c>
      <c r="X471" s="8"/>
      <c r="Y471" s="8">
        <v>91060</v>
      </c>
      <c r="Z471" s="8"/>
      <c r="AA471" s="8">
        <v>1202514</v>
      </c>
      <c r="AB471" s="8"/>
      <c r="AC471" s="8">
        <v>1067749</v>
      </c>
      <c r="AD471" s="8"/>
      <c r="AE471" s="8">
        <v>154537</v>
      </c>
      <c r="AF471" s="138"/>
      <c r="AG471" s="12" t="s">
        <v>318</v>
      </c>
      <c r="AH471" s="12"/>
      <c r="AI471" s="12" t="s">
        <v>20</v>
      </c>
      <c r="AJ471" s="12"/>
      <c r="AK471" s="8">
        <v>374686</v>
      </c>
      <c r="AL471" s="8"/>
      <c r="AM471" s="8">
        <f>2182+458+47695+140130+5653</f>
        <v>196118</v>
      </c>
      <c r="AN471" s="8"/>
      <c r="AO471" s="8">
        <v>204380</v>
      </c>
      <c r="AP471" s="8"/>
      <c r="AQ471" s="8">
        <v>50487</v>
      </c>
      <c r="AR471" s="8"/>
      <c r="AS471" s="8"/>
      <c r="AT471" s="8"/>
      <c r="AU471" s="8">
        <v>0</v>
      </c>
      <c r="AV471" s="8"/>
      <c r="AW471" s="8">
        <f t="shared" si="27"/>
        <v>13456307</v>
      </c>
      <c r="AY471" s="8">
        <f>+'St of Activites - GA Rev'!AI470-'St of Activities - GA Exp'!AW471</f>
        <v>-926753</v>
      </c>
      <c r="BA471" s="8">
        <v>3058446</v>
      </c>
      <c r="BC471" s="8">
        <f t="shared" si="26"/>
        <v>2131693</v>
      </c>
      <c r="BE471" s="8">
        <f>+'St of Net Assets - GA'!AA471-'St of Activities - GA Exp'!BC471</f>
        <v>0</v>
      </c>
    </row>
    <row r="472" spans="1:59">
      <c r="A472" s="12" t="s">
        <v>523</v>
      </c>
      <c r="B472" s="12"/>
      <c r="C472" s="12" t="s">
        <v>46</v>
      </c>
      <c r="D472" s="12"/>
      <c r="E472" s="32">
        <v>48439</v>
      </c>
      <c r="G472" s="8">
        <v>3118430</v>
      </c>
      <c r="H472" s="8"/>
      <c r="I472" s="8">
        <v>555570</v>
      </c>
      <c r="J472" s="8"/>
      <c r="K472" s="8">
        <v>205568</v>
      </c>
      <c r="L472" s="8"/>
      <c r="M472" s="8">
        <v>1215620</v>
      </c>
      <c r="N472" s="8"/>
      <c r="O472" s="8">
        <v>339301</v>
      </c>
      <c r="P472" s="8"/>
      <c r="Q472" s="8">
        <v>362105</v>
      </c>
      <c r="R472" s="8"/>
      <c r="S472" s="8">
        <v>50093</v>
      </c>
      <c r="T472" s="8"/>
      <c r="U472" s="8">
        <v>713610</v>
      </c>
      <c r="V472" s="8"/>
      <c r="W472" s="8">
        <v>239389</v>
      </c>
      <c r="X472" s="8"/>
      <c r="Y472" s="8">
        <v>0</v>
      </c>
      <c r="Z472" s="8"/>
      <c r="AA472" s="8">
        <v>664790</v>
      </c>
      <c r="AB472" s="8"/>
      <c r="AC472" s="8">
        <v>508989</v>
      </c>
      <c r="AD472" s="8"/>
      <c r="AE472" s="8">
        <v>26277</v>
      </c>
      <c r="AF472" s="138"/>
      <c r="AG472" s="12" t="s">
        <v>523</v>
      </c>
      <c r="AH472" s="12"/>
      <c r="AI472" s="12" t="s">
        <v>46</v>
      </c>
      <c r="AJ472" s="12"/>
      <c r="AK472" s="8">
        <v>358125</v>
      </c>
      <c r="AL472" s="8"/>
      <c r="AM472" s="8">
        <v>0</v>
      </c>
      <c r="AN472" s="8"/>
      <c r="AO472" s="8">
        <v>259252</v>
      </c>
      <c r="AP472" s="8"/>
      <c r="AQ472" s="8">
        <v>11874</v>
      </c>
      <c r="AR472" s="8"/>
      <c r="AS472" s="8"/>
      <c r="AT472" s="8"/>
      <c r="AU472" s="8">
        <v>0</v>
      </c>
      <c r="AV472" s="8"/>
      <c r="AW472" s="8">
        <f t="shared" si="27"/>
        <v>8628993</v>
      </c>
      <c r="AY472" s="8">
        <f>+'St of Activites - GA Rev'!AI471-'St of Activities - GA Exp'!AW472</f>
        <v>732143</v>
      </c>
      <c r="BA472" s="8">
        <v>3653297</v>
      </c>
      <c r="BC472" s="8">
        <f t="shared" si="26"/>
        <v>4385440</v>
      </c>
      <c r="BE472" s="8">
        <f>+'St of Net Assets - GA'!AA472-'St of Activities - GA Exp'!BC472</f>
        <v>0</v>
      </c>
    </row>
    <row r="473" spans="1:59" ht="12" customHeight="1">
      <c r="A473" s="13" t="s">
        <v>424</v>
      </c>
      <c r="B473" s="12"/>
      <c r="C473" s="12" t="s">
        <v>421</v>
      </c>
      <c r="D473" s="12"/>
      <c r="E473" s="32">
        <v>47506</v>
      </c>
      <c r="G473" s="8">
        <v>2396533</v>
      </c>
      <c r="H473" s="8"/>
      <c r="I473" s="8">
        <v>326976</v>
      </c>
      <c r="J473" s="8"/>
      <c r="K473" s="8">
        <v>162473</v>
      </c>
      <c r="L473" s="8"/>
      <c r="M473" s="8">
        <v>114535</v>
      </c>
      <c r="N473" s="8"/>
      <c r="O473" s="8">
        <v>203989</v>
      </c>
      <c r="P473" s="8"/>
      <c r="Q473" s="8">
        <v>315231</v>
      </c>
      <c r="R473" s="8"/>
      <c r="S473" s="8">
        <v>28822</v>
      </c>
      <c r="T473" s="8"/>
      <c r="U473" s="8">
        <v>649149</v>
      </c>
      <c r="V473" s="8"/>
      <c r="W473" s="8">
        <v>203272</v>
      </c>
      <c r="X473" s="8"/>
      <c r="Y473" s="8">
        <v>0</v>
      </c>
      <c r="Z473" s="8"/>
      <c r="AA473" s="8">
        <v>510229</v>
      </c>
      <c r="AB473" s="8"/>
      <c r="AC473" s="8">
        <v>381455</v>
      </c>
      <c r="AD473" s="8"/>
      <c r="AE473" s="8">
        <v>57113</v>
      </c>
      <c r="AF473" s="138"/>
      <c r="AG473" s="12" t="s">
        <v>424</v>
      </c>
      <c r="AH473" s="12"/>
      <c r="AI473" s="12" t="s">
        <v>421</v>
      </c>
      <c r="AJ473" s="12"/>
      <c r="AK473" s="8">
        <v>314156</v>
      </c>
      <c r="AL473" s="8"/>
      <c r="AM473" s="8">
        <f>1454+8426</f>
        <v>9880</v>
      </c>
      <c r="AN473" s="8"/>
      <c r="AO473" s="8">
        <v>185492</v>
      </c>
      <c r="AP473" s="8"/>
      <c r="AQ473" s="8">
        <v>82343</v>
      </c>
      <c r="AR473" s="8"/>
      <c r="AS473" s="8"/>
      <c r="AT473" s="8"/>
      <c r="AU473" s="8">
        <v>3326</v>
      </c>
      <c r="AV473" s="8"/>
      <c r="AW473" s="8">
        <f t="shared" si="27"/>
        <v>5944974</v>
      </c>
      <c r="AY473" s="8">
        <f>+'St of Activites - GA Rev'!AI472-'St of Activities - GA Exp'!AW473</f>
        <v>-276914</v>
      </c>
      <c r="BA473" s="8">
        <v>2251087</v>
      </c>
      <c r="BC473" s="8">
        <f t="shared" si="26"/>
        <v>1974173</v>
      </c>
      <c r="BE473" s="8">
        <f>+'St of Net Assets - GA'!AA473-'St of Activities - GA Exp'!BC473</f>
        <v>0</v>
      </c>
      <c r="BG473" s="15" t="s">
        <v>905</v>
      </c>
    </row>
    <row r="474" spans="1:59">
      <c r="A474" s="12" t="s">
        <v>288</v>
      </c>
      <c r="B474" s="12"/>
      <c r="C474" s="12" t="s">
        <v>19</v>
      </c>
      <c r="D474" s="12"/>
      <c r="E474" s="32">
        <v>46474</v>
      </c>
      <c r="G474" s="8">
        <v>6085203</v>
      </c>
      <c r="H474" s="8"/>
      <c r="I474" s="8">
        <v>1088125</v>
      </c>
      <c r="J474" s="8"/>
      <c r="K474" s="8">
        <v>223826</v>
      </c>
      <c r="L474" s="8"/>
      <c r="M474" s="8">
        <v>78601</v>
      </c>
      <c r="N474" s="8"/>
      <c r="O474" s="8">
        <v>532165</v>
      </c>
      <c r="P474" s="8"/>
      <c r="Q474" s="8">
        <v>676741</v>
      </c>
      <c r="R474" s="8"/>
      <c r="S474" s="8">
        <v>38078</v>
      </c>
      <c r="T474" s="8"/>
      <c r="U474" s="8">
        <v>864769</v>
      </c>
      <c r="V474" s="8"/>
      <c r="W474" s="8">
        <v>352358</v>
      </c>
      <c r="X474" s="8"/>
      <c r="Y474" s="8">
        <v>5446</v>
      </c>
      <c r="Z474" s="8"/>
      <c r="AA474" s="8">
        <v>1408647</v>
      </c>
      <c r="AB474" s="8"/>
      <c r="AC474" s="8">
        <v>820160</v>
      </c>
      <c r="AD474" s="8"/>
      <c r="AE474" s="8">
        <v>4596</v>
      </c>
      <c r="AF474" s="138"/>
      <c r="AG474" s="12" t="s">
        <v>288</v>
      </c>
      <c r="AH474" s="12"/>
      <c r="AI474" s="12" t="s">
        <v>19</v>
      </c>
      <c r="AJ474" s="12"/>
      <c r="AK474" s="8">
        <v>542406</v>
      </c>
      <c r="AL474" s="8"/>
      <c r="AM474" s="8">
        <v>1038</v>
      </c>
      <c r="AN474" s="8"/>
      <c r="AO474" s="8">
        <v>431951</v>
      </c>
      <c r="AP474" s="8"/>
      <c r="AQ474" s="8">
        <v>151321</v>
      </c>
      <c r="AR474" s="8"/>
      <c r="AS474" s="8"/>
      <c r="AT474" s="8"/>
      <c r="AU474" s="8">
        <v>0</v>
      </c>
      <c r="AV474" s="8"/>
      <c r="AW474" s="8">
        <f t="shared" si="27"/>
        <v>13305431</v>
      </c>
      <c r="AY474" s="8">
        <f>+'St of Activites - GA Rev'!AI473-'St of Activities - GA Exp'!AW474</f>
        <v>-736087</v>
      </c>
      <c r="BA474" s="8">
        <v>17678243</v>
      </c>
      <c r="BC474" s="8">
        <f t="shared" si="26"/>
        <v>16942156</v>
      </c>
      <c r="BE474" s="8">
        <f>+'St of Net Assets - GA'!AA474-'St of Activities - GA Exp'!BC474</f>
        <v>0</v>
      </c>
      <c r="BG474" s="8" t="s">
        <v>1014</v>
      </c>
    </row>
    <row r="475" spans="1:59">
      <c r="A475" s="12" t="s">
        <v>867</v>
      </c>
      <c r="B475" s="12"/>
      <c r="C475" s="12" t="s">
        <v>77</v>
      </c>
      <c r="D475" s="12"/>
      <c r="E475" s="32">
        <v>46078</v>
      </c>
      <c r="G475" s="8">
        <v>5273196</v>
      </c>
      <c r="H475" s="8"/>
      <c r="I475" s="8">
        <v>1400055</v>
      </c>
      <c r="J475" s="8"/>
      <c r="K475" s="8">
        <v>553134</v>
      </c>
      <c r="L475" s="8"/>
      <c r="M475" s="8">
        <v>241822</v>
      </c>
      <c r="N475" s="8"/>
      <c r="O475" s="8">
        <v>359652</v>
      </c>
      <c r="P475" s="8"/>
      <c r="Q475" s="8">
        <v>753104</v>
      </c>
      <c r="R475" s="8"/>
      <c r="S475" s="8">
        <v>108931</v>
      </c>
      <c r="T475" s="8"/>
      <c r="U475" s="8">
        <v>934915</v>
      </c>
      <c r="V475" s="8"/>
      <c r="W475" s="8">
        <v>339835</v>
      </c>
      <c r="X475" s="8"/>
      <c r="Y475" s="8">
        <v>0</v>
      </c>
      <c r="Z475" s="8"/>
      <c r="AA475" s="8">
        <v>1132052</v>
      </c>
      <c r="AB475" s="8"/>
      <c r="AC475" s="8">
        <v>692484</v>
      </c>
      <c r="AD475" s="8"/>
      <c r="AE475" s="8">
        <v>90906</v>
      </c>
      <c r="AF475" s="138"/>
      <c r="AG475" s="12" t="s">
        <v>239</v>
      </c>
      <c r="AH475" s="12"/>
      <c r="AI475" s="12" t="s">
        <v>77</v>
      </c>
      <c r="AJ475" s="12"/>
      <c r="AK475" s="8">
        <v>635438</v>
      </c>
      <c r="AL475" s="8"/>
      <c r="AM475" s="8">
        <v>26568</v>
      </c>
      <c r="AN475" s="8"/>
      <c r="AO475" s="8">
        <v>321624</v>
      </c>
      <c r="AP475" s="8"/>
      <c r="AQ475" s="8">
        <v>238269</v>
      </c>
      <c r="AR475" s="8"/>
      <c r="AS475" s="8"/>
      <c r="AT475" s="8"/>
      <c r="AU475" s="8">
        <v>54124</v>
      </c>
      <c r="AV475" s="8"/>
      <c r="AW475" s="8">
        <f t="shared" si="27"/>
        <v>13156109</v>
      </c>
      <c r="AY475" s="8">
        <f>+'St of Activites - GA Rev'!AI474-'St of Activities - GA Exp'!AW475</f>
        <v>-785235</v>
      </c>
      <c r="BA475" s="8">
        <v>31291655</v>
      </c>
      <c r="BC475" s="8">
        <f t="shared" si="26"/>
        <v>30506420</v>
      </c>
      <c r="BE475" s="8">
        <f>+'St of Net Assets - GA'!AA475-'St of Activities - GA Exp'!BC475</f>
        <v>0</v>
      </c>
    </row>
    <row r="476" spans="1:59">
      <c r="A476" s="12" t="s">
        <v>724</v>
      </c>
      <c r="B476" s="12"/>
      <c r="C476" s="12" t="s">
        <v>71</v>
      </c>
      <c r="D476" s="12"/>
      <c r="E476" s="32">
        <v>45591</v>
      </c>
      <c r="G476" s="8">
        <v>4651571</v>
      </c>
      <c r="H476" s="8"/>
      <c r="I476" s="8">
        <v>861526</v>
      </c>
      <c r="J476" s="8"/>
      <c r="K476" s="8">
        <v>72018</v>
      </c>
      <c r="L476" s="8"/>
      <c r="M476" s="8">
        <v>46268</v>
      </c>
      <c r="N476" s="8"/>
      <c r="O476" s="8">
        <v>367770</v>
      </c>
      <c r="P476" s="8"/>
      <c r="Q476" s="8">
        <v>512319</v>
      </c>
      <c r="R476" s="8"/>
      <c r="S476" s="8">
        <v>49970</v>
      </c>
      <c r="T476" s="8"/>
      <c r="U476" s="8">
        <v>745700</v>
      </c>
      <c r="V476" s="8"/>
      <c r="W476" s="8">
        <v>303571</v>
      </c>
      <c r="X476" s="8"/>
      <c r="Y476" s="8">
        <v>0</v>
      </c>
      <c r="Z476" s="8"/>
      <c r="AA476" s="8">
        <v>1080081</v>
      </c>
      <c r="AB476" s="8"/>
      <c r="AC476" s="8">
        <v>293366</v>
      </c>
      <c r="AD476" s="8"/>
      <c r="AE476" s="8">
        <v>0</v>
      </c>
      <c r="AF476" s="138"/>
      <c r="AG476" s="12" t="s">
        <v>724</v>
      </c>
      <c r="AH476" s="12"/>
      <c r="AI476" s="12" t="s">
        <v>71</v>
      </c>
      <c r="AJ476" s="12"/>
      <c r="AK476" s="8">
        <v>496477</v>
      </c>
      <c r="AL476" s="8"/>
      <c r="AM476" s="8">
        <v>0</v>
      </c>
      <c r="AN476" s="8"/>
      <c r="AO476" s="8">
        <v>160133</v>
      </c>
      <c r="AP476" s="8"/>
      <c r="AQ476" s="8">
        <v>458782</v>
      </c>
      <c r="AR476" s="8"/>
      <c r="AS476" s="8"/>
      <c r="AT476" s="8"/>
      <c r="AU476" s="8">
        <v>0</v>
      </c>
      <c r="AV476" s="8"/>
      <c r="AW476" s="8">
        <f t="shared" si="27"/>
        <v>10099552</v>
      </c>
      <c r="AY476" s="8">
        <f>+'St of Activites - GA Rev'!AI475-'St of Activities - GA Exp'!AW476</f>
        <v>18266786</v>
      </c>
      <c r="BA476" s="8">
        <v>5126654</v>
      </c>
      <c r="BC476" s="8">
        <f t="shared" si="26"/>
        <v>23393440</v>
      </c>
      <c r="BE476" s="8">
        <f>+'St of Net Assets - GA'!AA476-'St of Activities - GA Exp'!BC476</f>
        <v>0</v>
      </c>
    </row>
    <row r="477" spans="1:59">
      <c r="A477" s="12" t="s">
        <v>524</v>
      </c>
      <c r="B477" s="12"/>
      <c r="C477" s="12" t="s">
        <v>46</v>
      </c>
      <c r="D477" s="12"/>
      <c r="E477" s="32">
        <v>48447</v>
      </c>
      <c r="G477" s="8">
        <v>9695622</v>
      </c>
      <c r="H477" s="8"/>
      <c r="I477" s="8">
        <v>1504213</v>
      </c>
      <c r="J477" s="8"/>
      <c r="K477" s="8">
        <v>167424</v>
      </c>
      <c r="L477" s="8"/>
      <c r="M477" s="8">
        <v>0</v>
      </c>
      <c r="N477" s="8"/>
      <c r="O477" s="8">
        <v>451124</v>
      </c>
      <c r="P477" s="8"/>
      <c r="Q477" s="8">
        <v>883865</v>
      </c>
      <c r="R477" s="8"/>
      <c r="S477" s="8">
        <v>17701</v>
      </c>
      <c r="T477" s="8"/>
      <c r="U477" s="8">
        <v>1378922</v>
      </c>
      <c r="V477" s="8"/>
      <c r="W477" s="8">
        <v>475417</v>
      </c>
      <c r="X477" s="8"/>
      <c r="Y477" s="8">
        <v>24806</v>
      </c>
      <c r="Z477" s="8"/>
      <c r="AA477" s="8">
        <v>1573850</v>
      </c>
      <c r="AB477" s="8"/>
      <c r="AC477" s="8">
        <v>971685</v>
      </c>
      <c r="AD477" s="8"/>
      <c r="AE477" s="8">
        <v>77902</v>
      </c>
      <c r="AF477" s="138"/>
      <c r="AG477" s="12" t="s">
        <v>524</v>
      </c>
      <c r="AH477" s="12"/>
      <c r="AI477" s="12" t="s">
        <v>46</v>
      </c>
      <c r="AJ477" s="12"/>
      <c r="AK477" s="8">
        <v>0</v>
      </c>
      <c r="AL477" s="8"/>
      <c r="AM477" s="8">
        <v>919004</v>
      </c>
      <c r="AN477" s="8"/>
      <c r="AO477" s="8">
        <v>561516</v>
      </c>
      <c r="AP477" s="8"/>
      <c r="AQ477" s="8">
        <v>689721</v>
      </c>
      <c r="AR477" s="8"/>
      <c r="AS477" s="8"/>
      <c r="AT477" s="8"/>
      <c r="AU477" s="8">
        <v>0</v>
      </c>
      <c r="AV477" s="8"/>
      <c r="AW477" s="8">
        <f t="shared" si="27"/>
        <v>19392772</v>
      </c>
      <c r="AY477" s="8">
        <f>+'St of Activites - GA Rev'!AI476-'St of Activities - GA Exp'!AW477</f>
        <v>-665428</v>
      </c>
      <c r="BA477" s="8">
        <v>34480350</v>
      </c>
      <c r="BC477" s="8">
        <f t="shared" si="26"/>
        <v>33814922</v>
      </c>
      <c r="BE477" s="8">
        <f>+'St of Net Assets - GA'!AA477-'St of Activities - GA Exp'!BC477</f>
        <v>0</v>
      </c>
    </row>
    <row r="478" spans="1:59">
      <c r="A478" s="12" t="s">
        <v>289</v>
      </c>
      <c r="B478" s="12"/>
      <c r="C478" s="12" t="s">
        <v>19</v>
      </c>
      <c r="D478" s="12"/>
      <c r="E478" s="32">
        <v>46482</v>
      </c>
      <c r="G478" s="8">
        <v>9458704</v>
      </c>
      <c r="H478" s="8"/>
      <c r="I478" s="8">
        <v>2372543</v>
      </c>
      <c r="J478" s="8"/>
      <c r="K478" s="8">
        <v>374340</v>
      </c>
      <c r="L478" s="8"/>
      <c r="M478" s="8">
        <v>0</v>
      </c>
      <c r="N478" s="8"/>
      <c r="O478" s="8">
        <v>830421</v>
      </c>
      <c r="P478" s="8"/>
      <c r="Q478" s="8">
        <v>1000991</v>
      </c>
      <c r="R478" s="8"/>
      <c r="S478" s="8">
        <v>63619</v>
      </c>
      <c r="T478" s="8"/>
      <c r="U478" s="8">
        <v>1566086</v>
      </c>
      <c r="V478" s="8"/>
      <c r="W478" s="8">
        <v>580780</v>
      </c>
      <c r="X478" s="8"/>
      <c r="Y478" s="8">
        <v>0</v>
      </c>
      <c r="Z478" s="8"/>
      <c r="AA478" s="8">
        <v>1721056</v>
      </c>
      <c r="AB478" s="8"/>
      <c r="AC478" s="8">
        <v>1568543</v>
      </c>
      <c r="AD478" s="8"/>
      <c r="AE478" s="8">
        <v>342164</v>
      </c>
      <c r="AF478" s="138"/>
      <c r="AG478" s="12" t="s">
        <v>289</v>
      </c>
      <c r="AH478" s="12"/>
      <c r="AI478" s="12" t="s">
        <v>19</v>
      </c>
      <c r="AJ478" s="12"/>
      <c r="AK478" s="8">
        <v>1027585</v>
      </c>
      <c r="AL478" s="8"/>
      <c r="AM478" s="8">
        <v>16479</v>
      </c>
      <c r="AN478" s="8"/>
      <c r="AO478" s="8">
        <v>434296</v>
      </c>
      <c r="AP478" s="8"/>
      <c r="AQ478" s="8">
        <v>74129</v>
      </c>
      <c r="AR478" s="8"/>
      <c r="AS478" s="8"/>
      <c r="AT478" s="8"/>
      <c r="AU478" s="8">
        <v>0</v>
      </c>
      <c r="AV478" s="8"/>
      <c r="AW478" s="8">
        <f t="shared" si="27"/>
        <v>21431736</v>
      </c>
      <c r="AY478" s="8">
        <f>+'St of Activites - GA Rev'!AI477-'St of Activities - GA Exp'!AW478</f>
        <v>118373</v>
      </c>
      <c r="BA478" s="8">
        <v>10124977</v>
      </c>
      <c r="BC478" s="8">
        <f t="shared" si="26"/>
        <v>10243350</v>
      </c>
      <c r="BE478" s="8">
        <f>+'St of Net Assets - GA'!AA478-'St of Activities - GA Exp'!BC478</f>
        <v>0</v>
      </c>
    </row>
    <row r="479" spans="1:59">
      <c r="A479" s="12" t="s">
        <v>425</v>
      </c>
      <c r="B479" s="12"/>
      <c r="C479" s="12" t="s">
        <v>421</v>
      </c>
      <c r="D479" s="12"/>
      <c r="E479" s="32">
        <v>47514</v>
      </c>
      <c r="G479" s="8">
        <v>5194244</v>
      </c>
      <c r="H479" s="8"/>
      <c r="I479" s="8">
        <v>1083938</v>
      </c>
      <c r="J479" s="8"/>
      <c r="K479" s="8">
        <v>248084</v>
      </c>
      <c r="L479" s="8"/>
      <c r="M479" s="8">
        <f>21272+652968</f>
        <v>674240</v>
      </c>
      <c r="N479" s="8"/>
      <c r="O479" s="8">
        <v>244415</v>
      </c>
      <c r="P479" s="8"/>
      <c r="Q479" s="8">
        <v>429363</v>
      </c>
      <c r="R479" s="8"/>
      <c r="S479" s="8">
        <v>107296</v>
      </c>
      <c r="T479" s="8"/>
      <c r="U479" s="8">
        <v>896450</v>
      </c>
      <c r="V479" s="8"/>
      <c r="W479" s="8">
        <v>251708</v>
      </c>
      <c r="X479" s="8"/>
      <c r="Y479" s="8">
        <v>34176</v>
      </c>
      <c r="Z479" s="8"/>
      <c r="AA479" s="8">
        <v>1194742</v>
      </c>
      <c r="AB479" s="8"/>
      <c r="AC479" s="8">
        <v>674448</v>
      </c>
      <c r="AD479" s="8"/>
      <c r="AE479" s="8">
        <v>58310</v>
      </c>
      <c r="AF479" s="138"/>
      <c r="AG479" s="12" t="s">
        <v>425</v>
      </c>
      <c r="AH479" s="12"/>
      <c r="AI479" s="12" t="s">
        <v>421</v>
      </c>
      <c r="AJ479" s="12"/>
      <c r="AK479" s="8">
        <v>0</v>
      </c>
      <c r="AL479" s="8"/>
      <c r="AM479" s="8">
        <v>409177</v>
      </c>
      <c r="AN479" s="8"/>
      <c r="AO479" s="8">
        <v>505166</v>
      </c>
      <c r="AP479" s="8"/>
      <c r="AQ479" s="8">
        <v>223133</v>
      </c>
      <c r="AR479" s="8"/>
      <c r="AS479" s="8"/>
      <c r="AT479" s="8"/>
      <c r="AU479" s="8">
        <v>971079</v>
      </c>
      <c r="AV479" s="8"/>
      <c r="AW479" s="8">
        <f t="shared" si="27"/>
        <v>13199969</v>
      </c>
      <c r="AY479" s="8">
        <f>+'St of Activites - GA Rev'!AI478-'St of Activities - GA Exp'!AW479</f>
        <v>-2245158</v>
      </c>
      <c r="BA479" s="8">
        <v>18265398</v>
      </c>
      <c r="BC479" s="8">
        <f t="shared" si="26"/>
        <v>16020240</v>
      </c>
      <c r="BE479" s="8">
        <f>+'St of Net Assets - GA'!AA479-'St of Activities - GA Exp'!BC479</f>
        <v>0</v>
      </c>
    </row>
    <row r="480" spans="1:59">
      <c r="A480" s="12" t="s">
        <v>482</v>
      </c>
      <c r="B480" s="12"/>
      <c r="C480" s="12" t="s">
        <v>41</v>
      </c>
      <c r="D480" s="12"/>
      <c r="E480" s="32"/>
      <c r="G480" s="8">
        <v>20272774</v>
      </c>
      <c r="H480" s="8"/>
      <c r="I480" s="8">
        <v>3205651</v>
      </c>
      <c r="J480" s="8"/>
      <c r="K480" s="8">
        <v>708427</v>
      </c>
      <c r="L480" s="8"/>
      <c r="M480" s="8">
        <v>0</v>
      </c>
      <c r="N480" s="8"/>
      <c r="O480" s="8">
        <v>2102431</v>
      </c>
      <c r="P480" s="8"/>
      <c r="Q480" s="8">
        <v>1641037</v>
      </c>
      <c r="R480" s="8"/>
      <c r="S480" s="8">
        <v>24929</v>
      </c>
      <c r="T480" s="8"/>
      <c r="U480" s="8">
        <v>4408860</v>
      </c>
      <c r="V480" s="8"/>
      <c r="W480" s="8">
        <v>880343</v>
      </c>
      <c r="X480" s="8"/>
      <c r="Y480" s="8">
        <v>112844</v>
      </c>
      <c r="Z480" s="8"/>
      <c r="AA480" s="8">
        <v>5822576</v>
      </c>
      <c r="AB480" s="8"/>
      <c r="AC480" s="8">
        <v>5089244</v>
      </c>
      <c r="AD480" s="8"/>
      <c r="AE480" s="8">
        <v>56969</v>
      </c>
      <c r="AF480" s="138"/>
      <c r="AG480" s="12" t="s">
        <v>482</v>
      </c>
      <c r="AH480" s="12"/>
      <c r="AI480" s="12" t="s">
        <v>41</v>
      </c>
      <c r="AJ480" s="12"/>
      <c r="AK480" s="8">
        <v>1606751</v>
      </c>
      <c r="AL480" s="8"/>
      <c r="AM480" s="8">
        <v>91769</v>
      </c>
      <c r="AN480" s="8"/>
      <c r="AO480" s="8">
        <v>703663</v>
      </c>
      <c r="AP480" s="8"/>
      <c r="AQ480" s="8">
        <v>208477</v>
      </c>
      <c r="AR480" s="8"/>
      <c r="AS480" s="8"/>
      <c r="AT480" s="8"/>
      <c r="AU480" s="8">
        <v>283547</v>
      </c>
      <c r="AV480" s="8"/>
      <c r="AW480" s="8">
        <f t="shared" si="27"/>
        <v>47220292</v>
      </c>
      <c r="AY480" s="8">
        <f>+'St of Activites - GA Rev'!AI479-'St of Activities - GA Exp'!AW480</f>
        <v>-607557</v>
      </c>
      <c r="BA480" s="8">
        <v>17259383</v>
      </c>
      <c r="BC480" s="8">
        <f t="shared" si="26"/>
        <v>16651826</v>
      </c>
      <c r="BE480" s="8">
        <f>+'St of Net Assets - GA'!AA480-'St of Activities - GA Exp'!BC480</f>
        <v>0</v>
      </c>
    </row>
    <row r="481" spans="1:59">
      <c r="A481" s="12" t="s">
        <v>482</v>
      </c>
      <c r="B481" s="12"/>
      <c r="C481" s="12" t="s">
        <v>43</v>
      </c>
      <c r="D481" s="12"/>
      <c r="E481" s="32">
        <v>48090</v>
      </c>
      <c r="G481" s="8">
        <v>4047567</v>
      </c>
      <c r="H481" s="8"/>
      <c r="I481" s="8">
        <v>713948</v>
      </c>
      <c r="J481" s="8"/>
      <c r="K481" s="8">
        <v>166880</v>
      </c>
      <c r="L481" s="8"/>
      <c r="M481" s="8">
        <v>0</v>
      </c>
      <c r="N481" s="8"/>
      <c r="O481" s="8">
        <v>209557</v>
      </c>
      <c r="P481" s="8"/>
      <c r="Q481" s="8">
        <v>568287</v>
      </c>
      <c r="R481" s="8"/>
      <c r="S481" s="8">
        <v>18031</v>
      </c>
      <c r="T481" s="8"/>
      <c r="U481" s="8">
        <v>569289</v>
      </c>
      <c r="V481" s="8"/>
      <c r="W481" s="8">
        <v>286097</v>
      </c>
      <c r="X481" s="8"/>
      <c r="Y481" s="8">
        <v>20669</v>
      </c>
      <c r="Z481" s="8"/>
      <c r="AA481" s="8">
        <v>796276</v>
      </c>
      <c r="AB481" s="8"/>
      <c r="AC481" s="8">
        <v>414775</v>
      </c>
      <c r="AD481" s="8"/>
      <c r="AE481" s="8">
        <v>4659</v>
      </c>
      <c r="AF481" s="138"/>
      <c r="AG481" s="12" t="s">
        <v>482</v>
      </c>
      <c r="AH481" s="12"/>
      <c r="AI481" s="12" t="s">
        <v>43</v>
      </c>
      <c r="AJ481" s="12"/>
      <c r="AK481" s="8">
        <v>399111</v>
      </c>
      <c r="AL481" s="8"/>
      <c r="AM481" s="8">
        <v>1350</v>
      </c>
      <c r="AN481" s="8"/>
      <c r="AO481" s="8">
        <v>245732</v>
      </c>
      <c r="AP481" s="8"/>
      <c r="AQ481" s="8">
        <v>117182</v>
      </c>
      <c r="AR481" s="8"/>
      <c r="AS481" s="8"/>
      <c r="AT481" s="8"/>
      <c r="AU481" s="8">
        <v>0</v>
      </c>
      <c r="AV481" s="8"/>
      <c r="AW481" s="8">
        <f t="shared" si="27"/>
        <v>8579410</v>
      </c>
      <c r="AY481" s="8">
        <f>+'St of Activites - GA Rev'!AI480-'St of Activities - GA Exp'!AW481</f>
        <v>-760831</v>
      </c>
      <c r="BA481" s="8">
        <v>10946508</v>
      </c>
      <c r="BC481" s="8">
        <f t="shared" si="26"/>
        <v>10185677</v>
      </c>
      <c r="BE481" s="8">
        <f>+'St of Net Assets - GA'!AA481-'St of Activities - GA Exp'!BC481</f>
        <v>0</v>
      </c>
    </row>
    <row r="482" spans="1:59">
      <c r="A482" s="12" t="s">
        <v>470</v>
      </c>
      <c r="B482" s="12"/>
      <c r="C482" s="12" t="s">
        <v>466</v>
      </c>
      <c r="D482" s="12"/>
      <c r="E482" s="32">
        <v>47944</v>
      </c>
      <c r="G482" s="8">
        <v>10251825</v>
      </c>
      <c r="H482" s="8"/>
      <c r="I482" s="8">
        <v>3162075</v>
      </c>
      <c r="J482" s="8"/>
      <c r="K482" s="8">
        <v>334442</v>
      </c>
      <c r="L482" s="8"/>
      <c r="M482" s="8">
        <v>1620</v>
      </c>
      <c r="N482" s="8"/>
      <c r="O482" s="8">
        <v>521740</v>
      </c>
      <c r="P482" s="8"/>
      <c r="Q482" s="8">
        <v>740459</v>
      </c>
      <c r="R482" s="8"/>
      <c r="S482" s="8">
        <v>200768</v>
      </c>
      <c r="T482" s="8"/>
      <c r="U482" s="8">
        <v>1482244</v>
      </c>
      <c r="V482" s="8"/>
      <c r="W482" s="8">
        <v>364759</v>
      </c>
      <c r="X482" s="8"/>
      <c r="Y482" s="8">
        <v>0</v>
      </c>
      <c r="Z482" s="8"/>
      <c r="AA482" s="8">
        <v>3038395</v>
      </c>
      <c r="AB482" s="8"/>
      <c r="AC482" s="8">
        <v>1434119</v>
      </c>
      <c r="AD482" s="8"/>
      <c r="AE482" s="8">
        <v>91286</v>
      </c>
      <c r="AF482" s="138"/>
      <c r="AG482" s="12" t="s">
        <v>470</v>
      </c>
      <c r="AH482" s="12"/>
      <c r="AI482" s="12" t="s">
        <v>466</v>
      </c>
      <c r="AJ482" s="12"/>
      <c r="AK482" s="8">
        <v>1318788</v>
      </c>
      <c r="AL482" s="8"/>
      <c r="AM482" s="8">
        <v>114699</v>
      </c>
      <c r="AN482" s="8"/>
      <c r="AO482" s="8">
        <v>557811</v>
      </c>
      <c r="AP482" s="8"/>
      <c r="AQ482" s="8">
        <v>0</v>
      </c>
      <c r="AR482" s="8"/>
      <c r="AS482" s="8"/>
      <c r="AT482" s="8"/>
      <c r="AU482" s="8">
        <v>0</v>
      </c>
      <c r="AV482" s="8"/>
      <c r="AW482" s="8">
        <f t="shared" si="27"/>
        <v>23615030</v>
      </c>
      <c r="AY482" s="8">
        <f>+'St of Activites - GA Rev'!AI481-'St of Activities - GA Exp'!AW482</f>
        <v>-3655987</v>
      </c>
      <c r="BA482" s="8">
        <v>50699066</v>
      </c>
      <c r="BC482" s="8">
        <f t="shared" si="26"/>
        <v>47043079</v>
      </c>
      <c r="BE482" s="8">
        <f>+'St of Net Assets - GA'!AA482-'St of Activities - GA Exp'!BC482</f>
        <v>0</v>
      </c>
      <c r="BG482" s="8" t="s">
        <v>956</v>
      </c>
    </row>
    <row r="483" spans="1:59" ht="12" customHeight="1">
      <c r="A483" s="13" t="s">
        <v>319</v>
      </c>
      <c r="B483" s="12"/>
      <c r="C483" s="12" t="s">
        <v>20</v>
      </c>
      <c r="D483" s="12"/>
      <c r="E483" s="32">
        <v>44701</v>
      </c>
      <c r="G483" s="8">
        <v>14733245</v>
      </c>
      <c r="H483" s="8"/>
      <c r="I483" s="8">
        <v>4068587</v>
      </c>
      <c r="J483" s="8"/>
      <c r="K483" s="8">
        <v>397153</v>
      </c>
      <c r="L483" s="8"/>
      <c r="M483" s="8">
        <v>29452</v>
      </c>
      <c r="N483" s="8"/>
      <c r="O483" s="8">
        <v>1861316</v>
      </c>
      <c r="P483" s="8"/>
      <c r="Q483" s="8">
        <v>874144</v>
      </c>
      <c r="R483" s="8"/>
      <c r="S483" s="8">
        <v>41586</v>
      </c>
      <c r="T483" s="8"/>
      <c r="U483" s="8">
        <v>2150914</v>
      </c>
      <c r="V483" s="8"/>
      <c r="W483" s="8">
        <v>757846</v>
      </c>
      <c r="X483" s="8"/>
      <c r="Y483" s="8">
        <v>466440</v>
      </c>
      <c r="Z483" s="8"/>
      <c r="AA483" s="8">
        <v>4030992</v>
      </c>
      <c r="AB483" s="8"/>
      <c r="AC483" s="8">
        <v>1608530</v>
      </c>
      <c r="AD483" s="8"/>
      <c r="AE483" s="8">
        <v>757888</v>
      </c>
      <c r="AF483" s="138"/>
      <c r="AG483" s="12" t="s">
        <v>319</v>
      </c>
      <c r="AH483" s="12"/>
      <c r="AI483" s="12" t="s">
        <v>20</v>
      </c>
      <c r="AJ483" s="12"/>
      <c r="AK483" s="8">
        <v>446698</v>
      </c>
      <c r="AL483" s="8"/>
      <c r="AM483" s="8">
        <v>1705982</v>
      </c>
      <c r="AN483" s="8"/>
      <c r="AO483" s="8">
        <v>1206220</v>
      </c>
      <c r="AP483" s="8"/>
      <c r="AQ483" s="8">
        <v>1195718</v>
      </c>
      <c r="AR483" s="8"/>
      <c r="AS483" s="8"/>
      <c r="AT483" s="8"/>
      <c r="AU483" s="8">
        <v>0</v>
      </c>
      <c r="AV483" s="8"/>
      <c r="AW483" s="8">
        <f t="shared" si="27"/>
        <v>36332711</v>
      </c>
      <c r="AY483" s="8">
        <f>+'St of Activites - GA Rev'!AI482-'St of Activities - GA Exp'!AW483</f>
        <v>1667289</v>
      </c>
      <c r="BA483" s="8">
        <v>7868520</v>
      </c>
      <c r="BC483" s="8">
        <f t="shared" si="26"/>
        <v>9535809</v>
      </c>
      <c r="BE483" s="8">
        <f>+'St of Net Assets - GA'!AA483-'St of Activities - GA Exp'!BC483</f>
        <v>64191</v>
      </c>
      <c r="BG483" s="10" t="s">
        <v>1016</v>
      </c>
    </row>
    <row r="484" spans="1:59" ht="12" customHeight="1">
      <c r="A484" s="12" t="s">
        <v>391</v>
      </c>
      <c r="B484" s="12"/>
      <c r="C484" s="12" t="s">
        <v>31</v>
      </c>
      <c r="D484" s="12"/>
      <c r="E484" s="32">
        <v>47308</v>
      </c>
      <c r="G484" s="8">
        <v>8465487</v>
      </c>
      <c r="H484" s="8"/>
      <c r="I484" s="8">
        <v>1952146</v>
      </c>
      <c r="J484" s="8"/>
      <c r="K484" s="8">
        <v>337186</v>
      </c>
      <c r="L484" s="8"/>
      <c r="M484" s="8">
        <v>0</v>
      </c>
      <c r="N484" s="8"/>
      <c r="O484" s="8">
        <v>659920</v>
      </c>
      <c r="P484" s="8"/>
      <c r="Q484" s="8">
        <v>1371329</v>
      </c>
      <c r="R484" s="8"/>
      <c r="S484" s="8">
        <v>36693</v>
      </c>
      <c r="T484" s="8"/>
      <c r="U484" s="8">
        <v>1431702</v>
      </c>
      <c r="V484" s="8"/>
      <c r="W484" s="8">
        <v>535421</v>
      </c>
      <c r="X484" s="8"/>
      <c r="Y484" s="8">
        <v>0</v>
      </c>
      <c r="Z484" s="8"/>
      <c r="AA484" s="8">
        <v>1619206</v>
      </c>
      <c r="AB484" s="8"/>
      <c r="AC484" s="8">
        <v>922145</v>
      </c>
      <c r="AD484" s="8"/>
      <c r="AE484" s="8">
        <v>21870</v>
      </c>
      <c r="AF484" s="138"/>
      <c r="AG484" s="12" t="s">
        <v>391</v>
      </c>
      <c r="AH484" s="12"/>
      <c r="AI484" s="12" t="s">
        <v>31</v>
      </c>
      <c r="AJ484" s="12"/>
      <c r="AK484" s="8">
        <v>1048512</v>
      </c>
      <c r="AL484" s="8"/>
      <c r="AM484" s="8">
        <v>11452</v>
      </c>
      <c r="AN484" s="8"/>
      <c r="AO484" s="8">
        <v>267514</v>
      </c>
      <c r="AP484" s="8"/>
      <c r="AQ484" s="8">
        <v>12305</v>
      </c>
      <c r="AR484" s="8"/>
      <c r="AS484" s="8"/>
      <c r="AT484" s="8"/>
      <c r="AU484" s="8">
        <v>0</v>
      </c>
      <c r="AV484" s="8"/>
      <c r="AW484" s="8">
        <f t="shared" si="27"/>
        <v>18692888</v>
      </c>
      <c r="AY484" s="8">
        <f>+'St of Activites - GA Rev'!AI483-'St of Activities - GA Exp'!AW484</f>
        <v>432880</v>
      </c>
      <c r="BA484" s="8">
        <v>13957006</v>
      </c>
      <c r="BC484" s="8">
        <f t="shared" si="26"/>
        <v>14389886</v>
      </c>
      <c r="BE484" s="8">
        <f>+'St of Net Assets - GA'!AA484-'St of Activities - GA Exp'!BC484</f>
        <v>0</v>
      </c>
    </row>
    <row r="485" spans="1:59" ht="12" customHeight="1">
      <c r="A485" s="12" t="s">
        <v>593</v>
      </c>
      <c r="B485" s="12"/>
      <c r="C485" s="12" t="s">
        <v>56</v>
      </c>
      <c r="D485" s="12"/>
      <c r="E485" s="32">
        <v>49213</v>
      </c>
      <c r="G485" s="8">
        <v>5029969</v>
      </c>
      <c r="H485" s="8"/>
      <c r="I485" s="8">
        <v>1255953</v>
      </c>
      <c r="J485" s="8"/>
      <c r="K485" s="8">
        <v>257747</v>
      </c>
      <c r="L485" s="8"/>
      <c r="M485" s="8">
        <v>440389</v>
      </c>
      <c r="N485" s="8"/>
      <c r="O485" s="8">
        <v>495709</v>
      </c>
      <c r="P485" s="8"/>
      <c r="Q485" s="8">
        <v>423652</v>
      </c>
      <c r="R485" s="8"/>
      <c r="S485" s="8">
        <v>27886</v>
      </c>
      <c r="T485" s="8"/>
      <c r="U485" s="8">
        <v>819464</v>
      </c>
      <c r="V485" s="8"/>
      <c r="W485" s="8">
        <v>343897</v>
      </c>
      <c r="X485" s="8"/>
      <c r="Y485" s="8">
        <v>13347</v>
      </c>
      <c r="Z485" s="8"/>
      <c r="AA485" s="8">
        <v>990667</v>
      </c>
      <c r="AB485" s="8"/>
      <c r="AC485" s="8">
        <v>698836</v>
      </c>
      <c r="AD485" s="8"/>
      <c r="AE485" s="8">
        <v>1000</v>
      </c>
      <c r="AF485" s="138"/>
      <c r="AG485" s="12" t="s">
        <v>593</v>
      </c>
      <c r="AH485" s="12"/>
      <c r="AI485" s="12" t="s">
        <v>56</v>
      </c>
      <c r="AJ485" s="12"/>
      <c r="AK485" s="8">
        <v>361280</v>
      </c>
      <c r="AL485" s="8"/>
      <c r="AM485" s="8">
        <f>16685+18023</f>
        <v>34708</v>
      </c>
      <c r="AN485" s="8"/>
      <c r="AO485" s="8">
        <v>260521</v>
      </c>
      <c r="AP485" s="8"/>
      <c r="AQ485" s="8">
        <v>20129</v>
      </c>
      <c r="AR485" s="8"/>
      <c r="AS485" s="8"/>
      <c r="AT485" s="8"/>
      <c r="AU485" s="8">
        <v>0</v>
      </c>
      <c r="AV485" s="8"/>
      <c r="AW485" s="8">
        <f t="shared" si="27"/>
        <v>11475154</v>
      </c>
      <c r="AY485" s="8">
        <f>+'St of Activites - GA Rev'!AI484-'St of Activities - GA Exp'!AW485</f>
        <v>777848</v>
      </c>
      <c r="BA485" s="8">
        <v>1287173</v>
      </c>
      <c r="BC485" s="8">
        <f t="shared" si="26"/>
        <v>2065021</v>
      </c>
      <c r="BE485" s="8">
        <f>+'St of Net Assets - GA'!AA485-'St of Activities - GA Exp'!BC485</f>
        <v>0</v>
      </c>
    </row>
    <row r="486" spans="1:59" ht="12" customHeight="1">
      <c r="A486" s="12" t="s">
        <v>250</v>
      </c>
      <c r="B486" s="12"/>
      <c r="C486" s="12" t="s">
        <v>242</v>
      </c>
      <c r="D486" s="12"/>
      <c r="E486" s="32">
        <v>46144</v>
      </c>
      <c r="G486" s="8">
        <v>11592916</v>
      </c>
      <c r="H486" s="8"/>
      <c r="I486" s="8">
        <v>2078745</v>
      </c>
      <c r="J486" s="8"/>
      <c r="K486" s="8">
        <v>401083</v>
      </c>
      <c r="L486" s="8"/>
      <c r="M486" s="8">
        <v>0</v>
      </c>
      <c r="N486" s="8"/>
      <c r="O486" s="8">
        <v>930722</v>
      </c>
      <c r="P486" s="8"/>
      <c r="Q486" s="8">
        <v>1431265</v>
      </c>
      <c r="R486" s="8"/>
      <c r="S486" s="8">
        <v>22942</v>
      </c>
      <c r="T486" s="8"/>
      <c r="U486" s="8">
        <v>1906408</v>
      </c>
      <c r="V486" s="8"/>
      <c r="W486" s="8">
        <v>717195</v>
      </c>
      <c r="X486" s="8"/>
      <c r="Y486" s="8">
        <v>0</v>
      </c>
      <c r="Z486" s="8"/>
      <c r="AA486" s="8">
        <v>2428993</v>
      </c>
      <c r="AB486" s="8"/>
      <c r="AC486" s="8">
        <v>1988556</v>
      </c>
      <c r="AD486" s="8"/>
      <c r="AE486" s="8">
        <v>22946</v>
      </c>
      <c r="AF486" s="138"/>
      <c r="AG486" s="12" t="s">
        <v>250</v>
      </c>
      <c r="AH486" s="12"/>
      <c r="AI486" s="12" t="s">
        <v>242</v>
      </c>
      <c r="AJ486" s="12"/>
      <c r="AK486" s="8">
        <v>1033437</v>
      </c>
      <c r="AL486" s="8"/>
      <c r="AM486" s="8">
        <v>206985</v>
      </c>
      <c r="AN486" s="8"/>
      <c r="AO486" s="8">
        <v>945408</v>
      </c>
      <c r="AP486" s="8"/>
      <c r="AQ486" s="8">
        <v>927424</v>
      </c>
      <c r="AR486" s="8"/>
      <c r="AS486" s="8"/>
      <c r="AT486" s="8"/>
      <c r="AU486" s="8">
        <v>0</v>
      </c>
      <c r="AV486" s="8"/>
      <c r="AW486" s="8">
        <f t="shared" si="27"/>
        <v>26635025</v>
      </c>
      <c r="AY486" s="8">
        <f>+'St of Activites - GA Rev'!AI485-'St of Activities - GA Exp'!AW486</f>
        <v>25128218</v>
      </c>
      <c r="BA486" s="8">
        <v>17447313</v>
      </c>
      <c r="BC486" s="8">
        <f t="shared" si="26"/>
        <v>42575531</v>
      </c>
      <c r="BE486" s="8">
        <f>+'St of Net Assets - GA'!AA486-'St of Activities - GA Exp'!BC486</f>
        <v>0</v>
      </c>
      <c r="BG486" s="15" t="s">
        <v>905</v>
      </c>
    </row>
    <row r="487" spans="1:59" ht="12" customHeight="1">
      <c r="A487" s="12" t="s">
        <v>739</v>
      </c>
      <c r="B487" s="12"/>
      <c r="C487" s="12" t="s">
        <v>72</v>
      </c>
      <c r="D487" s="12"/>
      <c r="E487" s="32">
        <v>45609</v>
      </c>
      <c r="G487" s="8">
        <v>10355810</v>
      </c>
      <c r="H487" s="8"/>
      <c r="I487" s="8">
        <v>2535995</v>
      </c>
      <c r="J487" s="8"/>
      <c r="K487" s="8">
        <v>262962</v>
      </c>
      <c r="L487" s="8"/>
      <c r="M487" s="8">
        <v>19064</v>
      </c>
      <c r="N487" s="8"/>
      <c r="O487" s="8">
        <v>1677518</v>
      </c>
      <c r="P487" s="8"/>
      <c r="Q487" s="8">
        <v>1305198</v>
      </c>
      <c r="R487" s="8"/>
      <c r="S487" s="8">
        <v>49235</v>
      </c>
      <c r="T487" s="8"/>
      <c r="U487" s="8">
        <v>2019633</v>
      </c>
      <c r="V487" s="8"/>
      <c r="W487" s="8">
        <v>423711</v>
      </c>
      <c r="X487" s="8"/>
      <c r="Y487" s="8">
        <v>113714</v>
      </c>
      <c r="Z487" s="8"/>
      <c r="AA487" s="8">
        <v>2107209</v>
      </c>
      <c r="AB487" s="8"/>
      <c r="AC487" s="8">
        <v>939009</v>
      </c>
      <c r="AD487" s="8"/>
      <c r="AE487" s="8">
        <v>416475</v>
      </c>
      <c r="AF487" s="138"/>
      <c r="AG487" s="12" t="s">
        <v>739</v>
      </c>
      <c r="AH487" s="12"/>
      <c r="AI487" s="12" t="s">
        <v>72</v>
      </c>
      <c r="AJ487" s="12"/>
      <c r="AK487" s="8">
        <v>0</v>
      </c>
      <c r="AL487" s="8"/>
      <c r="AM487" s="8">
        <v>977826</v>
      </c>
      <c r="AN487" s="8"/>
      <c r="AO487" s="8">
        <v>756197</v>
      </c>
      <c r="AP487" s="8"/>
      <c r="AQ487" s="8">
        <v>0</v>
      </c>
      <c r="AR487" s="8"/>
      <c r="AS487" s="8"/>
      <c r="AT487" s="8"/>
      <c r="AU487" s="8">
        <v>0</v>
      </c>
      <c r="AV487" s="8"/>
      <c r="AW487" s="8">
        <f t="shared" si="27"/>
        <v>23959556</v>
      </c>
      <c r="AY487" s="8">
        <f>+'St of Activites - GA Rev'!AI486-'St of Activities - GA Exp'!AW487</f>
        <v>1695227</v>
      </c>
      <c r="BA487" s="8">
        <v>17697880</v>
      </c>
      <c r="BC487" s="8">
        <f t="shared" si="26"/>
        <v>19393107</v>
      </c>
      <c r="BE487" s="8">
        <f>+'St of Net Assets - GA'!AA487-'St of Activities - GA Exp'!BC487</f>
        <v>0</v>
      </c>
    </row>
    <row r="488" spans="1:59" ht="12" customHeight="1">
      <c r="A488" s="12" t="s">
        <v>646</v>
      </c>
      <c r="B488" s="12"/>
      <c r="C488" s="12" t="s">
        <v>61</v>
      </c>
      <c r="D488" s="12"/>
      <c r="E488" s="32">
        <v>49817</v>
      </c>
      <c r="G488" s="8">
        <v>2077274</v>
      </c>
      <c r="H488" s="8"/>
      <c r="I488" s="8">
        <v>492905</v>
      </c>
      <c r="J488" s="8"/>
      <c r="K488" s="8">
        <v>1703</v>
      </c>
      <c r="L488" s="8"/>
      <c r="M488" s="8">
        <v>8112</v>
      </c>
      <c r="N488" s="8"/>
      <c r="O488" s="8">
        <v>97437</v>
      </c>
      <c r="P488" s="8"/>
      <c r="Q488" s="8">
        <v>126430</v>
      </c>
      <c r="R488" s="8"/>
      <c r="S488" s="8">
        <v>7749</v>
      </c>
      <c r="T488" s="8"/>
      <c r="U488" s="8">
        <v>347020</v>
      </c>
      <c r="V488" s="8"/>
      <c r="W488" s="8">
        <v>150742</v>
      </c>
      <c r="X488" s="8"/>
      <c r="Y488" s="8">
        <v>488</v>
      </c>
      <c r="Z488" s="8"/>
      <c r="AA488" s="8">
        <v>450662</v>
      </c>
      <c r="AB488" s="8"/>
      <c r="AC488" s="8">
        <v>164181</v>
      </c>
      <c r="AD488" s="8"/>
      <c r="AE488" s="8">
        <v>133872</v>
      </c>
      <c r="AF488" s="138"/>
      <c r="AG488" s="12" t="s">
        <v>646</v>
      </c>
      <c r="AH488" s="12"/>
      <c r="AI488" s="12" t="s">
        <v>61</v>
      </c>
      <c r="AJ488" s="12"/>
      <c r="AK488" s="8">
        <v>0</v>
      </c>
      <c r="AL488" s="8"/>
      <c r="AM488" s="8">
        <v>172552</v>
      </c>
      <c r="AN488" s="8"/>
      <c r="AO488" s="8">
        <v>197723</v>
      </c>
      <c r="AP488" s="8"/>
      <c r="AQ488" s="8">
        <v>162677</v>
      </c>
      <c r="AR488" s="8"/>
      <c r="AS488" s="8"/>
      <c r="AT488" s="8"/>
      <c r="AU488" s="8">
        <v>0</v>
      </c>
      <c r="AV488" s="8"/>
      <c r="AW488" s="8">
        <f t="shared" si="27"/>
        <v>4591527</v>
      </c>
      <c r="AY488" s="8">
        <f>+'St of Activites - GA Rev'!AI487-'St of Activities - GA Exp'!AW488</f>
        <v>-6037</v>
      </c>
      <c r="BA488" s="8">
        <v>3024261</v>
      </c>
      <c r="BC488" s="8">
        <f t="shared" si="26"/>
        <v>3018224</v>
      </c>
      <c r="BE488" s="8">
        <f>+'St of Net Assets - GA'!AA488-'St of Activities - GA Exp'!BC488</f>
        <v>0</v>
      </c>
    </row>
    <row r="489" spans="1:59">
      <c r="A489" s="12" t="s">
        <v>822</v>
      </c>
      <c r="B489" s="12"/>
      <c r="C489" s="12" t="s">
        <v>114</v>
      </c>
      <c r="D489" s="12"/>
      <c r="E489" s="32"/>
      <c r="G489" s="8">
        <v>8047294</v>
      </c>
      <c r="H489" s="8"/>
      <c r="I489" s="8">
        <v>2590766</v>
      </c>
      <c r="J489" s="8"/>
      <c r="K489" s="8">
        <v>340335</v>
      </c>
      <c r="L489" s="8"/>
      <c r="M489" s="8">
        <f>389756+1876030</f>
        <v>2265786</v>
      </c>
      <c r="N489" s="8"/>
      <c r="O489" s="8">
        <v>852278</v>
      </c>
      <c r="P489" s="8"/>
      <c r="Q489" s="8">
        <v>717967</v>
      </c>
      <c r="R489" s="8"/>
      <c r="S489" s="8">
        <v>30311</v>
      </c>
      <c r="T489" s="8"/>
      <c r="U489" s="8">
        <v>1531825</v>
      </c>
      <c r="V489" s="8"/>
      <c r="W489" s="8">
        <v>600087</v>
      </c>
      <c r="X489" s="8"/>
      <c r="Y489" s="8">
        <v>37119</v>
      </c>
      <c r="Z489" s="8"/>
      <c r="AA489" s="8">
        <v>2128747</v>
      </c>
      <c r="AB489" s="8"/>
      <c r="AC489" s="8">
        <v>754893</v>
      </c>
      <c r="AD489" s="8"/>
      <c r="AE489" s="8">
        <v>270410</v>
      </c>
      <c r="AF489" s="138"/>
      <c r="AG489" s="12" t="s">
        <v>822</v>
      </c>
      <c r="AH489" s="12"/>
      <c r="AI489" s="12" t="s">
        <v>114</v>
      </c>
      <c r="AJ489" s="12"/>
      <c r="AK489" s="8">
        <v>642612</v>
      </c>
      <c r="AL489" s="8"/>
      <c r="AM489" s="8">
        <v>204728</v>
      </c>
      <c r="AN489" s="8"/>
      <c r="AO489" s="8">
        <v>643398</v>
      </c>
      <c r="AP489" s="8"/>
      <c r="AQ489" s="8">
        <v>27180</v>
      </c>
      <c r="AR489" s="8"/>
      <c r="AS489" s="8"/>
      <c r="AT489" s="8"/>
      <c r="AU489" s="8">
        <v>0</v>
      </c>
      <c r="AV489" s="8"/>
      <c r="AW489" s="8">
        <f t="shared" si="27"/>
        <v>21685736</v>
      </c>
      <c r="AY489" s="8">
        <f>+'St of Activites - GA Rev'!AI488-'St of Activities - GA Exp'!AW489</f>
        <v>638298</v>
      </c>
      <c r="BA489" s="8">
        <v>4850329</v>
      </c>
      <c r="BC489" s="8">
        <f t="shared" si="26"/>
        <v>5488627</v>
      </c>
      <c r="BE489" s="8">
        <f>+'St of Net Assets - GA'!AA489-'St of Activities - GA Exp'!BC489</f>
        <v>0</v>
      </c>
    </row>
    <row r="490" spans="1:59">
      <c r="A490" s="12" t="s">
        <v>341</v>
      </c>
      <c r="B490" s="12"/>
      <c r="C490" s="12" t="s">
        <v>24</v>
      </c>
      <c r="D490" s="12"/>
      <c r="E490" s="32">
        <v>44743</v>
      </c>
      <c r="G490" s="8">
        <v>18993330</v>
      </c>
      <c r="H490" s="8"/>
      <c r="I490" s="8">
        <v>8444546</v>
      </c>
      <c r="J490" s="8"/>
      <c r="K490" s="8">
        <v>1775217</v>
      </c>
      <c r="L490" s="8"/>
      <c r="M490" s="8">
        <f>1376626+530516</f>
        <v>1907142</v>
      </c>
      <c r="N490" s="8"/>
      <c r="O490" s="8">
        <v>1949122</v>
      </c>
      <c r="P490" s="8"/>
      <c r="Q490" s="8">
        <v>1976782</v>
      </c>
      <c r="R490" s="8"/>
      <c r="S490" s="8">
        <v>219506</v>
      </c>
      <c r="T490" s="8"/>
      <c r="U490" s="8">
        <v>3143151</v>
      </c>
      <c r="V490" s="8"/>
      <c r="W490" s="8">
        <v>790838</v>
      </c>
      <c r="X490" s="8"/>
      <c r="Y490" s="8">
        <v>173166</v>
      </c>
      <c r="Z490" s="8"/>
      <c r="AA490" s="8">
        <v>4131032</v>
      </c>
      <c r="AB490" s="8"/>
      <c r="AC490" s="8">
        <v>1560103</v>
      </c>
      <c r="AD490" s="8"/>
      <c r="AE490" s="8">
        <v>961596</v>
      </c>
      <c r="AF490" s="138"/>
      <c r="AG490" s="12" t="s">
        <v>341</v>
      </c>
      <c r="AH490" s="12"/>
      <c r="AI490" s="12" t="s">
        <v>24</v>
      </c>
      <c r="AJ490" s="12"/>
      <c r="AK490" s="8">
        <v>1881767</v>
      </c>
      <c r="AL490" s="8"/>
      <c r="AM490" s="8">
        <v>1170029</v>
      </c>
      <c r="AN490" s="8"/>
      <c r="AO490" s="8">
        <v>1168160</v>
      </c>
      <c r="AP490" s="8"/>
      <c r="AQ490" s="8">
        <v>26930</v>
      </c>
      <c r="AR490" s="8"/>
      <c r="AS490" s="8"/>
      <c r="AT490" s="8"/>
      <c r="AU490" s="8">
        <v>0</v>
      </c>
      <c r="AV490" s="8"/>
      <c r="AW490" s="8">
        <f t="shared" si="27"/>
        <v>50272417</v>
      </c>
      <c r="AY490" s="8">
        <f>+'St of Activites - GA Rev'!AI489-'St of Activities - GA Exp'!AW490</f>
        <v>616774</v>
      </c>
      <c r="BA490" s="8">
        <v>13458988</v>
      </c>
      <c r="BC490" s="8">
        <f t="shared" si="26"/>
        <v>14075762</v>
      </c>
      <c r="BE490" s="8">
        <f>+'St of Net Assets - GA'!AA490-'St of Activities - GA Exp'!BC490</f>
        <v>0</v>
      </c>
    </row>
    <row r="491" spans="1:59">
      <c r="A491" s="12" t="s">
        <v>660</v>
      </c>
      <c r="B491" s="12"/>
      <c r="C491" s="12" t="s">
        <v>62</v>
      </c>
      <c r="D491" s="12"/>
      <c r="E491" s="32">
        <v>49940</v>
      </c>
      <c r="G491" s="8">
        <v>5877776</v>
      </c>
      <c r="H491" s="8"/>
      <c r="I491" s="8">
        <v>2042888</v>
      </c>
      <c r="J491" s="8"/>
      <c r="K491" s="8">
        <v>361492</v>
      </c>
      <c r="L491" s="8"/>
      <c r="M491" s="8">
        <f>8504+348938</f>
        <v>357442</v>
      </c>
      <c r="N491" s="8"/>
      <c r="O491" s="8">
        <v>1150856</v>
      </c>
      <c r="P491" s="8"/>
      <c r="Q491" s="8">
        <v>192766</v>
      </c>
      <c r="R491" s="8"/>
      <c r="S491" s="8">
        <v>12159</v>
      </c>
      <c r="T491" s="8"/>
      <c r="U491" s="8">
        <v>1326498</v>
      </c>
      <c r="V491" s="8"/>
      <c r="W491" s="8">
        <v>379713</v>
      </c>
      <c r="X491" s="8"/>
      <c r="Y491" s="8">
        <v>62995</v>
      </c>
      <c r="Z491" s="8"/>
      <c r="AA491" s="8">
        <v>898843</v>
      </c>
      <c r="AB491" s="8"/>
      <c r="AC491" s="8">
        <v>970846</v>
      </c>
      <c r="AD491" s="8"/>
      <c r="AE491" s="8">
        <v>27184</v>
      </c>
      <c r="AF491" s="138"/>
      <c r="AG491" s="12" t="s">
        <v>660</v>
      </c>
      <c r="AH491" s="12"/>
      <c r="AI491" s="12" t="s">
        <v>62</v>
      </c>
      <c r="AJ491" s="12"/>
      <c r="AK491" s="8">
        <v>578617</v>
      </c>
      <c r="AL491" s="8"/>
      <c r="AM491" s="8">
        <v>62741</v>
      </c>
      <c r="AN491" s="8"/>
      <c r="AO491" s="8">
        <v>465305</v>
      </c>
      <c r="AP491" s="8"/>
      <c r="AQ491" s="8">
        <v>551672</v>
      </c>
      <c r="AR491" s="8"/>
      <c r="AS491" s="8"/>
      <c r="AT491" s="8"/>
      <c r="AU491" s="8">
        <v>2205607</v>
      </c>
      <c r="AV491" s="8"/>
      <c r="AW491" s="8">
        <f t="shared" si="27"/>
        <v>17525400</v>
      </c>
      <c r="AY491" s="8">
        <f>+'St of Activites - GA Rev'!AI490-'St of Activities - GA Exp'!AW491</f>
        <v>-1518549</v>
      </c>
      <c r="BA491" s="8">
        <v>33574634</v>
      </c>
      <c r="BC491" s="8">
        <f t="shared" si="26"/>
        <v>32056085</v>
      </c>
      <c r="BE491" s="8">
        <f>+'St of Net Assets - GA'!AA491-'St of Activities - GA Exp'!BC491</f>
        <v>0</v>
      </c>
    </row>
    <row r="492" spans="1:59">
      <c r="A492" s="12" t="s">
        <v>585</v>
      </c>
      <c r="B492" s="12"/>
      <c r="C492" s="12" t="s">
        <v>55</v>
      </c>
      <c r="D492" s="12"/>
      <c r="E492" s="32"/>
      <c r="G492" s="8">
        <v>7514996</v>
      </c>
      <c r="H492" s="8"/>
      <c r="I492" s="8">
        <v>1991201</v>
      </c>
      <c r="J492" s="8"/>
      <c r="K492" s="8">
        <v>89769</v>
      </c>
      <c r="L492" s="8"/>
      <c r="M492" s="8">
        <v>0</v>
      </c>
      <c r="N492" s="8"/>
      <c r="O492" s="8">
        <v>609594</v>
      </c>
      <c r="P492" s="8"/>
      <c r="Q492" s="8">
        <v>944070</v>
      </c>
      <c r="R492" s="8"/>
      <c r="S492" s="8">
        <v>18503</v>
      </c>
      <c r="T492" s="8"/>
      <c r="U492" s="8">
        <v>1654714</v>
      </c>
      <c r="V492" s="8"/>
      <c r="W492" s="8">
        <v>303172</v>
      </c>
      <c r="X492" s="8"/>
      <c r="Y492" s="8">
        <v>0</v>
      </c>
      <c r="Z492" s="8"/>
      <c r="AA492" s="8">
        <v>2044903</v>
      </c>
      <c r="AB492" s="8"/>
      <c r="AC492" s="8">
        <v>1318634</v>
      </c>
      <c r="AD492" s="8"/>
      <c r="AE492" s="8">
        <v>126579</v>
      </c>
      <c r="AF492" s="138"/>
      <c r="AG492" s="12" t="s">
        <v>585</v>
      </c>
      <c r="AH492" s="12"/>
      <c r="AI492" s="12" t="s">
        <v>55</v>
      </c>
      <c r="AJ492" s="12"/>
      <c r="AK492" s="8">
        <v>0</v>
      </c>
      <c r="AL492" s="8"/>
      <c r="AM492" s="8">
        <v>685820</v>
      </c>
      <c r="AN492" s="8"/>
      <c r="AO492" s="8">
        <v>438153</v>
      </c>
      <c r="AP492" s="8"/>
      <c r="AQ492" s="8">
        <v>35033</v>
      </c>
      <c r="AR492" s="8"/>
      <c r="AS492" s="8"/>
      <c r="AT492" s="8"/>
      <c r="AU492" s="8">
        <v>65911</v>
      </c>
      <c r="AV492" s="8"/>
      <c r="AW492" s="8">
        <f t="shared" si="27"/>
        <v>17841052</v>
      </c>
      <c r="AY492" s="8">
        <f>+'St of Activites - GA Rev'!AI491-'St of Activities - GA Exp'!AW492</f>
        <v>-1835406</v>
      </c>
      <c r="BA492" s="8">
        <v>32770123</v>
      </c>
      <c r="BC492" s="8">
        <f t="shared" si="26"/>
        <v>30934717</v>
      </c>
      <c r="BE492" s="8">
        <f>+'St of Net Assets - GA'!AA492-'St of Activities - GA Exp'!BC492</f>
        <v>0</v>
      </c>
    </row>
    <row r="493" spans="1:59">
      <c r="A493" s="12" t="s">
        <v>515</v>
      </c>
      <c r="B493" s="12"/>
      <c r="C493" s="12" t="s">
        <v>45</v>
      </c>
      <c r="D493" s="12"/>
      <c r="E493" s="32">
        <v>48355</v>
      </c>
      <c r="G493" s="8">
        <v>3394054</v>
      </c>
      <c r="H493" s="8"/>
      <c r="I493" s="8">
        <v>1877888</v>
      </c>
      <c r="J493" s="8"/>
      <c r="K493" s="8">
        <v>0</v>
      </c>
      <c r="L493" s="8"/>
      <c r="M493" s="8">
        <v>0</v>
      </c>
      <c r="N493" s="8"/>
      <c r="O493" s="8">
        <v>192817</v>
      </c>
      <c r="P493" s="8"/>
      <c r="Q493" s="8">
        <v>257213</v>
      </c>
      <c r="R493" s="8"/>
      <c r="S493" s="8">
        <v>11818</v>
      </c>
      <c r="T493" s="8"/>
      <c r="U493" s="8">
        <v>752268</v>
      </c>
      <c r="V493" s="8"/>
      <c r="W493" s="8">
        <v>236613</v>
      </c>
      <c r="X493" s="8"/>
      <c r="Y493" s="8">
        <v>0</v>
      </c>
      <c r="Z493" s="8"/>
      <c r="AA493" s="8">
        <v>822564</v>
      </c>
      <c r="AB493" s="8"/>
      <c r="AC493" s="8">
        <v>146452</v>
      </c>
      <c r="AD493" s="8"/>
      <c r="AE493" s="8">
        <v>1987</v>
      </c>
      <c r="AF493" s="138"/>
      <c r="AG493" s="12" t="s">
        <v>515</v>
      </c>
      <c r="AH493" s="12"/>
      <c r="AI493" s="12" t="s">
        <v>45</v>
      </c>
      <c r="AJ493" s="12"/>
      <c r="AK493" s="8">
        <v>301272</v>
      </c>
      <c r="AL493" s="8"/>
      <c r="AM493" s="8">
        <v>0</v>
      </c>
      <c r="AN493" s="8"/>
      <c r="AO493" s="8">
        <v>284927</v>
      </c>
      <c r="AP493" s="8"/>
      <c r="AQ493" s="8">
        <v>79367</v>
      </c>
      <c r="AR493" s="8"/>
      <c r="AS493" s="8"/>
      <c r="AT493" s="8"/>
      <c r="AU493" s="8">
        <v>0</v>
      </c>
      <c r="AV493" s="8"/>
      <c r="AW493" s="8">
        <f t="shared" si="27"/>
        <v>8359240</v>
      </c>
      <c r="AY493" s="8">
        <f>+'St of Activites - GA Rev'!AI492-'St of Activities - GA Exp'!AW493</f>
        <v>-930506</v>
      </c>
      <c r="BA493" s="8">
        <v>11949007</v>
      </c>
      <c r="BC493" s="8">
        <f t="shared" si="26"/>
        <v>11018501</v>
      </c>
      <c r="BE493" s="8">
        <f>+'St of Net Assets - GA'!AA493-'St of Activities - GA Exp'!BC493</f>
        <v>0</v>
      </c>
    </row>
    <row r="494" spans="1:59">
      <c r="A494" s="12" t="s">
        <v>639</v>
      </c>
      <c r="B494" s="12"/>
      <c r="C494" s="12" t="s">
        <v>60</v>
      </c>
      <c r="D494" s="12"/>
      <c r="E494" s="32">
        <v>49684</v>
      </c>
      <c r="G494" s="8">
        <v>4655651</v>
      </c>
      <c r="H494" s="8"/>
      <c r="I494" s="8">
        <v>1120131</v>
      </c>
      <c r="J494" s="8"/>
      <c r="K494" s="8">
        <v>192150</v>
      </c>
      <c r="L494" s="8"/>
      <c r="M494" s="8">
        <v>0</v>
      </c>
      <c r="N494" s="8"/>
      <c r="O494" s="8">
        <v>120444</v>
      </c>
      <c r="P494" s="8"/>
      <c r="Q494" s="8">
        <v>345265</v>
      </c>
      <c r="R494" s="8"/>
      <c r="S494" s="8">
        <v>31829</v>
      </c>
      <c r="T494" s="8"/>
      <c r="U494" s="8">
        <v>618825</v>
      </c>
      <c r="V494" s="8"/>
      <c r="W494" s="8">
        <v>267651</v>
      </c>
      <c r="X494" s="8"/>
      <c r="Y494" s="8">
        <v>0</v>
      </c>
      <c r="Z494" s="8"/>
      <c r="AA494" s="8">
        <v>829221</v>
      </c>
      <c r="AB494" s="8"/>
      <c r="AC494" s="8">
        <v>756012</v>
      </c>
      <c r="AD494" s="8"/>
      <c r="AE494" s="8">
        <v>0</v>
      </c>
      <c r="AF494" s="138"/>
      <c r="AG494" s="12" t="s">
        <v>639</v>
      </c>
      <c r="AH494" s="12"/>
      <c r="AI494" s="12" t="s">
        <v>60</v>
      </c>
      <c r="AJ494" s="12"/>
      <c r="AK494" s="8">
        <v>463079</v>
      </c>
      <c r="AL494" s="8"/>
      <c r="AM494" s="8">
        <v>2126</v>
      </c>
      <c r="AN494" s="8"/>
      <c r="AO494" s="8">
        <v>414017</v>
      </c>
      <c r="AP494" s="8"/>
      <c r="AQ494" s="8">
        <v>509255</v>
      </c>
      <c r="AR494" s="8"/>
      <c r="AS494" s="8"/>
      <c r="AT494" s="8"/>
      <c r="AU494" s="8">
        <v>0</v>
      </c>
      <c r="AV494" s="8"/>
      <c r="AW494" s="8">
        <f t="shared" si="27"/>
        <v>10325656</v>
      </c>
      <c r="AY494" s="8">
        <f>+'St of Activites - GA Rev'!AI493-'St of Activities - GA Exp'!AW494</f>
        <v>-255076</v>
      </c>
      <c r="BA494" s="8">
        <v>22241126</v>
      </c>
      <c r="BC494" s="8">
        <f t="shared" si="26"/>
        <v>21986050</v>
      </c>
      <c r="BE494" s="8">
        <f>+'St of Net Assets - GA'!AA494-'St of Activities - GA Exp'!BC494</f>
        <v>0</v>
      </c>
    </row>
    <row r="495" spans="1:59">
      <c r="A495" s="12" t="s">
        <v>234</v>
      </c>
      <c r="B495" s="12"/>
      <c r="C495" s="12" t="s">
        <v>15</v>
      </c>
      <c r="D495" s="12"/>
      <c r="E495" s="32">
        <v>46003</v>
      </c>
      <c r="G495" s="8">
        <v>3872862</v>
      </c>
      <c r="H495" s="8"/>
      <c r="I495" s="8">
        <v>767634</v>
      </c>
      <c r="J495" s="8"/>
      <c r="K495" s="8">
        <v>27083</v>
      </c>
      <c r="L495" s="8"/>
      <c r="M495" s="8">
        <v>11212</v>
      </c>
      <c r="N495" s="8"/>
      <c r="O495" s="8">
        <v>266996</v>
      </c>
      <c r="P495" s="8"/>
      <c r="Q495" s="8">
        <v>150553</v>
      </c>
      <c r="R495" s="8"/>
      <c r="S495" s="8">
        <v>24697</v>
      </c>
      <c r="T495" s="8"/>
      <c r="U495" s="8">
        <v>671098</v>
      </c>
      <c r="V495" s="8"/>
      <c r="W495" s="8">
        <v>269346</v>
      </c>
      <c r="X495" s="8"/>
      <c r="Y495" s="8">
        <v>0</v>
      </c>
      <c r="Z495" s="8"/>
      <c r="AA495" s="8">
        <v>681687</v>
      </c>
      <c r="AB495" s="8"/>
      <c r="AC495" s="8">
        <v>209679</v>
      </c>
      <c r="AD495" s="8"/>
      <c r="AE495" s="8">
        <v>0</v>
      </c>
      <c r="AF495" s="138"/>
      <c r="AG495" s="12" t="s">
        <v>234</v>
      </c>
      <c r="AH495" s="12"/>
      <c r="AI495" s="12" t="s">
        <v>15</v>
      </c>
      <c r="AJ495" s="12"/>
      <c r="AK495" s="8">
        <v>176307</v>
      </c>
      <c r="AL495" s="8"/>
      <c r="AM495" s="8">
        <v>0</v>
      </c>
      <c r="AN495" s="8"/>
      <c r="AO495" s="8">
        <v>207334</v>
      </c>
      <c r="AP495" s="8"/>
      <c r="AQ495" s="8">
        <v>3976</v>
      </c>
      <c r="AR495" s="8"/>
      <c r="AS495" s="8"/>
      <c r="AT495" s="8"/>
      <c r="AU495" s="8">
        <v>0</v>
      </c>
      <c r="AV495" s="8"/>
      <c r="AW495" s="8">
        <f t="shared" ref="AW495:AW508" si="28">SUM(G495:AV495)</f>
        <v>7340464</v>
      </c>
      <c r="AY495" s="8">
        <f>+'St of Activites - GA Rev'!AI494-'St of Activities - GA Exp'!AW495</f>
        <v>795054</v>
      </c>
      <c r="BA495" s="8">
        <v>2524027</v>
      </c>
      <c r="BC495" s="8">
        <f t="shared" ref="BC495:BC508" si="29">+AY495+BA495</f>
        <v>3319081</v>
      </c>
      <c r="BE495" s="8">
        <f>+'St of Net Assets - GA'!AA498-'St of Activities - GA Exp'!BC495</f>
        <v>0</v>
      </c>
    </row>
    <row r="496" spans="1:59">
      <c r="A496" s="12" t="s">
        <v>1061</v>
      </c>
      <c r="B496" s="12"/>
      <c r="C496" s="12" t="s">
        <v>20</v>
      </c>
      <c r="D496" s="12"/>
      <c r="E496" s="32">
        <v>44750</v>
      </c>
      <c r="G496" s="8">
        <v>37085280</v>
      </c>
      <c r="H496" s="8"/>
      <c r="I496" s="8">
        <v>13428305</v>
      </c>
      <c r="J496" s="8"/>
      <c r="K496" s="8">
        <v>139800</v>
      </c>
      <c r="L496" s="8"/>
      <c r="M496" s="8">
        <v>19489</v>
      </c>
      <c r="N496" s="8"/>
      <c r="O496" s="8">
        <v>6109276</v>
      </c>
      <c r="P496" s="8"/>
      <c r="Q496" s="8">
        <v>7847850</v>
      </c>
      <c r="R496" s="8"/>
      <c r="S496" s="8">
        <v>22044</v>
      </c>
      <c r="T496" s="8"/>
      <c r="U496" s="8">
        <v>6143839</v>
      </c>
      <c r="V496" s="8"/>
      <c r="W496" s="8">
        <v>1815190</v>
      </c>
      <c r="X496" s="8"/>
      <c r="Y496" s="8">
        <v>933149</v>
      </c>
      <c r="Z496" s="8"/>
      <c r="AA496" s="8">
        <v>14220532</v>
      </c>
      <c r="AB496" s="8"/>
      <c r="AC496" s="8">
        <v>4795694</v>
      </c>
      <c r="AD496" s="8"/>
      <c r="AE496" s="8">
        <v>1990523</v>
      </c>
      <c r="AF496" s="138"/>
      <c r="AG496" s="12" t="s">
        <v>320</v>
      </c>
      <c r="AH496" s="12"/>
      <c r="AI496" s="12" t="s">
        <v>20</v>
      </c>
      <c r="AJ496" s="12"/>
      <c r="AK496" s="8">
        <v>1951783</v>
      </c>
      <c r="AL496" s="8"/>
      <c r="AM496" s="8">
        <v>1327646</v>
      </c>
      <c r="AN496" s="8"/>
      <c r="AO496" s="8">
        <v>1296624</v>
      </c>
      <c r="AP496" s="8"/>
      <c r="AQ496" s="8">
        <v>1227205</v>
      </c>
      <c r="AR496" s="8"/>
      <c r="AS496" s="8"/>
      <c r="AT496" s="8"/>
      <c r="AU496" s="8">
        <v>0</v>
      </c>
      <c r="AV496" s="8"/>
      <c r="AW496" s="8">
        <f t="shared" si="28"/>
        <v>100354229</v>
      </c>
      <c r="AY496" s="8">
        <f>+'St of Activites - GA Rev'!AI495-'St of Activities - GA Exp'!AW496</f>
        <v>-5370153</v>
      </c>
      <c r="BA496" s="8">
        <v>41124136</v>
      </c>
      <c r="BC496" s="8">
        <f t="shared" si="29"/>
        <v>35753983</v>
      </c>
      <c r="BE496" s="8">
        <f>+'St of Net Assets - GA'!AA499-'St of Activities - GA Exp'!BC496</f>
        <v>0</v>
      </c>
      <c r="BG496" s="15" t="s">
        <v>905</v>
      </c>
    </row>
    <row r="497" spans="1:59" hidden="1">
      <c r="A497" s="12" t="s">
        <v>1034</v>
      </c>
      <c r="B497" s="12"/>
      <c r="C497" s="12" t="s">
        <v>10</v>
      </c>
      <c r="D497" s="12"/>
      <c r="E497" s="32"/>
      <c r="G497" s="8">
        <v>8938328</v>
      </c>
      <c r="H497" s="8"/>
      <c r="I497" s="8">
        <v>2300750</v>
      </c>
      <c r="J497" s="8"/>
      <c r="K497" s="8"/>
      <c r="L497" s="8"/>
      <c r="M497" s="8">
        <f>138635+909865</f>
        <v>1048500</v>
      </c>
      <c r="N497" s="8"/>
      <c r="O497" s="8">
        <v>796456</v>
      </c>
      <c r="P497" s="8"/>
      <c r="Q497" s="8">
        <v>937789</v>
      </c>
      <c r="R497" s="8"/>
      <c r="S497" s="8">
        <v>59861</v>
      </c>
      <c r="T497" s="8"/>
      <c r="U497" s="8">
        <v>1670263</v>
      </c>
      <c r="V497" s="8"/>
      <c r="W497" s="8">
        <v>680100</v>
      </c>
      <c r="X497" s="8"/>
      <c r="Y497" s="8"/>
      <c r="Z497" s="8"/>
      <c r="AA497" s="8">
        <v>2921776</v>
      </c>
      <c r="AB497" s="8"/>
      <c r="AC497" s="8">
        <v>1452239</v>
      </c>
      <c r="AD497" s="8"/>
      <c r="AE497" s="8">
        <v>41485</v>
      </c>
      <c r="AF497" s="138"/>
      <c r="AG497" s="12" t="s">
        <v>1034</v>
      </c>
      <c r="AH497" s="12"/>
      <c r="AI497" s="12" t="s">
        <v>10</v>
      </c>
      <c r="AJ497" s="12"/>
      <c r="AK497" s="8">
        <v>926084</v>
      </c>
      <c r="AL497" s="8"/>
      <c r="AM497" s="8">
        <v>240692</v>
      </c>
      <c r="AN497" s="8"/>
      <c r="AO497" s="8">
        <v>911687</v>
      </c>
      <c r="AP497" s="8"/>
      <c r="AQ497" s="8"/>
      <c r="AR497" s="8"/>
      <c r="AS497" s="8"/>
      <c r="AT497" s="8"/>
      <c r="AU497" s="8">
        <f>2140914+284281+91494</f>
        <v>2516689</v>
      </c>
      <c r="AV497" s="8"/>
      <c r="AW497" s="8">
        <f t="shared" si="28"/>
        <v>25442699</v>
      </c>
      <c r="AY497" s="8">
        <f>+'St of Activites - GA Rev'!AI496-'St of Activities - GA Exp'!AW497</f>
        <v>2702893</v>
      </c>
      <c r="BA497" s="8">
        <v>15678669</v>
      </c>
      <c r="BC497" s="8">
        <f t="shared" si="29"/>
        <v>18381562</v>
      </c>
      <c r="BE497" s="8">
        <f>+'St of Net Assets - GA'!AA500-'St of Activities - GA Exp'!BC497</f>
        <v>0</v>
      </c>
      <c r="BG497" s="15"/>
    </row>
    <row r="498" spans="1:59" ht="12" customHeight="1">
      <c r="A498" s="12" t="s">
        <v>494</v>
      </c>
      <c r="B498" s="12"/>
      <c r="C498" s="12" t="s">
        <v>44</v>
      </c>
      <c r="D498" s="12"/>
      <c r="E498" s="32">
        <v>44768</v>
      </c>
      <c r="G498" s="8">
        <v>8507612</v>
      </c>
      <c r="H498" s="8"/>
      <c r="I498" s="8">
        <v>1202534</v>
      </c>
      <c r="J498" s="8"/>
      <c r="K498" s="8">
        <v>184689</v>
      </c>
      <c r="L498" s="8"/>
      <c r="M498" s="8">
        <v>1193471</v>
      </c>
      <c r="N498" s="8"/>
      <c r="O498" s="8">
        <v>1177431</v>
      </c>
      <c r="P498" s="8"/>
      <c r="Q498" s="8">
        <v>782397</v>
      </c>
      <c r="R498" s="8"/>
      <c r="S498" s="8">
        <v>46053</v>
      </c>
      <c r="T498" s="8"/>
      <c r="U498" s="8">
        <v>1342637</v>
      </c>
      <c r="V498" s="8"/>
      <c r="W498" s="8">
        <v>533807</v>
      </c>
      <c r="X498" s="8"/>
      <c r="Y498" s="8">
        <v>189917</v>
      </c>
      <c r="Z498" s="8"/>
      <c r="AA498" s="8">
        <v>1396457</v>
      </c>
      <c r="AB498" s="8"/>
      <c r="AC498" s="8">
        <v>894884</v>
      </c>
      <c r="AD498" s="8"/>
      <c r="AE498" s="8">
        <v>366987</v>
      </c>
      <c r="AF498" s="138"/>
      <c r="AG498" s="12" t="s">
        <v>494</v>
      </c>
      <c r="AH498" s="12"/>
      <c r="AI498" s="12" t="s">
        <v>44</v>
      </c>
      <c r="AJ498" s="12"/>
      <c r="AK498" s="8">
        <v>596591</v>
      </c>
      <c r="AL498" s="8"/>
      <c r="AM498" s="8">
        <v>19820</v>
      </c>
      <c r="AN498" s="8"/>
      <c r="AO498" s="8">
        <v>390703</v>
      </c>
      <c r="AP498" s="8"/>
      <c r="AQ498" s="8">
        <v>0</v>
      </c>
      <c r="AR498" s="8"/>
      <c r="AS498" s="8"/>
      <c r="AT498" s="8"/>
      <c r="AU498" s="8">
        <v>0</v>
      </c>
      <c r="AV498" s="8"/>
      <c r="AW498" s="8">
        <f t="shared" si="28"/>
        <v>18825990</v>
      </c>
      <c r="AY498" s="8">
        <f>+'St of Activites - GA Rev'!AI497-'St of Activities - GA Exp'!AW498</f>
        <v>1711515</v>
      </c>
      <c r="BA498" s="8">
        <v>9965885</v>
      </c>
      <c r="BC498" s="8">
        <f t="shared" si="29"/>
        <v>11677400</v>
      </c>
      <c r="BE498" s="8">
        <f>+'St of Net Assets - GA'!AA501-'St of Activities - GA Exp'!BC498</f>
        <v>0</v>
      </c>
    </row>
    <row r="499" spans="1:59">
      <c r="A499" s="12" t="s">
        <v>615</v>
      </c>
      <c r="B499" s="12"/>
      <c r="C499" s="12" t="s">
        <v>112</v>
      </c>
      <c r="D499" s="12"/>
      <c r="E499" s="32">
        <v>44776</v>
      </c>
      <c r="G499" s="8">
        <v>8386587</v>
      </c>
      <c r="H499" s="8"/>
      <c r="I499" s="8">
        <v>2185411</v>
      </c>
      <c r="J499" s="8"/>
      <c r="K499" s="8">
        <v>202358</v>
      </c>
      <c r="L499" s="8"/>
      <c r="M499" s="8">
        <v>5374</v>
      </c>
      <c r="N499" s="8"/>
      <c r="O499" s="8">
        <v>754651</v>
      </c>
      <c r="P499" s="8"/>
      <c r="Q499" s="8">
        <v>1465643</v>
      </c>
      <c r="R499" s="8"/>
      <c r="S499" s="8">
        <v>76215</v>
      </c>
      <c r="T499" s="8"/>
      <c r="U499" s="8">
        <v>1326413</v>
      </c>
      <c r="V499" s="8"/>
      <c r="W499" s="8">
        <v>773708</v>
      </c>
      <c r="X499" s="8"/>
      <c r="Y499" s="8">
        <v>12576</v>
      </c>
      <c r="Z499" s="8"/>
      <c r="AA499" s="8">
        <v>1643343</v>
      </c>
      <c r="AB499" s="8"/>
      <c r="AC499" s="8">
        <v>995101</v>
      </c>
      <c r="AD499" s="8"/>
      <c r="AE499" s="8">
        <v>60367</v>
      </c>
      <c r="AF499" s="138"/>
      <c r="AG499" s="12" t="s">
        <v>615</v>
      </c>
      <c r="AH499" s="12"/>
      <c r="AI499" s="12" t="s">
        <v>112</v>
      </c>
      <c r="AJ499" s="12"/>
      <c r="AK499" s="8">
        <v>978654</v>
      </c>
      <c r="AL499" s="8"/>
      <c r="AM499" s="8">
        <v>177962</v>
      </c>
      <c r="AN499" s="8"/>
      <c r="AO499" s="8">
        <v>637942</v>
      </c>
      <c r="AP499" s="8"/>
      <c r="AQ499" s="8">
        <v>65515</v>
      </c>
      <c r="AR499" s="8"/>
      <c r="AS499" s="8"/>
      <c r="AT499" s="8"/>
      <c r="AU499" s="8">
        <v>0</v>
      </c>
      <c r="AV499" s="8"/>
      <c r="AW499" s="8">
        <f t="shared" si="28"/>
        <v>19747820</v>
      </c>
      <c r="AY499" s="8">
        <f>+'St of Activites - GA Rev'!AI498-'St of Activities - GA Exp'!AW499</f>
        <v>2520901</v>
      </c>
      <c r="BA499" s="8">
        <v>4598004</v>
      </c>
      <c r="BC499" s="8">
        <f t="shared" si="29"/>
        <v>7118905</v>
      </c>
      <c r="BE499" s="8">
        <f>+'St of Net Assets - GA'!AA502-'St of Activities - GA Exp'!BC499</f>
        <v>0</v>
      </c>
    </row>
    <row r="500" spans="1:59">
      <c r="A500" s="12" t="s">
        <v>647</v>
      </c>
      <c r="B500" s="12"/>
      <c r="C500" s="12" t="s">
        <v>61</v>
      </c>
      <c r="D500" s="12"/>
      <c r="E500" s="32">
        <v>44784</v>
      </c>
      <c r="G500" s="8">
        <v>18491644</v>
      </c>
      <c r="H500" s="8"/>
      <c r="I500" s="8">
        <v>4680458</v>
      </c>
      <c r="J500" s="8"/>
      <c r="K500" s="8">
        <v>89322</v>
      </c>
      <c r="L500" s="8"/>
      <c r="M500" s="8">
        <v>0</v>
      </c>
      <c r="N500" s="8"/>
      <c r="O500" s="8">
        <v>2067151</v>
      </c>
      <c r="P500" s="8"/>
      <c r="Q500" s="8">
        <v>2247783</v>
      </c>
      <c r="R500" s="8"/>
      <c r="S500" s="8">
        <v>22774</v>
      </c>
      <c r="T500" s="8"/>
      <c r="U500" s="8">
        <v>2894119</v>
      </c>
      <c r="V500" s="8"/>
      <c r="W500" s="8">
        <v>814190</v>
      </c>
      <c r="X500" s="8"/>
      <c r="Y500" s="8">
        <v>1457</v>
      </c>
      <c r="Z500" s="8"/>
      <c r="AA500" s="8">
        <v>3173315</v>
      </c>
      <c r="AB500" s="8"/>
      <c r="AC500" s="8">
        <v>1288285</v>
      </c>
      <c r="AD500" s="8"/>
      <c r="AE500" s="8">
        <v>782319</v>
      </c>
      <c r="AF500" s="138"/>
      <c r="AG500" s="12" t="s">
        <v>647</v>
      </c>
      <c r="AH500" s="12"/>
      <c r="AI500" s="12" t="s">
        <v>61</v>
      </c>
      <c r="AJ500" s="12"/>
      <c r="AK500" s="8">
        <v>0</v>
      </c>
      <c r="AL500" s="8"/>
      <c r="AM500" s="8">
        <v>2160679</v>
      </c>
      <c r="AN500" s="8"/>
      <c r="AO500" s="8">
        <v>745900</v>
      </c>
      <c r="AP500" s="8"/>
      <c r="AQ500" s="8">
        <v>1111102</v>
      </c>
      <c r="AR500" s="8"/>
      <c r="AS500" s="8"/>
      <c r="AT500" s="8"/>
      <c r="AU500" s="8">
        <v>0</v>
      </c>
      <c r="AV500" s="8"/>
      <c r="AW500" s="8">
        <f t="shared" si="28"/>
        <v>40570498</v>
      </c>
      <c r="AY500" s="8">
        <f>+'St of Activites - GA Rev'!AI499-'St of Activities - GA Exp'!AW500</f>
        <v>-1660701</v>
      </c>
      <c r="BA500" s="8">
        <v>9129694</v>
      </c>
      <c r="BC500" s="8">
        <f t="shared" si="29"/>
        <v>7468993</v>
      </c>
      <c r="BE500" s="8">
        <f>+'St of Net Assets - GA'!AA503-'St of Activities - GA Exp'!BC500</f>
        <v>0</v>
      </c>
    </row>
    <row r="501" spans="1:59" s="35" customFormat="1">
      <c r="A501" s="34" t="s">
        <v>321</v>
      </c>
      <c r="B501" s="34"/>
      <c r="C501" s="34" t="s">
        <v>20</v>
      </c>
      <c r="D501" s="34"/>
      <c r="E501" s="34">
        <v>46607</v>
      </c>
      <c r="G501" s="8">
        <v>35669330</v>
      </c>
      <c r="H501" s="8"/>
      <c r="I501" s="8">
        <v>7490643</v>
      </c>
      <c r="J501" s="8"/>
      <c r="K501" s="8">
        <v>646877</v>
      </c>
      <c r="L501" s="8"/>
      <c r="M501" s="8">
        <v>464329</v>
      </c>
      <c r="N501" s="8"/>
      <c r="O501" s="8">
        <v>4234929</v>
      </c>
      <c r="P501" s="8"/>
      <c r="Q501" s="8">
        <v>1800774</v>
      </c>
      <c r="R501" s="8"/>
      <c r="S501" s="8">
        <v>43196</v>
      </c>
      <c r="T501" s="8"/>
      <c r="U501" s="8">
        <v>3668782</v>
      </c>
      <c r="V501" s="8"/>
      <c r="W501" s="8">
        <v>1488259</v>
      </c>
      <c r="X501" s="8"/>
      <c r="Y501" s="8">
        <v>1138065</v>
      </c>
      <c r="Z501" s="8"/>
      <c r="AA501" s="8">
        <v>7385525</v>
      </c>
      <c r="AB501" s="8"/>
      <c r="AC501" s="8">
        <v>3041654</v>
      </c>
      <c r="AD501" s="8"/>
      <c r="AE501" s="8">
        <v>1040684</v>
      </c>
      <c r="AF501" s="139"/>
      <c r="AG501" s="34" t="s">
        <v>321</v>
      </c>
      <c r="AH501" s="34"/>
      <c r="AI501" s="34" t="s">
        <v>20</v>
      </c>
      <c r="AJ501" s="34"/>
      <c r="AK501" s="8">
        <v>1770656</v>
      </c>
      <c r="AL501" s="8"/>
      <c r="AM501" s="8">
        <f>430313+80518+161590</f>
        <v>672421</v>
      </c>
      <c r="AN501" s="8"/>
      <c r="AO501" s="8">
        <v>1658882</v>
      </c>
      <c r="AP501" s="8"/>
      <c r="AQ501" s="8">
        <v>1729697</v>
      </c>
      <c r="AR501" s="8"/>
      <c r="AS501" s="8"/>
      <c r="AT501" s="8"/>
      <c r="AU501" s="8">
        <v>0</v>
      </c>
      <c r="AV501" s="8"/>
      <c r="AW501" s="8">
        <f t="shared" si="28"/>
        <v>73944703</v>
      </c>
      <c r="AX501" s="8"/>
      <c r="AY501" s="8">
        <f>+'St of Activites - GA Rev'!AI500-'St of Activities - GA Exp'!AW501</f>
        <v>-2373399</v>
      </c>
      <c r="AZ501" s="8"/>
      <c r="BA501" s="8">
        <v>33496458</v>
      </c>
      <c r="BB501" s="8"/>
      <c r="BC501" s="8">
        <f t="shared" si="29"/>
        <v>31123059</v>
      </c>
      <c r="BE501" s="35">
        <f>+'St of Net Assets - GA'!AA504-'St of Activities - GA Exp'!BC501</f>
        <v>0</v>
      </c>
    </row>
    <row r="502" spans="1:59">
      <c r="A502" s="12" t="s">
        <v>868</v>
      </c>
      <c r="B502" s="12"/>
      <c r="C502" s="12" t="s">
        <v>37</v>
      </c>
      <c r="D502" s="12"/>
      <c r="E502" s="32"/>
      <c r="G502" s="8">
        <v>4275793</v>
      </c>
      <c r="H502" s="8"/>
      <c r="I502" s="8">
        <v>490075</v>
      </c>
      <c r="J502" s="8"/>
      <c r="K502" s="8">
        <v>215936</v>
      </c>
      <c r="L502" s="8"/>
      <c r="M502" s="8">
        <v>610879</v>
      </c>
      <c r="N502" s="8"/>
      <c r="O502" s="8">
        <v>81693</v>
      </c>
      <c r="P502" s="8"/>
      <c r="Q502" s="8">
        <v>131999</v>
      </c>
      <c r="R502" s="8"/>
      <c r="S502" s="8">
        <v>38667</v>
      </c>
      <c r="T502" s="8"/>
      <c r="U502" s="8">
        <v>989634</v>
      </c>
      <c r="V502" s="8"/>
      <c r="W502" s="8">
        <v>250673</v>
      </c>
      <c r="X502" s="8"/>
      <c r="Y502" s="8">
        <v>0</v>
      </c>
      <c r="Z502" s="8"/>
      <c r="AA502" s="8">
        <v>825659</v>
      </c>
      <c r="AB502" s="8"/>
      <c r="AC502" s="8">
        <v>583304</v>
      </c>
      <c r="AD502" s="8"/>
      <c r="AE502" s="8">
        <v>3682</v>
      </c>
      <c r="AF502" s="138"/>
      <c r="AG502" s="12" t="s">
        <v>823</v>
      </c>
      <c r="AH502" s="12"/>
      <c r="AI502" s="12" t="s">
        <v>37</v>
      </c>
      <c r="AJ502" s="12"/>
      <c r="AK502" s="8">
        <v>414193</v>
      </c>
      <c r="AL502" s="8"/>
      <c r="AM502" s="8">
        <v>9001</v>
      </c>
      <c r="AN502" s="8"/>
      <c r="AO502" s="8">
        <v>285661</v>
      </c>
      <c r="AP502" s="8"/>
      <c r="AQ502" s="8">
        <v>61632</v>
      </c>
      <c r="AR502" s="8"/>
      <c r="AS502" s="8"/>
      <c r="AT502" s="8"/>
      <c r="AU502" s="8">
        <v>0</v>
      </c>
      <c r="AV502" s="8"/>
      <c r="AW502" s="8">
        <f t="shared" si="28"/>
        <v>9268481</v>
      </c>
      <c r="AY502" s="8">
        <f>+'St of Activites - GA Rev'!AI501-'St of Activities - GA Exp'!AW502</f>
        <v>-553655</v>
      </c>
      <c r="BA502" s="8">
        <v>8969047</v>
      </c>
      <c r="BC502" s="8">
        <f t="shared" si="29"/>
        <v>8415392</v>
      </c>
      <c r="BE502" s="8">
        <f>+'St of Net Assets - GA'!AA505-'St of Activities - GA Exp'!BC502</f>
        <v>0</v>
      </c>
    </row>
    <row r="503" spans="1:59" s="35" customFormat="1">
      <c r="A503" s="34" t="s">
        <v>322</v>
      </c>
      <c r="B503" s="34"/>
      <c r="C503" s="34" t="s">
        <v>20</v>
      </c>
      <c r="D503" s="34"/>
      <c r="E503" s="32">
        <v>44792</v>
      </c>
      <c r="G503" s="8">
        <v>23417045</v>
      </c>
      <c r="H503" s="8"/>
      <c r="I503" s="8">
        <v>7511662</v>
      </c>
      <c r="J503" s="8"/>
      <c r="K503" s="8">
        <v>2156101</v>
      </c>
      <c r="L503" s="8"/>
      <c r="M503" s="8">
        <v>0</v>
      </c>
      <c r="N503" s="8"/>
      <c r="O503" s="8">
        <v>3697082</v>
      </c>
      <c r="P503" s="8"/>
      <c r="Q503" s="8">
        <v>1435837</v>
      </c>
      <c r="R503" s="8"/>
      <c r="S503" s="8">
        <v>210337</v>
      </c>
      <c r="T503" s="8"/>
      <c r="U503" s="8">
        <v>3459223</v>
      </c>
      <c r="V503" s="8"/>
      <c r="W503" s="8">
        <v>1698998</v>
      </c>
      <c r="X503" s="8"/>
      <c r="Y503" s="8">
        <v>305456</v>
      </c>
      <c r="Z503" s="8"/>
      <c r="AA503" s="8">
        <v>7194410</v>
      </c>
      <c r="AB503" s="8"/>
      <c r="AC503" s="8">
        <v>2740165</v>
      </c>
      <c r="AD503" s="8"/>
      <c r="AE503" s="8">
        <v>1240593</v>
      </c>
      <c r="AF503" s="139"/>
      <c r="AG503" s="34" t="s">
        <v>322</v>
      </c>
      <c r="AH503" s="34"/>
      <c r="AI503" s="34" t="s">
        <v>20</v>
      </c>
      <c r="AJ503" s="34"/>
      <c r="AK503" s="8">
        <v>1620658</v>
      </c>
      <c r="AL503" s="8"/>
      <c r="AM503" s="8">
        <v>1108589</v>
      </c>
      <c r="AN503" s="8"/>
      <c r="AO503" s="8">
        <v>1226190</v>
      </c>
      <c r="AP503" s="8"/>
      <c r="AQ503" s="8">
        <v>812825</v>
      </c>
      <c r="AR503" s="8"/>
      <c r="AS503" s="8"/>
      <c r="AT503" s="8"/>
      <c r="AU503" s="8">
        <v>0</v>
      </c>
      <c r="AV503" s="8"/>
      <c r="AW503" s="8">
        <f t="shared" si="28"/>
        <v>59835171</v>
      </c>
      <c r="AX503" s="8"/>
      <c r="AY503" s="8">
        <f>+'St of Activites - GA Rev'!AI502-'St of Activities - GA Exp'!AW503</f>
        <v>9790268</v>
      </c>
      <c r="AZ503" s="8"/>
      <c r="BA503" s="8">
        <v>10153601</v>
      </c>
      <c r="BB503" s="8"/>
      <c r="BC503" s="8">
        <f t="shared" si="29"/>
        <v>19943869</v>
      </c>
      <c r="BD503" s="8"/>
      <c r="BE503" s="8">
        <f>+'St of Net Assets - GA'!AA506-'St of Activities - GA Exp'!BC503</f>
        <v>0</v>
      </c>
    </row>
    <row r="504" spans="1:59" ht="12" customHeight="1">
      <c r="A504" s="12" t="s">
        <v>471</v>
      </c>
      <c r="B504" s="12"/>
      <c r="C504" s="12" t="s">
        <v>466</v>
      </c>
      <c r="D504" s="12"/>
      <c r="E504" s="32">
        <v>47951</v>
      </c>
      <c r="G504" s="8">
        <v>8172266</v>
      </c>
      <c r="H504" s="8"/>
      <c r="I504" s="8">
        <v>2137692</v>
      </c>
      <c r="J504" s="8"/>
      <c r="K504" s="8">
        <v>262273</v>
      </c>
      <c r="L504" s="8"/>
      <c r="M504" s="8">
        <f>177412+13197</f>
        <v>190609</v>
      </c>
      <c r="N504" s="8"/>
      <c r="O504" s="8">
        <v>590047</v>
      </c>
      <c r="P504" s="8"/>
      <c r="Q504" s="8">
        <v>998941</v>
      </c>
      <c r="R504" s="8"/>
      <c r="S504" s="8">
        <v>63713</v>
      </c>
      <c r="T504" s="8"/>
      <c r="U504" s="8">
        <v>1437148</v>
      </c>
      <c r="V504" s="8"/>
      <c r="W504" s="8">
        <v>241122</v>
      </c>
      <c r="X504" s="8"/>
      <c r="Y504" s="8">
        <v>0</v>
      </c>
      <c r="Z504" s="8"/>
      <c r="AA504" s="8">
        <v>1607252</v>
      </c>
      <c r="AB504" s="8"/>
      <c r="AC504" s="8">
        <v>869321</v>
      </c>
      <c r="AD504" s="8"/>
      <c r="AE504" s="8">
        <v>68960</v>
      </c>
      <c r="AF504" s="138"/>
      <c r="AG504" s="12" t="s">
        <v>471</v>
      </c>
      <c r="AH504" s="12"/>
      <c r="AI504" s="12" t="s">
        <v>466</v>
      </c>
      <c r="AJ504" s="12"/>
      <c r="AK504" s="8">
        <v>804467</v>
      </c>
      <c r="AL504" s="8"/>
      <c r="AM504" s="8">
        <v>0</v>
      </c>
      <c r="AN504" s="8"/>
      <c r="AO504" s="8">
        <v>356769</v>
      </c>
      <c r="AP504" s="8"/>
      <c r="AQ504" s="8">
        <v>539317</v>
      </c>
      <c r="AR504" s="8"/>
      <c r="AS504" s="8"/>
      <c r="AT504" s="8"/>
      <c r="AU504" s="8">
        <v>9782</v>
      </c>
      <c r="AV504" s="8"/>
      <c r="AW504" s="8">
        <f t="shared" si="28"/>
        <v>18349679</v>
      </c>
      <c r="AY504" s="8">
        <f>+'St of Activites - GA Rev'!AI503-'St of Activities - GA Exp'!AW504</f>
        <v>7607842</v>
      </c>
      <c r="BA504" s="8">
        <v>39557212</v>
      </c>
      <c r="BC504" s="8">
        <f t="shared" si="29"/>
        <v>47165054</v>
      </c>
      <c r="BE504" s="8">
        <f>+'St of Net Assets - GA'!AA507-'St of Activities - GA Exp'!BC504</f>
        <v>0</v>
      </c>
    </row>
    <row r="505" spans="1:59">
      <c r="A505" s="12" t="s">
        <v>516</v>
      </c>
      <c r="B505" s="12"/>
      <c r="C505" s="12" t="s">
        <v>45</v>
      </c>
      <c r="D505" s="12"/>
      <c r="E505" s="32">
        <v>48363</v>
      </c>
      <c r="G505" s="8">
        <v>5605460</v>
      </c>
      <c r="H505" s="8"/>
      <c r="I505" s="8">
        <v>1391661</v>
      </c>
      <c r="J505" s="8"/>
      <c r="K505" s="8">
        <v>167457</v>
      </c>
      <c r="L505" s="8"/>
      <c r="M505" s="8">
        <v>207834</v>
      </c>
      <c r="N505" s="8"/>
      <c r="O505" s="8">
        <v>283578</v>
      </c>
      <c r="P505" s="8"/>
      <c r="Q505" s="8">
        <v>619669</v>
      </c>
      <c r="R505" s="8"/>
      <c r="S505" s="8">
        <v>50991</v>
      </c>
      <c r="T505" s="8"/>
      <c r="U505" s="8">
        <v>1040768</v>
      </c>
      <c r="V505" s="8"/>
      <c r="W505" s="8">
        <v>416567</v>
      </c>
      <c r="X505" s="8"/>
      <c r="Y505" s="8">
        <v>3080</v>
      </c>
      <c r="Z505" s="8"/>
      <c r="AA505" s="8">
        <v>1045936</v>
      </c>
      <c r="AB505" s="8"/>
      <c r="AC505" s="8">
        <v>968724</v>
      </c>
      <c r="AD505" s="8"/>
      <c r="AE505" s="8">
        <v>77750</v>
      </c>
      <c r="AF505" s="138"/>
      <c r="AG505" s="12" t="s">
        <v>516</v>
      </c>
      <c r="AH505" s="12"/>
      <c r="AI505" s="12" t="s">
        <v>45</v>
      </c>
      <c r="AJ505" s="12"/>
      <c r="AK505" s="8">
        <v>389806</v>
      </c>
      <c r="AL505" s="8"/>
      <c r="AM505" s="8">
        <v>2476</v>
      </c>
      <c r="AN505" s="8"/>
      <c r="AO505" s="8">
        <v>460386</v>
      </c>
      <c r="AP505" s="8"/>
      <c r="AQ505" s="8">
        <v>909749</v>
      </c>
      <c r="AR505" s="8"/>
      <c r="AS505" s="8"/>
      <c r="AT505" s="8"/>
      <c r="AU505" s="8">
        <v>0</v>
      </c>
      <c r="AV505" s="8"/>
      <c r="AW505" s="8">
        <f t="shared" si="28"/>
        <v>13641892</v>
      </c>
      <c r="AY505" s="8">
        <f>+'St of Activites - GA Rev'!AI504-'St of Activities - GA Exp'!AW505</f>
        <v>330546</v>
      </c>
      <c r="BA505" s="8">
        <v>27195036</v>
      </c>
      <c r="BC505" s="8">
        <f t="shared" si="29"/>
        <v>27525582</v>
      </c>
      <c r="BE505" s="8">
        <f>+'St of Net Assets - GA'!AA508-'St of Activities - GA Exp'!BC505</f>
        <v>0</v>
      </c>
    </row>
    <row r="506" spans="1:59">
      <c r="A506" s="12" t="s">
        <v>594</v>
      </c>
      <c r="B506" s="12"/>
      <c r="C506" s="12" t="s">
        <v>56</v>
      </c>
      <c r="D506" s="12"/>
      <c r="E506" s="32">
        <v>49221</v>
      </c>
      <c r="G506" s="8">
        <v>8574255</v>
      </c>
      <c r="H506" s="8"/>
      <c r="I506" s="8">
        <v>2103027</v>
      </c>
      <c r="J506" s="8"/>
      <c r="K506" s="8">
        <v>155713</v>
      </c>
      <c r="L506" s="8"/>
      <c r="M506" s="8">
        <f>26535+839823</f>
        <v>866358</v>
      </c>
      <c r="N506" s="8"/>
      <c r="O506" s="8">
        <v>1555311</v>
      </c>
      <c r="P506" s="8"/>
      <c r="Q506" s="8">
        <v>565874</v>
      </c>
      <c r="R506" s="8"/>
      <c r="S506" s="8">
        <v>25347</v>
      </c>
      <c r="T506" s="8"/>
      <c r="U506" s="8">
        <v>1389028</v>
      </c>
      <c r="V506" s="8"/>
      <c r="W506" s="8">
        <v>476379</v>
      </c>
      <c r="X506" s="8"/>
      <c r="Y506" s="8">
        <v>103265</v>
      </c>
      <c r="Z506" s="8"/>
      <c r="AA506" s="8">
        <v>1579905</v>
      </c>
      <c r="AB506" s="8"/>
      <c r="AC506" s="8">
        <v>1488831</v>
      </c>
      <c r="AD506" s="8"/>
      <c r="AE506" s="8">
        <v>61934</v>
      </c>
      <c r="AF506" s="138"/>
      <c r="AG506" s="12" t="s">
        <v>594</v>
      </c>
      <c r="AH506" s="12"/>
      <c r="AI506" s="12" t="s">
        <v>56</v>
      </c>
      <c r="AJ506" s="12"/>
      <c r="AK506" s="8">
        <v>649594</v>
      </c>
      <c r="AL506" s="8"/>
      <c r="AM506" s="8">
        <v>5431</v>
      </c>
      <c r="AN506" s="8"/>
      <c r="AO506" s="8">
        <v>521668</v>
      </c>
      <c r="AP506" s="8"/>
      <c r="AQ506" s="8">
        <v>311121</v>
      </c>
      <c r="AR506" s="8"/>
      <c r="AS506" s="8"/>
      <c r="AT506" s="8"/>
      <c r="AU506" s="8">
        <v>0</v>
      </c>
      <c r="AV506" s="8"/>
      <c r="AW506" s="8">
        <f t="shared" si="28"/>
        <v>20433041</v>
      </c>
      <c r="AY506" s="8">
        <f>+'St of Activites - GA Rev'!AI505-'St of Activities - GA Exp'!AW506</f>
        <v>767350</v>
      </c>
      <c r="BA506" s="8">
        <v>30013006</v>
      </c>
      <c r="BC506" s="8">
        <f t="shared" si="29"/>
        <v>30780356</v>
      </c>
      <c r="BE506" s="8">
        <f>+'St of Net Assets - GA'!AA509-'St of Activities - GA Exp'!BC506</f>
        <v>0</v>
      </c>
    </row>
    <row r="507" spans="1:59">
      <c r="A507" s="12" t="s">
        <v>594</v>
      </c>
      <c r="B507" s="12"/>
      <c r="C507" s="12" t="s">
        <v>71</v>
      </c>
      <c r="D507" s="12"/>
      <c r="E507" s="32">
        <v>50583</v>
      </c>
      <c r="G507" s="8">
        <v>6987002</v>
      </c>
      <c r="H507" s="8"/>
      <c r="I507" s="8">
        <v>2270888</v>
      </c>
      <c r="J507" s="8"/>
      <c r="K507" s="8">
        <v>332600</v>
      </c>
      <c r="L507" s="8"/>
      <c r="M507" s="8">
        <v>449935</v>
      </c>
      <c r="N507" s="8"/>
      <c r="O507" s="8">
        <v>740868</v>
      </c>
      <c r="P507" s="8"/>
      <c r="Q507" s="8">
        <v>455410</v>
      </c>
      <c r="R507" s="8"/>
      <c r="S507" s="8">
        <v>40700</v>
      </c>
      <c r="T507" s="8"/>
      <c r="U507" s="8">
        <v>1787573</v>
      </c>
      <c r="V507" s="8"/>
      <c r="W507" s="8">
        <v>356491</v>
      </c>
      <c r="X507" s="8"/>
      <c r="Y507" s="8">
        <v>0</v>
      </c>
      <c r="Z507" s="8"/>
      <c r="AA507" s="8">
        <v>1177430</v>
      </c>
      <c r="AB507" s="8"/>
      <c r="AC507" s="8">
        <v>1119957</v>
      </c>
      <c r="AD507" s="8"/>
      <c r="AE507" s="8">
        <v>148088</v>
      </c>
      <c r="AF507" s="138"/>
      <c r="AG507" s="12" t="s">
        <v>594</v>
      </c>
      <c r="AH507" s="12"/>
      <c r="AI507" s="12" t="s">
        <v>71</v>
      </c>
      <c r="AJ507" s="12"/>
      <c r="AK507" s="8">
        <v>0</v>
      </c>
      <c r="AL507" s="8"/>
      <c r="AM507" s="8">
        <v>847047</v>
      </c>
      <c r="AN507" s="8"/>
      <c r="AO507" s="8">
        <v>467156</v>
      </c>
      <c r="AP507" s="8"/>
      <c r="AQ507" s="8">
        <v>11700</v>
      </c>
      <c r="AR507" s="8"/>
      <c r="AS507" s="8"/>
      <c r="AT507" s="8"/>
      <c r="AU507" s="8">
        <v>0</v>
      </c>
      <c r="AV507" s="8"/>
      <c r="AW507" s="8">
        <f t="shared" si="28"/>
        <v>17192845</v>
      </c>
      <c r="AY507" s="8">
        <f>+'St of Activites - GA Rev'!AI506-'St of Activities - GA Exp'!AW507</f>
        <v>-885513</v>
      </c>
      <c r="BA507" s="8">
        <v>4433720</v>
      </c>
      <c r="BC507" s="8">
        <f t="shared" si="29"/>
        <v>3548207</v>
      </c>
      <c r="BE507" s="8">
        <f>+'St of Net Assets - GA'!AA510-'St of Activities - GA Exp'!BC507</f>
        <v>0</v>
      </c>
    </row>
    <row r="508" spans="1:59">
      <c r="A508" s="12" t="s">
        <v>264</v>
      </c>
      <c r="B508" s="12"/>
      <c r="C508" s="12" t="s">
        <v>17</v>
      </c>
      <c r="D508" s="12"/>
      <c r="E508" s="32">
        <v>46276</v>
      </c>
      <c r="G508" s="8">
        <v>3350707</v>
      </c>
      <c r="H508" s="8"/>
      <c r="I508" s="8">
        <v>980263</v>
      </c>
      <c r="J508" s="8"/>
      <c r="K508" s="8">
        <v>206778</v>
      </c>
      <c r="L508" s="8"/>
      <c r="M508" s="8">
        <v>12402</v>
      </c>
      <c r="N508" s="8"/>
      <c r="O508" s="8">
        <v>346188</v>
      </c>
      <c r="P508" s="8"/>
      <c r="Q508" s="8">
        <v>281963</v>
      </c>
      <c r="R508" s="8"/>
      <c r="S508" s="8">
        <v>23154</v>
      </c>
      <c r="T508" s="8"/>
      <c r="U508" s="8">
        <v>592213</v>
      </c>
      <c r="V508" s="8"/>
      <c r="W508" s="8">
        <v>298243</v>
      </c>
      <c r="X508" s="8"/>
      <c r="Y508" s="8">
        <v>0</v>
      </c>
      <c r="Z508" s="8"/>
      <c r="AA508" s="8">
        <v>549605</v>
      </c>
      <c r="AB508" s="8"/>
      <c r="AC508" s="8">
        <v>375501</v>
      </c>
      <c r="AD508" s="8"/>
      <c r="AE508" s="8">
        <v>37974</v>
      </c>
      <c r="AF508" s="138"/>
      <c r="AG508" s="12" t="s">
        <v>264</v>
      </c>
      <c r="AH508" s="12"/>
      <c r="AI508" s="12" t="s">
        <v>17</v>
      </c>
      <c r="AJ508" s="12"/>
      <c r="AK508" s="8">
        <v>0</v>
      </c>
      <c r="AL508" s="8"/>
      <c r="AM508" s="8">
        <v>212249</v>
      </c>
      <c r="AN508" s="8"/>
      <c r="AO508" s="8">
        <v>316586</v>
      </c>
      <c r="AP508" s="8"/>
      <c r="AQ508" s="8">
        <v>25753</v>
      </c>
      <c r="AR508" s="8"/>
      <c r="AS508" s="8"/>
      <c r="AT508" s="8"/>
      <c r="AU508" s="8">
        <v>0</v>
      </c>
      <c r="AV508" s="8"/>
      <c r="AW508" s="8">
        <f t="shared" si="28"/>
        <v>7609579</v>
      </c>
      <c r="AY508" s="8">
        <f>+'St of Activites - GA Rev'!AI507-'St of Activities - GA Exp'!AW508</f>
        <v>922519</v>
      </c>
      <c r="BA508" s="8">
        <v>7834701</v>
      </c>
      <c r="BC508" s="8">
        <f t="shared" si="29"/>
        <v>8757220</v>
      </c>
      <c r="BE508" s="8">
        <f>+'St of Net Assets - GA'!AA511-'St of Activities - GA Exp'!BC508</f>
        <v>0</v>
      </c>
    </row>
    <row r="509" spans="1:59">
      <c r="A509" s="12" t="s">
        <v>264</v>
      </c>
      <c r="B509" s="12"/>
      <c r="C509" s="12" t="s">
        <v>58</v>
      </c>
      <c r="D509" s="12"/>
      <c r="E509" s="32">
        <v>49528</v>
      </c>
      <c r="G509" s="8">
        <v>5675088</v>
      </c>
      <c r="H509" s="8"/>
      <c r="I509" s="8">
        <v>1383617</v>
      </c>
      <c r="J509" s="8"/>
      <c r="K509" s="8">
        <v>23114</v>
      </c>
      <c r="L509" s="8"/>
      <c r="M509" s="8">
        <v>0</v>
      </c>
      <c r="N509" s="8"/>
      <c r="O509" s="8">
        <v>440449</v>
      </c>
      <c r="P509" s="8"/>
      <c r="Q509" s="8">
        <v>329191</v>
      </c>
      <c r="R509" s="8"/>
      <c r="S509" s="8">
        <v>16314</v>
      </c>
      <c r="T509" s="8"/>
      <c r="U509" s="8">
        <v>571446</v>
      </c>
      <c r="V509" s="8"/>
      <c r="W509" s="8">
        <v>239483</v>
      </c>
      <c r="X509" s="8"/>
      <c r="Y509" s="8">
        <v>179658</v>
      </c>
      <c r="Z509" s="8"/>
      <c r="AA509" s="8">
        <v>1159521</v>
      </c>
      <c r="AB509" s="8"/>
      <c r="AC509" s="8">
        <v>883812</v>
      </c>
      <c r="AD509" s="8"/>
      <c r="AE509" s="8">
        <v>69063</v>
      </c>
      <c r="AF509" s="138"/>
      <c r="AG509" s="12" t="s">
        <v>264</v>
      </c>
      <c r="AH509" s="12"/>
      <c r="AI509" s="12" t="s">
        <v>58</v>
      </c>
      <c r="AJ509" s="12"/>
      <c r="AK509" s="8">
        <v>0</v>
      </c>
      <c r="AL509" s="8"/>
      <c r="AM509" s="8">
        <v>420088</v>
      </c>
      <c r="AN509" s="8"/>
      <c r="AO509" s="8">
        <v>496983</v>
      </c>
      <c r="AP509" s="8"/>
      <c r="AQ509" s="8">
        <v>264593</v>
      </c>
      <c r="AR509" s="8"/>
      <c r="AS509" s="8"/>
      <c r="AT509" s="8"/>
      <c r="AU509" s="8">
        <v>0</v>
      </c>
      <c r="AV509" s="8"/>
      <c r="AW509" s="8">
        <f t="shared" ref="AW509:AW515" si="30">SUM(G509:AV509)</f>
        <v>12152420</v>
      </c>
      <c r="AY509" s="8">
        <f>+'St of Activites - GA Rev'!AI508-'St of Activities - GA Exp'!AW509</f>
        <v>-237031</v>
      </c>
      <c r="BA509" s="8">
        <v>25365028</v>
      </c>
      <c r="BC509" s="8">
        <f t="shared" ref="BC509:BC515" si="31">+AY509+BA509</f>
        <v>25127997</v>
      </c>
      <c r="BE509" s="8">
        <f>+'St of Net Assets - GA'!AA512-'St of Activities - GA Exp'!BC509</f>
        <v>0</v>
      </c>
    </row>
    <row r="510" spans="1:59">
      <c r="A510" s="12" t="s">
        <v>284</v>
      </c>
      <c r="B510" s="12"/>
      <c r="C510" s="12" t="s">
        <v>114</v>
      </c>
      <c r="D510" s="12"/>
      <c r="E510" s="32">
        <v>46441</v>
      </c>
      <c r="G510" s="8">
        <v>3760783</v>
      </c>
      <c r="H510" s="8"/>
      <c r="I510" s="8">
        <v>1102942</v>
      </c>
      <c r="J510" s="8"/>
      <c r="K510" s="8">
        <v>235277</v>
      </c>
      <c r="L510" s="8"/>
      <c r="M510" s="8">
        <v>1336</v>
      </c>
      <c r="N510" s="8"/>
      <c r="O510" s="8">
        <v>349229</v>
      </c>
      <c r="P510" s="8"/>
      <c r="Q510" s="8">
        <v>252362</v>
      </c>
      <c r="R510" s="8"/>
      <c r="S510" s="8">
        <v>1279451</v>
      </c>
      <c r="T510" s="8"/>
      <c r="U510" s="8">
        <v>704214</v>
      </c>
      <c r="V510" s="8"/>
      <c r="W510" s="8">
        <v>220777</v>
      </c>
      <c r="X510" s="8"/>
      <c r="Y510" s="8">
        <v>49972</v>
      </c>
      <c r="Z510" s="8"/>
      <c r="AA510" s="8">
        <v>468409</v>
      </c>
      <c r="AB510" s="8"/>
      <c r="AC510" s="8">
        <v>999202</v>
      </c>
      <c r="AD510" s="8"/>
      <c r="AE510" s="8">
        <v>0</v>
      </c>
      <c r="AF510" s="138"/>
      <c r="AG510" s="12" t="s">
        <v>284</v>
      </c>
      <c r="AH510" s="12"/>
      <c r="AI510" s="12" t="s">
        <v>114</v>
      </c>
      <c r="AJ510" s="12"/>
      <c r="AK510" s="8">
        <v>444243</v>
      </c>
      <c r="AL510" s="8"/>
      <c r="AM510" s="8">
        <v>11465</v>
      </c>
      <c r="AN510" s="8"/>
      <c r="AO510" s="8">
        <v>240001</v>
      </c>
      <c r="AP510" s="8"/>
      <c r="AQ510" s="8">
        <v>163251</v>
      </c>
      <c r="AR510" s="8"/>
      <c r="AS510" s="8"/>
      <c r="AT510" s="8"/>
      <c r="AU510" s="8">
        <v>0</v>
      </c>
      <c r="AV510" s="8"/>
      <c r="AW510" s="8">
        <f t="shared" si="30"/>
        <v>10282914</v>
      </c>
      <c r="AY510" s="8">
        <f>+'St of Activites - GA Rev'!AI509-'St of Activities - GA Exp'!AW510</f>
        <v>-369123</v>
      </c>
      <c r="BA510" s="8">
        <v>11503708</v>
      </c>
      <c r="BC510" s="8">
        <f t="shared" si="31"/>
        <v>11134585</v>
      </c>
      <c r="BE510" s="8">
        <f>+'St of Net Assets - GA'!AA513-'St of Activities - GA Exp'!BC510</f>
        <v>0</v>
      </c>
    </row>
    <row r="511" spans="1:59">
      <c r="A511" s="12" t="s">
        <v>284</v>
      </c>
      <c r="B511" s="12"/>
      <c r="C511" s="12" t="s">
        <v>531</v>
      </c>
      <c r="D511" s="12"/>
      <c r="E511" s="32">
        <v>46441</v>
      </c>
      <c r="G511" s="8">
        <v>3074227</v>
      </c>
      <c r="H511" s="8"/>
      <c r="I511" s="8">
        <v>985650</v>
      </c>
      <c r="J511" s="8"/>
      <c r="K511" s="8">
        <v>135855</v>
      </c>
      <c r="L511" s="8"/>
      <c r="M511" s="8">
        <f>109+53024</f>
        <v>53133</v>
      </c>
      <c r="N511" s="8"/>
      <c r="O511" s="8">
        <v>270437</v>
      </c>
      <c r="P511" s="8"/>
      <c r="Q511" s="8">
        <v>306110</v>
      </c>
      <c r="R511" s="8"/>
      <c r="S511" s="8">
        <v>14686</v>
      </c>
      <c r="T511" s="8"/>
      <c r="U511" s="8">
        <v>1154161</v>
      </c>
      <c r="V511" s="8"/>
      <c r="W511" s="8">
        <v>331066</v>
      </c>
      <c r="X511" s="8"/>
      <c r="Y511" s="8">
        <v>0</v>
      </c>
      <c r="Z511" s="8"/>
      <c r="AA511" s="8">
        <v>669742</v>
      </c>
      <c r="AB511" s="8"/>
      <c r="AC511" s="8">
        <v>565698</v>
      </c>
      <c r="AD511" s="8"/>
      <c r="AE511" s="8">
        <v>81364</v>
      </c>
      <c r="AF511" s="138"/>
      <c r="AG511" s="12" t="s">
        <v>284</v>
      </c>
      <c r="AH511" s="12"/>
      <c r="AI511" s="12" t="s">
        <v>531</v>
      </c>
      <c r="AJ511" s="12"/>
      <c r="AK511" s="8">
        <v>412938</v>
      </c>
      <c r="AL511" s="8"/>
      <c r="AM511" s="8">
        <v>73148</v>
      </c>
      <c r="AN511" s="8"/>
      <c r="AO511" s="8">
        <v>129521</v>
      </c>
      <c r="AP511" s="8"/>
      <c r="AQ511" s="8">
        <v>141442</v>
      </c>
      <c r="AR511" s="8"/>
      <c r="AS511" s="8"/>
      <c r="AT511" s="8"/>
      <c r="AU511" s="8">
        <v>0</v>
      </c>
      <c r="AV511" s="8"/>
      <c r="AW511" s="8">
        <f t="shared" si="30"/>
        <v>8399178</v>
      </c>
      <c r="AY511" s="8">
        <f>+'St of Activites - GA Rev'!AI510-'St of Activities - GA Exp'!AW511</f>
        <v>569974</v>
      </c>
      <c r="BA511" s="8">
        <v>7936116</v>
      </c>
      <c r="BC511" s="8">
        <f t="shared" si="31"/>
        <v>8506090</v>
      </c>
      <c r="BE511" s="8">
        <f>+'St of Net Assets - GA'!AA514-'St of Activities - GA Exp'!BC511</f>
        <v>0</v>
      </c>
    </row>
    <row r="512" spans="1:59" hidden="1">
      <c r="A512" s="13" t="s">
        <v>1035</v>
      </c>
      <c r="B512" s="13"/>
      <c r="C512" s="13" t="s">
        <v>579</v>
      </c>
      <c r="D512" s="12"/>
      <c r="E512" s="32"/>
      <c r="G512" s="8">
        <v>3250178</v>
      </c>
      <c r="H512" s="8"/>
      <c r="I512" s="8">
        <v>1855469</v>
      </c>
      <c r="J512" s="8"/>
      <c r="K512" s="8">
        <v>227207</v>
      </c>
      <c r="L512" s="8"/>
      <c r="M512" s="8"/>
      <c r="N512" s="8"/>
      <c r="O512" s="8">
        <v>406445</v>
      </c>
      <c r="P512" s="8"/>
      <c r="Q512" s="8">
        <v>374192</v>
      </c>
      <c r="R512" s="8"/>
      <c r="S512" s="8">
        <v>69366</v>
      </c>
      <c r="T512" s="8"/>
      <c r="U512" s="8">
        <v>1476746</v>
      </c>
      <c r="V512" s="8"/>
      <c r="W512" s="8">
        <v>648286</v>
      </c>
      <c r="X512" s="8"/>
      <c r="Y512" s="8"/>
      <c r="Z512" s="8"/>
      <c r="AA512" s="8">
        <v>915938</v>
      </c>
      <c r="AB512" s="8"/>
      <c r="AC512" s="8">
        <v>708450</v>
      </c>
      <c r="AD512" s="8"/>
      <c r="AE512" s="8">
        <v>62700</v>
      </c>
      <c r="AF512" s="138"/>
      <c r="AG512" s="13" t="s">
        <v>1035</v>
      </c>
      <c r="AH512" s="13"/>
      <c r="AI512" s="13" t="s">
        <v>579</v>
      </c>
      <c r="AJ512" s="12"/>
      <c r="AK512" s="8"/>
      <c r="AL512" s="8"/>
      <c r="AM512" s="8">
        <v>484204</v>
      </c>
      <c r="AN512" s="8"/>
      <c r="AO512" s="8">
        <v>302081</v>
      </c>
      <c r="AP512" s="8"/>
      <c r="AQ512" s="8">
        <v>93008</v>
      </c>
      <c r="AR512" s="8"/>
      <c r="AS512" s="8"/>
      <c r="AT512" s="8"/>
      <c r="AU512" s="8">
        <f>72477+161090</f>
        <v>233567</v>
      </c>
      <c r="AV512" s="8"/>
      <c r="AW512" s="8">
        <f t="shared" si="30"/>
        <v>11107837</v>
      </c>
      <c r="AY512" s="8">
        <f>+'St of Activites - GA Rev'!AI511-'St of Activities - GA Exp'!AW512</f>
        <v>-698879</v>
      </c>
      <c r="BA512" s="8">
        <v>2005971</v>
      </c>
      <c r="BC512" s="8">
        <f t="shared" si="31"/>
        <v>1307092</v>
      </c>
      <c r="BE512" s="8">
        <f>+'St of Net Assets - GA'!AA515-'St of Activities - GA Exp'!BC512</f>
        <v>0</v>
      </c>
    </row>
    <row r="513" spans="1:59">
      <c r="A513" s="12" t="s">
        <v>691</v>
      </c>
      <c r="B513" s="12"/>
      <c r="C513" s="12" t="s">
        <v>64</v>
      </c>
      <c r="D513" s="12"/>
      <c r="E513" s="32">
        <v>50237</v>
      </c>
      <c r="G513" s="8">
        <v>2691568</v>
      </c>
      <c r="H513" s="8"/>
      <c r="I513" s="8">
        <v>270677</v>
      </c>
      <c r="J513" s="8"/>
      <c r="K513" s="8">
        <v>0</v>
      </c>
      <c r="L513" s="8"/>
      <c r="M513" s="8">
        <v>0</v>
      </c>
      <c r="N513" s="8"/>
      <c r="O513" s="8">
        <v>571956</v>
      </c>
      <c r="P513" s="8"/>
      <c r="Q513" s="8">
        <v>123918</v>
      </c>
      <c r="R513" s="8"/>
      <c r="S513" s="8">
        <v>55614</v>
      </c>
      <c r="T513" s="8"/>
      <c r="U513" s="8">
        <v>319253</v>
      </c>
      <c r="V513" s="8"/>
      <c r="W513" s="8">
        <v>210124</v>
      </c>
      <c r="X513" s="8"/>
      <c r="Y513" s="8">
        <v>31964</v>
      </c>
      <c r="Z513" s="8"/>
      <c r="AA513" s="8">
        <v>381420</v>
      </c>
      <c r="AB513" s="8"/>
      <c r="AC513" s="8">
        <v>318925</v>
      </c>
      <c r="AD513" s="8"/>
      <c r="AE513" s="8">
        <v>11070</v>
      </c>
      <c r="AF513" s="138"/>
      <c r="AG513" s="12" t="s">
        <v>691</v>
      </c>
      <c r="AH513" s="12"/>
      <c r="AI513" s="12" t="s">
        <v>64</v>
      </c>
      <c r="AJ513" s="12"/>
      <c r="AK513" s="8">
        <v>184316</v>
      </c>
      <c r="AL513" s="8"/>
      <c r="AM513" s="8">
        <v>826</v>
      </c>
      <c r="AN513" s="8"/>
      <c r="AO513" s="8">
        <v>200193</v>
      </c>
      <c r="AP513" s="8"/>
      <c r="AQ513" s="8">
        <v>331396</v>
      </c>
      <c r="AR513" s="8"/>
      <c r="AS513" s="8"/>
      <c r="AT513" s="8"/>
      <c r="AU513" s="8">
        <v>0</v>
      </c>
      <c r="AV513" s="8"/>
      <c r="AW513" s="8">
        <f t="shared" si="30"/>
        <v>5703220</v>
      </c>
      <c r="AY513" s="8">
        <f>+'St of Activites - GA Rev'!AI512-'St of Activities - GA Exp'!AW513</f>
        <v>757455</v>
      </c>
      <c r="BA513" s="8">
        <v>17492642</v>
      </c>
      <c r="BC513" s="8">
        <f t="shared" si="31"/>
        <v>18250097</v>
      </c>
      <c r="BE513" s="8">
        <f>+'St of Net Assets - GA'!AA516-'St of Activities - GA Exp'!BC513</f>
        <v>0</v>
      </c>
    </row>
    <row r="514" spans="1:59" ht="12" customHeight="1">
      <c r="A514" s="12" t="s">
        <v>481</v>
      </c>
      <c r="B514" s="12"/>
      <c r="C514" s="12" t="s">
        <v>42</v>
      </c>
      <c r="D514" s="12"/>
      <c r="E514" s="32">
        <v>48041</v>
      </c>
      <c r="G514" s="8">
        <v>13796901</v>
      </c>
      <c r="H514" s="8"/>
      <c r="I514" s="8">
        <v>3318459</v>
      </c>
      <c r="J514" s="8"/>
      <c r="K514" s="8">
        <v>463143</v>
      </c>
      <c r="L514" s="8"/>
      <c r="M514" s="8">
        <v>2539517</v>
      </c>
      <c r="N514" s="8"/>
      <c r="O514" s="8">
        <v>2018783</v>
      </c>
      <c r="P514" s="8"/>
      <c r="Q514" s="8">
        <v>1575220</v>
      </c>
      <c r="R514" s="8"/>
      <c r="S514" s="8">
        <v>57839</v>
      </c>
      <c r="T514" s="8"/>
      <c r="U514" s="8">
        <v>2953796</v>
      </c>
      <c r="V514" s="8"/>
      <c r="W514" s="8">
        <v>944407</v>
      </c>
      <c r="X514" s="8"/>
      <c r="Y514" s="8">
        <v>134629</v>
      </c>
      <c r="Z514" s="8"/>
      <c r="AA514" s="8">
        <v>2945165</v>
      </c>
      <c r="AB514" s="8"/>
      <c r="AC514" s="8">
        <v>2242686</v>
      </c>
      <c r="AD514" s="8"/>
      <c r="AE514" s="8">
        <v>1105890</v>
      </c>
      <c r="AF514" s="138"/>
      <c r="AG514" s="12" t="s">
        <v>481</v>
      </c>
      <c r="AH514" s="12"/>
      <c r="AI514" s="12" t="s">
        <v>42</v>
      </c>
      <c r="AJ514" s="12"/>
      <c r="AK514" s="8">
        <v>0</v>
      </c>
      <c r="AL514" s="8"/>
      <c r="AM514" s="8">
        <v>1530821</v>
      </c>
      <c r="AN514" s="8"/>
      <c r="AO514" s="8">
        <v>985755</v>
      </c>
      <c r="AP514" s="8"/>
      <c r="AQ514" s="8">
        <v>967465</v>
      </c>
      <c r="AR514" s="8"/>
      <c r="AS514" s="8"/>
      <c r="AT514" s="8"/>
      <c r="AU514" s="8">
        <v>691402</v>
      </c>
      <c r="AV514" s="8"/>
      <c r="AW514" s="8">
        <f t="shared" si="30"/>
        <v>38271878</v>
      </c>
      <c r="AY514" s="8">
        <f>+'St of Activites - GA Rev'!AI513-'St of Activities - GA Exp'!AW514</f>
        <v>378746</v>
      </c>
      <c r="BA514" s="8">
        <v>13391107</v>
      </c>
      <c r="BC514" s="8">
        <f t="shared" si="31"/>
        <v>13769853</v>
      </c>
      <c r="BE514" s="8">
        <f>+'St of Net Assets - GA'!AA517-'St of Activities - GA Exp'!BC514</f>
        <v>0</v>
      </c>
    </row>
    <row r="515" spans="1:59" ht="12" customHeight="1">
      <c r="A515" s="12" t="s">
        <v>407</v>
      </c>
      <c r="B515" s="12"/>
      <c r="C515" s="12" t="s">
        <v>32</v>
      </c>
      <c r="D515" s="12"/>
      <c r="E515" s="32">
        <v>47381</v>
      </c>
      <c r="G515" s="8">
        <v>17294518</v>
      </c>
      <c r="H515" s="8"/>
      <c r="I515" s="8">
        <v>4151909</v>
      </c>
      <c r="J515" s="8"/>
      <c r="K515" s="8">
        <v>290740</v>
      </c>
      <c r="L515" s="8"/>
      <c r="M515" s="8">
        <v>645000</v>
      </c>
      <c r="N515" s="8"/>
      <c r="O515" s="8">
        <v>1539493</v>
      </c>
      <c r="P515" s="8"/>
      <c r="Q515" s="8">
        <v>1339576</v>
      </c>
      <c r="R515" s="8"/>
      <c r="S515" s="8">
        <v>64044</v>
      </c>
      <c r="T515" s="8"/>
      <c r="U515" s="8">
        <v>2658002</v>
      </c>
      <c r="V515" s="8"/>
      <c r="W515" s="8">
        <v>964993</v>
      </c>
      <c r="X515" s="8"/>
      <c r="Y515" s="8">
        <v>0</v>
      </c>
      <c r="Z515" s="8"/>
      <c r="AA515" s="8">
        <v>3928325</v>
      </c>
      <c r="AB515" s="8"/>
      <c r="AC515" s="8">
        <v>1898224</v>
      </c>
      <c r="AD515" s="8"/>
      <c r="AE515" s="8">
        <v>56008</v>
      </c>
      <c r="AF515" s="139"/>
      <c r="AG515" s="34" t="s">
        <v>407</v>
      </c>
      <c r="AH515" s="34"/>
      <c r="AI515" s="34" t="s">
        <v>32</v>
      </c>
      <c r="AJ515" s="34"/>
      <c r="AK515" s="35">
        <v>0</v>
      </c>
      <c r="AL515" s="35"/>
      <c r="AM515" s="35">
        <v>1818588</v>
      </c>
      <c r="AN515" s="35"/>
      <c r="AO515" s="35">
        <v>921614</v>
      </c>
      <c r="AP515" s="35"/>
      <c r="AQ515" s="35">
        <v>878144</v>
      </c>
      <c r="AR515" s="35"/>
      <c r="AS515" s="35"/>
      <c r="AT515" s="35"/>
      <c r="AU515" s="35">
        <v>0</v>
      </c>
      <c r="AV515" s="35"/>
      <c r="AW515" s="35">
        <f t="shared" si="30"/>
        <v>38449178</v>
      </c>
      <c r="AX515" s="35"/>
      <c r="AY515" s="35">
        <f>+'St of Activites - GA Rev'!AI514-'St of Activities - GA Exp'!AW515</f>
        <v>-1046258</v>
      </c>
      <c r="AZ515" s="35"/>
      <c r="BA515" s="35">
        <v>6013048</v>
      </c>
      <c r="BB515" s="35"/>
      <c r="BC515" s="35">
        <f t="shared" si="31"/>
        <v>4966790</v>
      </c>
      <c r="BD515" s="35"/>
      <c r="BE515" s="8">
        <f>+'St of Net Assets - GA'!AA518-'St of Activities - GA Exp'!BC515</f>
        <v>0</v>
      </c>
    </row>
    <row r="516" spans="1:59" s="8" customFormat="1">
      <c r="A516" s="13" t="s">
        <v>363</v>
      </c>
      <c r="B516" s="13"/>
      <c r="C516" s="13" t="s">
        <v>27</v>
      </c>
      <c r="D516" s="13"/>
      <c r="E516" s="13">
        <v>44800</v>
      </c>
      <c r="G516" s="8">
        <v>99472506</v>
      </c>
      <c r="I516" s="8">
        <v>26318268</v>
      </c>
      <c r="K516" s="8">
        <v>6386202</v>
      </c>
      <c r="M516" s="8">
        <v>2835918</v>
      </c>
      <c r="O516" s="8">
        <v>9255581</v>
      </c>
      <c r="Q516" s="8">
        <v>14963463</v>
      </c>
      <c r="S516" s="8">
        <v>53816</v>
      </c>
      <c r="U516" s="8">
        <v>15407715</v>
      </c>
      <c r="W516" s="8">
        <v>3460086</v>
      </c>
      <c r="Y516" s="8">
        <v>961685</v>
      </c>
      <c r="AA516" s="8">
        <v>16666018</v>
      </c>
      <c r="AC516" s="8">
        <v>11894384</v>
      </c>
      <c r="AE516" s="8">
        <v>8723626</v>
      </c>
      <c r="AF516" s="138"/>
      <c r="AG516" s="13" t="s">
        <v>363</v>
      </c>
      <c r="AH516" s="13"/>
      <c r="AI516" s="13" t="s">
        <v>27</v>
      </c>
      <c r="AJ516" s="13"/>
      <c r="AK516" s="8">
        <v>8609997</v>
      </c>
      <c r="AM516" s="8">
        <v>1803117</v>
      </c>
      <c r="AO516" s="8">
        <v>3878853</v>
      </c>
      <c r="AQ516" s="8">
        <f>4692127-16</f>
        <v>4692111</v>
      </c>
      <c r="AU516" s="8">
        <v>0</v>
      </c>
      <c r="AW516" s="8">
        <f t="shared" ref="AW516:AW580" si="32">SUM(G516:AV516)</f>
        <v>235383346</v>
      </c>
      <c r="AY516" s="8">
        <f>+'St of Activites - GA Rev'!AI515-'St of Activities - GA Exp'!AW516</f>
        <v>16884654</v>
      </c>
      <c r="BA516" s="8">
        <v>79962346</v>
      </c>
      <c r="BC516" s="8">
        <f t="shared" ref="BC516:BC574" si="33">+AY516+BA516</f>
        <v>96847000</v>
      </c>
      <c r="BE516" s="8">
        <f>+'St of Net Assets - GA'!AA519-'St of Activities - GA Exp'!BC516</f>
        <v>0</v>
      </c>
    </row>
    <row r="517" spans="1:59" ht="12" hidden="1" customHeight="1">
      <c r="A517" s="12" t="s">
        <v>1037</v>
      </c>
      <c r="B517" s="12"/>
      <c r="C517" s="12" t="s">
        <v>10</v>
      </c>
      <c r="D517" s="12"/>
      <c r="E517" s="32">
        <v>45807</v>
      </c>
      <c r="F517" s="8"/>
      <c r="G517" s="8">
        <v>3960394</v>
      </c>
      <c r="H517" s="8"/>
      <c r="I517" s="8">
        <v>729666</v>
      </c>
      <c r="J517" s="8"/>
      <c r="K517" s="8">
        <v>63032</v>
      </c>
      <c r="L517" s="8"/>
      <c r="M517" s="8">
        <f>1672+357881</f>
        <v>359553</v>
      </c>
      <c r="N517" s="8"/>
      <c r="O517" s="8">
        <v>455756</v>
      </c>
      <c r="P517" s="8"/>
      <c r="Q517" s="8">
        <v>197383</v>
      </c>
      <c r="R517" s="8"/>
      <c r="S517" s="8">
        <v>37955</v>
      </c>
      <c r="T517" s="8"/>
      <c r="U517" s="8">
        <v>672379</v>
      </c>
      <c r="V517" s="8"/>
      <c r="W517" s="8">
        <v>349132</v>
      </c>
      <c r="X517" s="8"/>
      <c r="Y517" s="8">
        <v>222</v>
      </c>
      <c r="Z517" s="8"/>
      <c r="AA517" s="8">
        <v>883292</v>
      </c>
      <c r="AB517" s="8"/>
      <c r="AC517" s="8">
        <v>547601</v>
      </c>
      <c r="AD517" s="8"/>
      <c r="AE517" s="8">
        <v>6858</v>
      </c>
      <c r="AF517" s="138"/>
      <c r="AG517" s="12" t="s">
        <v>212</v>
      </c>
      <c r="AH517" s="12"/>
      <c r="AI517" s="12" t="s">
        <v>10</v>
      </c>
      <c r="AJ517" s="12"/>
      <c r="AK517" s="8">
        <v>393917</v>
      </c>
      <c r="AL517" s="8"/>
      <c r="AM517" s="8">
        <v>19100</v>
      </c>
      <c r="AN517" s="8"/>
      <c r="AO517" s="8">
        <v>349882</v>
      </c>
      <c r="AP517" s="8"/>
      <c r="AQ517" s="8">
        <v>279656</v>
      </c>
      <c r="AR517" s="8"/>
      <c r="AS517" s="8"/>
      <c r="AT517" s="8"/>
      <c r="AU517" s="8">
        <f>285257+215925</f>
        <v>501182</v>
      </c>
      <c r="AV517" s="8"/>
      <c r="AW517" s="8">
        <f t="shared" si="32"/>
        <v>9806960</v>
      </c>
      <c r="AY517" s="8">
        <f>+'St of Activites - GA Rev'!AI516-'St of Activities - GA Exp'!AW517</f>
        <v>-157377</v>
      </c>
      <c r="BA517" s="8">
        <v>4353494</v>
      </c>
      <c r="BC517" s="8">
        <f t="shared" si="33"/>
        <v>4196117</v>
      </c>
      <c r="BE517" s="8">
        <f>+'St of Net Assets - GA'!AA520-'St of Activities - GA Exp'!BC517</f>
        <v>0</v>
      </c>
    </row>
    <row r="518" spans="1:59" ht="12" hidden="1" customHeight="1">
      <c r="A518" s="12" t="s">
        <v>1036</v>
      </c>
      <c r="B518" s="12"/>
      <c r="C518" s="12" t="s">
        <v>69</v>
      </c>
      <c r="D518" s="12"/>
      <c r="E518" s="32">
        <v>50427</v>
      </c>
      <c r="G518" s="8">
        <v>19841921</v>
      </c>
      <c r="H518" s="8"/>
      <c r="I518" s="8">
        <v>3270410</v>
      </c>
      <c r="J518" s="8"/>
      <c r="K518" s="8">
        <v>94914</v>
      </c>
      <c r="L518" s="8"/>
      <c r="M518" s="8">
        <v>377070</v>
      </c>
      <c r="N518" s="8"/>
      <c r="O518" s="8">
        <v>3385951</v>
      </c>
      <c r="P518" s="8"/>
      <c r="Q518" s="8">
        <v>3322982</v>
      </c>
      <c r="R518" s="8"/>
      <c r="S518" s="8">
        <v>144248</v>
      </c>
      <c r="T518" s="8"/>
      <c r="U518" s="8">
        <v>2847367</v>
      </c>
      <c r="V518" s="8"/>
      <c r="W518" s="8">
        <v>1103538</v>
      </c>
      <c r="X518" s="8"/>
      <c r="Y518" s="8">
        <v>164848</v>
      </c>
      <c r="Z518" s="8"/>
      <c r="AA518" s="8">
        <v>4376334</v>
      </c>
      <c r="AB518" s="8"/>
      <c r="AC518" s="8">
        <v>2700861</v>
      </c>
      <c r="AD518" s="8"/>
      <c r="AE518" s="8">
        <v>1358519</v>
      </c>
      <c r="AF518" s="138"/>
      <c r="AG518" s="12" t="s">
        <v>713</v>
      </c>
      <c r="AH518" s="12"/>
      <c r="AI518" s="12" t="s">
        <v>69</v>
      </c>
      <c r="AJ518" s="12"/>
      <c r="AK518" s="8"/>
      <c r="AL518" s="8"/>
      <c r="AM518" s="8">
        <v>1295484</v>
      </c>
      <c r="AN518" s="8"/>
      <c r="AO518" s="8">
        <v>1055838</v>
      </c>
      <c r="AP518" s="8"/>
      <c r="AQ518" s="8">
        <v>4646344</v>
      </c>
      <c r="AR518" s="8"/>
      <c r="AS518" s="8"/>
      <c r="AT518" s="8"/>
      <c r="AU518" s="8">
        <f>3544144+6855285</f>
        <v>10399429</v>
      </c>
      <c r="AV518" s="8"/>
      <c r="AW518" s="8">
        <f t="shared" si="32"/>
        <v>60386058</v>
      </c>
      <c r="AY518" s="8">
        <f>+'St of Activites - GA Rev'!AI517-'St of Activities - GA Exp'!AW518</f>
        <v>-6221521</v>
      </c>
      <c r="BA518" s="8">
        <v>20181389</v>
      </c>
      <c r="BC518" s="8">
        <f t="shared" si="33"/>
        <v>13959868</v>
      </c>
      <c r="BE518" s="8">
        <f>+'St of Net Assets - GA'!AA521-'St of Activities - GA Exp'!BC518</f>
        <v>0</v>
      </c>
    </row>
    <row r="519" spans="1:59">
      <c r="A519" s="12" t="s">
        <v>862</v>
      </c>
      <c r="B519" s="12"/>
      <c r="C519" s="12" t="s">
        <v>17</v>
      </c>
      <c r="D519" s="12"/>
      <c r="E519" s="32"/>
      <c r="G519" s="8">
        <v>41317982</v>
      </c>
      <c r="H519" s="8"/>
      <c r="I519" s="8">
        <v>10467442</v>
      </c>
      <c r="J519" s="8"/>
      <c r="K519" s="8">
        <v>191489</v>
      </c>
      <c r="L519" s="8"/>
      <c r="M519" s="8">
        <f>145162+1929098</f>
        <v>2074260</v>
      </c>
      <c r="N519" s="8"/>
      <c r="O519" s="8">
        <v>5855781</v>
      </c>
      <c r="P519" s="8"/>
      <c r="Q519" s="8">
        <v>6940114</v>
      </c>
      <c r="R519" s="8"/>
      <c r="S519" s="8">
        <v>207244</v>
      </c>
      <c r="T519" s="8"/>
      <c r="U519" s="8">
        <v>6679185</v>
      </c>
      <c r="V519" s="8"/>
      <c r="W519" s="8">
        <v>1562836</v>
      </c>
      <c r="X519" s="8"/>
      <c r="Y519" s="8">
        <v>395008</v>
      </c>
      <c r="Z519" s="8"/>
      <c r="AA519" s="8">
        <v>8374131</v>
      </c>
      <c r="AB519" s="8"/>
      <c r="AC519" s="8">
        <v>2188121</v>
      </c>
      <c r="AD519" s="8"/>
      <c r="AE519" s="8">
        <v>527764</v>
      </c>
      <c r="AF519" s="138"/>
      <c r="AG519" s="12" t="s">
        <v>862</v>
      </c>
      <c r="AH519" s="12"/>
      <c r="AI519" s="12" t="s">
        <v>17</v>
      </c>
      <c r="AJ519" s="12"/>
      <c r="AK519" s="8">
        <v>0</v>
      </c>
      <c r="AL519" s="8"/>
      <c r="AM519" s="8">
        <v>7573260</v>
      </c>
      <c r="AN519" s="8"/>
      <c r="AO519" s="8">
        <v>1214731</v>
      </c>
      <c r="AP519" s="8"/>
      <c r="AQ519" s="8">
        <v>2596675</v>
      </c>
      <c r="AR519" s="8"/>
      <c r="AS519" s="8"/>
      <c r="AT519" s="8"/>
      <c r="AU519" s="8">
        <v>4757102</v>
      </c>
      <c r="AV519" s="8"/>
      <c r="AW519" s="8">
        <f t="shared" si="32"/>
        <v>102923125</v>
      </c>
      <c r="AY519" s="8">
        <f>+'St of Activites - GA Rev'!AI518-'St of Activities - GA Exp'!AW519</f>
        <v>-151229</v>
      </c>
      <c r="BA519" s="8">
        <v>182577471</v>
      </c>
      <c r="BC519" s="8">
        <f t="shared" si="33"/>
        <v>182426242</v>
      </c>
      <c r="BE519" s="8">
        <f>+'St of Net Assets - GA'!AA522-'St of Activities - GA Exp'!BC519</f>
        <v>0</v>
      </c>
    </row>
    <row r="520" spans="1:59">
      <c r="A520" s="12" t="s">
        <v>1062</v>
      </c>
      <c r="B520" s="12"/>
      <c r="C520" s="12" t="s">
        <v>117</v>
      </c>
      <c r="D520" s="12"/>
      <c r="E520" s="32">
        <v>48223</v>
      </c>
      <c r="G520" s="8">
        <v>18028193</v>
      </c>
      <c r="H520" s="8"/>
      <c r="I520" s="8">
        <v>4450743</v>
      </c>
      <c r="J520" s="8"/>
      <c r="K520" s="8">
        <v>301295</v>
      </c>
      <c r="L520" s="8"/>
      <c r="M520" s="8">
        <f>1999608+1236834</f>
        <v>3236442</v>
      </c>
      <c r="N520" s="8"/>
      <c r="O520" s="8">
        <v>1767370</v>
      </c>
      <c r="P520" s="8"/>
      <c r="Q520" s="8">
        <v>718377</v>
      </c>
      <c r="R520" s="8"/>
      <c r="S520" s="8">
        <v>52929</v>
      </c>
      <c r="T520" s="8"/>
      <c r="U520" s="8">
        <v>2991954</v>
      </c>
      <c r="V520" s="8"/>
      <c r="W520" s="8">
        <v>733101</v>
      </c>
      <c r="X520" s="8"/>
      <c r="Y520" s="8">
        <v>0</v>
      </c>
      <c r="Z520" s="8"/>
      <c r="AA520" s="8">
        <v>3916885</v>
      </c>
      <c r="AB520" s="8"/>
      <c r="AC520" s="8">
        <v>2250713</v>
      </c>
      <c r="AD520" s="8"/>
      <c r="AE520" s="8">
        <v>188099</v>
      </c>
      <c r="AF520" s="138"/>
      <c r="AG520" s="12" t="s">
        <v>500</v>
      </c>
      <c r="AH520" s="12"/>
      <c r="AI520" s="12" t="s">
        <v>117</v>
      </c>
      <c r="AJ520" s="12"/>
      <c r="AK520" s="8">
        <v>0</v>
      </c>
      <c r="AL520" s="8"/>
      <c r="AM520" s="8">
        <v>2496250</v>
      </c>
      <c r="AN520" s="8"/>
      <c r="AO520" s="8">
        <v>1162912</v>
      </c>
      <c r="AP520" s="8"/>
      <c r="AQ520" s="8">
        <v>984853</v>
      </c>
      <c r="AR520" s="8"/>
      <c r="AS520" s="8"/>
      <c r="AT520" s="8"/>
      <c r="AU520" s="8">
        <v>964145</v>
      </c>
      <c r="AV520" s="8"/>
      <c r="AW520" s="8">
        <f t="shared" si="32"/>
        <v>44244261</v>
      </c>
      <c r="AY520" s="8">
        <f>+'St of Activites - GA Rev'!AI519-'St of Activities - GA Exp'!AW520</f>
        <v>-410663</v>
      </c>
      <c r="BA520" s="8">
        <v>10627859</v>
      </c>
      <c r="BC520" s="8">
        <f t="shared" si="33"/>
        <v>10217196</v>
      </c>
      <c r="BE520" s="8">
        <f>+'St of Net Assets - GA'!AA523-'St of Activities - GA Exp'!BC520</f>
        <v>0</v>
      </c>
      <c r="BG520" s="15" t="s">
        <v>905</v>
      </c>
    </row>
    <row r="521" spans="1:59">
      <c r="A521" s="12" t="s">
        <v>500</v>
      </c>
      <c r="B521" s="12"/>
      <c r="C521" s="12" t="s">
        <v>45</v>
      </c>
      <c r="D521" s="12"/>
      <c r="E521" s="32">
        <v>48371</v>
      </c>
      <c r="G521" s="8">
        <v>5090890</v>
      </c>
      <c r="H521" s="8"/>
      <c r="I521" s="8">
        <v>971509</v>
      </c>
      <c r="J521" s="8"/>
      <c r="K521" s="8">
        <v>212489</v>
      </c>
      <c r="L521" s="8"/>
      <c r="M521" s="8">
        <v>98551</v>
      </c>
      <c r="N521" s="8"/>
      <c r="O521" s="8">
        <v>466394</v>
      </c>
      <c r="P521" s="8"/>
      <c r="Q521" s="8">
        <v>561967</v>
      </c>
      <c r="R521" s="8"/>
      <c r="S521" s="8">
        <v>21751</v>
      </c>
      <c r="T521" s="8"/>
      <c r="U521" s="8">
        <v>1192198</v>
      </c>
      <c r="V521" s="8"/>
      <c r="W521" s="8">
        <v>322303</v>
      </c>
      <c r="X521" s="8"/>
      <c r="Y521" s="8">
        <v>2606</v>
      </c>
      <c r="Z521" s="8"/>
      <c r="AA521" s="8">
        <v>1067756</v>
      </c>
      <c r="AB521" s="8"/>
      <c r="AC521" s="8">
        <v>562821</v>
      </c>
      <c r="AD521" s="8"/>
      <c r="AE521" s="8">
        <v>39751</v>
      </c>
      <c r="AF521" s="138"/>
      <c r="AG521" s="12" t="s">
        <v>500</v>
      </c>
      <c r="AH521" s="12"/>
      <c r="AI521" s="12" t="s">
        <v>45</v>
      </c>
      <c r="AJ521" s="12"/>
      <c r="AK521" s="8">
        <v>536677</v>
      </c>
      <c r="AL521" s="8"/>
      <c r="AM521" s="8">
        <v>21084</v>
      </c>
      <c r="AN521" s="8"/>
      <c r="AO521" s="8">
        <v>548490</v>
      </c>
      <c r="AP521" s="8"/>
      <c r="AQ521" s="8">
        <v>77258</v>
      </c>
      <c r="AR521" s="8"/>
      <c r="AS521" s="8"/>
      <c r="AT521" s="8"/>
      <c r="AU521" s="8">
        <v>4475</v>
      </c>
      <c r="AV521" s="8"/>
      <c r="AW521" s="8">
        <f t="shared" si="32"/>
        <v>11798970</v>
      </c>
      <c r="AY521" s="8">
        <f>+'St of Activites - GA Rev'!AI520-'St of Activities - GA Exp'!AW521</f>
        <v>-485895</v>
      </c>
      <c r="BA521" s="8">
        <v>5240255</v>
      </c>
      <c r="BC521" s="8">
        <f t="shared" si="33"/>
        <v>4754360</v>
      </c>
      <c r="BE521" s="8">
        <f>+'St of Net Assets - GA'!AA524-'St of Activities - GA Exp'!BC521</f>
        <v>0</v>
      </c>
    </row>
    <row r="522" spans="1:59">
      <c r="A522" s="12" t="s">
        <v>500</v>
      </c>
      <c r="B522" s="12"/>
      <c r="C522" s="12" t="s">
        <v>63</v>
      </c>
      <c r="D522" s="12"/>
      <c r="E522" s="32">
        <v>50062</v>
      </c>
      <c r="G522" s="8">
        <v>11474268</v>
      </c>
      <c r="H522" s="8"/>
      <c r="I522" s="8">
        <v>3263652</v>
      </c>
      <c r="J522" s="8"/>
      <c r="K522" s="8">
        <v>286180</v>
      </c>
      <c r="L522" s="8"/>
      <c r="M522" s="8">
        <v>2834514</v>
      </c>
      <c r="N522" s="8"/>
      <c r="O522" s="8">
        <v>1305912</v>
      </c>
      <c r="P522" s="8"/>
      <c r="Q522" s="8">
        <v>1074366</v>
      </c>
      <c r="R522" s="8"/>
      <c r="S522" s="8">
        <v>86823</v>
      </c>
      <c r="T522" s="8"/>
      <c r="U522" s="8">
        <v>1658067</v>
      </c>
      <c r="V522" s="8"/>
      <c r="W522" s="8">
        <v>709816</v>
      </c>
      <c r="X522" s="8"/>
      <c r="Y522" s="8">
        <v>127693</v>
      </c>
      <c r="Z522" s="8"/>
      <c r="AA522" s="8">
        <v>2076861</v>
      </c>
      <c r="AB522" s="8"/>
      <c r="AC522" s="8">
        <v>1407556</v>
      </c>
      <c r="AD522" s="8"/>
      <c r="AE522" s="8">
        <v>58767</v>
      </c>
      <c r="AF522" s="138"/>
      <c r="AG522" s="12" t="s">
        <v>500</v>
      </c>
      <c r="AH522" s="12"/>
      <c r="AI522" s="12" t="s">
        <v>63</v>
      </c>
      <c r="AJ522" s="12"/>
      <c r="AK522" s="8">
        <v>955406</v>
      </c>
      <c r="AL522" s="8"/>
      <c r="AM522" s="8">
        <f>5984+27460</f>
        <v>33444</v>
      </c>
      <c r="AN522" s="8"/>
      <c r="AO522" s="8">
        <v>650601</v>
      </c>
      <c r="AP522" s="8"/>
      <c r="AQ522" s="8">
        <v>43762</v>
      </c>
      <c r="AR522" s="8"/>
      <c r="AS522" s="8"/>
      <c r="AT522" s="8"/>
      <c r="AU522" s="8">
        <v>0</v>
      </c>
      <c r="AV522" s="8"/>
      <c r="AW522" s="8">
        <f t="shared" si="32"/>
        <v>28047688</v>
      </c>
      <c r="AY522" s="8">
        <f>+'St of Activites - GA Rev'!AI521-'St of Activities - GA Exp'!AW522</f>
        <v>1291092</v>
      </c>
      <c r="BA522" s="8">
        <v>-1089778</v>
      </c>
      <c r="BC522" s="8">
        <f t="shared" si="33"/>
        <v>201314</v>
      </c>
      <c r="BE522" s="8">
        <f>+'St of Net Assets - GA'!AA525-'St of Activities - GA Exp'!BC522</f>
        <v>0</v>
      </c>
    </row>
    <row r="523" spans="1:59">
      <c r="A523" s="12" t="s">
        <v>871</v>
      </c>
      <c r="B523" s="12"/>
      <c r="C523" s="12" t="s">
        <v>32</v>
      </c>
      <c r="D523" s="12"/>
      <c r="E523" s="32">
        <v>44719</v>
      </c>
      <c r="G523" s="8">
        <v>5727442</v>
      </c>
      <c r="H523" s="8"/>
      <c r="I523" s="8">
        <v>1278907</v>
      </c>
      <c r="J523" s="8"/>
      <c r="K523" s="8">
        <v>0</v>
      </c>
      <c r="L523" s="8"/>
      <c r="M523" s="8">
        <v>92359</v>
      </c>
      <c r="N523" s="8"/>
      <c r="O523" s="8">
        <v>936637</v>
      </c>
      <c r="P523" s="8"/>
      <c r="Q523" s="8">
        <v>912909</v>
      </c>
      <c r="R523" s="8"/>
      <c r="S523" s="8">
        <v>18797</v>
      </c>
      <c r="T523" s="8"/>
      <c r="U523" s="8">
        <v>1068427</v>
      </c>
      <c r="V523" s="8"/>
      <c r="W523" s="8">
        <v>471898</v>
      </c>
      <c r="X523" s="8"/>
      <c r="Y523" s="8">
        <v>0</v>
      </c>
      <c r="Z523" s="8"/>
      <c r="AA523" s="8">
        <v>1158156</v>
      </c>
      <c r="AB523" s="8"/>
      <c r="AC523" s="8">
        <v>426999</v>
      </c>
      <c r="AD523" s="8"/>
      <c r="AE523" s="8">
        <v>193283</v>
      </c>
      <c r="AF523" s="138"/>
      <c r="AG523" s="12" t="s">
        <v>408</v>
      </c>
      <c r="AH523" s="12"/>
      <c r="AI523" s="12" t="s">
        <v>32</v>
      </c>
      <c r="AJ523" s="12"/>
      <c r="AK523" s="8">
        <v>0</v>
      </c>
      <c r="AL523" s="8"/>
      <c r="AM523" s="8">
        <v>1133070</v>
      </c>
      <c r="AN523" s="8"/>
      <c r="AO523" s="8">
        <v>174855</v>
      </c>
      <c r="AP523" s="8"/>
      <c r="AQ523" s="8">
        <v>89280</v>
      </c>
      <c r="AR523" s="8"/>
      <c r="AS523" s="8"/>
      <c r="AT523" s="8"/>
      <c r="AU523" s="8">
        <v>0</v>
      </c>
      <c r="AV523" s="8"/>
      <c r="AW523" s="8">
        <f t="shared" si="32"/>
        <v>13683019</v>
      </c>
      <c r="AY523" s="8">
        <f>+'St of Activites - GA Rev'!AI522-'St of Activities - GA Exp'!AW523</f>
        <v>145973</v>
      </c>
      <c r="BA523" s="8">
        <v>5338182</v>
      </c>
      <c r="BC523" s="8">
        <f t="shared" si="33"/>
        <v>5484155</v>
      </c>
      <c r="BE523" s="8">
        <f>+'St of Net Assets - GA'!AA526-'St of Activities - GA Exp'!BC523</f>
        <v>0</v>
      </c>
    </row>
    <row r="524" spans="1:59">
      <c r="A524" s="12" t="s">
        <v>870</v>
      </c>
      <c r="B524" s="12"/>
      <c r="C524" s="12" t="s">
        <v>15</v>
      </c>
      <c r="D524" s="12"/>
      <c r="E524" s="32">
        <v>45997</v>
      </c>
      <c r="G524" s="8">
        <v>6691209</v>
      </c>
      <c r="H524" s="8"/>
      <c r="I524" s="8">
        <v>1594068</v>
      </c>
      <c r="J524" s="8"/>
      <c r="K524" s="8">
        <v>28590</v>
      </c>
      <c r="L524" s="8"/>
      <c r="M524" s="8">
        <v>0</v>
      </c>
      <c r="N524" s="8"/>
      <c r="O524" s="8">
        <v>697790</v>
      </c>
      <c r="P524" s="8"/>
      <c r="Q524" s="8">
        <v>649227</v>
      </c>
      <c r="R524" s="8"/>
      <c r="S524" s="8">
        <v>24821</v>
      </c>
      <c r="T524" s="8"/>
      <c r="U524" s="8">
        <v>1076028</v>
      </c>
      <c r="V524" s="8"/>
      <c r="W524" s="8">
        <v>474332</v>
      </c>
      <c r="X524" s="8"/>
      <c r="Y524" s="8">
        <v>0</v>
      </c>
      <c r="Z524" s="8"/>
      <c r="AA524" s="8">
        <v>1340058</v>
      </c>
      <c r="AB524" s="8"/>
      <c r="AC524" s="8">
        <v>715008</v>
      </c>
      <c r="AD524" s="8"/>
      <c r="AE524" s="8">
        <v>256091</v>
      </c>
      <c r="AF524" s="138"/>
      <c r="AG524" s="12" t="s">
        <v>235</v>
      </c>
      <c r="AH524" s="12"/>
      <c r="AI524" s="12" t="s">
        <v>15</v>
      </c>
      <c r="AJ524" s="12"/>
      <c r="AK524" s="8">
        <v>475496</v>
      </c>
      <c r="AL524" s="8"/>
      <c r="AM524" s="8">
        <v>161069</v>
      </c>
      <c r="AN524" s="8"/>
      <c r="AO524" s="8">
        <v>562973</v>
      </c>
      <c r="AP524" s="8"/>
      <c r="AQ524" s="8">
        <v>214578</v>
      </c>
      <c r="AR524" s="8"/>
      <c r="AS524" s="8"/>
      <c r="AT524" s="8"/>
      <c r="AU524" s="8">
        <v>0</v>
      </c>
      <c r="AV524" s="8"/>
      <c r="AW524" s="8">
        <f t="shared" si="32"/>
        <v>14961338</v>
      </c>
      <c r="AY524" s="8">
        <f>+'St of Activites - GA Rev'!AI523-'St of Activities - GA Exp'!AW524</f>
        <v>78533</v>
      </c>
      <c r="BA524" s="8">
        <v>8032004</v>
      </c>
      <c r="BC524" s="8">
        <f t="shared" si="33"/>
        <v>8110537</v>
      </c>
      <c r="BE524" s="8">
        <f>+'St of Net Assets - GA'!AA527-'St of Activities - GA Exp'!BC524</f>
        <v>0</v>
      </c>
    </row>
    <row r="525" spans="1:59" ht="12" hidden="1" customHeight="1">
      <c r="A525" s="12" t="s">
        <v>1038</v>
      </c>
      <c r="B525" s="12"/>
      <c r="C525" s="12" t="s">
        <v>534</v>
      </c>
      <c r="D525" s="12"/>
      <c r="E525" s="32">
        <v>48587</v>
      </c>
      <c r="G525" s="8">
        <v>4637409</v>
      </c>
      <c r="H525" s="8"/>
      <c r="I525" s="8">
        <v>1314776</v>
      </c>
      <c r="J525" s="8"/>
      <c r="K525" s="8">
        <v>260874</v>
      </c>
      <c r="L525" s="8"/>
      <c r="M525" s="8">
        <v>11395</v>
      </c>
      <c r="N525" s="8"/>
      <c r="O525" s="8">
        <v>276262</v>
      </c>
      <c r="P525" s="8"/>
      <c r="Q525" s="8">
        <v>348251</v>
      </c>
      <c r="R525" s="8"/>
      <c r="S525" s="8">
        <v>28664</v>
      </c>
      <c r="T525" s="8"/>
      <c r="U525" s="8">
        <v>700532</v>
      </c>
      <c r="V525" s="8"/>
      <c r="W525" s="8">
        <v>222685</v>
      </c>
      <c r="X525" s="8"/>
      <c r="Y525" s="8"/>
      <c r="Z525" s="8"/>
      <c r="AA525" s="8">
        <v>653531</v>
      </c>
      <c r="AB525" s="8"/>
      <c r="AC525" s="8">
        <v>349617</v>
      </c>
      <c r="AD525" s="8"/>
      <c r="AE525" s="8">
        <v>1748</v>
      </c>
      <c r="AF525" s="138"/>
      <c r="AG525" s="12" t="s">
        <v>1038</v>
      </c>
      <c r="AH525" s="12"/>
      <c r="AI525" s="12" t="s">
        <v>534</v>
      </c>
      <c r="AJ525" s="12"/>
      <c r="AK525" s="8">
        <v>343652</v>
      </c>
      <c r="AL525" s="8"/>
      <c r="AM525" s="8">
        <v>184</v>
      </c>
      <c r="AN525" s="8"/>
      <c r="AO525" s="8">
        <v>569890</v>
      </c>
      <c r="AP525" s="8"/>
      <c r="AQ525" s="8">
        <v>141353</v>
      </c>
      <c r="AR525" s="8"/>
      <c r="AS525" s="8"/>
      <c r="AT525" s="8"/>
      <c r="AU525" s="8">
        <f>230000+59414</f>
        <v>289414</v>
      </c>
      <c r="AV525" s="8"/>
      <c r="AW525" s="8">
        <f t="shared" si="32"/>
        <v>10150237</v>
      </c>
      <c r="AY525" s="8">
        <f>+'St of Activites - GA Rev'!AI524-'St of Activities - GA Exp'!AW525</f>
        <v>-36829</v>
      </c>
      <c r="BA525" s="8">
        <v>4604947</v>
      </c>
      <c r="BC525" s="8">
        <f t="shared" si="33"/>
        <v>4568118</v>
      </c>
      <c r="BE525" s="8">
        <f>+'St of Net Assets - GA'!AA528-'St of Activities - GA Exp'!BC525</f>
        <v>0</v>
      </c>
    </row>
    <row r="526" spans="1:59" ht="12" hidden="1" customHeight="1">
      <c r="A526" s="12" t="s">
        <v>1039</v>
      </c>
      <c r="B526" s="12"/>
      <c r="C526" s="12" t="s">
        <v>14</v>
      </c>
      <c r="D526" s="12"/>
      <c r="E526" s="32">
        <v>44727</v>
      </c>
      <c r="G526" s="8">
        <v>10078663</v>
      </c>
      <c r="H526" s="8"/>
      <c r="I526" s="8">
        <v>2470989</v>
      </c>
      <c r="J526" s="8"/>
      <c r="K526" s="8">
        <v>1504838</v>
      </c>
      <c r="L526" s="8"/>
      <c r="M526" s="8">
        <v>58589</v>
      </c>
      <c r="N526" s="8"/>
      <c r="O526" s="8">
        <v>1523990</v>
      </c>
      <c r="P526" s="8"/>
      <c r="Q526" s="8">
        <v>1072848</v>
      </c>
      <c r="R526" s="8"/>
      <c r="S526" s="8">
        <v>106927</v>
      </c>
      <c r="T526" s="8"/>
      <c r="U526" s="8">
        <v>1454651</v>
      </c>
      <c r="V526" s="8"/>
      <c r="W526" s="8">
        <v>445304</v>
      </c>
      <c r="X526" s="8"/>
      <c r="Y526" s="8">
        <v>237622</v>
      </c>
      <c r="Z526" s="8"/>
      <c r="AA526" s="8">
        <v>1578756</v>
      </c>
      <c r="AB526" s="8"/>
      <c r="AC526" s="8">
        <v>822710</v>
      </c>
      <c r="AD526" s="8"/>
      <c r="AE526" s="8">
        <v>8725</v>
      </c>
      <c r="AF526" s="138"/>
      <c r="AG526" s="12" t="s">
        <v>229</v>
      </c>
      <c r="AH526" s="12"/>
      <c r="AI526" s="12" t="s">
        <v>14</v>
      </c>
      <c r="AJ526" s="12"/>
      <c r="AK526" s="8"/>
      <c r="AL526" s="8"/>
      <c r="AM526" s="8">
        <v>837865</v>
      </c>
      <c r="AN526" s="8"/>
      <c r="AO526" s="8">
        <v>617137</v>
      </c>
      <c r="AP526" s="8"/>
      <c r="AQ526" s="8">
        <v>1225994</v>
      </c>
      <c r="AR526" s="8"/>
      <c r="AS526" s="8"/>
      <c r="AT526" s="8"/>
      <c r="AU526" s="8">
        <f>490376+5945642</f>
        <v>6436018</v>
      </c>
      <c r="AV526" s="8"/>
      <c r="AW526" s="8">
        <f t="shared" si="32"/>
        <v>30481626</v>
      </c>
      <c r="AY526" s="8">
        <f>+'St of Activites - GA Rev'!AI525-'St of Activities - GA Exp'!AW526</f>
        <v>12400734</v>
      </c>
      <c r="BA526" s="8">
        <v>37360957</v>
      </c>
      <c r="BC526" s="8">
        <f t="shared" si="33"/>
        <v>49761691</v>
      </c>
      <c r="BE526" s="8">
        <f>+'St of Net Assets - GA'!AA529-'St of Activities - GA Exp'!BC526</f>
        <v>0</v>
      </c>
    </row>
    <row r="527" spans="1:59">
      <c r="A527" s="12" t="s">
        <v>452</v>
      </c>
      <c r="B527" s="12"/>
      <c r="C527" s="12" t="s">
        <v>39</v>
      </c>
      <c r="D527" s="12"/>
      <c r="E527" s="32">
        <v>44826</v>
      </c>
      <c r="G527" s="8">
        <v>8836664</v>
      </c>
      <c r="H527" s="8"/>
      <c r="I527" s="8">
        <v>3524953</v>
      </c>
      <c r="J527" s="8"/>
      <c r="K527" s="8">
        <v>861217</v>
      </c>
      <c r="L527" s="8"/>
      <c r="M527" s="8">
        <v>660437</v>
      </c>
      <c r="N527" s="8"/>
      <c r="O527" s="8">
        <v>909750</v>
      </c>
      <c r="P527" s="8"/>
      <c r="Q527" s="8">
        <v>769831</v>
      </c>
      <c r="R527" s="8"/>
      <c r="S527" s="8">
        <v>37889</v>
      </c>
      <c r="T527" s="8"/>
      <c r="U527" s="8">
        <v>2174916</v>
      </c>
      <c r="V527" s="8"/>
      <c r="W527" s="8">
        <v>410186</v>
      </c>
      <c r="X527" s="8"/>
      <c r="Y527" s="8">
        <v>204243</v>
      </c>
      <c r="Z527" s="8"/>
      <c r="AA527" s="8">
        <v>2499152</v>
      </c>
      <c r="AB527" s="8"/>
      <c r="AC527" s="8">
        <v>552392</v>
      </c>
      <c r="AD527" s="8"/>
      <c r="AE527" s="8">
        <v>16264</v>
      </c>
      <c r="AF527" s="138"/>
      <c r="AG527" s="12" t="s">
        <v>452</v>
      </c>
      <c r="AH527" s="12"/>
      <c r="AI527" s="12" t="s">
        <v>39</v>
      </c>
      <c r="AJ527" s="12"/>
      <c r="AK527" s="8">
        <v>946737</v>
      </c>
      <c r="AL527" s="8"/>
      <c r="AM527" s="8">
        <v>603322</v>
      </c>
      <c r="AN527" s="8"/>
      <c r="AO527" s="8">
        <v>720218</v>
      </c>
      <c r="AP527" s="8"/>
      <c r="AQ527" s="8">
        <v>577237</v>
      </c>
      <c r="AR527" s="8"/>
      <c r="AS527" s="8"/>
      <c r="AT527" s="8"/>
      <c r="AU527" s="8">
        <v>0</v>
      </c>
      <c r="AV527" s="8"/>
      <c r="AW527" s="8">
        <f t="shared" si="32"/>
        <v>24305408</v>
      </c>
      <c r="AY527" s="8">
        <f>+'St of Activites - GA Rev'!AI526-'St of Activities - GA Exp'!AW527</f>
        <v>2934585</v>
      </c>
      <c r="BA527" s="8">
        <v>51416656</v>
      </c>
      <c r="BC527" s="8">
        <f t="shared" si="33"/>
        <v>54351241</v>
      </c>
      <c r="BE527" s="8">
        <f>+'St of Net Assets - GA'!AA530-'St of Activities - GA Exp'!BC527</f>
        <v>0</v>
      </c>
    </row>
    <row r="528" spans="1:59">
      <c r="A528" s="12" t="s">
        <v>671</v>
      </c>
      <c r="B528" s="12"/>
      <c r="C528" s="12" t="s">
        <v>63</v>
      </c>
      <c r="D528" s="12"/>
      <c r="E528" s="32">
        <v>44834</v>
      </c>
      <c r="G528" s="8">
        <v>25179398</v>
      </c>
      <c r="H528" s="8"/>
      <c r="I528" s="8">
        <v>4852659</v>
      </c>
      <c r="J528" s="8"/>
      <c r="K528" s="8">
        <v>1596146</v>
      </c>
      <c r="L528" s="8"/>
      <c r="M528" s="8">
        <f>4031+320688</f>
        <v>324719</v>
      </c>
      <c r="N528" s="8"/>
      <c r="O528" s="8">
        <v>3053622</v>
      </c>
      <c r="P528" s="8"/>
      <c r="Q528" s="8">
        <v>2507581</v>
      </c>
      <c r="R528" s="8"/>
      <c r="S528" s="8">
        <v>422215</v>
      </c>
      <c r="T528" s="8"/>
      <c r="U528" s="8">
        <v>2818083</v>
      </c>
      <c r="V528" s="8"/>
      <c r="W528" s="8">
        <v>1320751</v>
      </c>
      <c r="X528" s="8"/>
      <c r="Y528" s="8">
        <v>468037</v>
      </c>
      <c r="Z528" s="8"/>
      <c r="AA528" s="8">
        <v>5557031</v>
      </c>
      <c r="AB528" s="8"/>
      <c r="AC528" s="8">
        <v>3283900</v>
      </c>
      <c r="AD528" s="8"/>
      <c r="AE528" s="8">
        <v>610594</v>
      </c>
      <c r="AF528" s="138"/>
      <c r="AG528" s="12" t="s">
        <v>671</v>
      </c>
      <c r="AH528" s="12"/>
      <c r="AI528" s="12" t="s">
        <v>63</v>
      </c>
      <c r="AJ528" s="12"/>
      <c r="AK528" s="8">
        <v>1241668</v>
      </c>
      <c r="AL528" s="8"/>
      <c r="AM528" s="8">
        <v>422399</v>
      </c>
      <c r="AN528" s="8"/>
      <c r="AO528" s="8">
        <v>1149187</v>
      </c>
      <c r="AP528" s="8"/>
      <c r="AQ528" s="8">
        <v>159358</v>
      </c>
      <c r="AR528" s="8"/>
      <c r="AS528" s="8"/>
      <c r="AT528" s="8"/>
      <c r="AU528" s="8">
        <v>0</v>
      </c>
      <c r="AV528" s="8"/>
      <c r="AW528" s="8">
        <f t="shared" si="32"/>
        <v>54967348</v>
      </c>
      <c r="AY528" s="8">
        <f>+'St of Activites - GA Rev'!AI527-'St of Activities - GA Exp'!AW528</f>
        <v>2183865</v>
      </c>
      <c r="BA528" s="8">
        <v>18181289</v>
      </c>
      <c r="BC528" s="8">
        <f t="shared" si="33"/>
        <v>20365154</v>
      </c>
      <c r="BE528" s="8">
        <f>+'St of Net Assets - GA'!AA531-'St of Activities - GA Exp'!BC528</f>
        <v>0</v>
      </c>
    </row>
    <row r="529" spans="1:59" hidden="1">
      <c r="A529" s="13" t="s">
        <v>1040</v>
      </c>
      <c r="B529" s="12"/>
      <c r="C529" s="12" t="s">
        <v>65</v>
      </c>
      <c r="D529" s="12"/>
      <c r="E529" s="32">
        <v>50294</v>
      </c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138"/>
      <c r="AG529" s="12" t="s">
        <v>700</v>
      </c>
      <c r="AH529" s="12"/>
      <c r="AI529" s="12" t="s">
        <v>65</v>
      </c>
      <c r="AJ529" s="12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>
        <f t="shared" si="32"/>
        <v>0</v>
      </c>
      <c r="AY529" s="8">
        <f>+'St of Activites - GA Rev'!AI528-'St of Activities - GA Exp'!AW529</f>
        <v>0</v>
      </c>
      <c r="BC529" s="8">
        <f t="shared" si="33"/>
        <v>0</v>
      </c>
      <c r="BE529" s="8">
        <f>+'St of Net Assets - GA'!AA532-'St of Activities - GA Exp'!BC529</f>
        <v>0</v>
      </c>
      <c r="BG529" s="8" t="s">
        <v>967</v>
      </c>
    </row>
    <row r="530" spans="1:59">
      <c r="A530" s="12" t="s">
        <v>595</v>
      </c>
      <c r="B530" s="12"/>
      <c r="C530" s="12" t="s">
        <v>56</v>
      </c>
      <c r="D530" s="12"/>
      <c r="E530" s="32">
        <v>49239</v>
      </c>
      <c r="G530" s="8">
        <v>10433756</v>
      </c>
      <c r="H530" s="8"/>
      <c r="I530" s="8">
        <v>1370479</v>
      </c>
      <c r="J530" s="8"/>
      <c r="K530" s="8">
        <v>85747</v>
      </c>
      <c r="L530" s="8"/>
      <c r="M530" s="8">
        <f>11900+368674+818295</f>
        <v>1198869</v>
      </c>
      <c r="N530" s="8"/>
      <c r="O530" s="8">
        <v>1418428</v>
      </c>
      <c r="P530" s="8"/>
      <c r="Q530" s="8">
        <v>1329457</v>
      </c>
      <c r="R530" s="8"/>
      <c r="S530" s="8">
        <v>274856</v>
      </c>
      <c r="T530" s="8"/>
      <c r="U530" s="8">
        <v>1608813</v>
      </c>
      <c r="V530" s="8"/>
      <c r="W530" s="8">
        <v>716433</v>
      </c>
      <c r="X530" s="8"/>
      <c r="Y530" s="8">
        <v>106334</v>
      </c>
      <c r="Z530" s="8"/>
      <c r="AA530" s="8">
        <v>2401950</v>
      </c>
      <c r="AB530" s="8"/>
      <c r="AC530" s="8">
        <v>1224908</v>
      </c>
      <c r="AD530" s="8"/>
      <c r="AE530" s="8">
        <v>131535</v>
      </c>
      <c r="AF530" s="138"/>
      <c r="AG530" s="13" t="s">
        <v>595</v>
      </c>
      <c r="AH530" s="13"/>
      <c r="AI530" s="13" t="s">
        <v>56</v>
      </c>
      <c r="AJ530" s="13"/>
      <c r="AK530" s="8">
        <v>722630</v>
      </c>
      <c r="AL530" s="8"/>
      <c r="AM530" s="8">
        <v>147540</v>
      </c>
      <c r="AN530" s="8"/>
      <c r="AO530" s="8">
        <v>554941</v>
      </c>
      <c r="AP530" s="8"/>
      <c r="AQ530" s="8">
        <v>734390</v>
      </c>
      <c r="AR530" s="8"/>
      <c r="AS530" s="8"/>
      <c r="AT530" s="8"/>
      <c r="AU530" s="8">
        <v>0</v>
      </c>
      <c r="AV530" s="8"/>
      <c r="AW530" s="8">
        <f t="shared" si="32"/>
        <v>24461066</v>
      </c>
      <c r="AY530" s="8">
        <f>+'St of Activites - GA Rev'!AI532-'St of Activities - GA Exp'!AW530</f>
        <v>1293194</v>
      </c>
      <c r="BA530" s="8">
        <v>1174351</v>
      </c>
      <c r="BC530" s="8">
        <f t="shared" si="33"/>
        <v>2467545</v>
      </c>
      <c r="BE530" s="8">
        <f>+'St of Net Assets - GA'!AA533-'St of Activities - GA Exp'!BC530</f>
        <v>0</v>
      </c>
    </row>
    <row r="531" spans="1:59">
      <c r="A531" s="12" t="s">
        <v>323</v>
      </c>
      <c r="B531" s="12"/>
      <c r="C531" s="12" t="s">
        <v>20</v>
      </c>
      <c r="D531" s="12"/>
      <c r="E531" s="32">
        <v>44842</v>
      </c>
      <c r="G531" s="8">
        <v>42537595</v>
      </c>
      <c r="H531" s="8"/>
      <c r="I531" s="8">
        <v>5595514</v>
      </c>
      <c r="J531" s="8"/>
      <c r="K531" s="8">
        <v>273242</v>
      </c>
      <c r="L531" s="8"/>
      <c r="M531" s="8">
        <f>31990+27203</f>
        <v>59193</v>
      </c>
      <c r="N531" s="8"/>
      <c r="O531" s="8">
        <v>3227937</v>
      </c>
      <c r="P531" s="8"/>
      <c r="Q531" s="8">
        <v>3823351</v>
      </c>
      <c r="R531" s="8"/>
      <c r="S531" s="8">
        <v>120518</v>
      </c>
      <c r="T531" s="8"/>
      <c r="U531" s="8">
        <v>3304286</v>
      </c>
      <c r="V531" s="8"/>
      <c r="W531" s="8">
        <v>6137758</v>
      </c>
      <c r="X531" s="8"/>
      <c r="Y531" s="8">
        <v>533549</v>
      </c>
      <c r="Z531" s="8"/>
      <c r="AA531" s="8">
        <v>12516346</v>
      </c>
      <c r="AB531" s="8"/>
      <c r="AC531" s="8">
        <v>3861348</v>
      </c>
      <c r="AD531" s="8"/>
      <c r="AE531" s="8">
        <v>690168</v>
      </c>
      <c r="AF531" s="138"/>
      <c r="AG531" s="12" t="s">
        <v>323</v>
      </c>
      <c r="AH531" s="12"/>
      <c r="AI531" s="12" t="s">
        <v>20</v>
      </c>
      <c r="AJ531" s="12"/>
      <c r="AK531" s="8">
        <v>2130401</v>
      </c>
      <c r="AL531" s="8"/>
      <c r="AM531" s="8">
        <v>666515</v>
      </c>
      <c r="AN531" s="8"/>
      <c r="AO531" s="8">
        <v>629824</v>
      </c>
      <c r="AP531" s="8"/>
      <c r="AQ531" s="8">
        <v>1209927</v>
      </c>
      <c r="AR531" s="8"/>
      <c r="AS531" s="8"/>
      <c r="AT531" s="8"/>
      <c r="AU531" s="8">
        <v>0</v>
      </c>
      <c r="AV531" s="8"/>
      <c r="AW531" s="8">
        <f t="shared" si="32"/>
        <v>87317472</v>
      </c>
      <c r="AY531" s="8">
        <f>+'St of Activites - GA Rev'!AI533-'St of Activities - GA Exp'!AW531</f>
        <v>-3498252</v>
      </c>
      <c r="BA531" s="8">
        <v>26375349</v>
      </c>
      <c r="BC531" s="8">
        <f t="shared" si="33"/>
        <v>22877097</v>
      </c>
      <c r="BE531" s="8">
        <f>+'St of Net Assets - GA'!AA534-'St of Activities - GA Exp'!BC531</f>
        <v>0</v>
      </c>
    </row>
    <row r="532" spans="1:59" ht="12" customHeight="1">
      <c r="A532" s="12" t="s">
        <v>517</v>
      </c>
      <c r="B532" s="12"/>
      <c r="C532" s="12" t="s">
        <v>45</v>
      </c>
      <c r="D532" s="12"/>
      <c r="E532" s="32">
        <v>44859</v>
      </c>
      <c r="G532" s="8">
        <v>9367900</v>
      </c>
      <c r="H532" s="8"/>
      <c r="I532" s="8">
        <v>2415045</v>
      </c>
      <c r="J532" s="8"/>
      <c r="K532" s="8">
        <v>448913</v>
      </c>
      <c r="L532" s="8"/>
      <c r="M532" s="8">
        <v>893602</v>
      </c>
      <c r="N532" s="8"/>
      <c r="O532" s="8">
        <v>629421</v>
      </c>
      <c r="P532" s="8"/>
      <c r="Q532" s="8">
        <v>160349</v>
      </c>
      <c r="R532" s="8"/>
      <c r="S532" s="8">
        <v>62322</v>
      </c>
      <c r="T532" s="8"/>
      <c r="U532" s="8">
        <v>1077296</v>
      </c>
      <c r="V532" s="8"/>
      <c r="W532" s="8">
        <v>467858</v>
      </c>
      <c r="X532" s="8"/>
      <c r="Y532" s="8">
        <v>32855</v>
      </c>
      <c r="Z532" s="8"/>
      <c r="AA532" s="8">
        <v>1995615</v>
      </c>
      <c r="AB532" s="8"/>
      <c r="AC532" s="8">
        <v>450827</v>
      </c>
      <c r="AD532" s="8"/>
      <c r="AE532" s="8">
        <v>43938</v>
      </c>
      <c r="AF532" s="138"/>
      <c r="AG532" s="12" t="s">
        <v>517</v>
      </c>
      <c r="AH532" s="12"/>
      <c r="AI532" s="12" t="s">
        <v>45</v>
      </c>
      <c r="AJ532" s="12"/>
      <c r="AK532" s="8">
        <v>740075</v>
      </c>
      <c r="AL532" s="8"/>
      <c r="AM532" s="8">
        <v>117482</v>
      </c>
      <c r="AN532" s="8"/>
      <c r="AO532" s="8">
        <v>477402</v>
      </c>
      <c r="AP532" s="8"/>
      <c r="AQ532" s="8">
        <v>264395</v>
      </c>
      <c r="AR532" s="8"/>
      <c r="AS532" s="8"/>
      <c r="AT532" s="8"/>
      <c r="AU532" s="8">
        <v>0</v>
      </c>
      <c r="AV532" s="8"/>
      <c r="AW532" s="8">
        <f t="shared" si="32"/>
        <v>19645295</v>
      </c>
      <c r="AY532" s="8">
        <f>+'St of Activites - GA Rev'!AI534-'St of Activities - GA Exp'!AW532</f>
        <v>460166</v>
      </c>
      <c r="BA532" s="8">
        <v>25330015</v>
      </c>
      <c r="BC532" s="8">
        <f t="shared" si="33"/>
        <v>25790181</v>
      </c>
      <c r="BE532" s="8">
        <f>+'St of Net Assets - GA'!AA535-'St of Activities - GA Exp'!BC532</f>
        <v>0</v>
      </c>
    </row>
    <row r="533" spans="1:59">
      <c r="A533" s="12" t="s">
        <v>732</v>
      </c>
      <c r="B533" s="12"/>
      <c r="C533" s="12" t="s">
        <v>727</v>
      </c>
      <c r="D533" s="12"/>
      <c r="E533" s="32">
        <v>50658</v>
      </c>
      <c r="G533" s="8">
        <v>1995422</v>
      </c>
      <c r="H533" s="8"/>
      <c r="I533" s="8">
        <v>383748</v>
      </c>
      <c r="J533" s="8"/>
      <c r="K533" s="8">
        <v>55747</v>
      </c>
      <c r="L533" s="8"/>
      <c r="M533" s="8">
        <f>8750+359168+210</f>
        <v>368128</v>
      </c>
      <c r="N533" s="8"/>
      <c r="O533" s="8">
        <v>314995</v>
      </c>
      <c r="P533" s="8"/>
      <c r="Q533" s="8">
        <v>272347</v>
      </c>
      <c r="R533" s="8"/>
      <c r="S533" s="8">
        <v>24728</v>
      </c>
      <c r="T533" s="8"/>
      <c r="U533" s="8">
        <v>340728</v>
      </c>
      <c r="V533" s="8"/>
      <c r="W533" s="8">
        <v>199106</v>
      </c>
      <c r="X533" s="8"/>
      <c r="Y533" s="8">
        <v>8177</v>
      </c>
      <c r="Z533" s="8"/>
      <c r="AA533" s="8">
        <v>439137</v>
      </c>
      <c r="AB533" s="8"/>
      <c r="AC533" s="8">
        <v>160569</v>
      </c>
      <c r="AD533" s="8"/>
      <c r="AE533" s="8">
        <v>26773</v>
      </c>
      <c r="AF533" s="138"/>
      <c r="AG533" s="12" t="s">
        <v>732</v>
      </c>
      <c r="AH533" s="12"/>
      <c r="AI533" s="12" t="s">
        <v>727</v>
      </c>
      <c r="AJ533" s="12"/>
      <c r="AK533" s="8">
        <v>0</v>
      </c>
      <c r="AL533" s="8"/>
      <c r="AM533" s="8">
        <v>131432</v>
      </c>
      <c r="AN533" s="8"/>
      <c r="AO533" s="8">
        <v>215031</v>
      </c>
      <c r="AP533" s="8"/>
      <c r="AQ533" s="8">
        <v>268851</v>
      </c>
      <c r="AR533" s="8"/>
      <c r="AS533" s="8"/>
      <c r="AT533" s="8"/>
      <c r="AU533" s="8">
        <v>0</v>
      </c>
      <c r="AV533" s="8"/>
      <c r="AW533" s="8">
        <f t="shared" si="32"/>
        <v>5204919</v>
      </c>
      <c r="AY533" s="8">
        <f>+'St of Activites - GA Rev'!AI535-'St of Activities - GA Exp'!AW533</f>
        <v>520454</v>
      </c>
      <c r="BA533" s="8">
        <v>9678088</v>
      </c>
      <c r="BC533" s="8">
        <f t="shared" si="33"/>
        <v>10198542</v>
      </c>
      <c r="BE533" s="8">
        <f>+'St of Net Assets - GA'!AA536-'St of Activities - GA Exp'!BC533</f>
        <v>0</v>
      </c>
    </row>
    <row r="534" spans="1:59">
      <c r="A534" s="12" t="s">
        <v>387</v>
      </c>
      <c r="B534" s="12"/>
      <c r="C534" s="12" t="s">
        <v>116</v>
      </c>
      <c r="D534" s="12"/>
      <c r="E534" s="32">
        <v>47274</v>
      </c>
      <c r="G534" s="8">
        <v>10959665</v>
      </c>
      <c r="H534" s="8"/>
      <c r="I534" s="8">
        <v>1871414</v>
      </c>
      <c r="J534" s="8"/>
      <c r="K534" s="8">
        <v>0</v>
      </c>
      <c r="L534" s="8"/>
      <c r="M534" s="8">
        <v>0</v>
      </c>
      <c r="N534" s="8"/>
      <c r="O534" s="8">
        <v>2537215</v>
      </c>
      <c r="P534" s="8"/>
      <c r="Q534" s="8">
        <v>1004934</v>
      </c>
      <c r="R534" s="8"/>
      <c r="S534" s="8">
        <v>30796</v>
      </c>
      <c r="T534" s="8"/>
      <c r="U534" s="8">
        <v>1821034</v>
      </c>
      <c r="V534" s="8"/>
      <c r="W534" s="8">
        <v>693437</v>
      </c>
      <c r="X534" s="8"/>
      <c r="Y534" s="8">
        <v>205231</v>
      </c>
      <c r="Z534" s="8"/>
      <c r="AA534" s="8">
        <v>2773273</v>
      </c>
      <c r="AB534" s="8"/>
      <c r="AC534" s="8">
        <v>1612388</v>
      </c>
      <c r="AD534" s="8"/>
      <c r="AE534" s="8">
        <v>90152</v>
      </c>
      <c r="AF534" s="138"/>
      <c r="AG534" s="12" t="s">
        <v>387</v>
      </c>
      <c r="AH534" s="12"/>
      <c r="AI534" s="12" t="s">
        <v>116</v>
      </c>
      <c r="AJ534" s="12"/>
      <c r="AK534" s="8">
        <v>0</v>
      </c>
      <c r="AL534" s="8"/>
      <c r="AM534" s="8">
        <v>722153</v>
      </c>
      <c r="AN534" s="8"/>
      <c r="AO534" s="8">
        <v>1306089</v>
      </c>
      <c r="AP534" s="8"/>
      <c r="AQ534" s="8">
        <v>2238311</v>
      </c>
      <c r="AR534" s="8"/>
      <c r="AS534" s="8"/>
      <c r="AT534" s="8"/>
      <c r="AU534" s="8">
        <v>1807669</v>
      </c>
      <c r="AV534" s="8"/>
      <c r="AW534" s="8">
        <f t="shared" si="32"/>
        <v>29673761</v>
      </c>
      <c r="AY534" s="8">
        <f>+'St of Activites - GA Rev'!AI536-'St of Activities - GA Exp'!AW534</f>
        <v>-1081765</v>
      </c>
      <c r="BA534" s="8">
        <v>5942213</v>
      </c>
      <c r="BC534" s="8">
        <f t="shared" si="33"/>
        <v>4860448</v>
      </c>
      <c r="BE534" s="8">
        <f>+'St of Net Assets - GA'!AA537-'St of Activities - GA Exp'!BC534</f>
        <v>0</v>
      </c>
    </row>
    <row r="535" spans="1:59">
      <c r="A535" s="12" t="s">
        <v>373</v>
      </c>
      <c r="B535" s="12"/>
      <c r="C535" s="12" t="s">
        <v>28</v>
      </c>
      <c r="D535" s="12"/>
      <c r="E535" s="32">
        <v>47092</v>
      </c>
      <c r="G535" s="8">
        <v>6493042</v>
      </c>
      <c r="H535" s="8"/>
      <c r="I535" s="8">
        <v>1759988</v>
      </c>
      <c r="J535" s="8"/>
      <c r="K535" s="8">
        <v>0</v>
      </c>
      <c r="L535" s="8"/>
      <c r="M535" s="8">
        <v>0</v>
      </c>
      <c r="N535" s="8"/>
      <c r="O535" s="8">
        <v>600573</v>
      </c>
      <c r="P535" s="8"/>
      <c r="Q535" s="8">
        <v>699658</v>
      </c>
      <c r="R535" s="8"/>
      <c r="S535" s="8">
        <v>15911</v>
      </c>
      <c r="T535" s="8"/>
      <c r="U535" s="8">
        <v>1197768</v>
      </c>
      <c r="V535" s="8"/>
      <c r="W535" s="8">
        <v>467104</v>
      </c>
      <c r="X535" s="8"/>
      <c r="Y535" s="8">
        <v>2176</v>
      </c>
      <c r="Z535" s="8"/>
      <c r="AA535" s="8">
        <v>1360925</v>
      </c>
      <c r="AB535" s="8"/>
      <c r="AC535" s="8">
        <v>742322</v>
      </c>
      <c r="AD535" s="8"/>
      <c r="AE535" s="8">
        <v>33298</v>
      </c>
      <c r="AF535" s="138"/>
      <c r="AG535" s="12" t="s">
        <v>373</v>
      </c>
      <c r="AH535" s="12"/>
      <c r="AI535" s="12" t="s">
        <v>28</v>
      </c>
      <c r="AJ535" s="12"/>
      <c r="AK535" s="8">
        <v>0</v>
      </c>
      <c r="AL535" s="8"/>
      <c r="AM535" s="8">
        <v>724880</v>
      </c>
      <c r="AN535" s="8"/>
      <c r="AO535" s="8">
        <v>512017</v>
      </c>
      <c r="AP535" s="8"/>
      <c r="AQ535" s="8">
        <v>669004</v>
      </c>
      <c r="AR535" s="8"/>
      <c r="AS535" s="8"/>
      <c r="AT535" s="8"/>
      <c r="AU535" s="8">
        <v>0</v>
      </c>
      <c r="AV535" s="8"/>
      <c r="AW535" s="8">
        <f t="shared" si="32"/>
        <v>15278666</v>
      </c>
      <c r="AY535" s="8">
        <f>+'St of Activites - GA Rev'!AI537-'St of Activities - GA Exp'!AW535</f>
        <v>1811199</v>
      </c>
      <c r="BA535" s="8">
        <v>14796251</v>
      </c>
      <c r="BC535" s="8">
        <f t="shared" si="33"/>
        <v>16607450</v>
      </c>
      <c r="BE535" s="8">
        <f>+'St of Net Assets - GA'!AA538-'St of Activities - GA Exp'!BC535</f>
        <v>0</v>
      </c>
    </row>
    <row r="536" spans="1:59">
      <c r="A536" s="12" t="s">
        <v>861</v>
      </c>
      <c r="B536" s="12"/>
      <c r="C536" s="12" t="s">
        <v>49</v>
      </c>
      <c r="D536" s="12"/>
      <c r="E536" s="32">
        <v>48652</v>
      </c>
      <c r="G536" s="8">
        <v>10884578</v>
      </c>
      <c r="H536" s="8"/>
      <c r="I536" s="8">
        <v>3071359</v>
      </c>
      <c r="J536" s="8"/>
      <c r="K536" s="8">
        <v>1919449</v>
      </c>
      <c r="L536" s="8"/>
      <c r="M536" s="8">
        <f>28092+60049</f>
        <v>88141</v>
      </c>
      <c r="N536" s="8"/>
      <c r="O536" s="8">
        <v>1027524</v>
      </c>
      <c r="P536" s="8"/>
      <c r="Q536" s="8">
        <v>909891</v>
      </c>
      <c r="R536" s="8"/>
      <c r="S536" s="8">
        <v>25490</v>
      </c>
      <c r="T536" s="8"/>
      <c r="U536" s="8">
        <v>2053557</v>
      </c>
      <c r="V536" s="8"/>
      <c r="W536" s="8">
        <v>722366</v>
      </c>
      <c r="X536" s="8"/>
      <c r="Y536" s="8">
        <v>0</v>
      </c>
      <c r="Z536" s="8"/>
      <c r="AA536" s="8">
        <v>2246528</v>
      </c>
      <c r="AB536" s="8"/>
      <c r="AC536" s="8">
        <v>2649494</v>
      </c>
      <c r="AD536" s="8"/>
      <c r="AE536" s="8">
        <v>115230</v>
      </c>
      <c r="AF536" s="138"/>
      <c r="AG536" s="12" t="s">
        <v>543</v>
      </c>
      <c r="AH536" s="12"/>
      <c r="AI536" s="12" t="s">
        <v>49</v>
      </c>
      <c r="AJ536" s="12"/>
      <c r="AK536" s="8">
        <v>0</v>
      </c>
      <c r="AL536" s="8"/>
      <c r="AM536" s="8">
        <v>1430430</v>
      </c>
      <c r="AN536" s="8"/>
      <c r="AO536" s="8">
        <v>635191</v>
      </c>
      <c r="AP536" s="8"/>
      <c r="AQ536" s="8">
        <v>23836</v>
      </c>
      <c r="AR536" s="8"/>
      <c r="AS536" s="8"/>
      <c r="AT536" s="8"/>
      <c r="AU536" s="8">
        <v>0</v>
      </c>
      <c r="AV536" s="8"/>
      <c r="AW536" s="8">
        <f t="shared" si="32"/>
        <v>27803064</v>
      </c>
      <c r="AY536" s="8">
        <f>+'St of Activites - GA Rev'!AI538-'St of Activities - GA Exp'!AW536</f>
        <v>-809259</v>
      </c>
      <c r="BA536" s="8">
        <v>7128764</v>
      </c>
      <c r="BC536" s="8">
        <f t="shared" si="33"/>
        <v>6319505</v>
      </c>
      <c r="BE536" s="8">
        <f>+'St of Net Assets - GA'!AA539-'St of Activities - GA Exp'!BC536</f>
        <v>0</v>
      </c>
    </row>
    <row r="537" spans="1:59">
      <c r="A537" s="12"/>
      <c r="B537" s="12"/>
      <c r="C537" s="12"/>
      <c r="D537" s="12"/>
      <c r="E537" s="32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138"/>
      <c r="AG537" s="12"/>
      <c r="AH537" s="12"/>
      <c r="AI537" s="12"/>
      <c r="AJ537" s="12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</row>
    <row r="538" spans="1:59">
      <c r="A538" s="12"/>
      <c r="B538" s="12"/>
      <c r="C538" s="12"/>
      <c r="D538" s="12"/>
      <c r="E538" s="32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 t="s">
        <v>805</v>
      </c>
      <c r="AF538" s="138"/>
      <c r="AG538" s="12"/>
      <c r="AH538" s="12"/>
      <c r="AI538" s="12"/>
      <c r="AJ538" s="12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BC538" s="8" t="s">
        <v>805</v>
      </c>
    </row>
    <row r="539" spans="1:59">
      <c r="A539" s="12"/>
      <c r="B539" s="12"/>
      <c r="C539" s="12"/>
      <c r="D539" s="12"/>
      <c r="E539" s="32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138"/>
      <c r="AG539" s="12"/>
      <c r="AH539" s="12"/>
      <c r="AI539" s="12"/>
      <c r="AJ539" s="12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</row>
    <row r="540" spans="1:59" ht="12" customHeight="1">
      <c r="A540" s="12" t="s">
        <v>409</v>
      </c>
      <c r="B540" s="12"/>
      <c r="C540" s="12" t="s">
        <v>32</v>
      </c>
      <c r="D540" s="12"/>
      <c r="E540" s="32">
        <v>44867</v>
      </c>
      <c r="G540" s="35">
        <v>36218746</v>
      </c>
      <c r="H540" s="35"/>
      <c r="I540" s="35">
        <v>7960847</v>
      </c>
      <c r="J540" s="35"/>
      <c r="K540" s="35">
        <v>2281</v>
      </c>
      <c r="L540" s="35"/>
      <c r="M540" s="35">
        <v>248186</v>
      </c>
      <c r="N540" s="35"/>
      <c r="O540" s="35">
        <v>4425764</v>
      </c>
      <c r="P540" s="35"/>
      <c r="Q540" s="35">
        <v>5498605</v>
      </c>
      <c r="R540" s="35"/>
      <c r="S540" s="35">
        <v>44637</v>
      </c>
      <c r="T540" s="35"/>
      <c r="U540" s="35">
        <v>5421858</v>
      </c>
      <c r="V540" s="35"/>
      <c r="W540" s="35">
        <v>1656600</v>
      </c>
      <c r="X540" s="35"/>
      <c r="Y540" s="35">
        <v>79896</v>
      </c>
      <c r="Z540" s="35"/>
      <c r="AA540" s="35">
        <v>7536864</v>
      </c>
      <c r="AB540" s="35"/>
      <c r="AC540" s="35">
        <v>4233190</v>
      </c>
      <c r="AD540" s="35"/>
      <c r="AE540" s="35">
        <v>1825772</v>
      </c>
      <c r="AF540" s="138"/>
      <c r="AG540" s="12" t="s">
        <v>409</v>
      </c>
      <c r="AH540" s="12"/>
      <c r="AI540" s="12" t="s">
        <v>32</v>
      </c>
      <c r="AJ540" s="12"/>
      <c r="AK540" s="35">
        <v>0</v>
      </c>
      <c r="AL540" s="35"/>
      <c r="AM540" s="35">
        <v>4288321</v>
      </c>
      <c r="AN540" s="35"/>
      <c r="AO540" s="35">
        <v>1680070</v>
      </c>
      <c r="AP540" s="35"/>
      <c r="AQ540" s="35">
        <v>2330755</v>
      </c>
      <c r="AR540" s="35"/>
      <c r="AS540" s="35"/>
      <c r="AT540" s="35"/>
      <c r="AU540" s="35">
        <v>0</v>
      </c>
      <c r="AV540" s="35"/>
      <c r="AW540" s="35">
        <f t="shared" si="32"/>
        <v>83452392</v>
      </c>
      <c r="AX540" s="35"/>
      <c r="AY540" s="35">
        <f>+'St of Activites - GA Rev'!AI539-'St of Activities - GA Exp'!AW540</f>
        <v>2779443</v>
      </c>
      <c r="AZ540" s="35"/>
      <c r="BA540" s="35">
        <v>69453951</v>
      </c>
      <c r="BB540" s="35"/>
      <c r="BC540" s="35">
        <f t="shared" si="33"/>
        <v>72233394</v>
      </c>
      <c r="BE540" s="8">
        <f>+'St of Net Assets - GA'!AA540-'St of Activities - GA Exp'!BC540</f>
        <v>0</v>
      </c>
    </row>
    <row r="541" spans="1:59">
      <c r="A541" s="12" t="s">
        <v>501</v>
      </c>
      <c r="B541" s="12"/>
      <c r="C541" s="12" t="s">
        <v>117</v>
      </c>
      <c r="D541" s="12"/>
      <c r="E541" s="32">
        <v>44875</v>
      </c>
      <c r="G541" s="8">
        <v>36243051</v>
      </c>
      <c r="H541" s="8"/>
      <c r="I541" s="8">
        <v>8332050</v>
      </c>
      <c r="J541" s="8"/>
      <c r="K541" s="8">
        <v>2503138</v>
      </c>
      <c r="L541" s="8"/>
      <c r="M541" s="8">
        <f>93991+1688636</f>
        <v>1782627</v>
      </c>
      <c r="N541" s="8"/>
      <c r="O541" s="8">
        <v>5894790</v>
      </c>
      <c r="P541" s="8"/>
      <c r="Q541" s="8">
        <v>4806033</v>
      </c>
      <c r="R541" s="8"/>
      <c r="S541" s="8">
        <v>18684</v>
      </c>
      <c r="T541" s="8"/>
      <c r="U541" s="8">
        <v>7475022</v>
      </c>
      <c r="V541" s="8"/>
      <c r="W541" s="8">
        <v>1614397</v>
      </c>
      <c r="X541" s="8"/>
      <c r="Y541" s="8">
        <v>111813</v>
      </c>
      <c r="Z541" s="8"/>
      <c r="AA541" s="8">
        <v>10023645</v>
      </c>
      <c r="AB541" s="8"/>
      <c r="AC541" s="8">
        <v>5302161</v>
      </c>
      <c r="AD541" s="8"/>
      <c r="AE541" s="8">
        <v>1167987</v>
      </c>
      <c r="AF541" s="138"/>
      <c r="AG541" s="12" t="s">
        <v>501</v>
      </c>
      <c r="AH541" s="12"/>
      <c r="AI541" s="12" t="s">
        <v>117</v>
      </c>
      <c r="AJ541" s="12"/>
      <c r="AK541" s="8">
        <v>1996133</v>
      </c>
      <c r="AL541" s="8"/>
      <c r="AM541" s="8">
        <v>1368054</v>
      </c>
      <c r="AN541" s="8"/>
      <c r="AO541" s="8">
        <v>2583209</v>
      </c>
      <c r="AP541" s="8"/>
      <c r="AQ541" s="8">
        <v>2398739</v>
      </c>
      <c r="AR541" s="8"/>
      <c r="AS541" s="8"/>
      <c r="AT541" s="8"/>
      <c r="AU541" s="8">
        <v>0</v>
      </c>
      <c r="AV541" s="8"/>
      <c r="AW541" s="8">
        <f t="shared" si="32"/>
        <v>93621533</v>
      </c>
      <c r="AY541" s="8">
        <f>+'St of Activites - GA Rev'!AI540-'St of Activities - GA Exp'!AW541</f>
        <v>-4788346</v>
      </c>
      <c r="BA541" s="8">
        <v>21804512</v>
      </c>
      <c r="BC541" s="8">
        <f t="shared" si="33"/>
        <v>17016166</v>
      </c>
      <c r="BE541" s="8">
        <f>+'St of Net Assets - GA'!AA541-'St of Activities - GA Exp'!BC541</f>
        <v>0</v>
      </c>
    </row>
    <row r="542" spans="1:59">
      <c r="A542" s="12" t="s">
        <v>472</v>
      </c>
      <c r="B542" s="12"/>
      <c r="C542" s="12" t="s">
        <v>466</v>
      </c>
      <c r="D542" s="12"/>
      <c r="E542" s="32">
        <v>47969</v>
      </c>
      <c r="G542" s="8">
        <v>5040651</v>
      </c>
      <c r="H542" s="8"/>
      <c r="I542" s="8">
        <v>995330</v>
      </c>
      <c r="J542" s="8"/>
      <c r="K542" s="8">
        <v>150367</v>
      </c>
      <c r="L542" s="8"/>
      <c r="M542" s="8">
        <v>0</v>
      </c>
      <c r="N542" s="8"/>
      <c r="O542" s="8">
        <v>331956</v>
      </c>
      <c r="P542" s="8"/>
      <c r="Q542" s="8">
        <v>235897</v>
      </c>
      <c r="R542" s="8"/>
      <c r="S542" s="8">
        <v>57521</v>
      </c>
      <c r="T542" s="8"/>
      <c r="U542" s="8">
        <v>579036</v>
      </c>
      <c r="V542" s="8"/>
      <c r="W542" s="8">
        <v>346436</v>
      </c>
      <c r="X542" s="8"/>
      <c r="Y542" s="8">
        <v>0</v>
      </c>
      <c r="Z542" s="8"/>
      <c r="AA542" s="8">
        <v>811263</v>
      </c>
      <c r="AB542" s="8"/>
      <c r="AC542" s="8">
        <v>951688</v>
      </c>
      <c r="AD542" s="8"/>
      <c r="AE542" s="8">
        <v>93925</v>
      </c>
      <c r="AF542" s="138"/>
      <c r="AG542" s="12" t="s">
        <v>472</v>
      </c>
      <c r="AH542" s="12"/>
      <c r="AI542" s="12" t="s">
        <v>466</v>
      </c>
      <c r="AJ542" s="12"/>
      <c r="AK542" s="8">
        <v>412546</v>
      </c>
      <c r="AL542" s="8"/>
      <c r="AM542" s="8">
        <v>0</v>
      </c>
      <c r="AN542" s="8"/>
      <c r="AO542" s="8">
        <v>205432</v>
      </c>
      <c r="AP542" s="8"/>
      <c r="AQ542" s="8">
        <v>55224</v>
      </c>
      <c r="AR542" s="8"/>
      <c r="AS542" s="8"/>
      <c r="AT542" s="8"/>
      <c r="AU542" s="8">
        <v>0</v>
      </c>
      <c r="AV542" s="8"/>
      <c r="AW542" s="8">
        <f t="shared" si="32"/>
        <v>10267272</v>
      </c>
      <c r="AY542" s="8">
        <f>+'St of Activites - GA Rev'!AI541-'St of Activities - GA Exp'!AW542</f>
        <v>-1643548</v>
      </c>
      <c r="BA542" s="8">
        <v>14772045</v>
      </c>
      <c r="BC542" s="8">
        <f t="shared" si="33"/>
        <v>13128497</v>
      </c>
      <c r="BE542" s="8">
        <f>+'St of Net Assets - GA'!AA542-'St of Activities - GA Exp'!BC542</f>
        <v>0</v>
      </c>
      <c r="BG542" s="8" t="s">
        <v>956</v>
      </c>
    </row>
    <row r="543" spans="1:59">
      <c r="A543" s="12" t="s">
        <v>1063</v>
      </c>
      <c r="B543" s="12"/>
      <c r="C543" s="12" t="s">
        <v>242</v>
      </c>
      <c r="D543" s="12"/>
      <c r="E543" s="32">
        <v>46151</v>
      </c>
      <c r="G543" s="8">
        <v>14818997</v>
      </c>
      <c r="H543" s="8"/>
      <c r="I543" s="8">
        <v>2798761</v>
      </c>
      <c r="J543" s="8"/>
      <c r="K543" s="8">
        <v>0</v>
      </c>
      <c r="L543" s="8"/>
      <c r="M543" s="8">
        <v>1066944</v>
      </c>
      <c r="N543" s="8"/>
      <c r="O543" s="8">
        <v>1866070</v>
      </c>
      <c r="P543" s="8"/>
      <c r="Q543" s="8">
        <v>1947019</v>
      </c>
      <c r="R543" s="8"/>
      <c r="S543" s="8">
        <v>62513</v>
      </c>
      <c r="T543" s="8"/>
      <c r="U543" s="8">
        <v>2172472</v>
      </c>
      <c r="V543" s="8"/>
      <c r="W543" s="8">
        <v>1193338</v>
      </c>
      <c r="X543" s="8"/>
      <c r="Y543" s="8">
        <v>4663</v>
      </c>
      <c r="Z543" s="8"/>
      <c r="AA543" s="8">
        <v>3067060</v>
      </c>
      <c r="AB543" s="8"/>
      <c r="AC543" s="8">
        <v>2070601</v>
      </c>
      <c r="AD543" s="8"/>
      <c r="AE543" s="8">
        <v>116155</v>
      </c>
      <c r="AF543" s="138"/>
      <c r="AG543" s="12" t="s">
        <v>251</v>
      </c>
      <c r="AH543" s="12"/>
      <c r="AI543" s="12" t="s">
        <v>242</v>
      </c>
      <c r="AJ543" s="12"/>
      <c r="AK543" s="8">
        <v>1158780</v>
      </c>
      <c r="AL543" s="8"/>
      <c r="AM543" s="8">
        <v>31540</v>
      </c>
      <c r="AN543" s="8"/>
      <c r="AO543" s="8">
        <v>790519</v>
      </c>
      <c r="AP543" s="8"/>
      <c r="AQ543" s="8">
        <v>544786</v>
      </c>
      <c r="AR543" s="8"/>
      <c r="AS543" s="8"/>
      <c r="AT543" s="8"/>
      <c r="AU543" s="8">
        <v>0</v>
      </c>
      <c r="AV543" s="8"/>
      <c r="AW543" s="8">
        <f t="shared" si="32"/>
        <v>33710218</v>
      </c>
      <c r="AY543" s="8">
        <f>+'St of Activites - GA Rev'!AI542-'St of Activities - GA Exp'!AW543</f>
        <v>3301620</v>
      </c>
      <c r="BA543" s="8">
        <v>21311188</v>
      </c>
      <c r="BC543" s="8">
        <f t="shared" si="33"/>
        <v>24612808</v>
      </c>
      <c r="BE543" s="8">
        <f>+'St of Net Assets - GA'!AA543-'St of Activities - GA Exp'!BC543</f>
        <v>0</v>
      </c>
      <c r="BG543" s="15" t="s">
        <v>905</v>
      </c>
    </row>
    <row r="544" spans="1:59">
      <c r="A544" s="12" t="s">
        <v>672</v>
      </c>
      <c r="B544" s="12"/>
      <c r="C544" s="12" t="s">
        <v>63</v>
      </c>
      <c r="D544" s="12"/>
      <c r="E544" s="32">
        <v>44883</v>
      </c>
      <c r="G544" s="8">
        <v>12212926</v>
      </c>
      <c r="H544" s="8"/>
      <c r="I544" s="8">
        <v>2543861</v>
      </c>
      <c r="J544" s="8"/>
      <c r="K544" s="8">
        <v>906386</v>
      </c>
      <c r="L544" s="8"/>
      <c r="M544" s="8">
        <v>53603</v>
      </c>
      <c r="N544" s="8"/>
      <c r="O544" s="8">
        <v>1509906</v>
      </c>
      <c r="P544" s="8"/>
      <c r="Q544" s="8">
        <v>498716</v>
      </c>
      <c r="R544" s="8"/>
      <c r="S544" s="8">
        <v>24847</v>
      </c>
      <c r="T544" s="8"/>
      <c r="U544" s="8">
        <v>2517709</v>
      </c>
      <c r="V544" s="8"/>
      <c r="W544" s="8">
        <v>998211</v>
      </c>
      <c r="X544" s="8"/>
      <c r="Y544" s="8">
        <v>211506</v>
      </c>
      <c r="Z544" s="8"/>
      <c r="AA544" s="8">
        <v>2856121</v>
      </c>
      <c r="AB544" s="8"/>
      <c r="AC544" s="8">
        <v>1129149</v>
      </c>
      <c r="AD544" s="8"/>
      <c r="AE544" s="8">
        <v>237161</v>
      </c>
      <c r="AF544" s="138"/>
      <c r="AG544" s="12" t="s">
        <v>672</v>
      </c>
      <c r="AH544" s="12"/>
      <c r="AI544" s="12" t="s">
        <v>63</v>
      </c>
      <c r="AJ544" s="12"/>
      <c r="AK544" s="8">
        <v>0</v>
      </c>
      <c r="AL544" s="8"/>
      <c r="AM544" s="8">
        <v>636915</v>
      </c>
      <c r="AN544" s="8"/>
      <c r="AO544" s="8">
        <v>1097759</v>
      </c>
      <c r="AP544" s="8"/>
      <c r="AQ544" s="8">
        <v>1280431</v>
      </c>
      <c r="AR544" s="8"/>
      <c r="AS544" s="8"/>
      <c r="AT544" s="8"/>
      <c r="AU544" s="8">
        <v>0</v>
      </c>
      <c r="AV544" s="8"/>
      <c r="AW544" s="8">
        <f t="shared" si="32"/>
        <v>28715207</v>
      </c>
      <c r="AY544" s="8">
        <f>+'St of Activites - GA Rev'!AI543-'St of Activities - GA Exp'!AW544</f>
        <v>-380543</v>
      </c>
      <c r="BA544" s="8">
        <v>13793923</v>
      </c>
      <c r="BC544" s="8">
        <f t="shared" si="33"/>
        <v>13413380</v>
      </c>
      <c r="BE544" s="8">
        <f>+'St of Net Assets - GA'!AA544-'St of Activities - GA Exp'!BC544</f>
        <v>0</v>
      </c>
    </row>
    <row r="545" spans="1:59">
      <c r="A545" s="12" t="s">
        <v>583</v>
      </c>
      <c r="B545" s="12"/>
      <c r="C545" s="12" t="s">
        <v>54</v>
      </c>
      <c r="D545" s="12"/>
      <c r="E545" s="32">
        <v>49098</v>
      </c>
      <c r="G545" s="8">
        <v>15664344</v>
      </c>
      <c r="H545" s="8"/>
      <c r="I545" s="8">
        <v>3039962</v>
      </c>
      <c r="J545" s="8"/>
      <c r="K545" s="8">
        <v>789747</v>
      </c>
      <c r="L545" s="8"/>
      <c r="M545" s="8">
        <v>245995</v>
      </c>
      <c r="N545" s="8"/>
      <c r="O545" s="8">
        <v>1172275</v>
      </c>
      <c r="P545" s="8"/>
      <c r="Q545" s="8">
        <v>1666783</v>
      </c>
      <c r="R545" s="8"/>
      <c r="S545" s="8">
        <v>140426</v>
      </c>
      <c r="T545" s="8"/>
      <c r="U545" s="8">
        <v>3007602</v>
      </c>
      <c r="V545" s="8"/>
      <c r="W545" s="8">
        <v>686778</v>
      </c>
      <c r="X545" s="8"/>
      <c r="Y545" s="8">
        <v>359063</v>
      </c>
      <c r="Z545" s="8"/>
      <c r="AA545" s="8">
        <v>2746575</v>
      </c>
      <c r="AB545" s="8"/>
      <c r="AC545" s="8">
        <v>1364535</v>
      </c>
      <c r="AD545" s="8"/>
      <c r="AE545" s="8">
        <v>152883</v>
      </c>
      <c r="AF545" s="138"/>
      <c r="AG545" s="12" t="s">
        <v>583</v>
      </c>
      <c r="AH545" s="12"/>
      <c r="AI545" s="12" t="s">
        <v>54</v>
      </c>
      <c r="AJ545" s="12"/>
      <c r="AK545" s="8">
        <v>1116790</v>
      </c>
      <c r="AL545" s="8"/>
      <c r="AM545" s="8">
        <v>18656</v>
      </c>
      <c r="AN545" s="8"/>
      <c r="AO545" s="8">
        <v>762505</v>
      </c>
      <c r="AP545" s="8"/>
      <c r="AQ545" s="8">
        <v>1941154</v>
      </c>
      <c r="AR545" s="8"/>
      <c r="AS545" s="8"/>
      <c r="AT545" s="8"/>
      <c r="AU545" s="8">
        <v>18912</v>
      </c>
      <c r="AV545" s="8"/>
      <c r="AW545" s="8">
        <f t="shared" si="32"/>
        <v>34894985</v>
      </c>
      <c r="AY545" s="8">
        <f>+'St of Activites - GA Rev'!AI544-'St of Activities - GA Exp'!AW545</f>
        <v>444679</v>
      </c>
      <c r="BA545" s="8">
        <v>85686413</v>
      </c>
      <c r="BC545" s="8">
        <f t="shared" si="33"/>
        <v>86131092</v>
      </c>
      <c r="BE545" s="8">
        <f>+'St of Net Assets - GA'!AA545-'St of Activities - GA Exp'!BC545</f>
        <v>0</v>
      </c>
    </row>
    <row r="546" spans="1:59">
      <c r="A546" s="12" t="s">
        <v>265</v>
      </c>
      <c r="B546" s="12"/>
      <c r="C546" s="12" t="s">
        <v>17</v>
      </c>
      <c r="D546" s="12"/>
      <c r="E546" s="32">
        <v>46243</v>
      </c>
      <c r="G546" s="8">
        <v>12768782</v>
      </c>
      <c r="H546" s="8"/>
      <c r="I546" s="8">
        <v>3256098</v>
      </c>
      <c r="J546" s="8"/>
      <c r="K546" s="8">
        <v>562530</v>
      </c>
      <c r="L546" s="8"/>
      <c r="M546" s="8">
        <f>56555+800672</f>
        <v>857227</v>
      </c>
      <c r="N546" s="8"/>
      <c r="O546" s="8">
        <v>1953923</v>
      </c>
      <c r="P546" s="8"/>
      <c r="Q546" s="8">
        <v>1400957</v>
      </c>
      <c r="R546" s="8"/>
      <c r="S546" s="8">
        <v>87818</v>
      </c>
      <c r="T546" s="8"/>
      <c r="U546" s="8">
        <v>2986557</v>
      </c>
      <c r="V546" s="8"/>
      <c r="W546" s="8">
        <v>586004</v>
      </c>
      <c r="X546" s="8"/>
      <c r="Y546" s="8">
        <v>83530</v>
      </c>
      <c r="Z546" s="8"/>
      <c r="AA546" s="8">
        <v>3948012</v>
      </c>
      <c r="AB546" s="8"/>
      <c r="AC546" s="8">
        <v>1261785</v>
      </c>
      <c r="AD546" s="8"/>
      <c r="AE546" s="8">
        <v>148356</v>
      </c>
      <c r="AF546" s="138"/>
      <c r="AG546" s="12" t="s">
        <v>265</v>
      </c>
      <c r="AH546" s="12"/>
      <c r="AI546" s="12" t="s">
        <v>17</v>
      </c>
      <c r="AJ546" s="12"/>
      <c r="AK546" s="8">
        <v>0</v>
      </c>
      <c r="AL546" s="8"/>
      <c r="AM546" s="8">
        <v>1631372</v>
      </c>
      <c r="AN546" s="8"/>
      <c r="AO546" s="8">
        <v>546301</v>
      </c>
      <c r="AP546" s="8"/>
      <c r="AQ546" s="8">
        <v>931216</v>
      </c>
      <c r="AR546" s="8"/>
      <c r="AS546" s="8"/>
      <c r="AT546" s="8"/>
      <c r="AU546" s="8">
        <v>2683851</v>
      </c>
      <c r="AV546" s="8"/>
      <c r="AW546" s="8">
        <f t="shared" si="32"/>
        <v>35694319</v>
      </c>
      <c r="AY546" s="8">
        <f>+'St of Activites - GA Rev'!AI545-'St of Activities - GA Exp'!AW546</f>
        <v>-1933158</v>
      </c>
      <c r="BA546" s="8">
        <v>70425957</v>
      </c>
      <c r="BC546" s="8">
        <f t="shared" si="33"/>
        <v>68492799</v>
      </c>
      <c r="BE546" s="8">
        <f>+'St of Net Assets - GA'!AA546-'St of Activities - GA Exp'!BC546</f>
        <v>0</v>
      </c>
    </row>
    <row r="547" spans="1:59" ht="12" customHeight="1">
      <c r="A547" s="13" t="s">
        <v>1073</v>
      </c>
      <c r="B547" s="12"/>
      <c r="C547" s="12" t="s">
        <v>32</v>
      </c>
      <c r="D547" s="12"/>
      <c r="E547" s="32">
        <v>47399</v>
      </c>
      <c r="G547" s="8">
        <v>10262790</v>
      </c>
      <c r="H547" s="8"/>
      <c r="I547" s="8">
        <v>2267821</v>
      </c>
      <c r="J547" s="8"/>
      <c r="K547" s="8">
        <v>3720</v>
      </c>
      <c r="L547" s="8"/>
      <c r="M547" s="8">
        <v>13631</v>
      </c>
      <c r="N547" s="8"/>
      <c r="O547" s="8">
        <v>1238369</v>
      </c>
      <c r="P547" s="8"/>
      <c r="Q547" s="8">
        <v>1591264</v>
      </c>
      <c r="R547" s="8"/>
      <c r="S547" s="8">
        <v>46486</v>
      </c>
      <c r="T547" s="8"/>
      <c r="U547" s="8">
        <v>1297588</v>
      </c>
      <c r="V547" s="8"/>
      <c r="W547" s="8">
        <v>759163</v>
      </c>
      <c r="X547" s="8"/>
      <c r="Y547" s="8">
        <v>17335</v>
      </c>
      <c r="Z547" s="8"/>
      <c r="AA547" s="8">
        <v>1428707</v>
      </c>
      <c r="AB547" s="8"/>
      <c r="AC547" s="8">
        <v>1216875</v>
      </c>
      <c r="AD547" s="8"/>
      <c r="AE547" s="8">
        <v>607805</v>
      </c>
      <c r="AF547" s="138"/>
      <c r="AG547" s="12" t="s">
        <v>410</v>
      </c>
      <c r="AH547" s="12"/>
      <c r="AI547" s="12" t="s">
        <v>32</v>
      </c>
      <c r="AJ547" s="12"/>
      <c r="AK547" s="8">
        <v>0</v>
      </c>
      <c r="AL547" s="8"/>
      <c r="AM547" s="8">
        <v>931230</v>
      </c>
      <c r="AN547" s="8"/>
      <c r="AO547" s="8">
        <v>536993</v>
      </c>
      <c r="AP547" s="8"/>
      <c r="AQ547" s="8">
        <v>0</v>
      </c>
      <c r="AR547" s="8"/>
      <c r="AS547" s="8"/>
      <c r="AT547" s="8"/>
      <c r="AU547" s="8">
        <v>0</v>
      </c>
      <c r="AV547" s="8"/>
      <c r="AW547" s="8">
        <f t="shared" si="32"/>
        <v>22219777</v>
      </c>
      <c r="AY547" s="8">
        <f>+'St of Activites - GA Rev'!AI546-'St of Activities - GA Exp'!AW547</f>
        <v>-1708484</v>
      </c>
      <c r="BA547" s="8">
        <v>11493417</v>
      </c>
      <c r="BC547" s="8">
        <f t="shared" si="33"/>
        <v>9784933</v>
      </c>
      <c r="BE547" s="8">
        <f>+'St of Net Assets - GA'!AA547-'St of Activities - GA Exp'!BC547</f>
        <v>0</v>
      </c>
      <c r="BG547" s="15" t="s">
        <v>905</v>
      </c>
    </row>
    <row r="548" spans="1:59" ht="12" customHeight="1">
      <c r="A548" s="12" t="s">
        <v>640</v>
      </c>
      <c r="B548" s="12"/>
      <c r="C548" s="12" t="s">
        <v>60</v>
      </c>
      <c r="D548" s="12"/>
      <c r="E548" s="32">
        <v>44891</v>
      </c>
      <c r="G548" s="8">
        <v>10361743</v>
      </c>
      <c r="H548" s="8"/>
      <c r="I548" s="8">
        <v>3641220</v>
      </c>
      <c r="J548" s="8"/>
      <c r="K548" s="8">
        <v>234418</v>
      </c>
      <c r="L548" s="8"/>
      <c r="M548" s="8">
        <v>1952629</v>
      </c>
      <c r="N548" s="8"/>
      <c r="O548" s="8">
        <v>1342925</v>
      </c>
      <c r="P548" s="8"/>
      <c r="Q548" s="8">
        <v>1377135</v>
      </c>
      <c r="R548" s="8"/>
      <c r="S548" s="8">
        <v>44888</v>
      </c>
      <c r="T548" s="8"/>
      <c r="U548" s="8">
        <v>1813192</v>
      </c>
      <c r="V548" s="8"/>
      <c r="W548" s="8">
        <v>604932</v>
      </c>
      <c r="X548" s="8"/>
      <c r="Y548" s="8">
        <v>34414</v>
      </c>
      <c r="Z548" s="8"/>
      <c r="AA548" s="8">
        <v>2546177</v>
      </c>
      <c r="AB548" s="8"/>
      <c r="AC548" s="8">
        <v>885532</v>
      </c>
      <c r="AD548" s="8"/>
      <c r="AE548" s="8">
        <v>57622</v>
      </c>
      <c r="AF548" s="138"/>
      <c r="AG548" s="12" t="s">
        <v>640</v>
      </c>
      <c r="AH548" s="12"/>
      <c r="AI548" s="12" t="s">
        <v>60</v>
      </c>
      <c r="AJ548" s="12"/>
      <c r="AK548" s="8">
        <v>776853</v>
      </c>
      <c r="AL548" s="8"/>
      <c r="AM548" s="8">
        <v>287431</v>
      </c>
      <c r="AN548" s="8"/>
      <c r="AO548" s="8">
        <v>700079</v>
      </c>
      <c r="AP548" s="8"/>
      <c r="AQ548" s="8">
        <v>453791</v>
      </c>
      <c r="AR548" s="8"/>
      <c r="AS548" s="8"/>
      <c r="AT548" s="8"/>
      <c r="AU548" s="8">
        <v>0</v>
      </c>
      <c r="AV548" s="8"/>
      <c r="AW548" s="8">
        <f t="shared" si="32"/>
        <v>27114981</v>
      </c>
      <c r="AY548" s="8">
        <f>+'St of Activites - GA Rev'!AI547-'St of Activities - GA Exp'!AW548</f>
        <v>-32601</v>
      </c>
      <c r="BA548" s="8">
        <v>12552815</v>
      </c>
      <c r="BC548" s="8">
        <f t="shared" si="33"/>
        <v>12520214</v>
      </c>
      <c r="BE548" s="8">
        <f>+'St of Net Assets - GA'!AA548-'St of Activities - GA Exp'!BC548</f>
        <v>0</v>
      </c>
    </row>
    <row r="549" spans="1:59">
      <c r="A549" s="12" t="s">
        <v>541</v>
      </c>
      <c r="B549" s="12"/>
      <c r="C549" s="12" t="s">
        <v>48</v>
      </c>
      <c r="D549" s="12"/>
      <c r="E549" s="32">
        <v>45617</v>
      </c>
      <c r="G549" s="8">
        <v>14323978</v>
      </c>
      <c r="H549" s="8"/>
      <c r="I549" s="8">
        <v>0</v>
      </c>
      <c r="J549" s="8"/>
      <c r="K549" s="8">
        <v>0</v>
      </c>
      <c r="L549" s="8"/>
      <c r="M549" s="8">
        <v>0</v>
      </c>
      <c r="N549" s="8"/>
      <c r="O549" s="8">
        <v>869836</v>
      </c>
      <c r="P549" s="8"/>
      <c r="Q549" s="8">
        <v>1123454</v>
      </c>
      <c r="R549" s="8"/>
      <c r="S549" s="8">
        <v>38229</v>
      </c>
      <c r="T549" s="8"/>
      <c r="U549" s="8">
        <v>1596102</v>
      </c>
      <c r="V549" s="8"/>
      <c r="W549" s="8">
        <v>536306</v>
      </c>
      <c r="X549" s="8"/>
      <c r="Y549" s="8">
        <v>0</v>
      </c>
      <c r="Z549" s="8"/>
      <c r="AA549" s="8">
        <v>2166343</v>
      </c>
      <c r="AB549" s="8"/>
      <c r="AC549" s="8">
        <v>1025204</v>
      </c>
      <c r="AD549" s="8"/>
      <c r="AE549" s="8">
        <v>557935</v>
      </c>
      <c r="AF549" s="138"/>
      <c r="AG549" s="12" t="s">
        <v>541</v>
      </c>
      <c r="AH549" s="12"/>
      <c r="AI549" s="12" t="s">
        <v>48</v>
      </c>
      <c r="AJ549" s="12"/>
      <c r="AK549" s="8">
        <v>0</v>
      </c>
      <c r="AL549" s="8"/>
      <c r="AM549" s="8">
        <f>8031+901689</f>
        <v>909720</v>
      </c>
      <c r="AN549" s="8"/>
      <c r="AO549" s="8">
        <v>1131184</v>
      </c>
      <c r="AP549" s="8"/>
      <c r="AQ549" s="8">
        <v>927849</v>
      </c>
      <c r="AR549" s="8"/>
      <c r="AS549" s="8"/>
      <c r="AT549" s="8"/>
      <c r="AU549" s="8">
        <v>0</v>
      </c>
      <c r="AV549" s="8"/>
      <c r="AW549" s="8">
        <f t="shared" si="32"/>
        <v>25206140</v>
      </c>
      <c r="AY549" s="8">
        <f>+'St of Activites - GA Rev'!AI548-'St of Activities - GA Exp'!AW549</f>
        <v>258279</v>
      </c>
      <c r="BA549" s="8">
        <v>4645508</v>
      </c>
      <c r="BC549" s="8">
        <f t="shared" si="33"/>
        <v>4903787</v>
      </c>
      <c r="BE549" s="8">
        <f>+'St of Net Assets - GA'!AA549-'St of Activities - GA Exp'!BC549</f>
        <v>0</v>
      </c>
      <c r="BG549" s="10" t="s">
        <v>1009</v>
      </c>
    </row>
    <row r="550" spans="1:59">
      <c r="A550" s="12" t="s">
        <v>502</v>
      </c>
      <c r="B550" s="12"/>
      <c r="C550" s="12" t="s">
        <v>117</v>
      </c>
      <c r="D550" s="12"/>
      <c r="E550" s="32">
        <v>44909</v>
      </c>
      <c r="G550" s="8">
        <v>261800004</v>
      </c>
      <c r="H550" s="8"/>
      <c r="I550" s="8">
        <v>0</v>
      </c>
      <c r="J550" s="8"/>
      <c r="K550" s="8">
        <v>0</v>
      </c>
      <c r="L550" s="8"/>
      <c r="M550" s="8">
        <v>0</v>
      </c>
      <c r="N550" s="8"/>
      <c r="O550" s="8">
        <v>135291670</v>
      </c>
      <c r="P550" s="8"/>
      <c r="Q550" s="8">
        <v>0</v>
      </c>
      <c r="R550" s="8"/>
      <c r="S550" s="8">
        <v>0</v>
      </c>
      <c r="T550" s="8"/>
      <c r="U550" s="8">
        <v>0</v>
      </c>
      <c r="V550" s="8"/>
      <c r="W550" s="8">
        <v>0</v>
      </c>
      <c r="X550" s="8"/>
      <c r="Y550" s="8">
        <v>0</v>
      </c>
      <c r="Z550" s="8"/>
      <c r="AA550" s="8">
        <v>0</v>
      </c>
      <c r="AB550" s="8"/>
      <c r="AC550" s="8">
        <v>0</v>
      </c>
      <c r="AD550" s="8"/>
      <c r="AE550" s="8">
        <v>0</v>
      </c>
      <c r="AF550" s="138"/>
      <c r="AG550" s="12" t="s">
        <v>502</v>
      </c>
      <c r="AH550" s="12"/>
      <c r="AI550" s="12" t="s">
        <v>117</v>
      </c>
      <c r="AJ550" s="12"/>
      <c r="AK550" s="8">
        <v>26726017</v>
      </c>
      <c r="AL550" s="8"/>
      <c r="AM550" s="8">
        <v>0</v>
      </c>
      <c r="AN550" s="8"/>
      <c r="AO550" s="8">
        <v>5471234</v>
      </c>
      <c r="AP550" s="8"/>
      <c r="AQ550" s="8">
        <v>6958983</v>
      </c>
      <c r="AR550" s="8"/>
      <c r="AS550" s="8"/>
      <c r="AT550" s="8"/>
      <c r="AU550" s="8">
        <v>0</v>
      </c>
      <c r="AV550" s="8"/>
      <c r="AW550" s="8">
        <f t="shared" si="32"/>
        <v>436247908</v>
      </c>
      <c r="AY550" s="8">
        <f>+'St of Activites - GA Rev'!AI549-'St of Activities - GA Exp'!AW550</f>
        <v>-3499479</v>
      </c>
      <c r="BA550" s="8">
        <v>605101987</v>
      </c>
      <c r="BC550" s="8">
        <f t="shared" si="33"/>
        <v>601602508</v>
      </c>
      <c r="BE550" s="8">
        <f>+'St of Net Assets - GA'!AA550-'St of Activities - GA Exp'!BC550</f>
        <v>0</v>
      </c>
      <c r="BG550" s="10" t="s">
        <v>1017</v>
      </c>
    </row>
    <row r="551" spans="1:59">
      <c r="A551" s="13" t="s">
        <v>1024</v>
      </c>
      <c r="B551" s="13"/>
      <c r="C551" s="13" t="s">
        <v>117</v>
      </c>
      <c r="D551" s="12"/>
      <c r="E551" s="32"/>
      <c r="G551" s="8">
        <f>2040477+713084</f>
        <v>2753561</v>
      </c>
      <c r="H551" s="8"/>
      <c r="I551" s="8">
        <v>0</v>
      </c>
      <c r="J551" s="8"/>
      <c r="K551" s="8">
        <v>0</v>
      </c>
      <c r="L551" s="8"/>
      <c r="M551" s="8">
        <v>0</v>
      </c>
      <c r="N551" s="8"/>
      <c r="O551" s="8">
        <v>0</v>
      </c>
      <c r="P551" s="8"/>
      <c r="Q551" s="8">
        <v>0</v>
      </c>
      <c r="R551" s="8"/>
      <c r="S551" s="8">
        <v>0</v>
      </c>
      <c r="T551" s="8"/>
      <c r="U551" s="8">
        <v>0</v>
      </c>
      <c r="V551" s="8"/>
      <c r="W551" s="8">
        <v>0</v>
      </c>
      <c r="X551" s="8"/>
      <c r="Y551" s="8">
        <v>0</v>
      </c>
      <c r="Z551" s="8"/>
      <c r="AA551" s="8">
        <v>0</v>
      </c>
      <c r="AB551" s="8"/>
      <c r="AC551" s="8">
        <v>0</v>
      </c>
      <c r="AD551" s="8"/>
      <c r="AE551" s="8">
        <v>0</v>
      </c>
      <c r="AF551" s="138"/>
      <c r="AG551" s="13" t="s">
        <v>1024</v>
      </c>
      <c r="AH551" s="13"/>
      <c r="AI551" s="13" t="s">
        <v>117</v>
      </c>
      <c r="AJ551" s="12"/>
      <c r="AK551" s="8">
        <v>0</v>
      </c>
      <c r="AL551" s="8"/>
      <c r="AM551" s="8">
        <f>664854+234487</f>
        <v>899341</v>
      </c>
      <c r="AN551" s="8"/>
      <c r="AO551" s="8">
        <v>0</v>
      </c>
      <c r="AP551" s="8"/>
      <c r="AQ551" s="8">
        <v>254111</v>
      </c>
      <c r="AR551" s="8"/>
      <c r="AS551" s="8"/>
      <c r="AT551" s="8"/>
      <c r="AU551" s="8">
        <f>209740+121920</f>
        <v>331660</v>
      </c>
      <c r="AV551" s="8"/>
      <c r="AW551" s="8">
        <f t="shared" si="32"/>
        <v>4238673</v>
      </c>
      <c r="AY551" s="8">
        <f>+'St of Activites - GA Rev'!AI550-'St of Activities - GA Exp'!AW551</f>
        <v>412009</v>
      </c>
      <c r="BA551" s="8">
        <v>145724</v>
      </c>
      <c r="BC551" s="8">
        <f t="shared" si="33"/>
        <v>557733</v>
      </c>
      <c r="BE551" s="8">
        <f>+'St of Net Assets - GA'!AA551-'St of Activities - GA Exp'!BC551</f>
        <v>0</v>
      </c>
    </row>
    <row r="552" spans="1:59">
      <c r="A552" s="13" t="s">
        <v>453</v>
      </c>
      <c r="B552" s="12"/>
      <c r="C552" s="12" t="s">
        <v>39</v>
      </c>
      <c r="D552" s="12"/>
      <c r="E552" s="32">
        <v>44917</v>
      </c>
      <c r="G552" s="8">
        <v>3016776</v>
      </c>
      <c r="H552" s="8"/>
      <c r="I552" s="8">
        <v>897743</v>
      </c>
      <c r="J552" s="8"/>
      <c r="K552" s="8">
        <v>115690</v>
      </c>
      <c r="L552" s="8"/>
      <c r="M552" s="8">
        <f>99376+28956</f>
        <v>128332</v>
      </c>
      <c r="N552" s="8"/>
      <c r="O552" s="8">
        <v>222586</v>
      </c>
      <c r="P552" s="8"/>
      <c r="Q552" s="8">
        <v>244357</v>
      </c>
      <c r="R552" s="8"/>
      <c r="S552" s="8">
        <v>10316</v>
      </c>
      <c r="T552" s="8"/>
      <c r="U552" s="8">
        <v>853873</v>
      </c>
      <c r="V552" s="8"/>
      <c r="W552" s="8">
        <v>260645</v>
      </c>
      <c r="X552" s="8"/>
      <c r="Y552" s="8">
        <v>43187</v>
      </c>
      <c r="Z552" s="8"/>
      <c r="AA552" s="8">
        <v>799800</v>
      </c>
      <c r="AB552" s="8"/>
      <c r="AC552" s="8">
        <v>60661</v>
      </c>
      <c r="AD552" s="8"/>
      <c r="AE552" s="8">
        <v>0</v>
      </c>
      <c r="AF552" s="138"/>
      <c r="AG552" s="12" t="s">
        <v>453</v>
      </c>
      <c r="AH552" s="12"/>
      <c r="AI552" s="12" t="s">
        <v>39</v>
      </c>
      <c r="AJ552" s="12"/>
      <c r="AK552" s="8">
        <v>0</v>
      </c>
      <c r="AL552" s="8"/>
      <c r="AM552" s="8">
        <v>407462</v>
      </c>
      <c r="AN552" s="8"/>
      <c r="AO552" s="8">
        <v>255335</v>
      </c>
      <c r="AP552" s="8"/>
      <c r="AQ552" s="8">
        <v>699</v>
      </c>
      <c r="AR552" s="8"/>
      <c r="AS552" s="8"/>
      <c r="AT552" s="8"/>
      <c r="AU552" s="8">
        <v>0</v>
      </c>
      <c r="AV552" s="8"/>
      <c r="AW552" s="8">
        <f t="shared" si="32"/>
        <v>7317462</v>
      </c>
      <c r="AY552" s="8">
        <f>+'St of Activites - GA Rev'!AI551-'St of Activities - GA Exp'!AW552</f>
        <v>63204</v>
      </c>
      <c r="BA552" s="8">
        <v>5576340</v>
      </c>
      <c r="BC552" s="8">
        <f t="shared" si="33"/>
        <v>5639544</v>
      </c>
      <c r="BE552" s="8">
        <f>+'St of Net Assets - GA'!AA552-'St of Activities - GA Exp'!BC552</f>
        <v>0</v>
      </c>
      <c r="BG552" s="15" t="s">
        <v>905</v>
      </c>
    </row>
    <row r="553" spans="1:59">
      <c r="A553" s="12" t="s">
        <v>257</v>
      </c>
      <c r="B553" s="12"/>
      <c r="C553" s="12" t="s">
        <v>255</v>
      </c>
      <c r="D553" s="12"/>
      <c r="E553" s="32">
        <v>46201</v>
      </c>
      <c r="G553" s="8">
        <v>4590649</v>
      </c>
      <c r="H553" s="8"/>
      <c r="I553" s="8">
        <v>1009743</v>
      </c>
      <c r="J553" s="8"/>
      <c r="K553" s="8">
        <v>212405</v>
      </c>
      <c r="L553" s="8"/>
      <c r="M553" s="8">
        <v>0</v>
      </c>
      <c r="N553" s="8"/>
      <c r="O553" s="8">
        <v>558995</v>
      </c>
      <c r="P553" s="8"/>
      <c r="Q553" s="8">
        <v>248662</v>
      </c>
      <c r="R553" s="8"/>
      <c r="S553" s="8">
        <v>69691</v>
      </c>
      <c r="T553" s="8"/>
      <c r="U553" s="8">
        <v>840487</v>
      </c>
      <c r="V553" s="8"/>
      <c r="W553" s="8">
        <v>285814</v>
      </c>
      <c r="X553" s="8"/>
      <c r="Y553" s="8">
        <v>8074</v>
      </c>
      <c r="Z553" s="8"/>
      <c r="AA553" s="8">
        <v>1251520</v>
      </c>
      <c r="AB553" s="8"/>
      <c r="AC553" s="8">
        <v>625723</v>
      </c>
      <c r="AD553" s="8"/>
      <c r="AE553" s="8">
        <v>239669</v>
      </c>
      <c r="AF553" s="138"/>
      <c r="AG553" s="12" t="s">
        <v>257</v>
      </c>
      <c r="AH553" s="12"/>
      <c r="AI553" s="12" t="s">
        <v>255</v>
      </c>
      <c r="AJ553" s="12"/>
      <c r="AK553" s="8">
        <v>428536</v>
      </c>
      <c r="AL553" s="8"/>
      <c r="AM553" s="8">
        <v>0</v>
      </c>
      <c r="AN553" s="8"/>
      <c r="AO553" s="8">
        <v>483249</v>
      </c>
      <c r="AP553" s="8"/>
      <c r="AQ553" s="8">
        <v>270316</v>
      </c>
      <c r="AR553" s="8"/>
      <c r="AS553" s="8"/>
      <c r="AT553" s="8"/>
      <c r="AU553" s="8">
        <v>0</v>
      </c>
      <c r="AV553" s="8"/>
      <c r="AW553" s="8">
        <f t="shared" si="32"/>
        <v>11123533</v>
      </c>
      <c r="AY553" s="8">
        <f>+'St of Activites - GA Rev'!AI552-'St of Activities - GA Exp'!AW553</f>
        <v>-335981</v>
      </c>
      <c r="BA553" s="8">
        <v>15044960</v>
      </c>
      <c r="BC553" s="8">
        <f t="shared" si="33"/>
        <v>14708979</v>
      </c>
      <c r="BE553" s="8">
        <f>+'St of Net Assets - GA'!AA553-'St of Activities - GA Exp'!BC553</f>
        <v>0</v>
      </c>
    </row>
    <row r="554" spans="1:59">
      <c r="A554" s="12" t="s">
        <v>600</v>
      </c>
      <c r="B554" s="12"/>
      <c r="C554" s="12" t="s">
        <v>57</v>
      </c>
      <c r="D554" s="12"/>
      <c r="E554" s="32">
        <v>91397</v>
      </c>
      <c r="G554" s="8">
        <v>5247131</v>
      </c>
      <c r="H554" s="8"/>
      <c r="I554" s="8">
        <v>854066</v>
      </c>
      <c r="J554" s="8"/>
      <c r="K554" s="8">
        <v>113703</v>
      </c>
      <c r="L554" s="8"/>
      <c r="M554" s="8">
        <v>0</v>
      </c>
      <c r="N554" s="8"/>
      <c r="O554" s="8">
        <v>532458</v>
      </c>
      <c r="P554" s="8"/>
      <c r="Q554" s="8">
        <v>448290</v>
      </c>
      <c r="R554" s="8"/>
      <c r="S554" s="8">
        <v>20313</v>
      </c>
      <c r="T554" s="8"/>
      <c r="U554" s="8">
        <v>1108576</v>
      </c>
      <c r="V554" s="8"/>
      <c r="W554" s="8">
        <v>223773</v>
      </c>
      <c r="X554" s="8"/>
      <c r="Y554" s="8">
        <v>0</v>
      </c>
      <c r="Z554" s="8"/>
      <c r="AA554" s="8">
        <v>797134</v>
      </c>
      <c r="AB554" s="8"/>
      <c r="AC554" s="8">
        <v>516501</v>
      </c>
      <c r="AD554" s="8"/>
      <c r="AE554" s="8">
        <v>29592</v>
      </c>
      <c r="AF554" s="138"/>
      <c r="AG554" s="12" t="s">
        <v>600</v>
      </c>
      <c r="AH554" s="12"/>
      <c r="AI554" s="12" t="s">
        <v>57</v>
      </c>
      <c r="AJ554" s="12"/>
      <c r="AK554" s="8">
        <v>0</v>
      </c>
      <c r="AL554" s="8"/>
      <c r="AM554" s="8">
        <v>493156</v>
      </c>
      <c r="AN554" s="8"/>
      <c r="AO554" s="8">
        <v>352058</v>
      </c>
      <c r="AP554" s="8"/>
      <c r="AQ554" s="8">
        <v>27099</v>
      </c>
      <c r="AR554" s="8"/>
      <c r="AS554" s="8"/>
      <c r="AT554" s="8"/>
      <c r="AU554" s="8">
        <v>0</v>
      </c>
      <c r="AV554" s="8"/>
      <c r="AW554" s="8">
        <f t="shared" si="32"/>
        <v>10763850</v>
      </c>
      <c r="AY554" s="8">
        <f>+'St of Activites - GA Rev'!AI553-'St of Activities - GA Exp'!AW554</f>
        <v>-735821</v>
      </c>
      <c r="BA554" s="8">
        <v>14663825</v>
      </c>
      <c r="BC554" s="8">
        <f t="shared" si="33"/>
        <v>13928004</v>
      </c>
      <c r="BE554" s="8">
        <f>+'St of Net Assets - GA'!AA554-'St of Activities - GA Exp'!BC554</f>
        <v>0</v>
      </c>
    </row>
    <row r="555" spans="1:59">
      <c r="A555" s="12" t="s">
        <v>225</v>
      </c>
      <c r="B555" s="12"/>
      <c r="C555" s="12" t="s">
        <v>13</v>
      </c>
      <c r="D555" s="12"/>
      <c r="E555" s="32">
        <v>45922</v>
      </c>
      <c r="G555" s="8">
        <v>3479640</v>
      </c>
      <c r="H555" s="8"/>
      <c r="I555" s="8">
        <v>1548129</v>
      </c>
      <c r="J555" s="8"/>
      <c r="K555" s="8">
        <v>76593</v>
      </c>
      <c r="L555" s="8"/>
      <c r="M555" s="8">
        <f>250431+584686</f>
        <v>835117</v>
      </c>
      <c r="N555" s="8"/>
      <c r="O555" s="8">
        <v>627311</v>
      </c>
      <c r="P555" s="8"/>
      <c r="Q555" s="8">
        <v>464487</v>
      </c>
      <c r="R555" s="8"/>
      <c r="S555" s="8">
        <v>95100</v>
      </c>
      <c r="T555" s="8"/>
      <c r="U555" s="8">
        <v>699086</v>
      </c>
      <c r="V555" s="8"/>
      <c r="W555" s="8">
        <v>284946</v>
      </c>
      <c r="X555" s="8"/>
      <c r="Y555" s="8">
        <v>0</v>
      </c>
      <c r="Z555" s="8"/>
      <c r="AA555" s="8">
        <v>904972</v>
      </c>
      <c r="AB555" s="8"/>
      <c r="AC555" s="8">
        <v>514860</v>
      </c>
      <c r="AD555" s="8"/>
      <c r="AE555" s="8">
        <v>14892</v>
      </c>
      <c r="AF555" s="138"/>
      <c r="AG555" s="12" t="s">
        <v>225</v>
      </c>
      <c r="AH555" s="12"/>
      <c r="AI555" s="12" t="s">
        <v>13</v>
      </c>
      <c r="AJ555" s="12"/>
      <c r="AK555" s="8">
        <v>0</v>
      </c>
      <c r="AL555" s="8"/>
      <c r="AM555" s="8">
        <v>420676</v>
      </c>
      <c r="AN555" s="8"/>
      <c r="AO555" s="8">
        <v>158970</v>
      </c>
      <c r="AP555" s="8"/>
      <c r="AQ555" s="8">
        <v>39503</v>
      </c>
      <c r="AR555" s="8"/>
      <c r="AS555" s="8"/>
      <c r="AT555" s="8"/>
      <c r="AU555" s="8">
        <v>447145</v>
      </c>
      <c r="AV555" s="8"/>
      <c r="AW555" s="8">
        <f>SUM(G555:AV555)</f>
        <v>10611427</v>
      </c>
      <c r="AY555" s="8">
        <f>+'St of Activites - GA Rev'!AI554-'St of Activities - GA Exp'!AW555</f>
        <v>-177813</v>
      </c>
      <c r="BA555" s="8">
        <v>13827670</v>
      </c>
      <c r="BC555" s="8">
        <f t="shared" si="33"/>
        <v>13649857</v>
      </c>
      <c r="BE555" s="8">
        <f>+'St of Net Assets - GA'!AA555-'St of Activities - GA Exp'!BC555</f>
        <v>0</v>
      </c>
    </row>
    <row r="556" spans="1:59">
      <c r="A556" s="12" t="s">
        <v>566</v>
      </c>
      <c r="B556" s="12"/>
      <c r="C556" s="12" t="s">
        <v>51</v>
      </c>
      <c r="D556" s="12"/>
      <c r="E556" s="32">
        <v>48876</v>
      </c>
      <c r="G556" s="8">
        <v>13341156</v>
      </c>
      <c r="H556" s="8"/>
      <c r="I556" s="8">
        <v>3313818</v>
      </c>
      <c r="J556" s="8"/>
      <c r="K556" s="8">
        <v>510544</v>
      </c>
      <c r="L556" s="8"/>
      <c r="M556" s="8">
        <v>9513</v>
      </c>
      <c r="N556" s="8"/>
      <c r="O556" s="8">
        <v>764164</v>
      </c>
      <c r="P556" s="8"/>
      <c r="Q556" s="8">
        <v>1316891</v>
      </c>
      <c r="R556" s="8"/>
      <c r="S556" s="8">
        <v>1483490</v>
      </c>
      <c r="T556" s="8"/>
      <c r="U556" s="8">
        <v>2564010</v>
      </c>
      <c r="V556" s="8"/>
      <c r="W556" s="8">
        <v>576030</v>
      </c>
      <c r="X556" s="8"/>
      <c r="Y556" s="8">
        <v>0</v>
      </c>
      <c r="Z556" s="8"/>
      <c r="AA556" s="8">
        <v>3676753</v>
      </c>
      <c r="AB556" s="8"/>
      <c r="AC556" s="8">
        <v>1970861</v>
      </c>
      <c r="AD556" s="8"/>
      <c r="AE556" s="8">
        <v>285647</v>
      </c>
      <c r="AF556" s="138"/>
      <c r="AG556" s="12" t="s">
        <v>566</v>
      </c>
      <c r="AH556" s="12"/>
      <c r="AI556" s="12" t="s">
        <v>51</v>
      </c>
      <c r="AJ556" s="12"/>
      <c r="AK556" s="8">
        <v>1444534</v>
      </c>
      <c r="AL556" s="8"/>
      <c r="AM556" s="8">
        <v>61356</v>
      </c>
      <c r="AN556" s="8"/>
      <c r="AO556" s="8">
        <v>255813</v>
      </c>
      <c r="AP556" s="8"/>
      <c r="AQ556" s="8">
        <v>852431</v>
      </c>
      <c r="AR556" s="8"/>
      <c r="AS556" s="8"/>
      <c r="AT556" s="8"/>
      <c r="AU556" s="8">
        <v>0</v>
      </c>
      <c r="AV556" s="8"/>
      <c r="AW556" s="8">
        <f t="shared" si="32"/>
        <v>32427011</v>
      </c>
      <c r="AY556" s="8">
        <f>+'St of Activites - GA Rev'!AI555-'St of Activities - GA Exp'!AW556</f>
        <v>-3258467</v>
      </c>
      <c r="BA556" s="8">
        <v>64705953</v>
      </c>
      <c r="BC556" s="8">
        <f t="shared" si="33"/>
        <v>61447486</v>
      </c>
      <c r="BE556" s="8">
        <f>+'St of Net Assets - GA'!AA556-'St of Activities - GA Exp'!BC556</f>
        <v>0</v>
      </c>
    </row>
    <row r="557" spans="1:59" ht="12" hidden="1" customHeight="1">
      <c r="A557" s="12" t="s">
        <v>1018</v>
      </c>
      <c r="B557" s="12"/>
      <c r="C557" s="12" t="s">
        <v>21</v>
      </c>
      <c r="D557" s="12"/>
      <c r="E557" s="32">
        <v>46680</v>
      </c>
      <c r="G557" s="8">
        <v>3289449</v>
      </c>
      <c r="H557" s="8"/>
      <c r="I557" s="8">
        <v>607530</v>
      </c>
      <c r="J557" s="8"/>
      <c r="K557" s="8"/>
      <c r="L557" s="8"/>
      <c r="M557" s="8">
        <v>17782</v>
      </c>
      <c r="N557" s="8"/>
      <c r="O557" s="8">
        <v>356522</v>
      </c>
      <c r="P557" s="8"/>
      <c r="Q557" s="8">
        <v>310260</v>
      </c>
      <c r="R557" s="8"/>
      <c r="S557" s="8">
        <v>17320</v>
      </c>
      <c r="T557" s="8"/>
      <c r="U557" s="8">
        <v>533840</v>
      </c>
      <c r="V557" s="8"/>
      <c r="W557" s="8">
        <v>236150</v>
      </c>
      <c r="X557" s="8"/>
      <c r="Y557" s="8"/>
      <c r="Z557" s="8"/>
      <c r="AA557" s="8">
        <v>591505</v>
      </c>
      <c r="AB557" s="8"/>
      <c r="AC557" s="8">
        <v>531075</v>
      </c>
      <c r="AD557" s="8"/>
      <c r="AE557" s="8">
        <v>27240</v>
      </c>
      <c r="AF557" s="138"/>
      <c r="AG557" s="12" t="s">
        <v>329</v>
      </c>
      <c r="AH557" s="12"/>
      <c r="AI557" s="12" t="s">
        <v>21</v>
      </c>
      <c r="AJ557" s="12"/>
      <c r="AK557" s="8"/>
      <c r="AL557" s="8"/>
      <c r="AM557" s="8">
        <v>316793</v>
      </c>
      <c r="AN557" s="8"/>
      <c r="AO557" s="8">
        <v>276737</v>
      </c>
      <c r="AP557" s="8"/>
      <c r="AQ557" s="8"/>
      <c r="AR557" s="8"/>
      <c r="AS557" s="8"/>
      <c r="AT557" s="8"/>
      <c r="AU557" s="8">
        <f>277000+327004</f>
        <v>604004</v>
      </c>
      <c r="AV557" s="8"/>
      <c r="AW557" s="8">
        <f t="shared" si="32"/>
        <v>7716207</v>
      </c>
      <c r="AY557" s="8">
        <f>+'St of Activites - GA Rev'!AI556-'St of Activities - GA Exp'!AW557</f>
        <v>228739</v>
      </c>
      <c r="BA557" s="8">
        <v>2061440</v>
      </c>
      <c r="BC557" s="8">
        <f t="shared" si="33"/>
        <v>2290179</v>
      </c>
      <c r="BE557" s="8">
        <f>+'St of Net Assets - GA'!AA557-'St of Activities - GA Exp'!BC557</f>
        <v>0</v>
      </c>
    </row>
    <row r="558" spans="1:59">
      <c r="A558" s="12" t="s">
        <v>725</v>
      </c>
      <c r="B558" s="12"/>
      <c r="C558" s="12" t="s">
        <v>71</v>
      </c>
      <c r="D558" s="12"/>
      <c r="E558" s="32">
        <v>50591</v>
      </c>
      <c r="G558" s="8">
        <v>8890895</v>
      </c>
      <c r="H558" s="8"/>
      <c r="I558" s="8">
        <v>1889345</v>
      </c>
      <c r="J558" s="8"/>
      <c r="K558" s="8">
        <v>406730</v>
      </c>
      <c r="L558" s="8"/>
      <c r="M558" s="8">
        <v>79089</v>
      </c>
      <c r="N558" s="8"/>
      <c r="O558" s="8">
        <v>555672</v>
      </c>
      <c r="P558" s="8"/>
      <c r="Q558" s="8">
        <v>692187</v>
      </c>
      <c r="R558" s="8"/>
      <c r="S558" s="8">
        <v>49474</v>
      </c>
      <c r="T558" s="8"/>
      <c r="U558" s="8">
        <v>1410827</v>
      </c>
      <c r="V558" s="8"/>
      <c r="W558" s="8">
        <v>365957</v>
      </c>
      <c r="X558" s="8"/>
      <c r="Y558" s="8">
        <v>42939</v>
      </c>
      <c r="Z558" s="8"/>
      <c r="AA558" s="8">
        <v>1674845</v>
      </c>
      <c r="AB558" s="8"/>
      <c r="AC558" s="8">
        <v>1030776</v>
      </c>
      <c r="AD558" s="8"/>
      <c r="AE558" s="8">
        <v>356977</v>
      </c>
      <c r="AF558" s="138"/>
      <c r="AG558" s="12" t="s">
        <v>725</v>
      </c>
      <c r="AH558" s="12"/>
      <c r="AI558" s="12" t="s">
        <v>71</v>
      </c>
      <c r="AJ558" s="12"/>
      <c r="AK558" s="8">
        <v>786875</v>
      </c>
      <c r="AL558" s="8"/>
      <c r="AM558" s="8">
        <v>182789</v>
      </c>
      <c r="AN558" s="8"/>
      <c r="AO558" s="8">
        <v>683551</v>
      </c>
      <c r="AP558" s="8"/>
      <c r="AQ558" s="8">
        <v>51315</v>
      </c>
      <c r="AR558" s="8"/>
      <c r="AS558" s="8"/>
      <c r="AT558" s="8"/>
      <c r="AU558" s="8">
        <v>0</v>
      </c>
      <c r="AV558" s="8"/>
      <c r="AW558" s="8">
        <f t="shared" si="32"/>
        <v>19150243</v>
      </c>
      <c r="AY558" s="8">
        <f>+'St of Activites - GA Rev'!AI557-'St of Activities - GA Exp'!AW558</f>
        <v>149468</v>
      </c>
      <c r="BA558" s="8">
        <v>3300399</v>
      </c>
      <c r="BC558" s="8">
        <f t="shared" si="33"/>
        <v>3449867</v>
      </c>
      <c r="BE558" s="8">
        <f>+'St of Net Assets - GA'!AA558-'St of Activities - GA Exp'!BC558</f>
        <v>0</v>
      </c>
    </row>
    <row r="559" spans="1:59">
      <c r="A559" s="12" t="s">
        <v>555</v>
      </c>
      <c r="B559" s="12"/>
      <c r="C559" s="12" t="s">
        <v>50</v>
      </c>
      <c r="D559" s="12"/>
      <c r="E559" s="32">
        <v>48694</v>
      </c>
      <c r="G559" s="8">
        <v>16664821</v>
      </c>
      <c r="H559" s="8"/>
      <c r="I559" s="8">
        <v>4597232</v>
      </c>
      <c r="J559" s="8"/>
      <c r="K559" s="8">
        <v>0</v>
      </c>
      <c r="L559" s="8"/>
      <c r="M559" s="8">
        <v>409981</v>
      </c>
      <c r="N559" s="8"/>
      <c r="O559" s="8">
        <v>2181205</v>
      </c>
      <c r="P559" s="8"/>
      <c r="Q559" s="8">
        <v>1983369</v>
      </c>
      <c r="R559" s="8"/>
      <c r="S559" s="8">
        <v>43159</v>
      </c>
      <c r="T559" s="8"/>
      <c r="U559" s="8">
        <v>2849403</v>
      </c>
      <c r="V559" s="8"/>
      <c r="W559" s="8">
        <v>803232</v>
      </c>
      <c r="X559" s="8"/>
      <c r="Y559" s="8">
        <v>441731</v>
      </c>
      <c r="Z559" s="8"/>
      <c r="AA559" s="8">
        <v>3203553</v>
      </c>
      <c r="AB559" s="8"/>
      <c r="AC559" s="8">
        <v>1491919</v>
      </c>
      <c r="AD559" s="8"/>
      <c r="AE559" s="8">
        <v>1465790</v>
      </c>
      <c r="AF559" s="138"/>
      <c r="AG559" s="12" t="s">
        <v>555</v>
      </c>
      <c r="AH559" s="12"/>
      <c r="AI559" s="12" t="s">
        <v>50</v>
      </c>
      <c r="AJ559" s="12"/>
      <c r="AK559" s="8">
        <v>0</v>
      </c>
      <c r="AL559" s="8"/>
      <c r="AM559" s="8">
        <v>1972307</v>
      </c>
      <c r="AN559" s="8"/>
      <c r="AO559" s="8">
        <v>532368</v>
      </c>
      <c r="AP559" s="8"/>
      <c r="AQ559" s="8">
        <v>2060339</v>
      </c>
      <c r="AR559" s="8"/>
      <c r="AS559" s="8"/>
      <c r="AT559" s="8"/>
      <c r="AU559" s="8">
        <v>0</v>
      </c>
      <c r="AV559" s="8"/>
      <c r="AW559" s="8">
        <f t="shared" si="32"/>
        <v>40700409</v>
      </c>
      <c r="AY559" s="8">
        <f>+'St of Activites - GA Rev'!AI558-'St of Activities - GA Exp'!AW559</f>
        <v>2258196</v>
      </c>
      <c r="BA559" s="8">
        <v>64788105</v>
      </c>
      <c r="BC559" s="8">
        <f t="shared" si="33"/>
        <v>67046301</v>
      </c>
      <c r="BE559" s="8">
        <f>+'St of Net Assets - GA'!AA559-'St of Activities - GA Exp'!BC559</f>
        <v>0</v>
      </c>
    </row>
    <row r="560" spans="1:59">
      <c r="A560" s="12" t="s">
        <v>542</v>
      </c>
      <c r="B560" s="12"/>
      <c r="C560" s="12" t="s">
        <v>48</v>
      </c>
      <c r="D560" s="12"/>
      <c r="E560" s="32">
        <v>44925</v>
      </c>
      <c r="G560" s="8">
        <v>23536723</v>
      </c>
      <c r="H560" s="8"/>
      <c r="I560" s="8">
        <v>5881289</v>
      </c>
      <c r="J560" s="8"/>
      <c r="K560" s="8">
        <v>0</v>
      </c>
      <c r="L560" s="8"/>
      <c r="M560" s="8">
        <v>2163324</v>
      </c>
      <c r="N560" s="8"/>
      <c r="O560" s="8">
        <v>2004666</v>
      </c>
      <c r="P560" s="8"/>
      <c r="Q560" s="8">
        <v>1223433</v>
      </c>
      <c r="R560" s="8"/>
      <c r="S560" s="8">
        <v>650911</v>
      </c>
      <c r="T560" s="8"/>
      <c r="U560" s="8">
        <v>3444149</v>
      </c>
      <c r="V560" s="8"/>
      <c r="W560" s="8">
        <v>496244</v>
      </c>
      <c r="X560" s="8"/>
      <c r="Y560" s="8">
        <v>652820</v>
      </c>
      <c r="Z560" s="8"/>
      <c r="AA560" s="8">
        <v>3580514</v>
      </c>
      <c r="AB560" s="8"/>
      <c r="AC560" s="8">
        <v>1858940</v>
      </c>
      <c r="AD560" s="8"/>
      <c r="AE560" s="8">
        <v>64928</v>
      </c>
      <c r="AF560" s="138"/>
      <c r="AG560" s="12" t="s">
        <v>542</v>
      </c>
      <c r="AH560" s="12"/>
      <c r="AI560" s="12" t="s">
        <v>48</v>
      </c>
      <c r="AJ560" s="12"/>
      <c r="AK560" s="8">
        <v>0</v>
      </c>
      <c r="AL560" s="8"/>
      <c r="AM560" s="8">
        <v>2492950</v>
      </c>
      <c r="AN560" s="8"/>
      <c r="AO560" s="8">
        <v>181541</v>
      </c>
      <c r="AP560" s="8"/>
      <c r="AQ560" s="8">
        <v>926883</v>
      </c>
      <c r="AR560" s="8"/>
      <c r="AS560" s="8"/>
      <c r="AT560" s="8"/>
      <c r="AU560" s="8">
        <v>605889</v>
      </c>
      <c r="AV560" s="8"/>
      <c r="AW560" s="8">
        <f t="shared" si="32"/>
        <v>49765204</v>
      </c>
      <c r="AY560" s="8">
        <f>+'St of Activites - GA Rev'!AI559-'St of Activities - GA Exp'!AW560</f>
        <v>585302</v>
      </c>
      <c r="BA560" s="8">
        <v>18117442</v>
      </c>
      <c r="BC560" s="8">
        <f t="shared" si="33"/>
        <v>18702744</v>
      </c>
      <c r="BE560" s="8">
        <f>+'St of Net Assets - GA'!AA560-'St of Activities - GA Exp'!BC560</f>
        <v>0</v>
      </c>
    </row>
    <row r="561" spans="1:57">
      <c r="A561" s="12" t="s">
        <v>701</v>
      </c>
      <c r="B561" s="12"/>
      <c r="C561" s="12" t="s">
        <v>65</v>
      </c>
      <c r="D561" s="12"/>
      <c r="E561" s="32">
        <v>50302</v>
      </c>
      <c r="G561" s="8">
        <v>5710956</v>
      </c>
      <c r="H561" s="8"/>
      <c r="I561" s="8">
        <v>803030</v>
      </c>
      <c r="J561" s="8"/>
      <c r="K561" s="8">
        <v>152761</v>
      </c>
      <c r="L561" s="8"/>
      <c r="M561" s="8">
        <v>936541</v>
      </c>
      <c r="N561" s="8"/>
      <c r="O561" s="8">
        <v>488382</v>
      </c>
      <c r="P561" s="8"/>
      <c r="Q561" s="8">
        <v>754282</v>
      </c>
      <c r="R561" s="8"/>
      <c r="S561" s="8">
        <v>15787</v>
      </c>
      <c r="T561" s="8"/>
      <c r="U561" s="8">
        <v>996760</v>
      </c>
      <c r="V561" s="8"/>
      <c r="W561" s="8">
        <v>341617</v>
      </c>
      <c r="X561" s="8"/>
      <c r="Y561" s="8">
        <v>0</v>
      </c>
      <c r="Z561" s="8"/>
      <c r="AA561" s="8">
        <v>1050995</v>
      </c>
      <c r="AB561" s="8"/>
      <c r="AC561" s="8">
        <v>880705</v>
      </c>
      <c r="AD561" s="8"/>
      <c r="AE561" s="8">
        <v>71514</v>
      </c>
      <c r="AF561" s="138"/>
      <c r="AG561" s="12" t="s">
        <v>701</v>
      </c>
      <c r="AH561" s="12"/>
      <c r="AI561" s="12" t="s">
        <v>65</v>
      </c>
      <c r="AJ561" s="12"/>
      <c r="AK561" s="8">
        <v>506476</v>
      </c>
      <c r="AL561" s="8"/>
      <c r="AM561" s="8">
        <v>0</v>
      </c>
      <c r="AN561" s="8"/>
      <c r="AO561" s="8">
        <v>433104</v>
      </c>
      <c r="AP561" s="8"/>
      <c r="AQ561" s="8">
        <v>293224</v>
      </c>
      <c r="AR561" s="8"/>
      <c r="AS561" s="8"/>
      <c r="AT561" s="8"/>
      <c r="AU561" s="8">
        <v>0</v>
      </c>
      <c r="AV561" s="8"/>
      <c r="AW561" s="8">
        <f t="shared" si="32"/>
        <v>13436134</v>
      </c>
      <c r="AY561" s="8">
        <f>+'St of Activites - GA Rev'!AI560-'St of Activities - GA Exp'!AW561</f>
        <v>880980</v>
      </c>
      <c r="BA561" s="8">
        <v>5287418</v>
      </c>
      <c r="BC561" s="8">
        <f t="shared" si="33"/>
        <v>6168398</v>
      </c>
      <c r="BE561" s="8">
        <f>+'St of Net Assets - GA'!AA561-'St of Activities - GA Exp'!BC561</f>
        <v>0</v>
      </c>
    </row>
    <row r="562" spans="1:57">
      <c r="A562" s="12" t="s">
        <v>661</v>
      </c>
      <c r="B562" s="12"/>
      <c r="C562" s="12" t="s">
        <v>62</v>
      </c>
      <c r="D562" s="12"/>
      <c r="E562" s="32">
        <v>49957</v>
      </c>
      <c r="G562" s="8">
        <v>5456723</v>
      </c>
      <c r="H562" s="8"/>
      <c r="I562" s="8">
        <v>1622531</v>
      </c>
      <c r="J562" s="8"/>
      <c r="K562" s="8">
        <v>200895</v>
      </c>
      <c r="L562" s="8"/>
      <c r="M562" s="8">
        <v>10227</v>
      </c>
      <c r="N562" s="8"/>
      <c r="O562" s="8">
        <v>651493</v>
      </c>
      <c r="P562" s="8"/>
      <c r="Q562" s="8">
        <v>374461</v>
      </c>
      <c r="R562" s="8"/>
      <c r="S562" s="8">
        <v>13547</v>
      </c>
      <c r="T562" s="8"/>
      <c r="U562" s="8">
        <v>1037213</v>
      </c>
      <c r="V562" s="8"/>
      <c r="W562" s="8">
        <v>353553</v>
      </c>
      <c r="X562" s="8"/>
      <c r="Y562" s="8">
        <v>45109</v>
      </c>
      <c r="Z562" s="8"/>
      <c r="AA562" s="8">
        <v>1177869</v>
      </c>
      <c r="AB562" s="8"/>
      <c r="AC562" s="8">
        <v>821588</v>
      </c>
      <c r="AD562" s="8"/>
      <c r="AE562" s="8">
        <v>52953</v>
      </c>
      <c r="AF562" s="138"/>
      <c r="AG562" s="12" t="s">
        <v>661</v>
      </c>
      <c r="AH562" s="12"/>
      <c r="AI562" s="12" t="s">
        <v>62</v>
      </c>
      <c r="AJ562" s="12"/>
      <c r="AK562" s="8">
        <v>0</v>
      </c>
      <c r="AL562" s="8"/>
      <c r="AM562" s="8">
        <v>496447</v>
      </c>
      <c r="AN562" s="8"/>
      <c r="AO562" s="8">
        <v>733006</v>
      </c>
      <c r="AP562" s="8"/>
      <c r="AQ562" s="8">
        <v>657042</v>
      </c>
      <c r="AR562" s="8"/>
      <c r="AS562" s="8"/>
      <c r="AT562" s="8"/>
      <c r="AU562" s="8">
        <v>0</v>
      </c>
      <c r="AV562" s="8"/>
      <c r="AW562" s="8">
        <f t="shared" si="32"/>
        <v>13704657</v>
      </c>
      <c r="AY562" s="8">
        <f>+'St of Activites - GA Rev'!AI561-'St of Activities - GA Exp'!AW562</f>
        <v>2192955</v>
      </c>
      <c r="BA562" s="8">
        <v>3824995</v>
      </c>
      <c r="BC562" s="8">
        <f t="shared" si="33"/>
        <v>6017950</v>
      </c>
      <c r="BE562" s="8">
        <f>+'St of Net Assets - GA'!AA562-'St of Activities - GA Exp'!BC562</f>
        <v>0</v>
      </c>
    </row>
    <row r="563" spans="1:57" ht="12" hidden="1" customHeight="1">
      <c r="A563" s="12" t="s">
        <v>1025</v>
      </c>
      <c r="B563" s="12"/>
      <c r="C563" s="12" t="s">
        <v>57</v>
      </c>
      <c r="D563" s="12"/>
      <c r="E563" s="32">
        <v>49296</v>
      </c>
      <c r="G563" s="8">
        <v>3810791</v>
      </c>
      <c r="H563" s="8"/>
      <c r="I563" s="8">
        <v>801679</v>
      </c>
      <c r="J563" s="8"/>
      <c r="K563" s="8">
        <v>156027</v>
      </c>
      <c r="L563" s="8"/>
      <c r="M563" s="8">
        <v>14180</v>
      </c>
      <c r="N563" s="8"/>
      <c r="O563" s="8">
        <v>214285</v>
      </c>
      <c r="P563" s="8"/>
      <c r="Q563" s="8">
        <v>297660</v>
      </c>
      <c r="R563" s="8"/>
      <c r="S563" s="8">
        <v>117217</v>
      </c>
      <c r="T563" s="8"/>
      <c r="U563" s="8">
        <v>1066889</v>
      </c>
      <c r="V563" s="8"/>
      <c r="W563" s="8">
        <v>228394</v>
      </c>
      <c r="X563" s="8"/>
      <c r="Y563" s="8"/>
      <c r="Z563" s="8"/>
      <c r="AA563" s="8">
        <v>996121</v>
      </c>
      <c r="AB563" s="8"/>
      <c r="AC563" s="8">
        <v>409137</v>
      </c>
      <c r="AD563" s="8"/>
      <c r="AE563" s="8">
        <v>84830</v>
      </c>
      <c r="AF563" s="138"/>
      <c r="AG563" s="12" t="s">
        <v>601</v>
      </c>
      <c r="AH563" s="12"/>
      <c r="AI563" s="12" t="s">
        <v>57</v>
      </c>
      <c r="AJ563" s="12"/>
      <c r="AK563" s="8"/>
      <c r="AL563" s="8"/>
      <c r="AM563" s="8">
        <v>531293</v>
      </c>
      <c r="AN563" s="8"/>
      <c r="AO563" s="8">
        <v>318124</v>
      </c>
      <c r="AP563" s="8"/>
      <c r="AQ563" s="8">
        <v>139434</v>
      </c>
      <c r="AR563" s="8"/>
      <c r="AS563" s="8"/>
      <c r="AT563" s="8"/>
      <c r="AU563" s="8"/>
      <c r="AV563" s="8"/>
      <c r="AW563" s="8">
        <f t="shared" si="32"/>
        <v>9186061</v>
      </c>
      <c r="AY563" s="8">
        <f>+'St of Activites - GA Rev'!AI562-'St of Activities - GA Exp'!AW563</f>
        <v>431667</v>
      </c>
      <c r="BA563" s="8">
        <v>9468751</v>
      </c>
      <c r="BC563" s="8">
        <f t="shared" si="33"/>
        <v>9900418</v>
      </c>
      <c r="BE563" s="8">
        <f>+'St of Net Assets - GA'!AA563-'St of Activities - GA Exp'!BC563</f>
        <v>0</v>
      </c>
    </row>
    <row r="564" spans="1:57">
      <c r="A564" s="12" t="s">
        <v>673</v>
      </c>
      <c r="B564" s="12"/>
      <c r="C564" s="12" t="s">
        <v>63</v>
      </c>
      <c r="D564" s="12"/>
      <c r="E564" s="32">
        <v>50070</v>
      </c>
      <c r="G564" s="8">
        <v>21234913</v>
      </c>
      <c r="H564" s="8"/>
      <c r="I564" s="8">
        <v>3183358</v>
      </c>
      <c r="J564" s="8"/>
      <c r="K564" s="8">
        <v>316696</v>
      </c>
      <c r="L564" s="8"/>
      <c r="M564" s="8">
        <v>51478</v>
      </c>
      <c r="N564" s="8"/>
      <c r="O564" s="8">
        <v>3365863</v>
      </c>
      <c r="P564" s="8"/>
      <c r="Q564" s="8">
        <v>1044498</v>
      </c>
      <c r="R564" s="8"/>
      <c r="S564" s="8">
        <v>260220</v>
      </c>
      <c r="T564" s="8"/>
      <c r="U564" s="8">
        <v>3235878</v>
      </c>
      <c r="V564" s="8"/>
      <c r="W564" s="8">
        <v>1135987</v>
      </c>
      <c r="X564" s="8"/>
      <c r="Y564" s="8">
        <v>85888</v>
      </c>
      <c r="Z564" s="8"/>
      <c r="AA564" s="8">
        <v>4759477</v>
      </c>
      <c r="AB564" s="8"/>
      <c r="AC564" s="8">
        <v>2800049</v>
      </c>
      <c r="AD564" s="8"/>
      <c r="AE564" s="8">
        <v>887039</v>
      </c>
      <c r="AF564" s="138"/>
      <c r="AG564" s="12" t="s">
        <v>673</v>
      </c>
      <c r="AH564" s="12"/>
      <c r="AI564" s="12" t="s">
        <v>63</v>
      </c>
      <c r="AJ564" s="12"/>
      <c r="AK564" s="8">
        <v>1406453</v>
      </c>
      <c r="AL564" s="8"/>
      <c r="AM564" s="8">
        <v>0</v>
      </c>
      <c r="AN564" s="8"/>
      <c r="AO564" s="8">
        <v>1310051</v>
      </c>
      <c r="AP564" s="8"/>
      <c r="AQ564" s="8">
        <v>1428004</v>
      </c>
      <c r="AR564" s="8"/>
      <c r="AS564" s="8"/>
      <c r="AT564" s="8"/>
      <c r="AU564" s="8">
        <v>0</v>
      </c>
      <c r="AV564" s="8"/>
      <c r="AW564" s="8">
        <f t="shared" si="32"/>
        <v>46505852</v>
      </c>
      <c r="AY564" s="8">
        <f>+'St of Activites - GA Rev'!AI563-'St of Activities - GA Exp'!AW564</f>
        <v>10735485</v>
      </c>
      <c r="BA564" s="8">
        <v>35421499</v>
      </c>
      <c r="BC564" s="8">
        <f t="shared" si="33"/>
        <v>46156984</v>
      </c>
      <c r="BE564" s="8">
        <f>+'St of Net Assets - GA'!AA567-'St of Activities - GA Exp'!BC564</f>
        <v>0</v>
      </c>
    </row>
    <row r="565" spans="1:57">
      <c r="A565" s="12" t="s">
        <v>236</v>
      </c>
      <c r="B565" s="12"/>
      <c r="C565" s="12" t="s">
        <v>15</v>
      </c>
      <c r="D565" s="12"/>
      <c r="E565" s="32">
        <v>46011</v>
      </c>
      <c r="G565" s="8">
        <v>6809398</v>
      </c>
      <c r="H565" s="8"/>
      <c r="I565" s="8">
        <v>1750324</v>
      </c>
      <c r="J565" s="8"/>
      <c r="K565" s="8">
        <v>428343</v>
      </c>
      <c r="L565" s="8"/>
      <c r="M565" s="8">
        <f>235383+12161</f>
        <v>247544</v>
      </c>
      <c r="N565" s="8"/>
      <c r="O565" s="8">
        <v>644409</v>
      </c>
      <c r="P565" s="8"/>
      <c r="Q565" s="8">
        <v>628163</v>
      </c>
      <c r="R565" s="8"/>
      <c r="S565" s="8">
        <v>53298</v>
      </c>
      <c r="T565" s="8"/>
      <c r="U565" s="8">
        <v>952370</v>
      </c>
      <c r="V565" s="8"/>
      <c r="W565" s="8">
        <v>339276</v>
      </c>
      <c r="X565" s="8"/>
      <c r="Y565" s="8">
        <v>0</v>
      </c>
      <c r="Z565" s="8"/>
      <c r="AA565" s="8">
        <v>1287669</v>
      </c>
      <c r="AB565" s="8"/>
      <c r="AC565" s="8">
        <v>746492</v>
      </c>
      <c r="AD565" s="8"/>
      <c r="AE565" s="8">
        <v>18534</v>
      </c>
      <c r="AF565" s="138"/>
      <c r="AG565" s="12" t="s">
        <v>236</v>
      </c>
      <c r="AH565" s="12"/>
      <c r="AI565" s="12" t="s">
        <v>15</v>
      </c>
      <c r="AJ565" s="12"/>
      <c r="AK565" s="8">
        <v>611456</v>
      </c>
      <c r="AL565" s="8"/>
      <c r="AM565" s="8">
        <v>1479</v>
      </c>
      <c r="AN565" s="8"/>
      <c r="AO565" s="8">
        <v>396076</v>
      </c>
      <c r="AP565" s="8"/>
      <c r="AQ565" s="8">
        <v>137946</v>
      </c>
      <c r="AR565" s="8"/>
      <c r="AS565" s="8"/>
      <c r="AT565" s="8"/>
      <c r="AU565" s="8">
        <v>2768</v>
      </c>
      <c r="AV565" s="8"/>
      <c r="AW565" s="8">
        <f t="shared" si="32"/>
        <v>15055545</v>
      </c>
      <c r="AY565" s="8">
        <f>+'St of Activites - GA Rev'!AI564-'St of Activities - GA Exp'!AW565</f>
        <v>1042959</v>
      </c>
      <c r="BA565" s="8">
        <v>9707222</v>
      </c>
      <c r="BC565" s="8">
        <f t="shared" si="33"/>
        <v>10750181</v>
      </c>
      <c r="BE565" s="8">
        <f>+'St of Net Assets - GA'!AA568-'St of Activities - GA Exp'!BC565</f>
        <v>0</v>
      </c>
    </row>
    <row r="566" spans="1:57">
      <c r="A566" s="12" t="s">
        <v>620</v>
      </c>
      <c r="B566" s="12"/>
      <c r="C566" s="12" t="s">
        <v>58</v>
      </c>
      <c r="D566" s="12"/>
      <c r="E566" s="32">
        <v>49536</v>
      </c>
      <c r="G566" s="8">
        <v>8917107</v>
      </c>
      <c r="H566" s="8"/>
      <c r="I566" s="8">
        <v>1200173</v>
      </c>
      <c r="J566" s="8"/>
      <c r="K566" s="8">
        <v>8990</v>
      </c>
      <c r="L566" s="8"/>
      <c r="M566" s="8">
        <v>0</v>
      </c>
      <c r="N566" s="8"/>
      <c r="O566" s="8">
        <v>868544</v>
      </c>
      <c r="P566" s="8"/>
      <c r="Q566" s="8">
        <v>686113</v>
      </c>
      <c r="R566" s="8"/>
      <c r="S566" s="8">
        <v>1573855</v>
      </c>
      <c r="T566" s="8"/>
      <c r="U566" s="8">
        <v>1060342</v>
      </c>
      <c r="V566" s="8"/>
      <c r="W566" s="8">
        <v>385313</v>
      </c>
      <c r="X566" s="8"/>
      <c r="Y566" s="8">
        <v>74804</v>
      </c>
      <c r="Z566" s="8"/>
      <c r="AA566" s="8">
        <v>1588516</v>
      </c>
      <c r="AB566" s="8"/>
      <c r="AC566" s="8">
        <v>845418</v>
      </c>
      <c r="AD566" s="8"/>
      <c r="AE566" s="8">
        <v>9000</v>
      </c>
      <c r="AF566" s="138"/>
      <c r="AG566" s="12" t="s">
        <v>620</v>
      </c>
      <c r="AH566" s="12"/>
      <c r="AI566" s="12" t="s">
        <v>58</v>
      </c>
      <c r="AJ566" s="12"/>
      <c r="AK566" s="8">
        <v>803685</v>
      </c>
      <c r="AL566" s="8"/>
      <c r="AM566" s="8">
        <v>0</v>
      </c>
      <c r="AN566" s="8"/>
      <c r="AO566" s="8">
        <v>234019</v>
      </c>
      <c r="AP566" s="8"/>
      <c r="AQ566" s="8">
        <v>212285</v>
      </c>
      <c r="AR566" s="8"/>
      <c r="AS566" s="8"/>
      <c r="AT566" s="8"/>
      <c r="AU566" s="8">
        <v>0</v>
      </c>
      <c r="AV566" s="8"/>
      <c r="AW566" s="8">
        <f t="shared" si="32"/>
        <v>18468164</v>
      </c>
      <c r="AY566" s="8">
        <f>+'St of Activites - GA Rev'!AI565-'St of Activities - GA Exp'!AW566</f>
        <v>994564</v>
      </c>
      <c r="BA566" s="8">
        <v>30286358</v>
      </c>
      <c r="BC566" s="8">
        <f t="shared" si="33"/>
        <v>31280922</v>
      </c>
      <c r="BE566" s="8">
        <f>+'St of Net Assets - GA'!AA569-'St of Activities - GA Exp'!BC566</f>
        <v>0</v>
      </c>
    </row>
    <row r="567" spans="1:57" ht="12" customHeight="1">
      <c r="A567" s="12" t="s">
        <v>285</v>
      </c>
      <c r="B567" s="12"/>
      <c r="C567" s="12" t="s">
        <v>114</v>
      </c>
      <c r="D567" s="12"/>
      <c r="E567" s="32">
        <v>46458</v>
      </c>
      <c r="G567" s="8">
        <v>5813208</v>
      </c>
      <c r="H567" s="8"/>
      <c r="I567" s="8">
        <v>1812802</v>
      </c>
      <c r="J567" s="8"/>
      <c r="K567" s="8">
        <v>190411</v>
      </c>
      <c r="L567" s="8"/>
      <c r="M567" s="8">
        <f>12573+14195</f>
        <v>26768</v>
      </c>
      <c r="N567" s="8"/>
      <c r="O567" s="8">
        <v>330550</v>
      </c>
      <c r="P567" s="8"/>
      <c r="Q567" s="8">
        <v>507622</v>
      </c>
      <c r="R567" s="8"/>
      <c r="S567" s="8">
        <v>59360</v>
      </c>
      <c r="T567" s="8"/>
      <c r="U567" s="8">
        <v>860837</v>
      </c>
      <c r="V567" s="8"/>
      <c r="W567" s="8">
        <v>280491</v>
      </c>
      <c r="X567" s="8"/>
      <c r="Y567" s="8">
        <v>8363</v>
      </c>
      <c r="Z567" s="8"/>
      <c r="AA567" s="8">
        <v>1156755</v>
      </c>
      <c r="AB567" s="8"/>
      <c r="AC567" s="8">
        <v>769205</v>
      </c>
      <c r="AD567" s="8"/>
      <c r="AE567" s="8">
        <v>34369</v>
      </c>
      <c r="AF567" s="138"/>
      <c r="AG567" s="12" t="s">
        <v>285</v>
      </c>
      <c r="AH567" s="12"/>
      <c r="AI567" s="12" t="s">
        <v>114</v>
      </c>
      <c r="AJ567" s="12"/>
      <c r="AK567" s="8">
        <v>596554</v>
      </c>
      <c r="AL567" s="8"/>
      <c r="AM567" s="8">
        <v>1197</v>
      </c>
      <c r="AN567" s="8"/>
      <c r="AO567" s="8">
        <v>543518</v>
      </c>
      <c r="AP567" s="8"/>
      <c r="AQ567" s="8">
        <v>5754</v>
      </c>
      <c r="AR567" s="8"/>
      <c r="AS567" s="8"/>
      <c r="AT567" s="8"/>
      <c r="AU567" s="8">
        <v>0</v>
      </c>
      <c r="AV567" s="8"/>
      <c r="AW567" s="8">
        <f t="shared" si="32"/>
        <v>12997764</v>
      </c>
      <c r="AY567" s="8">
        <f>+'St of Activites - GA Rev'!AI566-'St of Activities - GA Exp'!AW567</f>
        <v>-312115</v>
      </c>
      <c r="BA567" s="8">
        <v>10934681</v>
      </c>
      <c r="BC567" s="8">
        <f t="shared" si="33"/>
        <v>10622566</v>
      </c>
      <c r="BE567" s="8">
        <f>+'St of Net Assets - GA'!AA570-'St of Activities - GA Exp'!BC567</f>
        <v>0</v>
      </c>
    </row>
    <row r="568" spans="1:57">
      <c r="A568" s="12" t="s">
        <v>364</v>
      </c>
      <c r="B568" s="12"/>
      <c r="C568" s="12" t="s">
        <v>27</v>
      </c>
      <c r="D568" s="12"/>
      <c r="E568" s="32">
        <v>44933</v>
      </c>
      <c r="G568" s="8">
        <v>39237143</v>
      </c>
      <c r="H568" s="8"/>
      <c r="I568" s="8">
        <v>8238955</v>
      </c>
      <c r="J568" s="8"/>
      <c r="K568" s="8">
        <v>149739</v>
      </c>
      <c r="L568" s="8"/>
      <c r="M568" s="8">
        <v>0</v>
      </c>
      <c r="N568" s="8"/>
      <c r="O568" s="8">
        <v>1352879</v>
      </c>
      <c r="P568" s="8"/>
      <c r="Q568" s="8">
        <v>6228443</v>
      </c>
      <c r="R568" s="8"/>
      <c r="S568" s="8">
        <v>42522</v>
      </c>
      <c r="T568" s="8"/>
      <c r="U568" s="8">
        <v>5612658</v>
      </c>
      <c r="V568" s="8"/>
      <c r="W568" s="8">
        <v>443495</v>
      </c>
      <c r="X568" s="8"/>
      <c r="Y568" s="8">
        <v>4103376</v>
      </c>
      <c r="Z568" s="8"/>
      <c r="AA568" s="8">
        <v>6552499</v>
      </c>
      <c r="AB568" s="8"/>
      <c r="AC568" s="8">
        <v>1623178</v>
      </c>
      <c r="AD568" s="8"/>
      <c r="AE568" s="8">
        <v>1983973</v>
      </c>
      <c r="AF568" s="138"/>
      <c r="AG568" s="12" t="s">
        <v>364</v>
      </c>
      <c r="AH568" s="12"/>
      <c r="AI568" s="12" t="s">
        <v>27</v>
      </c>
      <c r="AJ568" s="12"/>
      <c r="AK568" s="8">
        <v>1408322</v>
      </c>
      <c r="AL568" s="8"/>
      <c r="AM568" s="8">
        <v>3183204</v>
      </c>
      <c r="AN568" s="8"/>
      <c r="AO568" s="8">
        <v>2862449</v>
      </c>
      <c r="AP568" s="8"/>
      <c r="AQ568" s="8">
        <v>1583838</v>
      </c>
      <c r="AR568" s="8"/>
      <c r="AS568" s="8"/>
      <c r="AT568" s="8"/>
      <c r="AU568" s="8">
        <v>0</v>
      </c>
      <c r="AV568" s="8"/>
      <c r="AW568" s="8">
        <f t="shared" si="32"/>
        <v>84606673</v>
      </c>
      <c r="AY568" s="8">
        <f>+'St of Activites - GA Rev'!AI567-'St of Activities - GA Exp'!AW568</f>
        <v>11900029</v>
      </c>
      <c r="BA568" s="8">
        <v>60251781</v>
      </c>
      <c r="BC568" s="8">
        <f t="shared" si="33"/>
        <v>72151810</v>
      </c>
      <c r="BE568" s="8">
        <f>+'St of Net Assets - GA'!AA571-'St of Activities - GA Exp'!BC568</f>
        <v>0</v>
      </c>
    </row>
    <row r="569" spans="1:57" ht="12" hidden="1" customHeight="1">
      <c r="A569" s="12" t="s">
        <v>1026</v>
      </c>
      <c r="B569" s="12"/>
      <c r="C569" s="12" t="s">
        <v>740</v>
      </c>
      <c r="D569" s="12"/>
      <c r="E569" s="32">
        <v>45625</v>
      </c>
      <c r="G569" s="8">
        <v>6150215</v>
      </c>
      <c r="H569" s="8"/>
      <c r="I569" s="8">
        <v>1284642</v>
      </c>
      <c r="J569" s="8"/>
      <c r="K569" s="8">
        <v>80333</v>
      </c>
      <c r="L569" s="8"/>
      <c r="M569" s="8">
        <f>25623+1122216</f>
        <v>1147839</v>
      </c>
      <c r="N569" s="8"/>
      <c r="O569" s="8">
        <v>891866</v>
      </c>
      <c r="P569" s="8"/>
      <c r="Q569" s="8">
        <v>585848</v>
      </c>
      <c r="R569" s="8"/>
      <c r="S569" s="8">
        <v>52460</v>
      </c>
      <c r="T569" s="8"/>
      <c r="U569" s="8">
        <v>1317453</v>
      </c>
      <c r="V569" s="8"/>
      <c r="W569" s="8">
        <v>828126</v>
      </c>
      <c r="X569" s="8"/>
      <c r="Y569" s="8"/>
      <c r="Z569" s="8"/>
      <c r="AA569" s="8">
        <v>1456839</v>
      </c>
      <c r="AB569" s="8"/>
      <c r="AC569" s="8">
        <v>976053</v>
      </c>
      <c r="AD569" s="8"/>
      <c r="AE569" s="8">
        <v>38373</v>
      </c>
      <c r="AF569" s="138"/>
      <c r="AG569" s="12" t="s">
        <v>742</v>
      </c>
      <c r="AH569" s="12"/>
      <c r="AI569" s="12" t="s">
        <v>740</v>
      </c>
      <c r="AJ569" s="12"/>
      <c r="AK569" s="8"/>
      <c r="AL569" s="8"/>
      <c r="AM569" s="8">
        <v>702105</v>
      </c>
      <c r="AN569" s="8"/>
      <c r="AO569" s="8">
        <v>601832</v>
      </c>
      <c r="AP569" s="8"/>
      <c r="AQ569" s="8">
        <v>45331</v>
      </c>
      <c r="AR569" s="8"/>
      <c r="AS569" s="8"/>
      <c r="AT569" s="8"/>
      <c r="AU569" s="8">
        <v>490577</v>
      </c>
      <c r="AV569" s="8"/>
      <c r="AW569" s="8">
        <f t="shared" si="32"/>
        <v>16649892</v>
      </c>
      <c r="AY569" s="8">
        <f>+'St of Activites - GA Rev'!AI568-'St of Activities - GA Exp'!AW569</f>
        <v>303993</v>
      </c>
      <c r="BA569" s="8">
        <v>4678515</v>
      </c>
      <c r="BC569" s="8">
        <f t="shared" si="33"/>
        <v>4982508</v>
      </c>
      <c r="BE569" s="8">
        <f>+'St of Net Assets - GA'!AA572-'St of Activities - GA Exp'!BC569</f>
        <v>0</v>
      </c>
    </row>
    <row r="570" spans="1:57" ht="12" hidden="1" customHeight="1">
      <c r="A570" s="12" t="s">
        <v>1027</v>
      </c>
      <c r="B570" s="12"/>
      <c r="C570" s="12" t="s">
        <v>421</v>
      </c>
      <c r="D570" s="12"/>
      <c r="E570" s="32">
        <v>47522</v>
      </c>
      <c r="G570" s="8">
        <v>2945614</v>
      </c>
      <c r="H570" s="8"/>
      <c r="I570" s="8">
        <v>822104</v>
      </c>
      <c r="J570" s="8"/>
      <c r="K570" s="8">
        <v>2110</v>
      </c>
      <c r="L570" s="8"/>
      <c r="M570" s="8"/>
      <c r="N570" s="8"/>
      <c r="O570" s="8">
        <v>112394</v>
      </c>
      <c r="P570" s="8"/>
      <c r="Q570" s="8">
        <v>157589</v>
      </c>
      <c r="R570" s="8"/>
      <c r="S570" s="8">
        <v>60875</v>
      </c>
      <c r="T570" s="8"/>
      <c r="U570" s="8">
        <v>636244</v>
      </c>
      <c r="V570" s="8"/>
      <c r="W570" s="8">
        <v>267785</v>
      </c>
      <c r="X570" s="8"/>
      <c r="Y570" s="8"/>
      <c r="Z570" s="8"/>
      <c r="AA570" s="8">
        <v>774201</v>
      </c>
      <c r="AB570" s="8"/>
      <c r="AC570" s="8">
        <v>339215</v>
      </c>
      <c r="AD570" s="8"/>
      <c r="AE570" s="8">
        <v>270648</v>
      </c>
      <c r="AF570" s="138"/>
      <c r="AG570" s="12" t="s">
        <v>426</v>
      </c>
      <c r="AH570" s="12"/>
      <c r="AI570" s="12" t="s">
        <v>421</v>
      </c>
      <c r="AJ570" s="12"/>
      <c r="AK570" s="8">
        <v>253391</v>
      </c>
      <c r="AL570" s="8"/>
      <c r="AM570" s="8">
        <v>147</v>
      </c>
      <c r="AN570" s="8"/>
      <c r="AO570" s="8">
        <v>186771</v>
      </c>
      <c r="AP570" s="8"/>
      <c r="AQ570" s="8">
        <v>88629</v>
      </c>
      <c r="AR570" s="8"/>
      <c r="AS570" s="8"/>
      <c r="AT570" s="8"/>
      <c r="AU570" s="8">
        <f>85000+116886</f>
        <v>201886</v>
      </c>
      <c r="AV570" s="8"/>
      <c r="AW570" s="8">
        <f t="shared" si="32"/>
        <v>7119603</v>
      </c>
      <c r="AY570" s="8">
        <f>+'St of Activites - GA Rev'!AI569-'St of Activities - GA Exp'!AW570</f>
        <v>1125691</v>
      </c>
      <c r="BA570" s="8">
        <v>3759497</v>
      </c>
      <c r="BC570" s="8">
        <f t="shared" si="33"/>
        <v>4885188</v>
      </c>
      <c r="BE570" s="8">
        <f>+'St of Net Assets - GA'!AA573-'St of Activities - GA Exp'!BC570</f>
        <v>0</v>
      </c>
    </row>
    <row r="571" spans="1:57">
      <c r="A571" s="12" t="s">
        <v>258</v>
      </c>
      <c r="B571" s="12"/>
      <c r="C571" s="12" t="s">
        <v>255</v>
      </c>
      <c r="D571" s="12"/>
      <c r="E571" s="32">
        <v>44941</v>
      </c>
      <c r="G571" s="8">
        <v>10979120</v>
      </c>
      <c r="H571" s="8"/>
      <c r="I571" s="8">
        <v>4234517</v>
      </c>
      <c r="J571" s="8"/>
      <c r="K571" s="8">
        <v>327368</v>
      </c>
      <c r="L571" s="8"/>
      <c r="M571" s="8">
        <v>83019</v>
      </c>
      <c r="N571" s="8"/>
      <c r="O571" s="8">
        <v>1219748</v>
      </c>
      <c r="P571" s="8"/>
      <c r="Q571" s="8">
        <v>559793</v>
      </c>
      <c r="R571" s="8"/>
      <c r="S571" s="8">
        <v>22258</v>
      </c>
      <c r="T571" s="8"/>
      <c r="U571" s="8">
        <v>1848984</v>
      </c>
      <c r="V571" s="8"/>
      <c r="W571" s="8">
        <v>346698</v>
      </c>
      <c r="X571" s="8"/>
      <c r="Y571" s="8">
        <v>329824</v>
      </c>
      <c r="Z571" s="8"/>
      <c r="AA571" s="8">
        <v>1860324</v>
      </c>
      <c r="AB571" s="8"/>
      <c r="AC571" s="8">
        <v>739992</v>
      </c>
      <c r="AD571" s="8"/>
      <c r="AE571" s="8">
        <v>185400</v>
      </c>
      <c r="AF571" s="138"/>
      <c r="AG571" s="12" t="s">
        <v>258</v>
      </c>
      <c r="AH571" s="12"/>
      <c r="AI571" s="12" t="s">
        <v>255</v>
      </c>
      <c r="AJ571" s="12"/>
      <c r="AK571" s="8">
        <v>940286</v>
      </c>
      <c r="AL571" s="8"/>
      <c r="AM571" s="8">
        <v>82081</v>
      </c>
      <c r="AN571" s="8"/>
      <c r="AO571" s="8">
        <v>761553</v>
      </c>
      <c r="AP571" s="8"/>
      <c r="AQ571" s="8">
        <v>90048</v>
      </c>
      <c r="AR571" s="8"/>
      <c r="AS571" s="8"/>
      <c r="AT571" s="8"/>
      <c r="AU571" s="8">
        <v>0</v>
      </c>
      <c r="AV571" s="8"/>
      <c r="AW571" s="8">
        <f t="shared" si="32"/>
        <v>24611013</v>
      </c>
      <c r="AY571" s="8">
        <f>+'St of Activites - GA Rev'!AI570-'St of Activities - GA Exp'!AW571</f>
        <v>2061737</v>
      </c>
      <c r="BA571" s="8">
        <v>7466231</v>
      </c>
      <c r="BC571" s="8">
        <f t="shared" si="33"/>
        <v>9527968</v>
      </c>
      <c r="BE571" s="8">
        <f>+'St of Net Assets - GA'!AA574-'St of Activities - GA Exp'!BC571</f>
        <v>0</v>
      </c>
    </row>
    <row r="572" spans="1:57" ht="12" hidden="1" customHeight="1">
      <c r="A572" s="12" t="s">
        <v>1028</v>
      </c>
      <c r="B572" s="12"/>
      <c r="C572" s="12" t="s">
        <v>59</v>
      </c>
      <c r="D572" s="12"/>
      <c r="E572" s="32">
        <v>49643</v>
      </c>
      <c r="G572" s="8">
        <v>5311421</v>
      </c>
      <c r="H572" s="8"/>
      <c r="I572" s="8">
        <v>1217099</v>
      </c>
      <c r="J572" s="8"/>
      <c r="K572" s="8">
        <v>168855</v>
      </c>
      <c r="L572" s="8"/>
      <c r="M572" s="8">
        <v>211211</v>
      </c>
      <c r="N572" s="8"/>
      <c r="O572" s="8">
        <v>498735</v>
      </c>
      <c r="P572" s="8"/>
      <c r="Q572" s="8">
        <v>767606</v>
      </c>
      <c r="R572" s="8"/>
      <c r="S572" s="8">
        <v>46585</v>
      </c>
      <c r="T572" s="8"/>
      <c r="U572" s="8">
        <v>791109</v>
      </c>
      <c r="V572" s="8"/>
      <c r="W572" s="8">
        <v>222864</v>
      </c>
      <c r="X572" s="8"/>
      <c r="Y572" s="8"/>
      <c r="Z572" s="8"/>
      <c r="AA572" s="8">
        <v>1127923</v>
      </c>
      <c r="AB572" s="8"/>
      <c r="AC572" s="8">
        <v>697445</v>
      </c>
      <c r="AD572" s="8"/>
      <c r="AE572" s="8">
        <v>343307</v>
      </c>
      <c r="AF572" s="138"/>
      <c r="AG572" s="12" t="s">
        <v>632</v>
      </c>
      <c r="AH572" s="12"/>
      <c r="AI572" s="12" t="s">
        <v>59</v>
      </c>
      <c r="AJ572" s="12"/>
      <c r="AK572" s="8"/>
      <c r="AL572" s="8"/>
      <c r="AM572" s="8">
        <v>455319</v>
      </c>
      <c r="AN572" s="8"/>
      <c r="AO572" s="8">
        <v>275687</v>
      </c>
      <c r="AP572" s="8"/>
      <c r="AQ572" s="8">
        <v>38708</v>
      </c>
      <c r="AR572" s="8"/>
      <c r="AS572" s="8"/>
      <c r="AT572" s="8"/>
      <c r="AU572" s="8">
        <f>185000+23828</f>
        <v>208828</v>
      </c>
      <c r="AV572" s="8"/>
      <c r="AW572" s="8">
        <f t="shared" si="32"/>
        <v>12382702</v>
      </c>
      <c r="AY572" s="8">
        <f>+'St of Activites - GA Rev'!AI571-'St of Activities - GA Exp'!AW572</f>
        <v>-511589</v>
      </c>
      <c r="BA572" s="8">
        <v>3635604</v>
      </c>
      <c r="BC572" s="8">
        <f t="shared" si="33"/>
        <v>3124015</v>
      </c>
      <c r="BE572" s="8">
        <f>+'St of Net Assets - GA'!AA575-'St of Activities - GA Exp'!BC572</f>
        <v>0</v>
      </c>
    </row>
    <row r="573" spans="1:57">
      <c r="A573" s="12" t="s">
        <v>556</v>
      </c>
      <c r="B573" s="12"/>
      <c r="C573" s="12" t="s">
        <v>50</v>
      </c>
      <c r="D573" s="12"/>
      <c r="E573" s="32">
        <v>48744</v>
      </c>
      <c r="G573" s="8">
        <v>8474869</v>
      </c>
      <c r="H573" s="8"/>
      <c r="I573" s="8">
        <v>1616243</v>
      </c>
      <c r="J573" s="8"/>
      <c r="K573" s="8">
        <v>354817</v>
      </c>
      <c r="L573" s="8"/>
      <c r="M573" s="8">
        <v>434813</v>
      </c>
      <c r="N573" s="8"/>
      <c r="O573" s="8">
        <v>1016356</v>
      </c>
      <c r="P573" s="8"/>
      <c r="Q573" s="8">
        <v>1312649</v>
      </c>
      <c r="R573" s="8"/>
      <c r="S573" s="8">
        <v>25976</v>
      </c>
      <c r="T573" s="8"/>
      <c r="U573" s="8">
        <v>1428187</v>
      </c>
      <c r="V573" s="8"/>
      <c r="W573" s="8">
        <v>326399</v>
      </c>
      <c r="X573" s="8"/>
      <c r="Y573" s="8">
        <v>13261</v>
      </c>
      <c r="Z573" s="8"/>
      <c r="AA573" s="8">
        <v>1814964</v>
      </c>
      <c r="AB573" s="8"/>
      <c r="AC573" s="8">
        <v>1098454</v>
      </c>
      <c r="AD573" s="8"/>
      <c r="AE573" s="8">
        <v>387191</v>
      </c>
      <c r="AF573" s="138"/>
      <c r="AG573" s="12" t="s">
        <v>556</v>
      </c>
      <c r="AH573" s="12"/>
      <c r="AI573" s="12" t="s">
        <v>50</v>
      </c>
      <c r="AJ573" s="12"/>
      <c r="AK573" s="8">
        <v>718153</v>
      </c>
      <c r="AL573" s="8"/>
      <c r="AM573" s="8">
        <v>91061</v>
      </c>
      <c r="AN573" s="8"/>
      <c r="AO573" s="8">
        <v>603416</v>
      </c>
      <c r="AP573" s="8"/>
      <c r="AQ573" s="8">
        <v>60493</v>
      </c>
      <c r="AR573" s="8"/>
      <c r="AS573" s="8"/>
      <c r="AT573" s="8"/>
      <c r="AU573" s="8">
        <v>0</v>
      </c>
      <c r="AV573" s="8"/>
      <c r="AW573" s="8">
        <f t="shared" si="32"/>
        <v>19777302</v>
      </c>
      <c r="AY573" s="8">
        <f>+'St of Activites - GA Rev'!AI572-'St of Activities - GA Exp'!AW573</f>
        <v>-324457</v>
      </c>
      <c r="BA573" s="8">
        <v>9836751</v>
      </c>
      <c r="BC573" s="8">
        <f t="shared" si="33"/>
        <v>9512294</v>
      </c>
      <c r="BE573" s="8">
        <f>+'St of Net Assets - GA'!AA576-'St of Activities - GA Exp'!BC573</f>
        <v>0</v>
      </c>
    </row>
    <row r="574" spans="1:57">
      <c r="A574" s="12" t="s">
        <v>419</v>
      </c>
      <c r="B574" s="12"/>
      <c r="C574" s="12" t="s">
        <v>33</v>
      </c>
      <c r="D574" s="12"/>
      <c r="E574" s="32">
        <v>47464</v>
      </c>
      <c r="G574" s="8">
        <v>4546686</v>
      </c>
      <c r="H574" s="8"/>
      <c r="I574" s="8">
        <v>980127</v>
      </c>
      <c r="J574" s="8"/>
      <c r="K574" s="8">
        <v>209468</v>
      </c>
      <c r="L574" s="8"/>
      <c r="M574" s="8">
        <v>0</v>
      </c>
      <c r="N574" s="8"/>
      <c r="O574" s="8">
        <v>308830</v>
      </c>
      <c r="P574" s="8"/>
      <c r="Q574" s="8">
        <v>346242</v>
      </c>
      <c r="R574" s="8"/>
      <c r="S574" s="8">
        <v>65411</v>
      </c>
      <c r="T574" s="8"/>
      <c r="U574" s="8">
        <v>758749</v>
      </c>
      <c r="V574" s="8"/>
      <c r="W574" s="8">
        <v>433443</v>
      </c>
      <c r="X574" s="8"/>
      <c r="Y574" s="8">
        <v>0</v>
      </c>
      <c r="Z574" s="8"/>
      <c r="AA574" s="8">
        <v>1062412</v>
      </c>
      <c r="AB574" s="8"/>
      <c r="AC574" s="8">
        <v>464763</v>
      </c>
      <c r="AD574" s="8"/>
      <c r="AE574" s="8">
        <v>29681</v>
      </c>
      <c r="AF574" s="138"/>
      <c r="AG574" s="12" t="s">
        <v>419</v>
      </c>
      <c r="AH574" s="12"/>
      <c r="AI574" s="12" t="s">
        <v>33</v>
      </c>
      <c r="AJ574" s="12"/>
      <c r="AK574" s="8">
        <v>0</v>
      </c>
      <c r="AL574" s="8"/>
      <c r="AM574" s="8">
        <v>280356</v>
      </c>
      <c r="AN574" s="8"/>
      <c r="AO574" s="8">
        <v>439062</v>
      </c>
      <c r="AP574" s="8"/>
      <c r="AQ574" s="8">
        <v>437957</v>
      </c>
      <c r="AR574" s="8"/>
      <c r="AS574" s="8"/>
      <c r="AT574" s="8"/>
      <c r="AU574" s="8">
        <v>0</v>
      </c>
      <c r="AV574" s="8"/>
      <c r="AW574" s="8">
        <f t="shared" si="32"/>
        <v>10363187</v>
      </c>
      <c r="AY574" s="8">
        <f>+'St of Activites - GA Rev'!AI573-'St of Activities - GA Exp'!AW574</f>
        <v>1729899</v>
      </c>
      <c r="BA574" s="8">
        <v>13568098</v>
      </c>
      <c r="BC574" s="8">
        <f t="shared" si="33"/>
        <v>15297997</v>
      </c>
      <c r="BE574" s="8">
        <f>+'St of Net Assets - GA'!AA577-'St of Activities - GA Exp'!BC574</f>
        <v>0</v>
      </c>
    </row>
    <row r="575" spans="1:57" ht="12" customHeight="1">
      <c r="A575" s="12" t="s">
        <v>706</v>
      </c>
      <c r="B575" s="12"/>
      <c r="C575" s="12" t="s">
        <v>67</v>
      </c>
      <c r="D575" s="12"/>
      <c r="E575" s="32">
        <v>44966</v>
      </c>
      <c r="G575" s="8">
        <v>10710935</v>
      </c>
      <c r="H575" s="8"/>
      <c r="I575" s="8">
        <v>2702117</v>
      </c>
      <c r="J575" s="8"/>
      <c r="K575" s="8">
        <v>16203</v>
      </c>
      <c r="L575" s="8"/>
      <c r="M575" s="8">
        <v>0</v>
      </c>
      <c r="N575" s="8"/>
      <c r="O575" s="8">
        <v>867594</v>
      </c>
      <c r="P575" s="8"/>
      <c r="Q575" s="8">
        <v>1113722</v>
      </c>
      <c r="R575" s="8"/>
      <c r="S575" s="8">
        <v>36534</v>
      </c>
      <c r="T575" s="8"/>
      <c r="U575" s="8">
        <v>1544438</v>
      </c>
      <c r="V575" s="8"/>
      <c r="W575" s="8">
        <v>550665</v>
      </c>
      <c r="X575" s="8"/>
      <c r="Y575" s="8">
        <v>0</v>
      </c>
      <c r="Z575" s="8"/>
      <c r="AA575" s="8">
        <v>1924702</v>
      </c>
      <c r="AB575" s="8"/>
      <c r="AC575" s="8">
        <v>384624</v>
      </c>
      <c r="AD575" s="8"/>
      <c r="AE575" s="8">
        <v>282868</v>
      </c>
      <c r="AF575" s="138"/>
      <c r="AG575" s="12" t="s">
        <v>706</v>
      </c>
      <c r="AH575" s="12"/>
      <c r="AI575" s="12" t="s">
        <v>67</v>
      </c>
      <c r="AJ575" s="12"/>
      <c r="AK575" s="8">
        <v>0</v>
      </c>
      <c r="AL575" s="8"/>
      <c r="AM575" s="8">
        <v>1056809</v>
      </c>
      <c r="AN575" s="8"/>
      <c r="AO575" s="8">
        <v>597504</v>
      </c>
      <c r="AP575" s="8"/>
      <c r="AQ575" s="8">
        <v>1197975</v>
      </c>
      <c r="AR575" s="8"/>
      <c r="AS575" s="8"/>
      <c r="AT575" s="8"/>
      <c r="AU575" s="8">
        <v>0</v>
      </c>
      <c r="AV575" s="8"/>
      <c r="AW575" s="8">
        <f t="shared" si="32"/>
        <v>22986690</v>
      </c>
      <c r="AY575" s="8">
        <f>+'St of Activites - GA Rev'!AI574-'St of Activities - GA Exp'!AW575</f>
        <v>2185048</v>
      </c>
      <c r="BA575" s="8">
        <v>24885485</v>
      </c>
      <c r="BC575" s="8">
        <f>+AY575+BA575</f>
        <v>27070533</v>
      </c>
      <c r="BE575" s="8">
        <f>+'St of Net Assets - GA'!AA578-'St of Activities - GA Exp'!BC575</f>
        <v>0</v>
      </c>
    </row>
    <row r="576" spans="1:57">
      <c r="A576" s="12" t="s">
        <v>557</v>
      </c>
      <c r="B576" s="12"/>
      <c r="C576" s="12" t="s">
        <v>50</v>
      </c>
      <c r="D576" s="12"/>
      <c r="E576" s="32">
        <v>44958</v>
      </c>
      <c r="G576" s="8">
        <v>15730676</v>
      </c>
      <c r="H576" s="8"/>
      <c r="I576" s="8">
        <v>3890156</v>
      </c>
      <c r="J576" s="8"/>
      <c r="K576" s="8">
        <v>350555</v>
      </c>
      <c r="L576" s="8"/>
      <c r="M576" s="8">
        <v>2426088</v>
      </c>
      <c r="N576" s="8"/>
      <c r="O576" s="8">
        <v>2380064</v>
      </c>
      <c r="P576" s="8"/>
      <c r="Q576" s="8">
        <v>2214753</v>
      </c>
      <c r="R576" s="8"/>
      <c r="S576" s="8">
        <v>84508</v>
      </c>
      <c r="T576" s="8"/>
      <c r="U576" s="8">
        <v>2271269</v>
      </c>
      <c r="V576" s="8"/>
      <c r="W576" s="8">
        <v>1156290</v>
      </c>
      <c r="X576" s="8"/>
      <c r="Y576" s="8">
        <v>0</v>
      </c>
      <c r="Z576" s="8"/>
      <c r="AA576" s="8">
        <v>2668596</v>
      </c>
      <c r="AB576" s="8"/>
      <c r="AC576" s="8">
        <v>1516657</v>
      </c>
      <c r="AD576" s="8"/>
      <c r="AE576" s="8">
        <v>616236</v>
      </c>
      <c r="AF576" s="138"/>
      <c r="AG576" s="12" t="s">
        <v>557</v>
      </c>
      <c r="AH576" s="12"/>
      <c r="AI576" s="12" t="s">
        <v>50</v>
      </c>
      <c r="AJ576" s="12"/>
      <c r="AK576" s="8">
        <v>0</v>
      </c>
      <c r="AL576" s="8"/>
      <c r="AM576" s="8">
        <v>1563537</v>
      </c>
      <c r="AN576" s="8"/>
      <c r="AO576" s="8">
        <v>544252</v>
      </c>
      <c r="AP576" s="8"/>
      <c r="AQ576" s="8">
        <v>1082807</v>
      </c>
      <c r="AR576" s="8"/>
      <c r="AS576" s="8"/>
      <c r="AT576" s="8"/>
      <c r="AU576" s="8">
        <v>0</v>
      </c>
      <c r="AV576" s="8"/>
      <c r="AW576" s="8">
        <f t="shared" si="32"/>
        <v>38496444</v>
      </c>
      <c r="AY576" s="8">
        <f>+'St of Activites - GA Rev'!AI575-'St of Activities - GA Exp'!AW576</f>
        <v>-22761</v>
      </c>
      <c r="BA576" s="8">
        <v>19132288</v>
      </c>
      <c r="BC576" s="8">
        <f>+AY576+BA576</f>
        <v>19109527</v>
      </c>
      <c r="BE576" s="8">
        <f>+'St of Net Assets - GA'!AA579-'St of Activities - GA Exp'!BC576</f>
        <v>0</v>
      </c>
    </row>
    <row r="577" spans="1:59" ht="12" hidden="1" customHeight="1">
      <c r="A577" s="12" t="s">
        <v>1031</v>
      </c>
      <c r="B577" s="12"/>
      <c r="C577" s="12" t="s">
        <v>33</v>
      </c>
      <c r="D577" s="12"/>
      <c r="E577" s="32">
        <v>47472</v>
      </c>
      <c r="G577" s="8">
        <v>1268076</v>
      </c>
      <c r="H577" s="8"/>
      <c r="I577" s="8">
        <v>353264</v>
      </c>
      <c r="J577" s="8"/>
      <c r="K577" s="8">
        <v>95710</v>
      </c>
      <c r="L577" s="8"/>
      <c r="M577" s="8"/>
      <c r="N577" s="8"/>
      <c r="O577" s="8">
        <v>98774</v>
      </c>
      <c r="P577" s="8"/>
      <c r="Q577" s="8">
        <v>89171</v>
      </c>
      <c r="R577" s="8"/>
      <c r="S577" s="8">
        <v>35127</v>
      </c>
      <c r="T577" s="8"/>
      <c r="U577" s="8">
        <v>267379</v>
      </c>
      <c r="V577" s="8"/>
      <c r="W577" s="8">
        <v>128638</v>
      </c>
      <c r="X577" s="8"/>
      <c r="Y577" s="8"/>
      <c r="Z577" s="8"/>
      <c r="AA577" s="8">
        <v>287123</v>
      </c>
      <c r="AB577" s="8"/>
      <c r="AC577" s="8">
        <v>137556</v>
      </c>
      <c r="AD577" s="8"/>
      <c r="AE577" s="8">
        <v>39485</v>
      </c>
      <c r="AF577" s="138"/>
      <c r="AG577" s="12" t="s">
        <v>420</v>
      </c>
      <c r="AH577" s="12"/>
      <c r="AI577" s="12" t="s">
        <v>33</v>
      </c>
      <c r="AJ577" s="12"/>
      <c r="AK577" s="8">
        <v>94971</v>
      </c>
      <c r="AL577" s="8"/>
      <c r="AM577" s="8">
        <v>90</v>
      </c>
      <c r="AN577" s="8"/>
      <c r="AO577" s="8">
        <v>116468</v>
      </c>
      <c r="AP577" s="8"/>
      <c r="AQ577" s="8"/>
      <c r="AR577" s="8"/>
      <c r="AS577" s="8"/>
      <c r="AT577" s="8"/>
      <c r="AU577" s="8">
        <f>14206+249</f>
        <v>14455</v>
      </c>
      <c r="AV577" s="8"/>
      <c r="AW577" s="8">
        <f t="shared" si="32"/>
        <v>3026287</v>
      </c>
      <c r="AY577" s="8">
        <f>+'St of Activites - GA Rev'!AI576-'St of Activities - GA Exp'!AW577</f>
        <v>551971</v>
      </c>
      <c r="BA577" s="8">
        <v>1311041</v>
      </c>
      <c r="BC577" s="8">
        <f>+AY577+BA577</f>
        <v>1863012</v>
      </c>
      <c r="BE577" s="8">
        <f>+'St of Net Assets - GA'!AA580-'St of Activities - GA Exp'!BC577</f>
        <v>0</v>
      </c>
    </row>
    <row r="578" spans="1:59">
      <c r="A578" s="12" t="s">
        <v>342</v>
      </c>
      <c r="B578" s="12"/>
      <c r="C578" s="12" t="s">
        <v>24</v>
      </c>
      <c r="D578" s="12"/>
      <c r="E578" s="32">
        <v>46821</v>
      </c>
      <c r="G578" s="8">
        <v>9699328</v>
      </c>
      <c r="H578" s="8"/>
      <c r="I578" s="8">
        <v>2158657</v>
      </c>
      <c r="J578" s="8"/>
      <c r="K578" s="8">
        <v>354009</v>
      </c>
      <c r="L578" s="8"/>
      <c r="M578" s="8">
        <v>1411245</v>
      </c>
      <c r="N578" s="8"/>
      <c r="O578" s="8">
        <v>1444707</v>
      </c>
      <c r="P578" s="8"/>
      <c r="Q578" s="8">
        <v>1462687</v>
      </c>
      <c r="R578" s="8"/>
      <c r="S578" s="8">
        <v>300521</v>
      </c>
      <c r="T578" s="8"/>
      <c r="U578" s="8">
        <v>1843178</v>
      </c>
      <c r="V578" s="8"/>
      <c r="W578" s="8">
        <v>594386</v>
      </c>
      <c r="X578" s="8"/>
      <c r="Y578" s="8">
        <v>116038</v>
      </c>
      <c r="Z578" s="8"/>
      <c r="AA578" s="8">
        <v>2638792</v>
      </c>
      <c r="AB578" s="8"/>
      <c r="AC578" s="8">
        <v>1504237</v>
      </c>
      <c r="AD578" s="8"/>
      <c r="AE578" s="8">
        <v>64159</v>
      </c>
      <c r="AF578" s="138"/>
      <c r="AG578" s="12" t="s">
        <v>342</v>
      </c>
      <c r="AH578" s="12"/>
      <c r="AI578" s="12" t="s">
        <v>24</v>
      </c>
      <c r="AJ578" s="12"/>
      <c r="AK578" s="8">
        <v>819173</v>
      </c>
      <c r="AL578" s="8"/>
      <c r="AM578" s="8">
        <v>105968</v>
      </c>
      <c r="AN578" s="8"/>
      <c r="AO578" s="8">
        <v>780589</v>
      </c>
      <c r="AP578" s="8"/>
      <c r="AQ578" s="8">
        <v>346648</v>
      </c>
      <c r="AR578" s="8"/>
      <c r="AS578" s="8"/>
      <c r="AT578" s="8"/>
      <c r="AU578" s="8">
        <v>0</v>
      </c>
      <c r="AV578" s="8"/>
      <c r="AW578" s="8">
        <f t="shared" si="32"/>
        <v>25644322</v>
      </c>
      <c r="AY578" s="8">
        <f>+'St of Activites - GA Rev'!AI577-'St of Activities - GA Exp'!AW578</f>
        <v>1240623</v>
      </c>
      <c r="BA578" s="8">
        <v>11255846</v>
      </c>
      <c r="BC578" s="8">
        <f>+AY578+BA578</f>
        <v>12496469</v>
      </c>
      <c r="BE578" s="8">
        <f>+'St of Net Assets - GA'!AA581-'St of Activities - GA Exp'!BC578</f>
        <v>0</v>
      </c>
    </row>
    <row r="579" spans="1:59" hidden="1">
      <c r="A579" s="91" t="s">
        <v>1032</v>
      </c>
      <c r="B579" s="12"/>
      <c r="C579" s="12" t="s">
        <v>21</v>
      </c>
      <c r="D579" s="12"/>
      <c r="E579" s="32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138"/>
      <c r="AG579" s="12"/>
      <c r="AH579" s="12"/>
      <c r="AI579" s="12"/>
      <c r="AJ579" s="12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BG579" s="8" t="s">
        <v>967</v>
      </c>
    </row>
    <row r="580" spans="1:59">
      <c r="A580" s="12" t="s">
        <v>707</v>
      </c>
      <c r="B580" s="12"/>
      <c r="C580" s="12" t="s">
        <v>68</v>
      </c>
      <c r="D580" s="12"/>
      <c r="E580" s="32">
        <v>50393</v>
      </c>
      <c r="G580" s="8">
        <v>11973551</v>
      </c>
      <c r="H580" s="8"/>
      <c r="I580" s="8">
        <v>2551772</v>
      </c>
      <c r="J580" s="8"/>
      <c r="K580" s="8">
        <v>287194</v>
      </c>
      <c r="L580" s="8"/>
      <c r="M580" s="8">
        <f>278450+1090404</f>
        <v>1368854</v>
      </c>
      <c r="N580" s="8"/>
      <c r="O580" s="8">
        <v>2197885</v>
      </c>
      <c r="P580" s="8"/>
      <c r="Q580" s="8">
        <v>1461939</v>
      </c>
      <c r="R580" s="8"/>
      <c r="S580" s="8">
        <v>363546</v>
      </c>
      <c r="T580" s="8"/>
      <c r="U580" s="8">
        <v>1829221</v>
      </c>
      <c r="V580" s="8"/>
      <c r="W580" s="8">
        <v>337693</v>
      </c>
      <c r="X580" s="8"/>
      <c r="Y580" s="8">
        <v>0</v>
      </c>
      <c r="Z580" s="8"/>
      <c r="AA580" s="8">
        <v>2338494</v>
      </c>
      <c r="AB580" s="8"/>
      <c r="AC580" s="8">
        <v>1567735</v>
      </c>
      <c r="AD580" s="8"/>
      <c r="AE580" s="8">
        <v>1139867</v>
      </c>
      <c r="AF580" s="138"/>
      <c r="AG580" s="12" t="s">
        <v>707</v>
      </c>
      <c r="AH580" s="12"/>
      <c r="AI580" s="12" t="s">
        <v>68</v>
      </c>
      <c r="AJ580" s="12"/>
      <c r="AK580" s="8">
        <v>1007236</v>
      </c>
      <c r="AL580" s="8"/>
      <c r="AM580" s="8">
        <v>50571</v>
      </c>
      <c r="AN580" s="8"/>
      <c r="AO580" s="8">
        <v>329497</v>
      </c>
      <c r="AP580" s="8"/>
      <c r="AQ580" s="8">
        <v>352642</v>
      </c>
      <c r="AR580" s="8"/>
      <c r="AS580" s="8"/>
      <c r="AT580" s="8"/>
      <c r="AU580" s="8">
        <v>0</v>
      </c>
      <c r="AV580" s="8"/>
      <c r="AW580" s="8">
        <f t="shared" si="32"/>
        <v>29157697</v>
      </c>
      <c r="AY580" s="8">
        <f>+'St of Activites - GA Rev'!AI579-'St of Activities - GA Exp'!AW580</f>
        <v>-405983</v>
      </c>
      <c r="BA580" s="8">
        <v>74464733</v>
      </c>
      <c r="BC580" s="8">
        <f>+AY580+BA580</f>
        <v>74058750</v>
      </c>
      <c r="BE580" s="8">
        <f>+'St of Net Assets - GA'!AA583-'St of Activities - GA Exp'!BC580</f>
        <v>0</v>
      </c>
    </row>
    <row r="581" spans="1:59">
      <c r="A581" s="12" t="s">
        <v>530</v>
      </c>
      <c r="B581" s="12"/>
      <c r="C581" s="12" t="s">
        <v>47</v>
      </c>
      <c r="D581" s="12"/>
      <c r="E581" s="32">
        <v>44974</v>
      </c>
      <c r="G581" s="8">
        <v>18275365</v>
      </c>
      <c r="H581" s="8"/>
      <c r="I581" s="8">
        <v>2954770</v>
      </c>
      <c r="J581" s="8"/>
      <c r="K581" s="8">
        <v>1755828</v>
      </c>
      <c r="L581" s="8"/>
      <c r="M581" s="8">
        <f>33522+1023294</f>
        <v>1056816</v>
      </c>
      <c r="N581" s="8"/>
      <c r="O581" s="8">
        <v>2615041</v>
      </c>
      <c r="P581" s="8"/>
      <c r="Q581" s="8">
        <v>1290142</v>
      </c>
      <c r="R581" s="8"/>
      <c r="S581" s="8">
        <v>326611</v>
      </c>
      <c r="T581" s="8"/>
      <c r="U581" s="8">
        <v>3478245</v>
      </c>
      <c r="V581" s="8"/>
      <c r="W581" s="8">
        <v>781328</v>
      </c>
      <c r="X581" s="8"/>
      <c r="Y581" s="8">
        <v>972</v>
      </c>
      <c r="Z581" s="8"/>
      <c r="AA581" s="8">
        <v>5765949</v>
      </c>
      <c r="AB581" s="8"/>
      <c r="AC581" s="8">
        <v>1700040</v>
      </c>
      <c r="AD581" s="8"/>
      <c r="AE581" s="8">
        <v>980337</v>
      </c>
      <c r="AF581" s="138"/>
      <c r="AG581" s="12" t="s">
        <v>530</v>
      </c>
      <c r="AH581" s="12"/>
      <c r="AI581" s="12" t="s">
        <v>47</v>
      </c>
      <c r="AJ581" s="12"/>
      <c r="AK581" s="8">
        <v>1364934</v>
      </c>
      <c r="AL581" s="8"/>
      <c r="AM581" s="8">
        <f>355691+143052+63558</f>
        <v>562301</v>
      </c>
      <c r="AN581" s="8"/>
      <c r="AO581" s="8">
        <v>1022252</v>
      </c>
      <c r="AP581" s="8"/>
      <c r="AQ581" s="8">
        <v>1933368</v>
      </c>
      <c r="AR581" s="8"/>
      <c r="AS581" s="8"/>
      <c r="AT581" s="8"/>
      <c r="AU581" s="8">
        <v>0</v>
      </c>
      <c r="AV581" s="8"/>
      <c r="AW581" s="8">
        <f t="shared" ref="AW581:AW600" si="34">SUM(G581:AV581)</f>
        <v>45864299</v>
      </c>
      <c r="AY581" s="8">
        <f>+'St of Activites - GA Rev'!AI580-'St of Activities - GA Exp'!AW581</f>
        <v>1803602</v>
      </c>
      <c r="BA581" s="8">
        <v>22401425</v>
      </c>
      <c r="BC581" s="8">
        <f t="shared" ref="BC581:BC600" si="35">+AY581+BA581</f>
        <v>24205027</v>
      </c>
      <c r="BE581" s="8">
        <f>+'St of Net Assets - GA'!AA584-'St of Activities - GA Exp'!BC581</f>
        <v>0</v>
      </c>
    </row>
    <row r="582" spans="1:59">
      <c r="A582" s="12" t="s">
        <v>692</v>
      </c>
      <c r="B582" s="12"/>
      <c r="C582" s="12" t="s">
        <v>64</v>
      </c>
      <c r="D582" s="12"/>
      <c r="E582" s="32">
        <v>44990</v>
      </c>
      <c r="G582" s="8">
        <v>29451873</v>
      </c>
      <c r="H582" s="8"/>
      <c r="I582" s="8">
        <v>10480059</v>
      </c>
      <c r="J582" s="8"/>
      <c r="K582" s="8">
        <v>252776</v>
      </c>
      <c r="L582" s="8"/>
      <c r="M582" s="8">
        <v>3830846</v>
      </c>
      <c r="N582" s="8"/>
      <c r="O582" s="8">
        <v>3562126</v>
      </c>
      <c r="P582" s="8"/>
      <c r="Q582" s="8">
        <v>5301714</v>
      </c>
      <c r="R582" s="8"/>
      <c r="S582" s="8">
        <v>37800</v>
      </c>
      <c r="T582" s="8"/>
      <c r="U582" s="8">
        <v>4952348</v>
      </c>
      <c r="V582" s="8"/>
      <c r="W582" s="8">
        <v>1100726</v>
      </c>
      <c r="X582" s="8"/>
      <c r="Y582" s="8">
        <v>686970</v>
      </c>
      <c r="Z582" s="8"/>
      <c r="AA582" s="8">
        <v>7720964</v>
      </c>
      <c r="AB582" s="8"/>
      <c r="AC582" s="8">
        <v>2906434</v>
      </c>
      <c r="AD582" s="8"/>
      <c r="AE582" s="8">
        <v>1337094</v>
      </c>
      <c r="AF582" s="138"/>
      <c r="AG582" s="12" t="s">
        <v>692</v>
      </c>
      <c r="AH582" s="12"/>
      <c r="AI582" s="12" t="s">
        <v>64</v>
      </c>
      <c r="AJ582" s="12"/>
      <c r="AK582" s="8">
        <v>2977208</v>
      </c>
      <c r="AL582" s="8"/>
      <c r="AM582" s="8">
        <v>593922</v>
      </c>
      <c r="AN582" s="8"/>
      <c r="AO582" s="8">
        <v>1428820</v>
      </c>
      <c r="AP582" s="8"/>
      <c r="AQ582" s="8">
        <v>1670670</v>
      </c>
      <c r="AR582" s="8"/>
      <c r="AS582" s="8"/>
      <c r="AT582" s="8"/>
      <c r="AU582" s="8">
        <v>2681595</v>
      </c>
      <c r="AV582" s="8"/>
      <c r="AW582" s="8">
        <f t="shared" si="34"/>
        <v>80973945</v>
      </c>
      <c r="AY582" s="8">
        <f>+'St of Activites - GA Rev'!AI581-'St of Activities - GA Exp'!AW582</f>
        <v>-6032193</v>
      </c>
      <c r="BA582" s="8">
        <v>155330783</v>
      </c>
      <c r="BC582" s="8">
        <f t="shared" si="35"/>
        <v>149298590</v>
      </c>
      <c r="BE582" s="8">
        <f>+'St of Net Assets - GA'!AA585-'St of Activities - GA Exp'!BC582</f>
        <v>0</v>
      </c>
    </row>
    <row r="583" spans="1:59" ht="12" customHeight="1">
      <c r="A583" s="12" t="s">
        <v>719</v>
      </c>
      <c r="B583" s="12"/>
      <c r="C583" s="12" t="s">
        <v>70</v>
      </c>
      <c r="D583" s="12"/>
      <c r="E583" s="32">
        <v>50500</v>
      </c>
      <c r="G583" s="8">
        <v>10819851</v>
      </c>
      <c r="H583" s="8"/>
      <c r="I583" s="8">
        <v>2069790</v>
      </c>
      <c r="J583" s="8"/>
      <c r="K583" s="8">
        <v>128400</v>
      </c>
      <c r="L583" s="8"/>
      <c r="M583" s="8">
        <v>27555</v>
      </c>
      <c r="N583" s="8"/>
      <c r="O583" s="8">
        <v>797195</v>
      </c>
      <c r="P583" s="8"/>
      <c r="Q583" s="8">
        <v>770799</v>
      </c>
      <c r="R583" s="8"/>
      <c r="S583" s="8">
        <v>83959</v>
      </c>
      <c r="T583" s="8"/>
      <c r="U583" s="8">
        <v>1536802</v>
      </c>
      <c r="V583" s="8"/>
      <c r="W583" s="8">
        <v>853257</v>
      </c>
      <c r="X583" s="8"/>
      <c r="Y583" s="8">
        <v>5222</v>
      </c>
      <c r="Z583" s="8"/>
      <c r="AA583" s="8">
        <v>1780403</v>
      </c>
      <c r="AB583" s="8"/>
      <c r="AC583" s="8">
        <v>1797583</v>
      </c>
      <c r="AD583" s="8"/>
      <c r="AE583" s="8">
        <v>16486</v>
      </c>
      <c r="AF583" s="138"/>
      <c r="AG583" s="12" t="s">
        <v>719</v>
      </c>
      <c r="AH583" s="12"/>
      <c r="AI583" s="12" t="s">
        <v>70</v>
      </c>
      <c r="AJ583" s="12"/>
      <c r="AK583" s="8">
        <v>901898</v>
      </c>
      <c r="AL583" s="8"/>
      <c r="AM583" s="8">
        <v>1974</v>
      </c>
      <c r="AN583" s="8"/>
      <c r="AO583" s="8">
        <v>576105</v>
      </c>
      <c r="AP583" s="8"/>
      <c r="AQ583" s="8">
        <v>0</v>
      </c>
      <c r="AR583" s="8"/>
      <c r="AS583" s="8"/>
      <c r="AT583" s="8"/>
      <c r="AU583" s="8">
        <v>0</v>
      </c>
      <c r="AV583" s="8"/>
      <c r="AW583" s="8">
        <f t="shared" si="34"/>
        <v>22167279</v>
      </c>
      <c r="AY583" s="8">
        <f>+'St of Activites - GA Rev'!AI582-'St of Activities - GA Exp'!AW583</f>
        <v>1776812</v>
      </c>
      <c r="BA583" s="8">
        <v>4626848</v>
      </c>
      <c r="BC583" s="8">
        <f t="shared" si="35"/>
        <v>6403660</v>
      </c>
      <c r="BE583" s="8">
        <f>+'St of Net Assets - GA'!AA586-'St of Activities - GA Exp'!BC583</f>
        <v>0</v>
      </c>
    </row>
    <row r="584" spans="1:59">
      <c r="A584" s="12" t="s">
        <v>324</v>
      </c>
      <c r="B584" s="12"/>
      <c r="C584" s="12" t="s">
        <v>20</v>
      </c>
      <c r="D584" s="12"/>
      <c r="E584" s="32">
        <v>45005</v>
      </c>
      <c r="G584" s="8">
        <v>15447977</v>
      </c>
      <c r="H584" s="8"/>
      <c r="I584" s="8">
        <v>3685532</v>
      </c>
      <c r="J584" s="8"/>
      <c r="K584" s="8">
        <v>207697</v>
      </c>
      <c r="L584" s="8"/>
      <c r="M584" s="8">
        <v>0</v>
      </c>
      <c r="N584" s="8"/>
      <c r="O584" s="8">
        <v>1237893</v>
      </c>
      <c r="P584" s="8"/>
      <c r="Q584" s="8">
        <v>1622372</v>
      </c>
      <c r="R584" s="8"/>
      <c r="S584" s="8">
        <v>120484</v>
      </c>
      <c r="T584" s="8"/>
      <c r="U584" s="8">
        <v>3927568</v>
      </c>
      <c r="V584" s="8"/>
      <c r="W584" s="8">
        <v>1062245</v>
      </c>
      <c r="X584" s="8"/>
      <c r="Y584" s="8">
        <v>1084210</v>
      </c>
      <c r="Z584" s="8"/>
      <c r="AA584" s="8">
        <v>4268880</v>
      </c>
      <c r="AB584" s="8"/>
      <c r="AC584" s="8">
        <v>1049764</v>
      </c>
      <c r="AD584" s="8"/>
      <c r="AE584" s="8">
        <v>274767</v>
      </c>
      <c r="AF584" s="138"/>
      <c r="AG584" s="12" t="s">
        <v>324</v>
      </c>
      <c r="AH584" s="12"/>
      <c r="AI584" s="12" t="s">
        <v>20</v>
      </c>
      <c r="AJ584" s="12"/>
      <c r="AK584" s="8">
        <v>1059033</v>
      </c>
      <c r="AL584" s="8"/>
      <c r="AM584" s="8">
        <v>157120</v>
      </c>
      <c r="AN584" s="8"/>
      <c r="AO584" s="8">
        <v>351926</v>
      </c>
      <c r="AP584" s="8"/>
      <c r="AQ584" s="8">
        <v>1139213</v>
      </c>
      <c r="AR584" s="8"/>
      <c r="AS584" s="8"/>
      <c r="AT584" s="8"/>
      <c r="AU584" s="8">
        <v>0</v>
      </c>
      <c r="AV584" s="8"/>
      <c r="AW584" s="8">
        <f t="shared" si="34"/>
        <v>36696681</v>
      </c>
      <c r="AY584" s="8">
        <f>+'St of Activites - GA Rev'!AI583-'St of Activities - GA Exp'!AW584</f>
        <v>5153231</v>
      </c>
      <c r="BA584" s="8">
        <v>11741113</v>
      </c>
      <c r="BC584" s="8">
        <f t="shared" si="35"/>
        <v>16894344</v>
      </c>
      <c r="BE584" s="8">
        <f>+'St of Net Assets - GA'!AA587-'St of Activities - GA Exp'!BC584</f>
        <v>0</v>
      </c>
    </row>
    <row r="585" spans="1:59" ht="12" customHeight="1">
      <c r="A585" s="12" t="s">
        <v>351</v>
      </c>
      <c r="B585" s="12"/>
      <c r="C585" s="12" t="s">
        <v>26</v>
      </c>
      <c r="D585" s="12"/>
      <c r="E585" s="32">
        <v>45013</v>
      </c>
      <c r="G585" s="8">
        <v>10729236</v>
      </c>
      <c r="H585" s="8"/>
      <c r="I585" s="8">
        <v>3445857</v>
      </c>
      <c r="J585" s="8"/>
      <c r="K585" s="8">
        <v>123972</v>
      </c>
      <c r="L585" s="8"/>
      <c r="M585" s="8">
        <v>20319</v>
      </c>
      <c r="N585" s="8"/>
      <c r="O585" s="8">
        <v>1117539</v>
      </c>
      <c r="P585" s="8"/>
      <c r="Q585" s="8">
        <v>1142645</v>
      </c>
      <c r="R585" s="8"/>
      <c r="S585" s="8">
        <v>64039</v>
      </c>
      <c r="T585" s="8"/>
      <c r="U585" s="8">
        <v>1922913</v>
      </c>
      <c r="V585" s="8"/>
      <c r="W585" s="8">
        <v>622869</v>
      </c>
      <c r="X585" s="8"/>
      <c r="Y585" s="8">
        <v>0</v>
      </c>
      <c r="Z585" s="8"/>
      <c r="AA585" s="8">
        <v>1806819</v>
      </c>
      <c r="AB585" s="8"/>
      <c r="AC585" s="8">
        <v>792954</v>
      </c>
      <c r="AD585" s="8"/>
      <c r="AE585" s="8">
        <v>46294</v>
      </c>
      <c r="AF585" s="138"/>
      <c r="AG585" s="12" t="s">
        <v>351</v>
      </c>
      <c r="AH585" s="12"/>
      <c r="AI585" s="12" t="s">
        <v>26</v>
      </c>
      <c r="AJ585" s="12"/>
      <c r="AK585" s="8">
        <v>0</v>
      </c>
      <c r="AL585" s="8"/>
      <c r="AM585" s="8">
        <v>1398797</v>
      </c>
      <c r="AN585" s="8"/>
      <c r="AO585" s="8">
        <v>615432</v>
      </c>
      <c r="AP585" s="8"/>
      <c r="AQ585" s="8">
        <v>1065296</v>
      </c>
      <c r="AR585" s="8"/>
      <c r="AS585" s="8"/>
      <c r="AT585" s="8"/>
      <c r="AU585" s="8">
        <v>0</v>
      </c>
      <c r="AV585" s="8"/>
      <c r="AW585" s="8">
        <f t="shared" si="34"/>
        <v>24914981</v>
      </c>
      <c r="AY585" s="8">
        <f>+'St of Activites - GA Rev'!AI584-'St of Activities - GA Exp'!AW585</f>
        <v>808273</v>
      </c>
      <c r="BA585" s="8">
        <v>56708002</v>
      </c>
      <c r="BC585" s="8">
        <f t="shared" si="35"/>
        <v>57516275</v>
      </c>
      <c r="BE585" s="8">
        <f>+'St of Net Assets - GA'!AA588-'St of Activities - GA Exp'!BC585</f>
        <v>0</v>
      </c>
    </row>
    <row r="586" spans="1:59" ht="12" customHeight="1">
      <c r="A586" s="12" t="s">
        <v>503</v>
      </c>
      <c r="B586" s="12"/>
      <c r="C586" s="12" t="s">
        <v>117</v>
      </c>
      <c r="D586" s="12"/>
      <c r="E586" s="32">
        <v>48231</v>
      </c>
      <c r="G586" s="8">
        <v>30210949</v>
      </c>
      <c r="H586" s="8"/>
      <c r="I586" s="8">
        <v>9411425</v>
      </c>
      <c r="J586" s="8"/>
      <c r="K586" s="8">
        <v>2693261</v>
      </c>
      <c r="L586" s="8"/>
      <c r="M586" s="8">
        <f>143075+3663424</f>
        <v>3806499</v>
      </c>
      <c r="N586" s="8"/>
      <c r="O586" s="8">
        <v>4030109</v>
      </c>
      <c r="P586" s="8"/>
      <c r="Q586" s="8">
        <v>3846672</v>
      </c>
      <c r="R586" s="8"/>
      <c r="S586" s="8">
        <v>119112</v>
      </c>
      <c r="T586" s="8"/>
      <c r="U586" s="8">
        <v>5220107</v>
      </c>
      <c r="V586" s="8"/>
      <c r="W586" s="8">
        <v>1411782</v>
      </c>
      <c r="X586" s="8"/>
      <c r="Y586" s="8">
        <v>600435</v>
      </c>
      <c r="Z586" s="8"/>
      <c r="AA586" s="8">
        <v>9511495</v>
      </c>
      <c r="AB586" s="8"/>
      <c r="AC586" s="8">
        <v>3427210</v>
      </c>
      <c r="AD586" s="8"/>
      <c r="AE586" s="8">
        <v>1449515</v>
      </c>
      <c r="AF586" s="138"/>
      <c r="AG586" s="12" t="s">
        <v>503</v>
      </c>
      <c r="AH586" s="12"/>
      <c r="AI586" s="12" t="s">
        <v>117</v>
      </c>
      <c r="AJ586" s="12"/>
      <c r="AK586" s="8">
        <v>2359527</v>
      </c>
      <c r="AL586" s="8"/>
      <c r="AM586" s="8">
        <v>1075547</v>
      </c>
      <c r="AN586" s="8"/>
      <c r="AO586" s="8">
        <v>1188900</v>
      </c>
      <c r="AP586" s="8"/>
      <c r="AQ586" s="8">
        <v>123312</v>
      </c>
      <c r="AR586" s="8"/>
      <c r="AS586" s="8"/>
      <c r="AT586" s="8"/>
      <c r="AU586" s="8">
        <v>0</v>
      </c>
      <c r="AV586" s="8"/>
      <c r="AW586" s="8">
        <f t="shared" si="34"/>
        <v>80485857</v>
      </c>
      <c r="AY586" s="8">
        <f>+'St of Activites - GA Rev'!AI585-'St of Activities - GA Exp'!AW586</f>
        <v>352594</v>
      </c>
      <c r="BA586" s="8">
        <v>56772809</v>
      </c>
      <c r="BC586" s="8">
        <f t="shared" si="35"/>
        <v>57125403</v>
      </c>
      <c r="BE586" s="8">
        <f>+'St of Net Assets - GA'!AA589-'St of Activities - GA Exp'!BC586</f>
        <v>0</v>
      </c>
    </row>
    <row r="587" spans="1:59" s="35" customFormat="1" ht="12" customHeight="1">
      <c r="A587" s="34" t="s">
        <v>633</v>
      </c>
      <c r="B587" s="34"/>
      <c r="C587" s="34" t="s">
        <v>59</v>
      </c>
      <c r="D587" s="34"/>
      <c r="E587" s="32">
        <v>49650</v>
      </c>
      <c r="G587" s="8">
        <v>6960655</v>
      </c>
      <c r="H587" s="8"/>
      <c r="I587" s="8">
        <v>2150255</v>
      </c>
      <c r="J587" s="8"/>
      <c r="K587" s="8">
        <v>104549</v>
      </c>
      <c r="L587" s="8"/>
      <c r="M587" s="8">
        <v>116813</v>
      </c>
      <c r="N587" s="8"/>
      <c r="O587" s="8">
        <v>821888</v>
      </c>
      <c r="P587" s="8"/>
      <c r="Q587" s="8">
        <v>904038</v>
      </c>
      <c r="R587" s="8"/>
      <c r="S587" s="8">
        <v>79160</v>
      </c>
      <c r="T587" s="8"/>
      <c r="U587" s="8">
        <v>1106349</v>
      </c>
      <c r="V587" s="8"/>
      <c r="W587" s="8">
        <v>265348</v>
      </c>
      <c r="X587" s="8"/>
      <c r="Y587" s="8">
        <v>0</v>
      </c>
      <c r="Z587" s="8"/>
      <c r="AA587" s="8">
        <v>2667055</v>
      </c>
      <c r="AB587" s="8"/>
      <c r="AC587" s="8">
        <v>994892</v>
      </c>
      <c r="AD587" s="8"/>
      <c r="AE587" s="8">
        <v>0</v>
      </c>
      <c r="AF587" s="139"/>
      <c r="AG587" s="34" t="s">
        <v>633</v>
      </c>
      <c r="AH587" s="34"/>
      <c r="AI587" s="34" t="s">
        <v>59</v>
      </c>
      <c r="AJ587" s="34"/>
      <c r="AK587" s="8">
        <v>805077</v>
      </c>
      <c r="AL587" s="8"/>
      <c r="AM587" s="8">
        <v>0</v>
      </c>
      <c r="AN587" s="8"/>
      <c r="AO587" s="8">
        <v>479044</v>
      </c>
      <c r="AP587" s="8"/>
      <c r="AQ587" s="8">
        <v>86653</v>
      </c>
      <c r="AR587" s="8"/>
      <c r="AS587" s="8"/>
      <c r="AT587" s="8"/>
      <c r="AU587" s="8">
        <v>0</v>
      </c>
      <c r="AV587" s="8"/>
      <c r="AW587" s="8">
        <f t="shared" si="34"/>
        <v>17541776</v>
      </c>
      <c r="AX587" s="8"/>
      <c r="AY587" s="8">
        <f>+'St of Activites - GA Rev'!AI586-'St of Activities - GA Exp'!AW587</f>
        <v>14119656</v>
      </c>
      <c r="AZ587" s="8"/>
      <c r="BA587" s="8">
        <v>28508847</v>
      </c>
      <c r="BB587" s="8"/>
      <c r="BC587" s="8">
        <f t="shared" si="35"/>
        <v>42628503</v>
      </c>
      <c r="BD587" s="8"/>
      <c r="BE587" s="8">
        <f>+'St of Net Assets - GA'!AA590-'St of Activities - GA Exp'!BC587</f>
        <v>0</v>
      </c>
    </row>
    <row r="588" spans="1:59" ht="12" customHeight="1">
      <c r="A588" s="12" t="s">
        <v>596</v>
      </c>
      <c r="B588" s="12"/>
      <c r="C588" s="12" t="s">
        <v>56</v>
      </c>
      <c r="D588" s="12"/>
      <c r="E588" s="32">
        <v>49247</v>
      </c>
      <c r="G588" s="8">
        <v>5576354</v>
      </c>
      <c r="H588" s="8"/>
      <c r="I588" s="8">
        <v>1352316</v>
      </c>
      <c r="J588" s="8"/>
      <c r="K588" s="8">
        <v>56901</v>
      </c>
      <c r="L588" s="8"/>
      <c r="M588" s="8">
        <v>88081</v>
      </c>
      <c r="N588" s="8"/>
      <c r="O588" s="8">
        <v>433689</v>
      </c>
      <c r="P588" s="8"/>
      <c r="Q588" s="8">
        <v>498376</v>
      </c>
      <c r="R588" s="8"/>
      <c r="S588" s="8">
        <v>25636</v>
      </c>
      <c r="T588" s="8"/>
      <c r="U588" s="8">
        <v>896357</v>
      </c>
      <c r="V588" s="8"/>
      <c r="W588" s="8">
        <v>344157</v>
      </c>
      <c r="X588" s="8"/>
      <c r="Y588" s="8">
        <v>38663</v>
      </c>
      <c r="Z588" s="8"/>
      <c r="AA588" s="8">
        <v>1222628</v>
      </c>
      <c r="AB588" s="8"/>
      <c r="AC588" s="8">
        <v>1023649</v>
      </c>
      <c r="AD588" s="8"/>
      <c r="AE588" s="8">
        <v>16280</v>
      </c>
      <c r="AF588" s="138"/>
      <c r="AG588" s="12" t="s">
        <v>596</v>
      </c>
      <c r="AH588" s="12"/>
      <c r="AI588" s="12" t="s">
        <v>56</v>
      </c>
      <c r="AJ588" s="12"/>
      <c r="AK588" s="8">
        <v>379439</v>
      </c>
      <c r="AL588" s="8"/>
      <c r="AM588" s="8">
        <v>84713</v>
      </c>
      <c r="AN588" s="8"/>
      <c r="AO588" s="8">
        <v>362438</v>
      </c>
      <c r="AP588" s="8"/>
      <c r="AQ588" s="8">
        <v>443027</v>
      </c>
      <c r="AR588" s="8"/>
      <c r="AS588" s="8"/>
      <c r="AT588" s="8"/>
      <c r="AU588" s="8">
        <v>0</v>
      </c>
      <c r="AV588" s="8"/>
      <c r="AW588" s="8">
        <f t="shared" si="34"/>
        <v>12842704</v>
      </c>
      <c r="AY588" s="8">
        <f>+'St of Activites - GA Rev'!AI587-'St of Activities - GA Exp'!AW588</f>
        <v>-152562</v>
      </c>
      <c r="BA588" s="8">
        <v>11526391</v>
      </c>
      <c r="BC588" s="8">
        <f t="shared" si="35"/>
        <v>11373829</v>
      </c>
      <c r="BE588" s="8">
        <f>+'St of Net Assets - GA'!AA591-'St of Activities - GA Exp'!BC588</f>
        <v>0</v>
      </c>
    </row>
    <row r="589" spans="1:59" ht="12" customHeight="1">
      <c r="A589" s="12" t="s">
        <v>374</v>
      </c>
      <c r="B589" s="12"/>
      <c r="C589" s="12" t="s">
        <v>28</v>
      </c>
      <c r="D589" s="12"/>
      <c r="E589" s="32">
        <v>45641</v>
      </c>
      <c r="G589" s="8">
        <v>7714064</v>
      </c>
      <c r="H589" s="8"/>
      <c r="I589" s="8">
        <v>1938926</v>
      </c>
      <c r="J589" s="8"/>
      <c r="K589" s="8">
        <v>326111</v>
      </c>
      <c r="L589" s="8"/>
      <c r="M589" s="8">
        <v>787269</v>
      </c>
      <c r="N589" s="8"/>
      <c r="O589" s="8">
        <v>652357</v>
      </c>
      <c r="P589" s="8"/>
      <c r="Q589" s="8">
        <v>706882</v>
      </c>
      <c r="R589" s="8"/>
      <c r="S589" s="8">
        <v>39844</v>
      </c>
      <c r="T589" s="8"/>
      <c r="U589" s="8">
        <v>1297642</v>
      </c>
      <c r="V589" s="8"/>
      <c r="W589" s="8">
        <v>416317</v>
      </c>
      <c r="X589" s="8"/>
      <c r="Y589" s="8">
        <v>64918</v>
      </c>
      <c r="Z589" s="8"/>
      <c r="AA589" s="8">
        <v>1300377</v>
      </c>
      <c r="AB589" s="8"/>
      <c r="AC589" s="8">
        <v>767217</v>
      </c>
      <c r="AD589" s="8"/>
      <c r="AE589" s="8">
        <v>60309</v>
      </c>
      <c r="AF589" s="138"/>
      <c r="AG589" s="12" t="s">
        <v>374</v>
      </c>
      <c r="AH589" s="12"/>
      <c r="AI589" s="12" t="s">
        <v>28</v>
      </c>
      <c r="AJ589" s="12"/>
      <c r="AK589" s="8">
        <v>751666</v>
      </c>
      <c r="AL589" s="8"/>
      <c r="AM589" s="8">
        <v>0</v>
      </c>
      <c r="AN589" s="8"/>
      <c r="AO589" s="8">
        <v>616190</v>
      </c>
      <c r="AP589" s="8"/>
      <c r="AQ589" s="8">
        <v>1219345</v>
      </c>
      <c r="AR589" s="8"/>
      <c r="AS589" s="8"/>
      <c r="AT589" s="8"/>
      <c r="AU589" s="8">
        <v>0</v>
      </c>
      <c r="AV589" s="8"/>
      <c r="AW589" s="8">
        <f t="shared" si="34"/>
        <v>18659434</v>
      </c>
      <c r="AY589" s="8">
        <f>+'St of Activites - GA Rev'!AI588-'St of Activities - GA Exp'!AW589</f>
        <v>1206307</v>
      </c>
      <c r="BA589" s="8">
        <v>34339533</v>
      </c>
      <c r="BC589" s="8">
        <f t="shared" si="35"/>
        <v>35545840</v>
      </c>
      <c r="BE589" s="8">
        <f>+'St of Net Assets - GA'!AA592-'St of Activities - GA Exp'!BC589</f>
        <v>0</v>
      </c>
    </row>
    <row r="590" spans="1:59">
      <c r="A590" s="12" t="s">
        <v>586</v>
      </c>
      <c r="B590" s="12"/>
      <c r="C590" s="12" t="s">
        <v>55</v>
      </c>
      <c r="D590" s="12"/>
      <c r="E590" s="32">
        <v>49148</v>
      </c>
      <c r="G590" s="8">
        <v>9396536</v>
      </c>
      <c r="H590" s="8"/>
      <c r="I590" s="8">
        <v>1933202</v>
      </c>
      <c r="J590" s="8"/>
      <c r="K590" s="8">
        <v>183116</v>
      </c>
      <c r="L590" s="8"/>
      <c r="M590" s="8">
        <v>205729</v>
      </c>
      <c r="N590" s="8"/>
      <c r="O590" s="8">
        <v>1010407</v>
      </c>
      <c r="P590" s="8"/>
      <c r="Q590" s="8">
        <v>1468477</v>
      </c>
      <c r="R590" s="8"/>
      <c r="S590" s="8">
        <v>48071</v>
      </c>
      <c r="T590" s="8"/>
      <c r="U590" s="8">
        <v>1211151</v>
      </c>
      <c r="V590" s="8"/>
      <c r="W590" s="8">
        <v>482264</v>
      </c>
      <c r="X590" s="8"/>
      <c r="Y590" s="8">
        <v>0</v>
      </c>
      <c r="Z590" s="8"/>
      <c r="AA590" s="8">
        <v>2286324</v>
      </c>
      <c r="AB590" s="8"/>
      <c r="AC590" s="8">
        <v>1087028</v>
      </c>
      <c r="AD590" s="8"/>
      <c r="AE590" s="8">
        <v>2171</v>
      </c>
      <c r="AF590" s="138"/>
      <c r="AG590" s="12" t="s">
        <v>586</v>
      </c>
      <c r="AH590" s="12"/>
      <c r="AI590" s="12" t="s">
        <v>55</v>
      </c>
      <c r="AJ590" s="12"/>
      <c r="AK590" s="8">
        <v>1070485</v>
      </c>
      <c r="AL590" s="8"/>
      <c r="AM590" s="8">
        <v>49532</v>
      </c>
      <c r="AN590" s="8"/>
      <c r="AO590" s="8">
        <v>482571</v>
      </c>
      <c r="AP590" s="8"/>
      <c r="AQ590" s="8">
        <v>372228</v>
      </c>
      <c r="AR590" s="8"/>
      <c r="AS590" s="8"/>
      <c r="AT590" s="8"/>
      <c r="AU590" s="8">
        <v>0</v>
      </c>
      <c r="AV590" s="8"/>
      <c r="AW590" s="8">
        <f t="shared" si="34"/>
        <v>21289292</v>
      </c>
      <c r="AY590" s="8">
        <f>+'St of Activites - GA Rev'!AI589-'St of Activities - GA Exp'!AW590</f>
        <v>-2550133</v>
      </c>
      <c r="BA590" s="8">
        <v>39723281</v>
      </c>
      <c r="BC590" s="8">
        <f t="shared" si="35"/>
        <v>37173148</v>
      </c>
      <c r="BE590" s="8">
        <f>+'St of Net Assets - GA'!AA593-'St of Activities - GA Exp'!BC590</f>
        <v>0</v>
      </c>
    </row>
    <row r="591" spans="1:59" ht="12" hidden="1" customHeight="1">
      <c r="A591" s="12" t="s">
        <v>1043</v>
      </c>
      <c r="B591" s="12"/>
      <c r="C591" s="12" t="s">
        <v>69</v>
      </c>
      <c r="D591" s="12"/>
      <c r="E591" s="32">
        <v>50468</v>
      </c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138"/>
      <c r="AG591" s="12" t="s">
        <v>714</v>
      </c>
      <c r="AH591" s="12"/>
      <c r="AI591" s="12" t="s">
        <v>69</v>
      </c>
      <c r="AJ591" s="12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>
        <f t="shared" si="34"/>
        <v>0</v>
      </c>
      <c r="AY591" s="8">
        <f>+'St of Activites - GA Rev'!AI590-'St of Activities - GA Exp'!AW591</f>
        <v>0</v>
      </c>
      <c r="BC591" s="8">
        <f t="shared" si="35"/>
        <v>0</v>
      </c>
      <c r="BE591" s="8">
        <f>+'St of Net Assets - GA'!AA594-'St of Activities - GA Exp'!BC591</f>
        <v>0</v>
      </c>
    </row>
    <row r="592" spans="1:59" ht="12" hidden="1" customHeight="1">
      <c r="A592" s="12" t="s">
        <v>846</v>
      </c>
      <c r="B592" s="12"/>
      <c r="C592" s="12" t="s">
        <v>576</v>
      </c>
      <c r="D592" s="12"/>
      <c r="E592" s="32">
        <v>49031</v>
      </c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138"/>
      <c r="AG592" s="12" t="s">
        <v>578</v>
      </c>
      <c r="AH592" s="12"/>
      <c r="AI592" s="12" t="s">
        <v>576</v>
      </c>
      <c r="AJ592" s="12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>
        <f t="shared" si="34"/>
        <v>0</v>
      </c>
      <c r="AY592" s="8">
        <f>+'St of Activites - GA Rev'!AI591-'St of Activities - GA Exp'!AW592</f>
        <v>0</v>
      </c>
      <c r="BC592" s="8">
        <f t="shared" si="35"/>
        <v>0</v>
      </c>
      <c r="BE592" s="8">
        <f>+'St of Net Assets - GA'!AA595-'St of Activities - GA Exp'!BC592</f>
        <v>0</v>
      </c>
    </row>
    <row r="593" spans="1:57" hidden="1">
      <c r="A593" s="12" t="s">
        <v>891</v>
      </c>
      <c r="B593" s="12"/>
      <c r="C593" s="12" t="s">
        <v>14</v>
      </c>
      <c r="D593" s="12"/>
      <c r="E593" s="32">
        <v>45971</v>
      </c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138"/>
      <c r="AG593" s="12" t="s">
        <v>230</v>
      </c>
      <c r="AH593" s="12"/>
      <c r="AI593" s="12" t="s">
        <v>14</v>
      </c>
      <c r="AJ593" s="12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>
        <f t="shared" si="34"/>
        <v>0</v>
      </c>
      <c r="AY593" s="8">
        <f>+'St of Activites - GA Rev'!AI592-'St of Activities - GA Exp'!AW593</f>
        <v>0</v>
      </c>
      <c r="BC593" s="8">
        <f t="shared" si="35"/>
        <v>0</v>
      </c>
      <c r="BE593" s="8">
        <f>+'St of Net Assets - GA'!AA596-'St of Activities - GA Exp'!BC593</f>
        <v>0</v>
      </c>
    </row>
    <row r="594" spans="1:57">
      <c r="A594" s="12" t="s">
        <v>693</v>
      </c>
      <c r="B594" s="12"/>
      <c r="C594" s="12" t="s">
        <v>64</v>
      </c>
      <c r="D594" s="12"/>
      <c r="E594" s="32">
        <v>50252</v>
      </c>
      <c r="G594" s="8">
        <v>3964448</v>
      </c>
      <c r="H594" s="8"/>
      <c r="I594" s="8">
        <v>1077889</v>
      </c>
      <c r="J594" s="8"/>
      <c r="K594" s="8">
        <v>361772</v>
      </c>
      <c r="L594" s="8"/>
      <c r="M594" s="8">
        <v>0</v>
      </c>
      <c r="N594" s="8"/>
      <c r="O594" s="8">
        <v>438438</v>
      </c>
      <c r="P594" s="8"/>
      <c r="Q594" s="8">
        <v>214001</v>
      </c>
      <c r="R594" s="8"/>
      <c r="S594" s="8">
        <v>23192</v>
      </c>
      <c r="T594" s="8"/>
      <c r="U594" s="8">
        <v>798633</v>
      </c>
      <c r="V594" s="8"/>
      <c r="W594" s="8">
        <v>308458</v>
      </c>
      <c r="X594" s="8"/>
      <c r="Y594" s="8">
        <v>11880</v>
      </c>
      <c r="Z594" s="8"/>
      <c r="AA594" s="8">
        <v>1300259</v>
      </c>
      <c r="AB594" s="8"/>
      <c r="AC594" s="8">
        <v>432707</v>
      </c>
      <c r="AD594" s="8"/>
      <c r="AE594" s="8">
        <v>9000</v>
      </c>
      <c r="AF594" s="138"/>
      <c r="AG594" s="12" t="s">
        <v>693</v>
      </c>
      <c r="AH594" s="12"/>
      <c r="AI594" s="12" t="s">
        <v>64</v>
      </c>
      <c r="AJ594" s="12"/>
      <c r="AK594" s="8">
        <v>320941</v>
      </c>
      <c r="AL594" s="8"/>
      <c r="AM594" s="8">
        <v>2590</v>
      </c>
      <c r="AN594" s="8"/>
      <c r="AO594" s="8">
        <v>422131</v>
      </c>
      <c r="AP594" s="8"/>
      <c r="AQ594" s="8">
        <v>118547</v>
      </c>
      <c r="AR594" s="8"/>
      <c r="AS594" s="8"/>
      <c r="AT594" s="8"/>
      <c r="AU594" s="8">
        <v>0</v>
      </c>
      <c r="AV594" s="8"/>
      <c r="AW594" s="8">
        <f t="shared" si="34"/>
        <v>9804886</v>
      </c>
      <c r="AY594" s="8">
        <f>+'St of Activites - GA Rev'!AI593-'St of Activities - GA Exp'!AW594</f>
        <v>74203</v>
      </c>
      <c r="BA594" s="8">
        <v>3179991</v>
      </c>
      <c r="BC594" s="8">
        <f t="shared" si="35"/>
        <v>3254194</v>
      </c>
      <c r="BE594" s="8">
        <f>+'St of Net Assets - GA'!AA597-'St of Activities - GA Exp'!BC594</f>
        <v>0</v>
      </c>
    </row>
    <row r="595" spans="1:57">
      <c r="A595" s="12" t="s">
        <v>495</v>
      </c>
      <c r="B595" s="12"/>
      <c r="C595" s="12" t="s">
        <v>44</v>
      </c>
      <c r="D595" s="12"/>
      <c r="E595" s="32">
        <v>45658</v>
      </c>
      <c r="G595" s="8">
        <v>6486025</v>
      </c>
      <c r="H595" s="8"/>
      <c r="I595" s="8">
        <v>1324068</v>
      </c>
      <c r="J595" s="8"/>
      <c r="K595" s="8">
        <v>92111</v>
      </c>
      <c r="L595" s="8"/>
      <c r="M595" s="8">
        <v>0</v>
      </c>
      <c r="N595" s="8"/>
      <c r="O595" s="8">
        <v>524749</v>
      </c>
      <c r="P595" s="8"/>
      <c r="Q595" s="8">
        <v>703876</v>
      </c>
      <c r="R595" s="8"/>
      <c r="S595" s="8">
        <v>70836</v>
      </c>
      <c r="T595" s="8"/>
      <c r="U595" s="8">
        <v>1182285</v>
      </c>
      <c r="V595" s="8"/>
      <c r="W595" s="8">
        <v>394787</v>
      </c>
      <c r="X595" s="8"/>
      <c r="Y595" s="8">
        <v>0</v>
      </c>
      <c r="Z595" s="8"/>
      <c r="AA595" s="8">
        <v>1123689</v>
      </c>
      <c r="AB595" s="8"/>
      <c r="AC595" s="8">
        <v>716930</v>
      </c>
      <c r="AD595" s="8"/>
      <c r="AE595" s="8">
        <v>138826</v>
      </c>
      <c r="AF595" s="138"/>
      <c r="AG595" s="12" t="s">
        <v>495</v>
      </c>
      <c r="AH595" s="12"/>
      <c r="AI595" s="12" t="s">
        <v>44</v>
      </c>
      <c r="AJ595" s="12"/>
      <c r="AK595" s="8">
        <v>0</v>
      </c>
      <c r="AL595" s="8"/>
      <c r="AM595" s="8">
        <v>593047</v>
      </c>
      <c r="AN595" s="8"/>
      <c r="AO595" s="8">
        <v>464915</v>
      </c>
      <c r="AP595" s="8"/>
      <c r="AQ595" s="8">
        <v>0</v>
      </c>
      <c r="AR595" s="8"/>
      <c r="AS595" s="8"/>
      <c r="AT595" s="8"/>
      <c r="AU595" s="8">
        <v>0</v>
      </c>
      <c r="AV595" s="8"/>
      <c r="AW595" s="8">
        <f t="shared" si="34"/>
        <v>13816144</v>
      </c>
      <c r="AY595" s="8">
        <f>+'St of Activites - GA Rev'!AI594-'St of Activities - GA Exp'!AW595</f>
        <v>329398</v>
      </c>
      <c r="BA595" s="8">
        <v>8070225</v>
      </c>
      <c r="BC595" s="8">
        <f t="shared" si="35"/>
        <v>8399623</v>
      </c>
      <c r="BE595" s="8">
        <f>+'St of Net Assets - GA'!AA598-'St of Activities - GA Exp'!BC595</f>
        <v>0</v>
      </c>
    </row>
    <row r="596" spans="1:57">
      <c r="A596" s="12" t="s">
        <v>449</v>
      </c>
      <c r="B596" s="12"/>
      <c r="C596" s="12" t="s">
        <v>38</v>
      </c>
      <c r="D596" s="12"/>
      <c r="E596" s="32">
        <v>45021</v>
      </c>
      <c r="G596" s="8">
        <v>6655914</v>
      </c>
      <c r="H596" s="8"/>
      <c r="I596" s="8">
        <v>2663408</v>
      </c>
      <c r="J596" s="8"/>
      <c r="K596" s="8">
        <v>150266</v>
      </c>
      <c r="L596" s="8"/>
      <c r="M596" s="8">
        <v>107859</v>
      </c>
      <c r="N596" s="8"/>
      <c r="O596" s="8">
        <v>825671</v>
      </c>
      <c r="P596" s="8"/>
      <c r="Q596" s="8">
        <v>1353645</v>
      </c>
      <c r="R596" s="8"/>
      <c r="S596" s="8">
        <v>167234</v>
      </c>
      <c r="T596" s="8"/>
      <c r="U596" s="8">
        <v>1384834</v>
      </c>
      <c r="V596" s="8"/>
      <c r="W596" s="8">
        <v>436376</v>
      </c>
      <c r="X596" s="8"/>
      <c r="Y596" s="8">
        <v>0</v>
      </c>
      <c r="Z596" s="8"/>
      <c r="AA596" s="8">
        <v>1069860</v>
      </c>
      <c r="AB596" s="8"/>
      <c r="AC596" s="8">
        <v>952219</v>
      </c>
      <c r="AD596" s="8"/>
      <c r="AE596" s="8">
        <v>100520</v>
      </c>
      <c r="AF596" s="138"/>
      <c r="AG596" s="12" t="s">
        <v>449</v>
      </c>
      <c r="AH596" s="12"/>
      <c r="AI596" s="12" t="s">
        <v>38</v>
      </c>
      <c r="AJ596" s="12"/>
      <c r="AK596" s="8">
        <v>789008</v>
      </c>
      <c r="AL596" s="8"/>
      <c r="AM596" s="8">
        <v>196314</v>
      </c>
      <c r="AN596" s="8"/>
      <c r="AO596" s="8">
        <v>346722</v>
      </c>
      <c r="AP596" s="8"/>
      <c r="AQ596" s="8">
        <v>141802</v>
      </c>
      <c r="AR596" s="8"/>
      <c r="AS596" s="8"/>
      <c r="AT596" s="8"/>
      <c r="AU596" s="8">
        <v>0</v>
      </c>
      <c r="AV596" s="8"/>
      <c r="AW596" s="8">
        <f t="shared" si="34"/>
        <v>17341652</v>
      </c>
      <c r="AY596" s="8">
        <f>+'St of Activites - GA Rev'!AI595-'St of Activities - GA Exp'!AW596</f>
        <v>3061463</v>
      </c>
      <c r="BA596" s="8">
        <v>38894389</v>
      </c>
      <c r="BC596" s="8">
        <f t="shared" si="35"/>
        <v>41955852</v>
      </c>
      <c r="BE596" s="8">
        <f>+'St of Net Assets - GA'!AA599-'St of Activities - GA Exp'!BC596</f>
        <v>0</v>
      </c>
    </row>
    <row r="597" spans="1:57" ht="12" customHeight="1">
      <c r="A597" s="12" t="s">
        <v>286</v>
      </c>
      <c r="B597" s="12"/>
      <c r="C597" s="12" t="s">
        <v>114</v>
      </c>
      <c r="D597" s="12"/>
      <c r="E597" s="32">
        <v>45039</v>
      </c>
      <c r="G597" s="8">
        <v>4343935</v>
      </c>
      <c r="H597" s="8"/>
      <c r="I597" s="8">
        <v>989766</v>
      </c>
      <c r="J597" s="8"/>
      <c r="K597" s="8">
        <v>109796</v>
      </c>
      <c r="L597" s="8"/>
      <c r="M597" s="8">
        <v>44476</v>
      </c>
      <c r="N597" s="8"/>
      <c r="O597" s="8">
        <v>351758</v>
      </c>
      <c r="P597" s="8"/>
      <c r="Q597" s="8">
        <v>441424</v>
      </c>
      <c r="R597" s="8"/>
      <c r="S597" s="8">
        <v>12793</v>
      </c>
      <c r="T597" s="8"/>
      <c r="U597" s="8">
        <v>838762</v>
      </c>
      <c r="V597" s="8"/>
      <c r="W597" s="8">
        <v>245615</v>
      </c>
      <c r="X597" s="8"/>
      <c r="Y597" s="8">
        <v>286</v>
      </c>
      <c r="Z597" s="8"/>
      <c r="AA597" s="8">
        <v>964889</v>
      </c>
      <c r="AB597" s="8"/>
      <c r="AC597" s="8">
        <v>160075</v>
      </c>
      <c r="AD597" s="8"/>
      <c r="AE597" s="8">
        <v>0</v>
      </c>
      <c r="AF597" s="138"/>
      <c r="AG597" s="12" t="s">
        <v>286</v>
      </c>
      <c r="AH597" s="12"/>
      <c r="AI597" s="12" t="s">
        <v>114</v>
      </c>
      <c r="AJ597" s="12"/>
      <c r="AK597" s="8">
        <v>395776</v>
      </c>
      <c r="AL597" s="8"/>
      <c r="AM597" s="8">
        <v>0</v>
      </c>
      <c r="AN597" s="8"/>
      <c r="AO597" s="8">
        <v>287723</v>
      </c>
      <c r="AP597" s="8"/>
      <c r="AQ597" s="8">
        <v>73205</v>
      </c>
      <c r="AR597" s="8"/>
      <c r="AS597" s="8"/>
      <c r="AT597" s="8"/>
      <c r="AU597" s="8">
        <v>0</v>
      </c>
      <c r="AV597" s="8"/>
      <c r="AW597" s="8">
        <f t="shared" si="34"/>
        <v>9260279</v>
      </c>
      <c r="AY597" s="8">
        <f>+'St of Activites - GA Rev'!AI596-'St of Activities - GA Exp'!AW597</f>
        <v>241830</v>
      </c>
      <c r="BA597" s="8">
        <v>8171221</v>
      </c>
      <c r="BC597" s="8">
        <f t="shared" si="35"/>
        <v>8413051</v>
      </c>
      <c r="BE597" s="8">
        <f>+'St of Net Assets - GA'!AA600-'St of Activities - GA Exp'!BC597</f>
        <v>0</v>
      </c>
    </row>
    <row r="598" spans="1:57">
      <c r="A598" s="12" t="s">
        <v>518</v>
      </c>
      <c r="B598" s="12"/>
      <c r="C598" s="12" t="s">
        <v>45</v>
      </c>
      <c r="D598" s="12"/>
      <c r="E598" s="32">
        <v>48389</v>
      </c>
      <c r="G598" s="8">
        <v>10253670</v>
      </c>
      <c r="H598" s="8"/>
      <c r="I598" s="8">
        <v>2245724</v>
      </c>
      <c r="J598" s="8"/>
      <c r="K598" s="8">
        <v>411736</v>
      </c>
      <c r="L598" s="8"/>
      <c r="M598" s="8">
        <v>66842</v>
      </c>
      <c r="N598" s="8"/>
      <c r="O598" s="8">
        <v>1029070</v>
      </c>
      <c r="P598" s="8"/>
      <c r="Q598" s="8">
        <v>1166828</v>
      </c>
      <c r="R598" s="8"/>
      <c r="S598" s="8">
        <v>36734</v>
      </c>
      <c r="T598" s="8"/>
      <c r="U598" s="8">
        <v>1503905</v>
      </c>
      <c r="V598" s="8"/>
      <c r="W598" s="8">
        <v>436110</v>
      </c>
      <c r="X598" s="8"/>
      <c r="Y598" s="8">
        <v>0</v>
      </c>
      <c r="Z598" s="8"/>
      <c r="AA598" s="8">
        <v>2228932</v>
      </c>
      <c r="AB598" s="8"/>
      <c r="AC598" s="8">
        <v>1598047</v>
      </c>
      <c r="AD598" s="8"/>
      <c r="AE598" s="8">
        <v>270727</v>
      </c>
      <c r="AF598" s="138"/>
      <c r="AG598" s="12" t="s">
        <v>518</v>
      </c>
      <c r="AH598" s="12"/>
      <c r="AI598" s="12" t="s">
        <v>45</v>
      </c>
      <c r="AJ598" s="12"/>
      <c r="AK598" s="8">
        <v>919906</v>
      </c>
      <c r="AL598" s="8"/>
      <c r="AM598" s="8">
        <v>60809</v>
      </c>
      <c r="AN598" s="8"/>
      <c r="AO598" s="8">
        <v>691271</v>
      </c>
      <c r="AP598" s="8"/>
      <c r="AQ598" s="8">
        <v>346022</v>
      </c>
      <c r="AR598" s="8"/>
      <c r="AS598" s="8"/>
      <c r="AT598" s="8"/>
      <c r="AU598" s="8">
        <v>0</v>
      </c>
      <c r="AV598" s="8"/>
      <c r="AW598" s="8">
        <f t="shared" si="34"/>
        <v>23266333</v>
      </c>
      <c r="AY598" s="8">
        <f>+'St of Activites - GA Rev'!AI597-'St of Activities - GA Exp'!AW598</f>
        <v>-1106473</v>
      </c>
      <c r="BA598" s="8">
        <v>41818811</v>
      </c>
      <c r="BC598" s="8">
        <f t="shared" si="35"/>
        <v>40712338</v>
      </c>
      <c r="BE598" s="8">
        <f>+'St of Net Assets - GA'!AA601-'St of Activities - GA Exp'!BC598</f>
        <v>0</v>
      </c>
    </row>
    <row r="599" spans="1:57">
      <c r="A599" s="12" t="s">
        <v>1042</v>
      </c>
      <c r="B599" s="12"/>
      <c r="C599" s="12" t="s">
        <v>50</v>
      </c>
      <c r="D599" s="12"/>
      <c r="E599" s="32"/>
      <c r="G599" s="8">
        <v>15460740</v>
      </c>
      <c r="H599" s="8"/>
      <c r="I599" s="8">
        <v>4651779</v>
      </c>
      <c r="J599" s="8"/>
      <c r="K599" s="8">
        <v>171687</v>
      </c>
      <c r="L599" s="8"/>
      <c r="M599" s="8">
        <v>1907192</v>
      </c>
      <c r="N599" s="8"/>
      <c r="O599" s="8">
        <v>2370212</v>
      </c>
      <c r="P599" s="8"/>
      <c r="Q599" s="8">
        <v>2447863</v>
      </c>
      <c r="R599" s="8"/>
      <c r="S599" s="8">
        <v>31139</v>
      </c>
      <c r="T599" s="8"/>
      <c r="U599" s="8">
        <v>2834601</v>
      </c>
      <c r="V599" s="8"/>
      <c r="W599" s="8">
        <v>749907</v>
      </c>
      <c r="X599" s="8"/>
      <c r="Y599" s="8">
        <v>487641</v>
      </c>
      <c r="Z599" s="8"/>
      <c r="AA599" s="8">
        <v>3628249</v>
      </c>
      <c r="AB599" s="8"/>
      <c r="AC599" s="8">
        <v>2286319</v>
      </c>
      <c r="AD599" s="8"/>
      <c r="AE599" s="8">
        <v>205441</v>
      </c>
      <c r="AF599" s="138"/>
      <c r="AG599" s="12" t="s">
        <v>1042</v>
      </c>
      <c r="AH599" s="12"/>
      <c r="AI599" s="12" t="s">
        <v>50</v>
      </c>
      <c r="AJ599" s="12"/>
      <c r="AK599" s="8">
        <v>1268018</v>
      </c>
      <c r="AL599" s="8"/>
      <c r="AM599" s="8">
        <v>91298</v>
      </c>
      <c r="AN599" s="8"/>
      <c r="AO599" s="8">
        <v>702915</v>
      </c>
      <c r="AP599" s="8"/>
      <c r="AQ599" s="8">
        <v>73507</v>
      </c>
      <c r="AR599" s="8"/>
      <c r="AS599" s="8"/>
      <c r="AT599" s="8"/>
      <c r="AU599" s="8">
        <v>0</v>
      </c>
      <c r="AV599" s="8"/>
      <c r="AW599" s="8">
        <f t="shared" si="34"/>
        <v>39368508</v>
      </c>
      <c r="AY599" s="8">
        <f>+'St of Activites - GA Rev'!AI598-'St of Activities - GA Exp'!AW599</f>
        <v>2264051</v>
      </c>
      <c r="BA599" s="8">
        <v>22845061</v>
      </c>
      <c r="BC599" s="8">
        <f t="shared" si="35"/>
        <v>25109112</v>
      </c>
      <c r="BE599" s="8">
        <f>+'St of Net Assets - GA'!AA602-'St of Activities - GA Exp'!BC599</f>
        <v>0</v>
      </c>
    </row>
    <row r="600" spans="1:57">
      <c r="A600" s="12" t="s">
        <v>272</v>
      </c>
      <c r="B600" s="12"/>
      <c r="C600" s="12" t="s">
        <v>115</v>
      </c>
      <c r="D600" s="12"/>
      <c r="E600" s="32">
        <v>46359</v>
      </c>
      <c r="G600" s="8">
        <v>37131333</v>
      </c>
      <c r="H600" s="8"/>
      <c r="I600" s="8">
        <v>11466246</v>
      </c>
      <c r="J600" s="8"/>
      <c r="K600" s="8">
        <v>134191</v>
      </c>
      <c r="L600" s="8"/>
      <c r="M600" s="8">
        <v>0</v>
      </c>
      <c r="N600" s="8"/>
      <c r="O600" s="8">
        <v>5649869</v>
      </c>
      <c r="P600" s="8"/>
      <c r="Q600" s="8">
        <v>2761069</v>
      </c>
      <c r="R600" s="8"/>
      <c r="S600" s="8">
        <v>51703</v>
      </c>
      <c r="T600" s="8"/>
      <c r="U600" s="8">
        <v>5961862</v>
      </c>
      <c r="V600" s="8"/>
      <c r="W600" s="8">
        <v>1600176</v>
      </c>
      <c r="X600" s="8"/>
      <c r="Y600" s="8">
        <v>54428</v>
      </c>
      <c r="Z600" s="8"/>
      <c r="AA600" s="8">
        <v>5909479</v>
      </c>
      <c r="AB600" s="8"/>
      <c r="AC600" s="8">
        <v>6882594</v>
      </c>
      <c r="AD600" s="8"/>
      <c r="AE600" s="8">
        <v>1091179</v>
      </c>
      <c r="AF600" s="138"/>
      <c r="AG600" s="12" t="s">
        <v>272</v>
      </c>
      <c r="AH600" s="12"/>
      <c r="AI600" s="12" t="s">
        <v>115</v>
      </c>
      <c r="AJ600" s="12"/>
      <c r="AK600" s="8">
        <v>0</v>
      </c>
      <c r="AL600" s="8"/>
      <c r="AM600" s="8">
        <v>2617011</v>
      </c>
      <c r="AN600" s="8"/>
      <c r="AO600" s="8">
        <v>1318955</v>
      </c>
      <c r="AP600" s="8"/>
      <c r="AQ600" s="8">
        <v>2802098</v>
      </c>
      <c r="AR600" s="8"/>
      <c r="AS600" s="8"/>
      <c r="AT600" s="8"/>
      <c r="AU600" s="8">
        <v>0</v>
      </c>
      <c r="AV600" s="8"/>
      <c r="AW600" s="8">
        <f t="shared" si="34"/>
        <v>85432193</v>
      </c>
      <c r="AY600" s="8">
        <f>+'St of Activites - GA Rev'!AI599-'St of Activities - GA Exp'!AW600</f>
        <v>-2142939</v>
      </c>
      <c r="BA600" s="8">
        <v>16006867</v>
      </c>
      <c r="BC600" s="8">
        <f t="shared" si="35"/>
        <v>13863928</v>
      </c>
      <c r="BE600" s="8">
        <f>+'St of Net Assets - GA'!AA603-'St of Activities - GA Exp'!BC600</f>
        <v>0</v>
      </c>
    </row>
    <row r="601" spans="1:57" s="35" customFormat="1">
      <c r="A601" s="34" t="s">
        <v>383</v>
      </c>
      <c r="B601" s="34"/>
      <c r="C601" s="34" t="s">
        <v>30</v>
      </c>
      <c r="D601" s="34"/>
      <c r="E601" s="34">
        <v>47225</v>
      </c>
      <c r="G601" s="8">
        <v>10694447</v>
      </c>
      <c r="H601" s="8"/>
      <c r="I601" s="8">
        <v>3077259</v>
      </c>
      <c r="J601" s="8"/>
      <c r="K601" s="8">
        <v>214889</v>
      </c>
      <c r="L601" s="8"/>
      <c r="M601" s="8">
        <f>15000+425899</f>
        <v>440899</v>
      </c>
      <c r="N601" s="8"/>
      <c r="O601" s="8">
        <v>2264365</v>
      </c>
      <c r="P601" s="8"/>
      <c r="Q601" s="8">
        <v>804471</v>
      </c>
      <c r="R601" s="8"/>
      <c r="S601" s="8">
        <v>68921</v>
      </c>
      <c r="T601" s="8"/>
      <c r="U601" s="8">
        <v>1840520</v>
      </c>
      <c r="V601" s="8"/>
      <c r="W601" s="8">
        <v>585951</v>
      </c>
      <c r="X601" s="8"/>
      <c r="Y601" s="8">
        <v>332112</v>
      </c>
      <c r="Z601" s="8"/>
      <c r="AA601" s="8">
        <v>2544297</v>
      </c>
      <c r="AB601" s="8"/>
      <c r="AC601" s="8">
        <v>2048743</v>
      </c>
      <c r="AD601" s="8"/>
      <c r="AE601" s="8">
        <v>83631</v>
      </c>
      <c r="AF601" s="139"/>
      <c r="AG601" s="34" t="s">
        <v>383</v>
      </c>
      <c r="AH601" s="34"/>
      <c r="AI601" s="34" t="s">
        <v>30</v>
      </c>
      <c r="AJ601" s="34"/>
      <c r="AK601" s="8">
        <v>710305</v>
      </c>
      <c r="AL601" s="8"/>
      <c r="AM601" s="8">
        <f>524520+100+271611</f>
        <v>796231</v>
      </c>
      <c r="AN601" s="8"/>
      <c r="AO601" s="8">
        <v>897337</v>
      </c>
      <c r="AP601" s="8"/>
      <c r="AQ601" s="8">
        <v>518186</v>
      </c>
      <c r="AR601" s="8"/>
      <c r="AS601" s="8"/>
      <c r="AT601" s="8"/>
      <c r="AU601" s="8">
        <v>0</v>
      </c>
      <c r="AV601" s="8"/>
      <c r="AW601" s="8">
        <f>SUM(G601:AV601)</f>
        <v>27922564</v>
      </c>
      <c r="AX601" s="8"/>
      <c r="AY601" s="8">
        <f>+'St of Activites - GA Rev'!AI600-'St of Activities - GA Exp'!AW601</f>
        <v>2474405</v>
      </c>
      <c r="AZ601" s="8"/>
      <c r="BA601" s="8">
        <v>9800347</v>
      </c>
      <c r="BB601" s="8"/>
      <c r="BC601" s="8">
        <f>+AY601+BA601</f>
        <v>12274752</v>
      </c>
      <c r="BE601" s="35">
        <f>+'St of Net Assets - GA'!AA604-'St of Activities - GA Exp'!BC601</f>
        <v>0</v>
      </c>
    </row>
    <row r="602" spans="1:57">
      <c r="A602" s="12" t="s">
        <v>442</v>
      </c>
      <c r="B602" s="12"/>
      <c r="C602" s="12" t="s">
        <v>36</v>
      </c>
      <c r="D602" s="12"/>
      <c r="E602" s="32">
        <v>47696</v>
      </c>
      <c r="G602" s="8">
        <v>11052593</v>
      </c>
      <c r="H602" s="8"/>
      <c r="I602" s="8">
        <v>3198833</v>
      </c>
      <c r="J602" s="8"/>
      <c r="K602" s="8">
        <v>314187</v>
      </c>
      <c r="L602" s="8"/>
      <c r="M602" s="8">
        <v>0</v>
      </c>
      <c r="N602" s="8"/>
      <c r="O602" s="8">
        <v>800793</v>
      </c>
      <c r="P602" s="8"/>
      <c r="Q602" s="8">
        <v>638862</v>
      </c>
      <c r="R602" s="8"/>
      <c r="S602" s="8">
        <v>61315</v>
      </c>
      <c r="T602" s="8"/>
      <c r="U602" s="8">
        <v>1872731</v>
      </c>
      <c r="V602" s="8"/>
      <c r="W602" s="8">
        <v>521060</v>
      </c>
      <c r="X602" s="8"/>
      <c r="Y602" s="8">
        <v>12248</v>
      </c>
      <c r="Z602" s="8"/>
      <c r="AA602" s="8">
        <v>2229859</v>
      </c>
      <c r="AB602" s="8"/>
      <c r="AC602" s="8">
        <v>1666992</v>
      </c>
      <c r="AD602" s="8"/>
      <c r="AE602" s="8">
        <v>68885</v>
      </c>
      <c r="AF602" s="138"/>
      <c r="AG602" s="12" t="s">
        <v>442</v>
      </c>
      <c r="AH602" s="12"/>
      <c r="AI602" s="12" t="s">
        <v>36</v>
      </c>
      <c r="AJ602" s="12"/>
      <c r="AK602" s="8">
        <v>1032707</v>
      </c>
      <c r="AL602" s="8"/>
      <c r="AM602" s="8">
        <v>44437</v>
      </c>
      <c r="AN602" s="8"/>
      <c r="AO602" s="8">
        <v>554170</v>
      </c>
      <c r="AP602" s="8"/>
      <c r="AQ602" s="8">
        <v>748757</v>
      </c>
      <c r="AR602" s="8"/>
      <c r="AS602" s="8"/>
      <c r="AT602" s="8"/>
      <c r="AU602" s="8">
        <v>0</v>
      </c>
      <c r="AV602" s="8"/>
      <c r="AW602" s="8">
        <f t="shared" ref="AW602:AW634" si="36">SUM(G602:AV602)</f>
        <v>24818429</v>
      </c>
      <c r="AY602" s="8">
        <f>+'St of Activites - GA Rev'!AI601-'St of Activities - GA Exp'!AW602</f>
        <v>977808</v>
      </c>
      <c r="BA602" s="8">
        <v>18840045</v>
      </c>
      <c r="BC602" s="8">
        <f t="shared" ref="BC602:BC634" si="37">+AY602+BA602</f>
        <v>19817853</v>
      </c>
      <c r="BE602" s="8">
        <f>+'St of Net Assets - GA'!AA605-'St of Activities - GA Exp'!BC602</f>
        <v>0</v>
      </c>
    </row>
    <row r="603" spans="1:57">
      <c r="A603" s="12" t="s">
        <v>259</v>
      </c>
      <c r="B603" s="12"/>
      <c r="C603" s="12" t="s">
        <v>255</v>
      </c>
      <c r="D603" s="12"/>
      <c r="E603" s="32">
        <v>46219</v>
      </c>
      <c r="G603" s="8">
        <v>4665928</v>
      </c>
      <c r="H603" s="8"/>
      <c r="I603" s="8">
        <v>1735390</v>
      </c>
      <c r="J603" s="8"/>
      <c r="K603" s="8">
        <v>206635</v>
      </c>
      <c r="L603" s="8"/>
      <c r="M603" s="8">
        <v>429821</v>
      </c>
      <c r="N603" s="8"/>
      <c r="O603" s="8">
        <v>542118</v>
      </c>
      <c r="P603" s="8"/>
      <c r="Q603" s="8">
        <v>614546</v>
      </c>
      <c r="R603" s="8"/>
      <c r="S603" s="8">
        <v>63538</v>
      </c>
      <c r="T603" s="8"/>
      <c r="U603" s="8">
        <v>789834</v>
      </c>
      <c r="V603" s="8"/>
      <c r="W603" s="8">
        <v>392421</v>
      </c>
      <c r="X603" s="8"/>
      <c r="Y603" s="8">
        <v>18014</v>
      </c>
      <c r="Z603" s="8"/>
      <c r="AA603" s="8">
        <v>1033720</v>
      </c>
      <c r="AB603" s="8"/>
      <c r="AC603" s="8">
        <v>789134</v>
      </c>
      <c r="AD603" s="8"/>
      <c r="AE603" s="8">
        <v>328759</v>
      </c>
      <c r="AF603" s="138"/>
      <c r="AG603" s="12" t="s">
        <v>259</v>
      </c>
      <c r="AH603" s="12"/>
      <c r="AI603" s="12" t="s">
        <v>255</v>
      </c>
      <c r="AJ603" s="12"/>
      <c r="AK603" s="8">
        <v>508646</v>
      </c>
      <c r="AL603" s="8"/>
      <c r="AM603" s="8">
        <v>309940</v>
      </c>
      <c r="AN603" s="8"/>
      <c r="AO603" s="8">
        <v>318563</v>
      </c>
      <c r="AP603" s="8"/>
      <c r="AQ603" s="8">
        <v>22684</v>
      </c>
      <c r="AR603" s="8"/>
      <c r="AS603" s="8"/>
      <c r="AT603" s="8"/>
      <c r="AU603" s="8">
        <v>0</v>
      </c>
      <c r="AV603" s="8"/>
      <c r="AW603" s="8">
        <f t="shared" si="36"/>
        <v>12769691</v>
      </c>
      <c r="AY603" s="8">
        <f>+'St of Activites - GA Rev'!AI602-'St of Activities - GA Exp'!AW603</f>
        <v>300359</v>
      </c>
      <c r="BA603" s="8">
        <v>7035286</v>
      </c>
      <c r="BC603" s="8">
        <f t="shared" si="37"/>
        <v>7335645</v>
      </c>
      <c r="BE603" s="8">
        <f>+'St of Net Assets - GA'!AA606-'St of Activities - GA Exp'!BC603</f>
        <v>0</v>
      </c>
    </row>
    <row r="604" spans="1:57">
      <c r="A604" s="12" t="s">
        <v>567</v>
      </c>
      <c r="B604" s="12"/>
      <c r="C604" s="12" t="s">
        <v>51</v>
      </c>
      <c r="D604" s="12"/>
      <c r="E604" s="32">
        <v>48884</v>
      </c>
      <c r="G604" s="8">
        <v>7235036</v>
      </c>
      <c r="H604" s="8"/>
      <c r="I604" s="8">
        <v>2335840</v>
      </c>
      <c r="J604" s="8"/>
      <c r="K604" s="8">
        <v>285826</v>
      </c>
      <c r="L604" s="8"/>
      <c r="M604" s="8">
        <v>181360</v>
      </c>
      <c r="N604" s="8"/>
      <c r="O604" s="8">
        <v>335681</v>
      </c>
      <c r="P604" s="8"/>
      <c r="Q604" s="8">
        <v>957448</v>
      </c>
      <c r="R604" s="8"/>
      <c r="S604" s="8">
        <v>15575</v>
      </c>
      <c r="T604" s="8"/>
      <c r="U604" s="8">
        <v>1469730</v>
      </c>
      <c r="V604" s="8"/>
      <c r="W604" s="8">
        <v>434873</v>
      </c>
      <c r="X604" s="8"/>
      <c r="Y604" s="8">
        <v>0</v>
      </c>
      <c r="Z604" s="8"/>
      <c r="AA604" s="8">
        <v>1721702</v>
      </c>
      <c r="AB604" s="8"/>
      <c r="AC604" s="8">
        <v>831498</v>
      </c>
      <c r="AD604" s="8"/>
      <c r="AE604" s="8">
        <v>77883</v>
      </c>
      <c r="AF604" s="138"/>
      <c r="AG604" s="12" t="s">
        <v>567</v>
      </c>
      <c r="AH604" s="12"/>
      <c r="AI604" s="12" t="s">
        <v>51</v>
      </c>
      <c r="AJ604" s="12"/>
      <c r="AK604" s="8">
        <v>703947</v>
      </c>
      <c r="AL604" s="8"/>
      <c r="AM604" s="8">
        <v>17554</v>
      </c>
      <c r="AN604" s="8"/>
      <c r="AO604" s="8">
        <v>253066</v>
      </c>
      <c r="AP604" s="8"/>
      <c r="AQ604" s="8">
        <v>1076187</v>
      </c>
      <c r="AR604" s="8"/>
      <c r="AS604" s="8"/>
      <c r="AT604" s="8"/>
      <c r="AU604" s="8">
        <v>0</v>
      </c>
      <c r="AV604" s="8"/>
      <c r="AW604" s="8">
        <f t="shared" si="36"/>
        <v>17933206</v>
      </c>
      <c r="AY604" s="8">
        <f>+'St of Activites - GA Rev'!AI606-'St of Activities - GA Exp'!AW604</f>
        <v>219757</v>
      </c>
      <c r="BA604" s="8">
        <v>11539518</v>
      </c>
      <c r="BC604" s="8">
        <f t="shared" si="37"/>
        <v>11759275</v>
      </c>
      <c r="BE604" s="8">
        <f>+'St of Net Assets - GA'!AA607-'St of Activities - GA Exp'!BC604</f>
        <v>0</v>
      </c>
    </row>
    <row r="605" spans="1:57">
      <c r="A605" s="12" t="s">
        <v>240</v>
      </c>
      <c r="B605" s="12"/>
      <c r="C605" s="12" t="s">
        <v>77</v>
      </c>
      <c r="D605" s="12"/>
      <c r="E605" s="32">
        <v>46060</v>
      </c>
      <c r="G605" s="8">
        <v>15372518</v>
      </c>
      <c r="H605" s="8"/>
      <c r="I605" s="8">
        <v>3698014</v>
      </c>
      <c r="J605" s="8"/>
      <c r="K605" s="8">
        <v>328952</v>
      </c>
      <c r="L605" s="8"/>
      <c r="M605" s="8">
        <v>146996</v>
      </c>
      <c r="N605" s="8"/>
      <c r="O605" s="8">
        <v>928674</v>
      </c>
      <c r="P605" s="8"/>
      <c r="Q605" s="8">
        <v>1076896</v>
      </c>
      <c r="R605" s="8"/>
      <c r="S605" s="8">
        <v>20524</v>
      </c>
      <c r="T605" s="8"/>
      <c r="U605" s="8">
        <v>2254135</v>
      </c>
      <c r="V605" s="8"/>
      <c r="W605" s="8">
        <v>585596</v>
      </c>
      <c r="X605" s="8"/>
      <c r="Y605" s="8">
        <v>0</v>
      </c>
      <c r="Z605" s="8"/>
      <c r="AA605" s="8">
        <v>3158807</v>
      </c>
      <c r="AB605" s="8"/>
      <c r="AC605" s="8">
        <v>2188838</v>
      </c>
      <c r="AD605" s="8"/>
      <c r="AE605" s="8">
        <v>266667</v>
      </c>
      <c r="AF605" s="138"/>
      <c r="AG605" s="13" t="s">
        <v>240</v>
      </c>
      <c r="AH605" s="13"/>
      <c r="AI605" s="13" t="s">
        <v>77</v>
      </c>
      <c r="AJ605" s="13"/>
      <c r="AK605" s="8">
        <v>1642631</v>
      </c>
      <c r="AL605" s="8"/>
      <c r="AM605" s="8">
        <v>16395</v>
      </c>
      <c r="AN605" s="8"/>
      <c r="AO605" s="8">
        <v>737047</v>
      </c>
      <c r="AP605" s="8"/>
      <c r="AQ605" s="8">
        <v>275376</v>
      </c>
      <c r="AR605" s="8"/>
      <c r="AS605" s="8"/>
      <c r="AT605" s="8"/>
      <c r="AU605" s="8">
        <v>0</v>
      </c>
      <c r="AV605" s="8"/>
      <c r="AW605" s="8">
        <f t="shared" si="36"/>
        <v>32698066</v>
      </c>
      <c r="AY605" s="8">
        <f>+'St of Activites - GA Rev'!AI607-'St of Activities - GA Exp'!AW605</f>
        <v>-2150131</v>
      </c>
      <c r="BA605" s="8">
        <v>52610411</v>
      </c>
      <c r="BC605" s="8">
        <f t="shared" si="37"/>
        <v>50460280</v>
      </c>
      <c r="BE605" s="8">
        <f>+'St of Net Assets - GA'!AA608-'St of Activities - GA Exp'!BC605</f>
        <v>0</v>
      </c>
    </row>
    <row r="606" spans="1:57">
      <c r="A606" s="12" t="s">
        <v>587</v>
      </c>
      <c r="B606" s="12"/>
      <c r="C606" s="12" t="s">
        <v>55</v>
      </c>
      <c r="D606" s="12"/>
      <c r="E606" s="32">
        <v>49155</v>
      </c>
      <c r="G606" s="8">
        <v>3692641</v>
      </c>
      <c r="H606" s="8"/>
      <c r="I606" s="8">
        <v>1408722</v>
      </c>
      <c r="J606" s="8"/>
      <c r="K606" s="8">
        <v>0</v>
      </c>
      <c r="L606" s="8"/>
      <c r="M606" s="8">
        <v>520349</v>
      </c>
      <c r="N606" s="8"/>
      <c r="O606" s="8">
        <v>361334</v>
      </c>
      <c r="P606" s="8"/>
      <c r="Q606" s="8">
        <v>485917</v>
      </c>
      <c r="R606" s="8"/>
      <c r="S606" s="8">
        <v>17931</v>
      </c>
      <c r="T606" s="8"/>
      <c r="U606" s="8">
        <v>679988</v>
      </c>
      <c r="V606" s="8"/>
      <c r="W606" s="8">
        <v>257471</v>
      </c>
      <c r="X606" s="8"/>
      <c r="Y606" s="8">
        <v>0</v>
      </c>
      <c r="Z606" s="8"/>
      <c r="AA606" s="8">
        <v>1014416</v>
      </c>
      <c r="AB606" s="8"/>
      <c r="AC606" s="8">
        <v>769904</v>
      </c>
      <c r="AD606" s="8"/>
      <c r="AE606" s="8">
        <v>130668</v>
      </c>
      <c r="AF606" s="138"/>
      <c r="AG606" s="12" t="s">
        <v>587</v>
      </c>
      <c r="AH606" s="12"/>
      <c r="AI606" s="12" t="s">
        <v>55</v>
      </c>
      <c r="AJ606" s="12"/>
      <c r="AK606" s="8">
        <v>0</v>
      </c>
      <c r="AL606" s="8"/>
      <c r="AM606" s="8">
        <v>410318</v>
      </c>
      <c r="AN606" s="8"/>
      <c r="AO606" s="8">
        <v>165317</v>
      </c>
      <c r="AP606" s="8"/>
      <c r="AQ606" s="8">
        <v>39720</v>
      </c>
      <c r="AR606" s="8"/>
      <c r="AS606" s="8"/>
      <c r="AT606" s="8"/>
      <c r="AU606" s="8">
        <v>61750</v>
      </c>
      <c r="AV606" s="8"/>
      <c r="AW606" s="8">
        <f t="shared" si="36"/>
        <v>10016446</v>
      </c>
      <c r="AY606" s="8">
        <f>+'St of Activites - GA Rev'!AI608-'St of Activities - GA Exp'!AW606</f>
        <v>-1149372</v>
      </c>
      <c r="BA606" s="8">
        <v>24295794</v>
      </c>
      <c r="BC606" s="8">
        <f t="shared" si="37"/>
        <v>23146422</v>
      </c>
      <c r="BE606" s="8">
        <f>+'St of Net Assets - GA'!AA609-'St of Activities - GA Exp'!BC606</f>
        <v>0</v>
      </c>
    </row>
    <row r="607" spans="1:57">
      <c r="A607" s="12" t="s">
        <v>447</v>
      </c>
      <c r="B607" s="12"/>
      <c r="C607" s="12" t="s">
        <v>37</v>
      </c>
      <c r="D607" s="12"/>
      <c r="E607" s="32">
        <v>47746</v>
      </c>
      <c r="G607" s="8">
        <v>5370363</v>
      </c>
      <c r="H607" s="8"/>
      <c r="I607" s="8">
        <v>1708776</v>
      </c>
      <c r="J607" s="8"/>
      <c r="K607" s="8">
        <v>149858</v>
      </c>
      <c r="L607" s="8"/>
      <c r="M607" s="8">
        <f>20353+266951</f>
        <v>287304</v>
      </c>
      <c r="N607" s="8"/>
      <c r="O607" s="8">
        <v>186644</v>
      </c>
      <c r="P607" s="8"/>
      <c r="Q607" s="8">
        <v>576190</v>
      </c>
      <c r="R607" s="8"/>
      <c r="S607" s="8">
        <v>83606</v>
      </c>
      <c r="T607" s="8"/>
      <c r="U607" s="8">
        <v>823682</v>
      </c>
      <c r="V607" s="8"/>
      <c r="W607" s="8">
        <v>440386</v>
      </c>
      <c r="X607" s="8"/>
      <c r="Y607" s="8">
        <v>37397</v>
      </c>
      <c r="Z607" s="8"/>
      <c r="AA607" s="8">
        <v>1205242</v>
      </c>
      <c r="AB607" s="8"/>
      <c r="AC607" s="8">
        <v>725335</v>
      </c>
      <c r="AD607" s="8"/>
      <c r="AE607" s="8">
        <v>45728</v>
      </c>
      <c r="AF607" s="138"/>
      <c r="AG607" s="12" t="s">
        <v>447</v>
      </c>
      <c r="AH607" s="12"/>
      <c r="AI607" s="12" t="s">
        <v>37</v>
      </c>
      <c r="AJ607" s="12"/>
      <c r="AK607" s="8">
        <v>509204</v>
      </c>
      <c r="AL607" s="8"/>
      <c r="AM607" s="8">
        <v>186140</v>
      </c>
      <c r="AN607" s="8"/>
      <c r="AO607" s="8">
        <v>457681</v>
      </c>
      <c r="AP607" s="8"/>
      <c r="AQ607" s="8">
        <v>176545</v>
      </c>
      <c r="AR607" s="8"/>
      <c r="AS607" s="8"/>
      <c r="AT607" s="8"/>
      <c r="AU607" s="8">
        <v>0</v>
      </c>
      <c r="AV607" s="8"/>
      <c r="AW607" s="8">
        <f t="shared" si="36"/>
        <v>12970081</v>
      </c>
      <c r="AY607" s="8">
        <f>+'St of Activites - GA Rev'!AI609-'St of Activities - GA Exp'!AW607</f>
        <v>-49672</v>
      </c>
      <c r="BA607" s="8">
        <v>15634666</v>
      </c>
      <c r="BC607" s="8">
        <f t="shared" si="37"/>
        <v>15584994</v>
      </c>
      <c r="BE607" s="8">
        <f>+'St of Net Assets - GA'!AA610-'St of Activities - GA Exp'!BC607</f>
        <v>0</v>
      </c>
    </row>
    <row r="608" spans="1:57">
      <c r="A608" s="12" t="s">
        <v>447</v>
      </c>
      <c r="B608" s="12"/>
      <c r="C608" s="12" t="s">
        <v>45</v>
      </c>
      <c r="D608" s="12"/>
      <c r="E608" s="32">
        <v>48397</v>
      </c>
      <c r="G608" s="8">
        <v>2868354</v>
      </c>
      <c r="H608" s="8"/>
      <c r="I608" s="8">
        <v>741534</v>
      </c>
      <c r="J608" s="8"/>
      <c r="K608" s="8">
        <v>115516</v>
      </c>
      <c r="L608" s="8"/>
      <c r="M608" s="8">
        <f>7241+45605</f>
        <v>52846</v>
      </c>
      <c r="N608" s="8"/>
      <c r="O608" s="8">
        <v>324272</v>
      </c>
      <c r="P608" s="8"/>
      <c r="Q608" s="8">
        <v>414075</v>
      </c>
      <c r="R608" s="8"/>
      <c r="S608" s="8">
        <v>21118</v>
      </c>
      <c r="T608" s="8"/>
      <c r="U608" s="8">
        <v>635805</v>
      </c>
      <c r="V608" s="8"/>
      <c r="W608" s="8">
        <v>250676</v>
      </c>
      <c r="X608" s="8"/>
      <c r="Y608" s="8">
        <v>26421</v>
      </c>
      <c r="Z608" s="8"/>
      <c r="AA608" s="8">
        <v>492259</v>
      </c>
      <c r="AB608" s="8"/>
      <c r="AC608" s="8">
        <v>433313</v>
      </c>
      <c r="AD608" s="8"/>
      <c r="AE608" s="8">
        <v>24507</v>
      </c>
      <c r="AF608" s="138"/>
      <c r="AG608" s="12" t="s">
        <v>447</v>
      </c>
      <c r="AH608" s="12"/>
      <c r="AI608" s="12" t="s">
        <v>45</v>
      </c>
      <c r="AJ608" s="12"/>
      <c r="AK608" s="8">
        <v>218471</v>
      </c>
      <c r="AL608" s="8"/>
      <c r="AM608" s="8">
        <v>0</v>
      </c>
      <c r="AN608" s="8"/>
      <c r="AO608" s="8">
        <v>411355</v>
      </c>
      <c r="AP608" s="8"/>
      <c r="AQ608" s="8">
        <v>149547</v>
      </c>
      <c r="AR608" s="8"/>
      <c r="AS608" s="8"/>
      <c r="AT608" s="8"/>
      <c r="AU608" s="8">
        <v>0</v>
      </c>
      <c r="AV608" s="8"/>
      <c r="AW608" s="8">
        <f t="shared" si="36"/>
        <v>7180069</v>
      </c>
      <c r="AY608" s="8">
        <f>+'St of Activites - GA Rev'!AI610-'St of Activities - GA Exp'!AW608</f>
        <v>12363105</v>
      </c>
      <c r="BA608" s="8">
        <v>3679754</v>
      </c>
      <c r="BC608" s="8">
        <f t="shared" si="37"/>
        <v>16042859</v>
      </c>
      <c r="BE608" s="8">
        <f>+'St of Net Assets - GA'!AA611-'St of Activities - GA Exp'!BC608</f>
        <v>0</v>
      </c>
    </row>
    <row r="609" spans="1:57">
      <c r="A609" s="12" t="s">
        <v>365</v>
      </c>
      <c r="B609" s="12"/>
      <c r="C609" s="12" t="s">
        <v>27</v>
      </c>
      <c r="D609" s="12"/>
      <c r="E609" s="32">
        <v>45047</v>
      </c>
      <c r="G609" s="8">
        <v>67210358</v>
      </c>
      <c r="H609" s="8"/>
      <c r="I609" s="8">
        <v>21788841</v>
      </c>
      <c r="J609" s="8"/>
      <c r="K609" s="8">
        <v>593157</v>
      </c>
      <c r="L609" s="8"/>
      <c r="M609" s="8">
        <v>4558042</v>
      </c>
      <c r="N609" s="8"/>
      <c r="O609" s="8">
        <v>11253575</v>
      </c>
      <c r="P609" s="8"/>
      <c r="Q609" s="8">
        <v>5541038</v>
      </c>
      <c r="R609" s="8"/>
      <c r="S609" s="8">
        <v>1456641</v>
      </c>
      <c r="T609" s="8"/>
      <c r="U609" s="8">
        <v>10791283</v>
      </c>
      <c r="V609" s="8"/>
      <c r="W609" s="8">
        <v>1632219</v>
      </c>
      <c r="X609" s="8"/>
      <c r="Y609" s="8">
        <v>988944</v>
      </c>
      <c r="Z609" s="8"/>
      <c r="AA609" s="8">
        <v>13624034</v>
      </c>
      <c r="AB609" s="8"/>
      <c r="AC609" s="8">
        <v>7987307</v>
      </c>
      <c r="AD609" s="8"/>
      <c r="AE609" s="8">
        <v>3514157</v>
      </c>
      <c r="AF609" s="138"/>
      <c r="AG609" s="12" t="s">
        <v>365</v>
      </c>
      <c r="AH609" s="12"/>
      <c r="AI609" s="12" t="s">
        <v>27</v>
      </c>
      <c r="AJ609" s="12"/>
      <c r="AK609" s="8">
        <v>4120885</v>
      </c>
      <c r="AL609" s="8"/>
      <c r="AM609" s="8">
        <f>239396+1190109</f>
        <v>1429505</v>
      </c>
      <c r="AN609" s="8"/>
      <c r="AO609" s="8">
        <v>2888932</v>
      </c>
      <c r="AP609" s="8"/>
      <c r="AQ609" s="8">
        <v>5566387</v>
      </c>
      <c r="AR609" s="8"/>
      <c r="AS609" s="8"/>
      <c r="AT609" s="8"/>
      <c r="AU609" s="8">
        <v>0</v>
      </c>
      <c r="AV609" s="8"/>
      <c r="AW609" s="8">
        <f t="shared" si="36"/>
        <v>164945305</v>
      </c>
      <c r="AY609" s="8">
        <f>+'St of Activites - GA Rev'!AI611-'St of Activities - GA Exp'!AW609</f>
        <v>-3186759</v>
      </c>
      <c r="BA609" s="8">
        <v>71298659</v>
      </c>
      <c r="BC609" s="8">
        <f t="shared" si="37"/>
        <v>68111900</v>
      </c>
      <c r="BE609" s="8">
        <f>+'St of Net Assets - GA'!AA612-'St of Activities - GA Exp'!BC609</f>
        <v>0</v>
      </c>
    </row>
    <row r="610" spans="1:57" ht="12" customHeight="1">
      <c r="A610" s="12" t="s">
        <v>584</v>
      </c>
      <c r="B610" s="12"/>
      <c r="C610" s="12" t="s">
        <v>54</v>
      </c>
      <c r="D610" s="12"/>
      <c r="E610" s="32">
        <v>49106</v>
      </c>
      <c r="G610" s="8">
        <v>7276745</v>
      </c>
      <c r="H610" s="8"/>
      <c r="I610" s="8">
        <v>1717592</v>
      </c>
      <c r="J610" s="8"/>
      <c r="K610" s="8">
        <v>32518</v>
      </c>
      <c r="L610" s="8"/>
      <c r="M610" s="8">
        <v>0</v>
      </c>
      <c r="N610" s="8"/>
      <c r="O610" s="8">
        <v>365553</v>
      </c>
      <c r="P610" s="8"/>
      <c r="Q610" s="8">
        <v>1057678</v>
      </c>
      <c r="R610" s="8"/>
      <c r="S610" s="8">
        <v>221474</v>
      </c>
      <c r="T610" s="8"/>
      <c r="U610" s="8">
        <v>1524365</v>
      </c>
      <c r="V610" s="8"/>
      <c r="W610" s="8">
        <v>392146</v>
      </c>
      <c r="X610" s="8"/>
      <c r="Y610" s="8">
        <v>63965</v>
      </c>
      <c r="Z610" s="8"/>
      <c r="AA610" s="8">
        <v>966138</v>
      </c>
      <c r="AB610" s="8"/>
      <c r="AC610" s="8">
        <v>1017480</v>
      </c>
      <c r="AD610" s="8"/>
      <c r="AE610" s="8">
        <v>64991</v>
      </c>
      <c r="AF610" s="138"/>
      <c r="AG610" s="12" t="s">
        <v>584</v>
      </c>
      <c r="AH610" s="12"/>
      <c r="AI610" s="12" t="s">
        <v>54</v>
      </c>
      <c r="AJ610" s="12"/>
      <c r="AK610" s="8">
        <v>0</v>
      </c>
      <c r="AL610" s="8"/>
      <c r="AM610" s="8">
        <v>582492</v>
      </c>
      <c r="AN610" s="8"/>
      <c r="AO610" s="8">
        <v>529702</v>
      </c>
      <c r="AP610" s="8"/>
      <c r="AQ610" s="8">
        <v>350191</v>
      </c>
      <c r="AR610" s="8"/>
      <c r="AS610" s="8"/>
      <c r="AT610" s="8"/>
      <c r="AU610" s="8">
        <v>0</v>
      </c>
      <c r="AV610" s="8"/>
      <c r="AW610" s="8">
        <f t="shared" si="36"/>
        <v>16163030</v>
      </c>
      <c r="AY610" s="8">
        <f>+'St of Activites - GA Rev'!AI612-'St of Activities - GA Exp'!AW610</f>
        <v>1335609</v>
      </c>
      <c r="BA610" s="8">
        <v>7050173</v>
      </c>
      <c r="BC610" s="8">
        <f t="shared" si="37"/>
        <v>8385782</v>
      </c>
      <c r="BE610" s="8">
        <f>+'St of Net Assets - GA'!AA613-'St of Activities - GA Exp'!BC610</f>
        <v>0</v>
      </c>
    </row>
    <row r="611" spans="1:57">
      <c r="A611" s="12" t="s">
        <v>325</v>
      </c>
      <c r="B611" s="12"/>
      <c r="C611" s="12" t="s">
        <v>20</v>
      </c>
      <c r="D611" s="12"/>
      <c r="E611" s="32">
        <v>45062</v>
      </c>
      <c r="G611" s="8">
        <v>22673208</v>
      </c>
      <c r="H611" s="8"/>
      <c r="I611" s="8">
        <v>4526920</v>
      </c>
      <c r="J611" s="8"/>
      <c r="K611" s="8">
        <v>455026</v>
      </c>
      <c r="L611" s="8"/>
      <c r="M611" s="8">
        <f>75909+1047544</f>
        <v>1123453</v>
      </c>
      <c r="N611" s="8"/>
      <c r="O611" s="8">
        <v>3471572</v>
      </c>
      <c r="P611" s="8"/>
      <c r="Q611" s="8">
        <v>3391280</v>
      </c>
      <c r="R611" s="8"/>
      <c r="S611" s="8">
        <v>34216</v>
      </c>
      <c r="T611" s="8"/>
      <c r="U611" s="8">
        <v>3117290</v>
      </c>
      <c r="V611" s="8"/>
      <c r="W611" s="8">
        <v>1164119</v>
      </c>
      <c r="X611" s="8"/>
      <c r="Y611" s="8">
        <v>467300</v>
      </c>
      <c r="Z611" s="8"/>
      <c r="AA611" s="8">
        <v>4560697</v>
      </c>
      <c r="AB611" s="8"/>
      <c r="AC611" s="8">
        <v>4196978</v>
      </c>
      <c r="AD611" s="8"/>
      <c r="AE611" s="8">
        <v>145385</v>
      </c>
      <c r="AF611" s="138"/>
      <c r="AG611" s="12" t="s">
        <v>325</v>
      </c>
      <c r="AH611" s="12"/>
      <c r="AI611" s="12" t="s">
        <v>20</v>
      </c>
      <c r="AJ611" s="12"/>
      <c r="AK611" s="8">
        <v>1171096</v>
      </c>
      <c r="AL611" s="8"/>
      <c r="AM611" s="8">
        <v>830827</v>
      </c>
      <c r="AN611" s="8"/>
      <c r="AO611" s="8">
        <v>1544201</v>
      </c>
      <c r="AP611" s="8"/>
      <c r="AQ611" s="8">
        <v>1050230</v>
      </c>
      <c r="AR611" s="8"/>
      <c r="AS611" s="8"/>
      <c r="AT611" s="8"/>
      <c r="AU611" s="8">
        <v>0</v>
      </c>
      <c r="AV611" s="8"/>
      <c r="AW611" s="8">
        <f t="shared" si="36"/>
        <v>53923798</v>
      </c>
      <c r="AY611" s="8">
        <f>+'St of Activites - GA Rev'!AI613-'St of Activities - GA Exp'!AW611</f>
        <v>4312957</v>
      </c>
      <c r="BA611" s="8">
        <v>39603319</v>
      </c>
      <c r="BC611" s="8">
        <f t="shared" si="37"/>
        <v>43916276</v>
      </c>
      <c r="BE611" s="8">
        <f>+'St of Net Assets - GA'!AA614-'St of Activities - GA Exp'!BC611</f>
        <v>0</v>
      </c>
    </row>
    <row r="612" spans="1:57">
      <c r="A612" s="12"/>
      <c r="B612" s="12"/>
      <c r="C612" s="12"/>
      <c r="D612" s="12"/>
      <c r="E612" s="32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138"/>
      <c r="AG612" s="12"/>
      <c r="AH612" s="12"/>
      <c r="AI612" s="12"/>
      <c r="AJ612" s="12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spans="1:57">
      <c r="A613" s="12"/>
      <c r="B613" s="12"/>
      <c r="C613" s="12"/>
      <c r="D613" s="12"/>
      <c r="E613" s="32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 t="s">
        <v>805</v>
      </c>
      <c r="AF613" s="138"/>
      <c r="AG613" s="12"/>
      <c r="AH613" s="12"/>
      <c r="AI613" s="12"/>
      <c r="AJ613" s="12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BC613" s="8" t="s">
        <v>805</v>
      </c>
    </row>
    <row r="614" spans="1:57">
      <c r="A614" s="12"/>
      <c r="B614" s="12"/>
      <c r="C614" s="12"/>
      <c r="D614" s="12"/>
      <c r="E614" s="32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138"/>
      <c r="AG614" s="12"/>
      <c r="AH614" s="12"/>
      <c r="AI614" s="12"/>
      <c r="AJ614" s="12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</row>
    <row r="615" spans="1:57">
      <c r="A615" s="12" t="s">
        <v>634</v>
      </c>
      <c r="B615" s="12"/>
      <c r="C615" s="12" t="s">
        <v>59</v>
      </c>
      <c r="D615" s="12"/>
      <c r="E615" s="32">
        <v>49668</v>
      </c>
      <c r="G615" s="35">
        <v>8453021</v>
      </c>
      <c r="H615" s="35"/>
      <c r="I615" s="35">
        <v>1727634</v>
      </c>
      <c r="J615" s="35"/>
      <c r="K615" s="35">
        <v>5377</v>
      </c>
      <c r="L615" s="35"/>
      <c r="M615" s="35">
        <v>23882</v>
      </c>
      <c r="N615" s="35"/>
      <c r="O615" s="35">
        <v>413328</v>
      </c>
      <c r="P615" s="35"/>
      <c r="Q615" s="35">
        <v>1123990</v>
      </c>
      <c r="R615" s="35"/>
      <c r="S615" s="35">
        <v>131700</v>
      </c>
      <c r="T615" s="35"/>
      <c r="U615" s="35">
        <v>1075032</v>
      </c>
      <c r="V615" s="35"/>
      <c r="W615" s="35">
        <v>440917</v>
      </c>
      <c r="X615" s="35"/>
      <c r="Y615" s="35">
        <v>0</v>
      </c>
      <c r="Z615" s="35"/>
      <c r="AA615" s="35">
        <v>1523211</v>
      </c>
      <c r="AB615" s="35"/>
      <c r="AC615" s="35">
        <v>518516</v>
      </c>
      <c r="AD615" s="35"/>
      <c r="AE615" s="35">
        <v>151271</v>
      </c>
      <c r="AF615" s="138"/>
      <c r="AG615" s="12" t="s">
        <v>634</v>
      </c>
      <c r="AH615" s="12"/>
      <c r="AI615" s="12" t="s">
        <v>59</v>
      </c>
      <c r="AJ615" s="12"/>
      <c r="AK615" s="35">
        <v>729031</v>
      </c>
      <c r="AL615" s="35"/>
      <c r="AM615" s="35">
        <v>95604</v>
      </c>
      <c r="AN615" s="35"/>
      <c r="AO615" s="35">
        <v>563910</v>
      </c>
      <c r="AP615" s="35"/>
      <c r="AQ615" s="35">
        <v>443868</v>
      </c>
      <c r="AR615" s="35"/>
      <c r="AS615" s="35"/>
      <c r="AT615" s="35"/>
      <c r="AU615" s="35">
        <v>0</v>
      </c>
      <c r="AV615" s="35"/>
      <c r="AW615" s="35">
        <f t="shared" si="36"/>
        <v>17420292</v>
      </c>
      <c r="AX615" s="35"/>
      <c r="AY615" s="35">
        <f>+'St of Activites - GA Rev'!AI614-'St of Activities - GA Exp'!AW615</f>
        <v>-2387216</v>
      </c>
      <c r="AZ615" s="35"/>
      <c r="BA615" s="35">
        <v>33876628</v>
      </c>
      <c r="BB615" s="35"/>
      <c r="BC615" s="35">
        <f t="shared" si="37"/>
        <v>31489412</v>
      </c>
      <c r="BE615" s="8">
        <f>+'St of Net Assets - GA'!AA615-'St of Activities - GA Exp'!BC615</f>
        <v>0</v>
      </c>
    </row>
    <row r="616" spans="1:57">
      <c r="A616" s="12" t="s">
        <v>366</v>
      </c>
      <c r="B616" s="12"/>
      <c r="C616" s="12" t="s">
        <v>27</v>
      </c>
      <c r="D616" s="12"/>
      <c r="E616" s="32">
        <v>45070</v>
      </c>
      <c r="G616" s="8">
        <v>14679059</v>
      </c>
      <c r="H616" s="8"/>
      <c r="I616" s="8">
        <v>6205649</v>
      </c>
      <c r="J616" s="8"/>
      <c r="K616" s="8">
        <v>693397</v>
      </c>
      <c r="L616" s="8"/>
      <c r="M616" s="8">
        <v>617054</v>
      </c>
      <c r="N616" s="8"/>
      <c r="O616" s="8">
        <v>1548954</v>
      </c>
      <c r="P616" s="8"/>
      <c r="Q616" s="8">
        <v>1596479</v>
      </c>
      <c r="R616" s="8"/>
      <c r="S616" s="8">
        <v>138932</v>
      </c>
      <c r="T616" s="8"/>
      <c r="U616" s="8">
        <v>2538605</v>
      </c>
      <c r="V616" s="8"/>
      <c r="W616" s="8">
        <v>0</v>
      </c>
      <c r="X616" s="8"/>
      <c r="Y616" s="8">
        <v>1155271</v>
      </c>
      <c r="Z616" s="8"/>
      <c r="AA616" s="8">
        <v>2560227</v>
      </c>
      <c r="AB616" s="8"/>
      <c r="AC616" s="8">
        <v>1307801</v>
      </c>
      <c r="AD616" s="8"/>
      <c r="AE616" s="8">
        <v>534103</v>
      </c>
      <c r="AF616" s="138"/>
      <c r="AG616" s="12" t="s">
        <v>366</v>
      </c>
      <c r="AH616" s="12"/>
      <c r="AI616" s="12" t="s">
        <v>27</v>
      </c>
      <c r="AJ616" s="12"/>
      <c r="AK616" s="8">
        <v>1074496</v>
      </c>
      <c r="AL616" s="8"/>
      <c r="AM616" s="8">
        <f>262219+27387</f>
        <v>289606</v>
      </c>
      <c r="AN616" s="8"/>
      <c r="AO616" s="8">
        <v>676600</v>
      </c>
      <c r="AP616" s="8"/>
      <c r="AQ616" s="8">
        <v>262703</v>
      </c>
      <c r="AR616" s="8"/>
      <c r="AS616" s="8"/>
      <c r="AT616" s="8"/>
      <c r="AU616" s="8">
        <v>0</v>
      </c>
      <c r="AV616" s="8"/>
      <c r="AW616" s="8">
        <f t="shared" si="36"/>
        <v>35878936</v>
      </c>
      <c r="AY616" s="8">
        <f>+'St of Activites - GA Rev'!AI615-'St of Activities - GA Exp'!AW616</f>
        <v>52578771</v>
      </c>
      <c r="BA616" s="8">
        <v>22370530</v>
      </c>
      <c r="BC616" s="8">
        <f t="shared" si="37"/>
        <v>74949301</v>
      </c>
      <c r="BE616" s="8">
        <f>+'St of Net Assets - GA'!AA616-'St of Activities - GA Exp'!BC616</f>
        <v>0</v>
      </c>
    </row>
    <row r="617" spans="1:57" ht="12" hidden="1" customHeight="1">
      <c r="A617" s="12" t="s">
        <v>844</v>
      </c>
      <c r="B617" s="12"/>
      <c r="C617" s="12" t="s">
        <v>41</v>
      </c>
      <c r="D617" s="12"/>
      <c r="E617" s="32">
        <v>45088</v>
      </c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138"/>
      <c r="AG617" s="12" t="s">
        <v>463</v>
      </c>
      <c r="AH617" s="12"/>
      <c r="AI617" s="12" t="s">
        <v>41</v>
      </c>
      <c r="AJ617" s="12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>
        <f t="shared" si="36"/>
        <v>0</v>
      </c>
      <c r="AY617" s="8">
        <f>+'St of Activites - GA Rev'!AI616-'St of Activities - GA Exp'!AW617</f>
        <v>0</v>
      </c>
      <c r="BC617" s="8">
        <f t="shared" si="37"/>
        <v>0</v>
      </c>
      <c r="BE617" s="8">
        <f>+'St of Net Assets - GA'!AA617-'St of Activities - GA Exp'!BC617</f>
        <v>0</v>
      </c>
    </row>
    <row r="618" spans="1:57">
      <c r="A618" s="12" t="s">
        <v>448</v>
      </c>
      <c r="B618" s="12"/>
      <c r="C618" s="12" t="s">
        <v>37</v>
      </c>
      <c r="D618" s="12"/>
      <c r="E618" s="32">
        <v>45096</v>
      </c>
      <c r="G618" s="8">
        <v>8012627</v>
      </c>
      <c r="H618" s="8"/>
      <c r="I618" s="8">
        <v>1547626</v>
      </c>
      <c r="J618" s="8"/>
      <c r="K618" s="8">
        <v>248235</v>
      </c>
      <c r="L618" s="8"/>
      <c r="M618" s="8">
        <v>2037062</v>
      </c>
      <c r="N618" s="8"/>
      <c r="O618" s="8">
        <v>816158</v>
      </c>
      <c r="P618" s="8"/>
      <c r="Q618" s="8">
        <v>782688</v>
      </c>
      <c r="R618" s="8"/>
      <c r="S618" s="8">
        <v>433389</v>
      </c>
      <c r="T618" s="8"/>
      <c r="U618" s="8">
        <v>1908321</v>
      </c>
      <c r="V618" s="8"/>
      <c r="W618" s="8">
        <v>388320</v>
      </c>
      <c r="X618" s="8"/>
      <c r="Y618" s="8">
        <v>41746</v>
      </c>
      <c r="Z618" s="8"/>
      <c r="AA618" s="8">
        <v>1511319</v>
      </c>
      <c r="AB618" s="8"/>
      <c r="AC618" s="8">
        <v>957503</v>
      </c>
      <c r="AD618" s="8"/>
      <c r="AE618" s="8">
        <v>5095</v>
      </c>
      <c r="AF618" s="138"/>
      <c r="AG618" s="12" t="s">
        <v>448</v>
      </c>
      <c r="AH618" s="12"/>
      <c r="AI618" s="12" t="s">
        <v>37</v>
      </c>
      <c r="AJ618" s="12"/>
      <c r="AK618" s="8">
        <v>869892</v>
      </c>
      <c r="AL618" s="8"/>
      <c r="AM618" s="8">
        <v>212903</v>
      </c>
      <c r="AN618" s="8"/>
      <c r="AO618" s="8">
        <v>677044</v>
      </c>
      <c r="AP618" s="8"/>
      <c r="AQ618" s="8">
        <v>168656</v>
      </c>
      <c r="AR618" s="8"/>
      <c r="AS618" s="8"/>
      <c r="AT618" s="8"/>
      <c r="AU618" s="8">
        <v>0</v>
      </c>
      <c r="AV618" s="8"/>
      <c r="AW618" s="8">
        <f t="shared" si="36"/>
        <v>20618584</v>
      </c>
      <c r="AY618" s="8">
        <f>+'St of Activites - GA Rev'!AI617-'St of Activities - GA Exp'!AW618</f>
        <v>-1085351</v>
      </c>
      <c r="BA618" s="8">
        <v>6528563</v>
      </c>
      <c r="BC618" s="8">
        <f t="shared" si="37"/>
        <v>5443212</v>
      </c>
      <c r="BE618" s="8">
        <f>+'St of Net Assets - GA'!AA618-'St of Activities - GA Exp'!BC618</f>
        <v>0</v>
      </c>
    </row>
    <row r="619" spans="1:57">
      <c r="A619" s="12" t="s">
        <v>273</v>
      </c>
      <c r="B619" s="12"/>
      <c r="C619" s="12" t="s">
        <v>115</v>
      </c>
      <c r="D619" s="12"/>
      <c r="E619" s="32">
        <v>46367</v>
      </c>
      <c r="G619" s="8">
        <v>4744667</v>
      </c>
      <c r="H619" s="8"/>
      <c r="I619" s="8">
        <v>1187294</v>
      </c>
      <c r="J619" s="8"/>
      <c r="K619" s="8">
        <v>85893</v>
      </c>
      <c r="L619" s="8"/>
      <c r="M619" s="8">
        <v>3120</v>
      </c>
      <c r="N619" s="8"/>
      <c r="O619" s="8">
        <v>393870</v>
      </c>
      <c r="P619" s="8"/>
      <c r="Q619" s="8">
        <v>473728</v>
      </c>
      <c r="R619" s="8"/>
      <c r="S619" s="8">
        <v>27149</v>
      </c>
      <c r="T619" s="8"/>
      <c r="U619" s="8">
        <v>719732</v>
      </c>
      <c r="V619" s="8"/>
      <c r="W619" s="8">
        <v>310643</v>
      </c>
      <c r="X619" s="8"/>
      <c r="Y619" s="8">
        <v>0</v>
      </c>
      <c r="Z619" s="8"/>
      <c r="AA619" s="8">
        <v>1098693</v>
      </c>
      <c r="AB619" s="8"/>
      <c r="AC619" s="8">
        <v>625695</v>
      </c>
      <c r="AD619" s="8"/>
      <c r="AE619" s="8">
        <v>3712</v>
      </c>
      <c r="AF619" s="138"/>
      <c r="AG619" s="12" t="s">
        <v>273</v>
      </c>
      <c r="AH619" s="12"/>
      <c r="AI619" s="12" t="s">
        <v>115</v>
      </c>
      <c r="AJ619" s="12"/>
      <c r="AK619" s="8">
        <v>507959</v>
      </c>
      <c r="AL619" s="8"/>
      <c r="AM619" s="8">
        <v>15634</v>
      </c>
      <c r="AN619" s="8"/>
      <c r="AO619" s="8">
        <v>305294</v>
      </c>
      <c r="AP619" s="8"/>
      <c r="AQ619" s="8">
        <v>114280</v>
      </c>
      <c r="AR619" s="8"/>
      <c r="AS619" s="8"/>
      <c r="AT619" s="8"/>
      <c r="AU619" s="8">
        <v>0</v>
      </c>
      <c r="AV619" s="8"/>
      <c r="AW619" s="8">
        <f t="shared" si="36"/>
        <v>10617363</v>
      </c>
      <c r="AY619" s="8">
        <f>+'St of Activites - GA Rev'!AI618-'St of Activities - GA Exp'!AW619</f>
        <v>-371897</v>
      </c>
      <c r="BA619" s="8">
        <v>9879893</v>
      </c>
      <c r="BC619" s="8">
        <f t="shared" si="37"/>
        <v>9507996</v>
      </c>
      <c r="BE619" s="8">
        <f>+'St of Net Assets - GA'!AA619-'St of Activities - GA Exp'!BC619</f>
        <v>0</v>
      </c>
    </row>
    <row r="620" spans="1:57">
      <c r="A620" s="12" t="s">
        <v>464</v>
      </c>
      <c r="B620" s="12"/>
      <c r="C620" s="12" t="s">
        <v>41</v>
      </c>
      <c r="D620" s="12"/>
      <c r="E620" s="32">
        <v>45104</v>
      </c>
      <c r="G620" s="8">
        <v>39421395</v>
      </c>
      <c r="H620" s="8"/>
      <c r="I620" s="8">
        <v>15497362</v>
      </c>
      <c r="J620" s="8"/>
      <c r="K620" s="8">
        <v>1310281</v>
      </c>
      <c r="L620" s="8"/>
      <c r="M620" s="8">
        <v>507373</v>
      </c>
      <c r="N620" s="8"/>
      <c r="O620" s="8">
        <v>5737009</v>
      </c>
      <c r="P620" s="8"/>
      <c r="Q620" s="8">
        <v>3708455</v>
      </c>
      <c r="R620" s="8"/>
      <c r="S620" s="8">
        <v>336841</v>
      </c>
      <c r="T620" s="8"/>
      <c r="U620" s="8">
        <v>4627691</v>
      </c>
      <c r="V620" s="8"/>
      <c r="W620" s="8">
        <v>1661275</v>
      </c>
      <c r="X620" s="8"/>
      <c r="Y620" s="8">
        <v>402554</v>
      </c>
      <c r="Z620" s="8"/>
      <c r="AA620" s="8">
        <v>9011201</v>
      </c>
      <c r="AB620" s="8"/>
      <c r="AC620" s="8">
        <v>6891852</v>
      </c>
      <c r="AD620" s="8"/>
      <c r="AE620" s="8">
        <v>1248896</v>
      </c>
      <c r="AF620" s="138"/>
      <c r="AG620" s="12" t="s">
        <v>464</v>
      </c>
      <c r="AH620" s="12"/>
      <c r="AI620" s="12" t="s">
        <v>41</v>
      </c>
      <c r="AJ620" s="12"/>
      <c r="AK620" s="8">
        <v>2416059</v>
      </c>
      <c r="AL620" s="8"/>
      <c r="AM620" s="8">
        <v>1415116</v>
      </c>
      <c r="AN620" s="8"/>
      <c r="AO620" s="8">
        <v>2287103</v>
      </c>
      <c r="AP620" s="8"/>
      <c r="AQ620" s="8">
        <v>57448</v>
      </c>
      <c r="AR620" s="8"/>
      <c r="AS620" s="8"/>
      <c r="AT620" s="8"/>
      <c r="AU620" s="8">
        <v>0</v>
      </c>
      <c r="AV620" s="8"/>
      <c r="AW620" s="8">
        <f t="shared" si="36"/>
        <v>96537911</v>
      </c>
      <c r="AY620" s="8">
        <f>+'St of Activites - GA Rev'!AI619-'St of Activities - GA Exp'!AW620</f>
        <v>-3809875</v>
      </c>
      <c r="BA620" s="8">
        <v>29627247</v>
      </c>
      <c r="BC620" s="8">
        <f t="shared" si="37"/>
        <v>25817372</v>
      </c>
      <c r="BE620" s="8">
        <f>+'St of Net Assets - GA'!AA620-'St of Activities - GA Exp'!BC620</f>
        <v>0</v>
      </c>
    </row>
    <row r="621" spans="1:57">
      <c r="A621" s="12" t="s">
        <v>277</v>
      </c>
      <c r="B621" s="12"/>
      <c r="C621" s="12" t="s">
        <v>18</v>
      </c>
      <c r="D621" s="12"/>
      <c r="E621" s="32">
        <v>45112</v>
      </c>
      <c r="G621" s="8">
        <v>13261412</v>
      </c>
      <c r="H621" s="8"/>
      <c r="I621" s="8">
        <v>3139875</v>
      </c>
      <c r="J621" s="8"/>
      <c r="K621" s="8">
        <v>287418</v>
      </c>
      <c r="L621" s="8"/>
      <c r="M621" s="8">
        <v>462148</v>
      </c>
      <c r="N621" s="8"/>
      <c r="O621" s="8">
        <v>1271648</v>
      </c>
      <c r="P621" s="8"/>
      <c r="Q621" s="8">
        <v>1560236</v>
      </c>
      <c r="R621" s="8"/>
      <c r="S621" s="8">
        <v>240655</v>
      </c>
      <c r="T621" s="8"/>
      <c r="U621" s="8">
        <v>1626748</v>
      </c>
      <c r="V621" s="8"/>
      <c r="W621" s="8">
        <v>709215</v>
      </c>
      <c r="X621" s="8"/>
      <c r="Y621" s="8">
        <v>400786</v>
      </c>
      <c r="Z621" s="8"/>
      <c r="AA621" s="8">
        <v>1625234</v>
      </c>
      <c r="AB621" s="8"/>
      <c r="AC621" s="8">
        <v>1332405</v>
      </c>
      <c r="AD621" s="8"/>
      <c r="AE621" s="8">
        <v>243393</v>
      </c>
      <c r="AF621" s="138"/>
      <c r="AG621" s="12" t="s">
        <v>277</v>
      </c>
      <c r="AH621" s="12"/>
      <c r="AI621" s="12" t="s">
        <v>18</v>
      </c>
      <c r="AJ621" s="12"/>
      <c r="AK621" s="8">
        <v>0</v>
      </c>
      <c r="AL621" s="8"/>
      <c r="AM621" s="8">
        <v>1337596</v>
      </c>
      <c r="AN621" s="8"/>
      <c r="AO621" s="8">
        <v>585091</v>
      </c>
      <c r="AP621" s="8"/>
      <c r="AQ621" s="8">
        <v>422605</v>
      </c>
      <c r="AR621" s="8"/>
      <c r="AS621" s="8"/>
      <c r="AT621" s="8"/>
      <c r="AU621" s="8">
        <v>0</v>
      </c>
      <c r="AV621" s="8"/>
      <c r="AW621" s="8">
        <f t="shared" si="36"/>
        <v>28506465</v>
      </c>
      <c r="AY621" s="8">
        <f>+'St of Activites - GA Rev'!AI620-'St of Activities - GA Exp'!AW621</f>
        <v>1544422</v>
      </c>
      <c r="BA621" s="8">
        <v>17738612</v>
      </c>
      <c r="BC621" s="8">
        <f t="shared" si="37"/>
        <v>19283034</v>
      </c>
      <c r="BE621" s="8">
        <f>+'St of Net Assets - GA'!AA621-'St of Activities - GA Exp'!BC621</f>
        <v>0</v>
      </c>
    </row>
    <row r="622" spans="1:57">
      <c r="A622" s="12" t="s">
        <v>597</v>
      </c>
      <c r="B622" s="12"/>
      <c r="C622" s="12" t="s">
        <v>56</v>
      </c>
      <c r="D622" s="12"/>
      <c r="E622" s="32">
        <v>45666</v>
      </c>
      <c r="G622" s="8">
        <v>4185870</v>
      </c>
      <c r="H622" s="8"/>
      <c r="I622" s="8">
        <v>1536550</v>
      </c>
      <c r="J622" s="8"/>
      <c r="K622" s="8">
        <v>57098</v>
      </c>
      <c r="L622" s="8"/>
      <c r="M622" s="8">
        <f>700+50222</f>
        <v>50922</v>
      </c>
      <c r="N622" s="8"/>
      <c r="O622" s="8">
        <v>389960</v>
      </c>
      <c r="P622" s="8"/>
      <c r="Q622" s="8">
        <v>430633</v>
      </c>
      <c r="R622" s="8"/>
      <c r="S622" s="8">
        <v>32236</v>
      </c>
      <c r="T622" s="8"/>
      <c r="U622" s="8">
        <v>687494</v>
      </c>
      <c r="V622" s="8"/>
      <c r="W622" s="8">
        <v>199555</v>
      </c>
      <c r="X622" s="8"/>
      <c r="Y622" s="8">
        <v>10491</v>
      </c>
      <c r="Z622" s="8"/>
      <c r="AA622" s="8">
        <v>1015338</v>
      </c>
      <c r="AB622" s="8"/>
      <c r="AC622" s="8">
        <v>346988</v>
      </c>
      <c r="AD622" s="8"/>
      <c r="AE622" s="8">
        <v>39069</v>
      </c>
      <c r="AF622" s="138"/>
      <c r="AG622" s="12" t="s">
        <v>597</v>
      </c>
      <c r="AH622" s="12"/>
      <c r="AI622" s="12" t="s">
        <v>56</v>
      </c>
      <c r="AJ622" s="12"/>
      <c r="AK622" s="8">
        <v>384585</v>
      </c>
      <c r="AL622" s="8"/>
      <c r="AM622" s="8">
        <v>0</v>
      </c>
      <c r="AN622" s="8"/>
      <c r="AO622" s="8">
        <v>217591</v>
      </c>
      <c r="AP622" s="8"/>
      <c r="AQ622" s="8">
        <v>39094</v>
      </c>
      <c r="AR622" s="8"/>
      <c r="AS622" s="8"/>
      <c r="AT622" s="8"/>
      <c r="AU622" s="8">
        <v>0</v>
      </c>
      <c r="AV622" s="8"/>
      <c r="AW622" s="8">
        <f t="shared" si="36"/>
        <v>9623474</v>
      </c>
      <c r="AY622" s="8">
        <f>+'St of Activites - GA Rev'!AI621-'St of Activities - GA Exp'!AW622</f>
        <v>45284</v>
      </c>
      <c r="BA622" s="8">
        <v>21554440</v>
      </c>
      <c r="BC622" s="8">
        <f t="shared" si="37"/>
        <v>21599724</v>
      </c>
      <c r="BE622" s="8">
        <f>+'St of Net Assets - GA'!AA622-'St of Activities - GA Exp'!BC622</f>
        <v>0</v>
      </c>
    </row>
    <row r="623" spans="1:57">
      <c r="A623" s="12" t="s">
        <v>411</v>
      </c>
      <c r="B623" s="12"/>
      <c r="C623" s="12" t="s">
        <v>32</v>
      </c>
      <c r="D623" s="12"/>
      <c r="E623" s="32">
        <v>44081</v>
      </c>
      <c r="G623" s="8">
        <v>17518592</v>
      </c>
      <c r="H623" s="8"/>
      <c r="I623" s="8">
        <v>6272912</v>
      </c>
      <c r="J623" s="8"/>
      <c r="K623" s="8">
        <v>309401</v>
      </c>
      <c r="L623" s="8"/>
      <c r="M623" s="8">
        <v>798948</v>
      </c>
      <c r="N623" s="8"/>
      <c r="O623" s="8">
        <v>2299806</v>
      </c>
      <c r="P623" s="8"/>
      <c r="Q623" s="8">
        <v>3909668</v>
      </c>
      <c r="R623" s="8"/>
      <c r="S623" s="8">
        <v>76841</v>
      </c>
      <c r="T623" s="8"/>
      <c r="U623" s="8">
        <v>3463199</v>
      </c>
      <c r="V623" s="8"/>
      <c r="W623" s="8">
        <v>850403</v>
      </c>
      <c r="X623" s="8"/>
      <c r="Y623" s="8">
        <v>232267</v>
      </c>
      <c r="Z623" s="8"/>
      <c r="AA623" s="8">
        <v>4038741</v>
      </c>
      <c r="AB623" s="8"/>
      <c r="AC623" s="8">
        <v>2015866</v>
      </c>
      <c r="AD623" s="8"/>
      <c r="AE623" s="8">
        <v>939421</v>
      </c>
      <c r="AF623" s="138"/>
      <c r="AG623" s="12" t="s">
        <v>411</v>
      </c>
      <c r="AH623" s="12"/>
      <c r="AI623" s="12" t="s">
        <v>32</v>
      </c>
      <c r="AJ623" s="12"/>
      <c r="AK623" s="8">
        <v>0</v>
      </c>
      <c r="AL623" s="8"/>
      <c r="AM623" s="8">
        <v>1882428</v>
      </c>
      <c r="AN623" s="8"/>
      <c r="AO623" s="8">
        <v>857362</v>
      </c>
      <c r="AP623" s="8"/>
      <c r="AQ623" s="8">
        <v>230805</v>
      </c>
      <c r="AR623" s="8"/>
      <c r="AS623" s="8"/>
      <c r="AT623" s="8"/>
      <c r="AU623" s="8">
        <v>0</v>
      </c>
      <c r="AV623" s="8"/>
      <c r="AW623" s="8">
        <f t="shared" si="36"/>
        <v>45696660</v>
      </c>
      <c r="AY623" s="8">
        <f>+'St of Activites - GA Rev'!AI622-'St of Activities - GA Exp'!AW623</f>
        <v>-1048236</v>
      </c>
      <c r="BA623" s="8">
        <v>10608139</v>
      </c>
      <c r="BC623" s="8">
        <f t="shared" si="37"/>
        <v>9559903</v>
      </c>
      <c r="BE623" s="8">
        <f>+'St of Net Assets - GA'!AA623-'St of Activities - GA Exp'!BC623</f>
        <v>0</v>
      </c>
    </row>
    <row r="624" spans="1:57">
      <c r="A624" s="12" t="s">
        <v>720</v>
      </c>
      <c r="B624" s="12"/>
      <c r="C624" s="12" t="s">
        <v>70</v>
      </c>
      <c r="D624" s="12"/>
      <c r="E624" s="32">
        <v>50518</v>
      </c>
      <c r="G624" s="8">
        <v>2929562</v>
      </c>
      <c r="H624" s="8"/>
      <c r="I624" s="8">
        <v>466053</v>
      </c>
      <c r="J624" s="8"/>
      <c r="K624" s="8">
        <v>161287</v>
      </c>
      <c r="L624" s="8"/>
      <c r="M624" s="8">
        <v>0</v>
      </c>
      <c r="N624" s="8"/>
      <c r="O624" s="8">
        <v>209835</v>
      </c>
      <c r="P624" s="8"/>
      <c r="Q624" s="8">
        <v>509906</v>
      </c>
      <c r="R624" s="8"/>
      <c r="S624" s="8">
        <v>13163</v>
      </c>
      <c r="T624" s="8"/>
      <c r="U624" s="8">
        <v>460380</v>
      </c>
      <c r="V624" s="8"/>
      <c r="W624" s="8">
        <v>519503</v>
      </c>
      <c r="X624" s="8"/>
      <c r="Y624" s="8">
        <v>0</v>
      </c>
      <c r="Z624" s="8"/>
      <c r="AA624" s="8">
        <v>585179</v>
      </c>
      <c r="AB624" s="8"/>
      <c r="AC624" s="8">
        <v>406722</v>
      </c>
      <c r="AD624" s="8"/>
      <c r="AE624" s="8">
        <v>41605</v>
      </c>
      <c r="AF624" s="138"/>
      <c r="AG624" s="12" t="s">
        <v>720</v>
      </c>
      <c r="AH624" s="12"/>
      <c r="AI624" s="12" t="s">
        <v>70</v>
      </c>
      <c r="AJ624" s="12"/>
      <c r="AK624" s="8">
        <v>251741</v>
      </c>
      <c r="AL624" s="8"/>
      <c r="AM624" s="8">
        <v>5335</v>
      </c>
      <c r="AN624" s="8"/>
      <c r="AO624" s="8">
        <v>282540</v>
      </c>
      <c r="AP624" s="8"/>
      <c r="AQ624" s="8">
        <v>300096</v>
      </c>
      <c r="AR624" s="8"/>
      <c r="AS624" s="8"/>
      <c r="AT624" s="8"/>
      <c r="AU624" s="8">
        <v>0</v>
      </c>
      <c r="AV624" s="8"/>
      <c r="AW624" s="8">
        <f t="shared" si="36"/>
        <v>7142907</v>
      </c>
      <c r="AY624" s="8">
        <f>+'St of Activites - GA Rev'!AI623-'St of Activities - GA Exp'!AW624</f>
        <v>1586652</v>
      </c>
      <c r="BA624" s="8">
        <v>5642689</v>
      </c>
      <c r="BC624" s="8">
        <f t="shared" si="37"/>
        <v>7229341</v>
      </c>
      <c r="BE624" s="8">
        <f>+'St of Net Assets - GA'!AA624-'St of Activities - GA Exp'!BC624</f>
        <v>0</v>
      </c>
    </row>
    <row r="625" spans="1:57">
      <c r="A625" s="12" t="s">
        <v>625</v>
      </c>
      <c r="B625" s="12"/>
      <c r="C625" s="12" t="s">
        <v>79</v>
      </c>
      <c r="D625" s="12"/>
      <c r="E625" s="32">
        <v>49577</v>
      </c>
      <c r="G625" s="8">
        <v>5312329</v>
      </c>
      <c r="H625" s="8"/>
      <c r="I625" s="8">
        <v>797975</v>
      </c>
      <c r="J625" s="8"/>
      <c r="K625" s="8">
        <v>10415</v>
      </c>
      <c r="L625" s="8"/>
      <c r="M625" s="8">
        <v>1282</v>
      </c>
      <c r="N625" s="8"/>
      <c r="O625" s="8">
        <v>622897</v>
      </c>
      <c r="P625" s="8"/>
      <c r="Q625" s="8">
        <v>198385</v>
      </c>
      <c r="R625" s="8"/>
      <c r="S625" s="8">
        <v>51064</v>
      </c>
      <c r="T625" s="8"/>
      <c r="U625" s="8">
        <v>822980</v>
      </c>
      <c r="V625" s="8"/>
      <c r="W625" s="8">
        <v>337018</v>
      </c>
      <c r="X625" s="8"/>
      <c r="Y625" s="8">
        <v>0</v>
      </c>
      <c r="Z625" s="8"/>
      <c r="AA625" s="8">
        <v>954675</v>
      </c>
      <c r="AB625" s="8"/>
      <c r="AC625" s="8">
        <v>554273</v>
      </c>
      <c r="AD625" s="8"/>
      <c r="AE625" s="8">
        <v>2187</v>
      </c>
      <c r="AF625" s="138"/>
      <c r="AG625" s="12" t="s">
        <v>625</v>
      </c>
      <c r="AH625" s="12"/>
      <c r="AI625" s="12" t="s">
        <v>79</v>
      </c>
      <c r="AJ625" s="12"/>
      <c r="AK625" s="8">
        <v>370345</v>
      </c>
      <c r="AL625" s="8"/>
      <c r="AM625" s="8">
        <v>115297</v>
      </c>
      <c r="AN625" s="8"/>
      <c r="AO625" s="8">
        <v>378167</v>
      </c>
      <c r="AP625" s="8"/>
      <c r="AQ625" s="8">
        <v>31597</v>
      </c>
      <c r="AR625" s="8"/>
      <c r="AS625" s="8"/>
      <c r="AT625" s="8"/>
      <c r="AU625" s="8">
        <v>0</v>
      </c>
      <c r="AV625" s="8"/>
      <c r="AW625" s="8">
        <f t="shared" si="36"/>
        <v>10560886</v>
      </c>
      <c r="AY625" s="8">
        <f>+'St of Activites - GA Rev'!AI624-'St of Activities - GA Exp'!AW625</f>
        <v>-19246</v>
      </c>
      <c r="BA625" s="8">
        <v>5610173</v>
      </c>
      <c r="BC625" s="8">
        <f t="shared" si="37"/>
        <v>5590927</v>
      </c>
      <c r="BE625" s="8">
        <f>+'St of Net Assets - GA'!AA625-'St of Activities - GA Exp'!BC625</f>
        <v>0</v>
      </c>
    </row>
    <row r="626" spans="1:57">
      <c r="A626" s="12" t="s">
        <v>674</v>
      </c>
      <c r="B626" s="12"/>
      <c r="C626" s="12" t="s">
        <v>63</v>
      </c>
      <c r="D626" s="12"/>
      <c r="E626" s="32">
        <v>49973</v>
      </c>
      <c r="G626" s="8">
        <v>10308752</v>
      </c>
      <c r="H626" s="8"/>
      <c r="I626" s="8">
        <v>3187349</v>
      </c>
      <c r="J626" s="8"/>
      <c r="K626" s="8">
        <v>298174</v>
      </c>
      <c r="L626" s="8"/>
      <c r="M626" s="8">
        <v>410105</v>
      </c>
      <c r="N626" s="8"/>
      <c r="O626" s="8">
        <v>1314987</v>
      </c>
      <c r="P626" s="8"/>
      <c r="Q626" s="8">
        <v>564268</v>
      </c>
      <c r="R626" s="8"/>
      <c r="S626" s="8">
        <v>31968</v>
      </c>
      <c r="T626" s="8"/>
      <c r="U626" s="8">
        <v>2078351</v>
      </c>
      <c r="V626" s="8"/>
      <c r="W626" s="8">
        <v>600929</v>
      </c>
      <c r="X626" s="8"/>
      <c r="Y626" s="8">
        <v>4130</v>
      </c>
      <c r="Z626" s="8"/>
      <c r="AA626" s="8">
        <v>1762323</v>
      </c>
      <c r="AB626" s="8"/>
      <c r="AC626" s="8">
        <v>1592672</v>
      </c>
      <c r="AD626" s="8"/>
      <c r="AE626" s="8">
        <v>193480</v>
      </c>
      <c r="AF626" s="138"/>
      <c r="AG626" s="12" t="s">
        <v>674</v>
      </c>
      <c r="AH626" s="12"/>
      <c r="AI626" s="12" t="s">
        <v>63</v>
      </c>
      <c r="AJ626" s="12"/>
      <c r="AK626" s="8">
        <v>772013</v>
      </c>
      <c r="AL626" s="8"/>
      <c r="AM626" s="8">
        <v>18784</v>
      </c>
      <c r="AN626" s="8"/>
      <c r="AO626" s="8">
        <v>754397</v>
      </c>
      <c r="AP626" s="8"/>
      <c r="AQ626" s="8">
        <v>777080</v>
      </c>
      <c r="AR626" s="8"/>
      <c r="AS626" s="8"/>
      <c r="AT626" s="8"/>
      <c r="AU626" s="8">
        <v>0</v>
      </c>
      <c r="AV626" s="8"/>
      <c r="AW626" s="8">
        <f t="shared" si="36"/>
        <v>24669762</v>
      </c>
      <c r="AY626" s="8">
        <f>+'St of Activites - GA Rev'!AI625-'St of Activities - GA Exp'!AW626</f>
        <v>1023601</v>
      </c>
      <c r="BA626" s="8">
        <v>10153574</v>
      </c>
      <c r="BC626" s="8">
        <f t="shared" si="37"/>
        <v>11177175</v>
      </c>
      <c r="BE626" s="8">
        <f>+'St of Net Assets - GA'!AA626-'St of Activities - GA Exp'!BC626</f>
        <v>0</v>
      </c>
    </row>
    <row r="627" spans="1:57">
      <c r="A627" s="12" t="s">
        <v>845</v>
      </c>
      <c r="B627" s="12"/>
      <c r="C627" s="12" t="s">
        <v>71</v>
      </c>
      <c r="D627" s="12"/>
      <c r="E627" s="32">
        <v>45138</v>
      </c>
      <c r="G627" s="8">
        <v>18072011</v>
      </c>
      <c r="H627" s="8"/>
      <c r="I627" s="8">
        <v>5046875</v>
      </c>
      <c r="J627" s="8"/>
      <c r="K627" s="8">
        <v>381475</v>
      </c>
      <c r="L627" s="8"/>
      <c r="M627" s="8">
        <f>235590+2491509</f>
        <v>2727099</v>
      </c>
      <c r="N627" s="8"/>
      <c r="O627" s="8">
        <v>2167130</v>
      </c>
      <c r="P627" s="8"/>
      <c r="Q627" s="8">
        <v>2193279</v>
      </c>
      <c r="R627" s="8"/>
      <c r="S627" s="8">
        <v>126063</v>
      </c>
      <c r="T627" s="8"/>
      <c r="U627" s="8">
        <v>3221457</v>
      </c>
      <c r="V627" s="8"/>
      <c r="W627" s="8">
        <v>941982</v>
      </c>
      <c r="X627" s="8"/>
      <c r="Y627" s="8">
        <v>218502</v>
      </c>
      <c r="Z627" s="8"/>
      <c r="AA627" s="8">
        <v>4143312</v>
      </c>
      <c r="AB627" s="8"/>
      <c r="AC627" s="8">
        <v>2177702</v>
      </c>
      <c r="AD627" s="8"/>
      <c r="AE627" s="8">
        <v>481794</v>
      </c>
      <c r="AF627" s="138"/>
      <c r="AG627" s="12" t="s">
        <v>845</v>
      </c>
      <c r="AH627" s="12"/>
      <c r="AI627" s="12" t="s">
        <v>71</v>
      </c>
      <c r="AJ627" s="12"/>
      <c r="AK627" s="8">
        <v>1616687</v>
      </c>
      <c r="AL627" s="8"/>
      <c r="AM627" s="8">
        <f>505054+5465+2212873+272028</f>
        <v>2995420</v>
      </c>
      <c r="AN627" s="8"/>
      <c r="AO627" s="8">
        <v>586273</v>
      </c>
      <c r="AP627" s="8"/>
      <c r="AQ627" s="8">
        <v>1350568</v>
      </c>
      <c r="AR627" s="8"/>
      <c r="AS627" s="8"/>
      <c r="AT627" s="8"/>
      <c r="AU627" s="8">
        <v>90356</v>
      </c>
      <c r="AV627" s="8"/>
      <c r="AW627" s="8">
        <f t="shared" si="36"/>
        <v>48537985</v>
      </c>
      <c r="AY627" s="8">
        <f>+'St of Activites - GA Rev'!AI626-'St of Activities - GA Exp'!AW627</f>
        <v>418115</v>
      </c>
      <c r="BA627" s="8">
        <v>38882103</v>
      </c>
      <c r="BC627" s="8">
        <f t="shared" si="37"/>
        <v>39300218</v>
      </c>
      <c r="BE627" s="8">
        <f>+'St of Net Assets - GA'!AA627-'St of Activities - GA Exp'!BC627</f>
        <v>0</v>
      </c>
    </row>
    <row r="628" spans="1:57" ht="12" customHeight="1">
      <c r="A628" s="12" t="s">
        <v>367</v>
      </c>
      <c r="B628" s="12"/>
      <c r="C628" s="12" t="s">
        <v>27</v>
      </c>
      <c r="D628" s="12"/>
      <c r="E628" s="32">
        <v>46524</v>
      </c>
      <c r="G628" s="8">
        <v>61356074</v>
      </c>
      <c r="H628" s="8"/>
      <c r="I628" s="8">
        <v>12783580</v>
      </c>
      <c r="J628" s="8"/>
      <c r="K628" s="8">
        <v>923941</v>
      </c>
      <c r="L628" s="8"/>
      <c r="M628" s="8">
        <v>2508</v>
      </c>
      <c r="N628" s="8"/>
      <c r="O628" s="8">
        <v>6094672</v>
      </c>
      <c r="P628" s="8"/>
      <c r="Q628" s="8">
        <v>9794594</v>
      </c>
      <c r="R628" s="8"/>
      <c r="S628" s="8">
        <v>40799</v>
      </c>
      <c r="T628" s="8"/>
      <c r="U628" s="8">
        <v>9308941</v>
      </c>
      <c r="V628" s="8"/>
      <c r="W628" s="8">
        <v>0</v>
      </c>
      <c r="X628" s="8"/>
      <c r="Y628" s="8">
        <v>2552624</v>
      </c>
      <c r="Z628" s="8"/>
      <c r="AA628" s="8">
        <v>12866886</v>
      </c>
      <c r="AB628" s="8"/>
      <c r="AC628" s="8">
        <v>4102356</v>
      </c>
      <c r="AD628" s="8"/>
      <c r="AE628" s="8">
        <v>968993</v>
      </c>
      <c r="AF628" s="138"/>
      <c r="AG628" s="12" t="s">
        <v>367</v>
      </c>
      <c r="AH628" s="12"/>
      <c r="AI628" s="12" t="s">
        <v>27</v>
      </c>
      <c r="AJ628" s="12"/>
      <c r="AK628" s="8">
        <v>3375873</v>
      </c>
      <c r="AL628" s="8"/>
      <c r="AM628" s="8">
        <v>1777357</v>
      </c>
      <c r="AN628" s="8"/>
      <c r="AO628" s="8">
        <v>2302894</v>
      </c>
      <c r="AP628" s="8"/>
      <c r="AQ628" s="8">
        <v>2629246</v>
      </c>
      <c r="AR628" s="8"/>
      <c r="AS628" s="8"/>
      <c r="AT628" s="8"/>
      <c r="AU628" s="8">
        <v>0</v>
      </c>
      <c r="AV628" s="8"/>
      <c r="AW628" s="8">
        <f t="shared" si="36"/>
        <v>130881338</v>
      </c>
      <c r="AY628" s="8">
        <f>+'St of Activites - GA Rev'!AI627-'St of Activities - GA Exp'!AW628</f>
        <v>-1267993</v>
      </c>
      <c r="BA628" s="8">
        <v>77267888</v>
      </c>
      <c r="BC628" s="8">
        <f t="shared" si="37"/>
        <v>75999895</v>
      </c>
      <c r="BE628" s="8">
        <f>+'St of Net Assets - GA'!AA628-'St of Activities - GA Exp'!BC628</f>
        <v>0</v>
      </c>
    </row>
    <row r="629" spans="1:57">
      <c r="A629" s="12" t="s">
        <v>295</v>
      </c>
      <c r="B629" s="12"/>
      <c r="C629" s="12" t="s">
        <v>113</v>
      </c>
      <c r="D629" s="12"/>
      <c r="E629" s="32">
        <v>45146</v>
      </c>
      <c r="G629" s="8">
        <v>4754776</v>
      </c>
      <c r="H629" s="8"/>
      <c r="I629" s="8">
        <v>1213008</v>
      </c>
      <c r="J629" s="8"/>
      <c r="K629" s="8">
        <v>4702</v>
      </c>
      <c r="L629" s="8"/>
      <c r="M629" s="8">
        <v>543423</v>
      </c>
      <c r="N629" s="8"/>
      <c r="O629" s="8">
        <v>1079149</v>
      </c>
      <c r="P629" s="8"/>
      <c r="Q629" s="8">
        <v>333799</v>
      </c>
      <c r="R629" s="8"/>
      <c r="S629" s="8">
        <v>7202</v>
      </c>
      <c r="T629" s="8"/>
      <c r="U629" s="8">
        <v>790389</v>
      </c>
      <c r="V629" s="8"/>
      <c r="W629" s="8">
        <v>396980</v>
      </c>
      <c r="X629" s="8"/>
      <c r="Y629" s="8">
        <v>13760</v>
      </c>
      <c r="Z629" s="8"/>
      <c r="AA629" s="8">
        <v>745107</v>
      </c>
      <c r="AB629" s="8"/>
      <c r="AC629" s="8">
        <v>695325</v>
      </c>
      <c r="AD629" s="8"/>
      <c r="AE629" s="8">
        <v>42726</v>
      </c>
      <c r="AF629" s="138"/>
      <c r="AG629" s="12" t="s">
        <v>295</v>
      </c>
      <c r="AH629" s="12"/>
      <c r="AI629" s="12" t="s">
        <v>113</v>
      </c>
      <c r="AJ629" s="12"/>
      <c r="AK629" s="8">
        <v>532153</v>
      </c>
      <c r="AL629" s="8"/>
      <c r="AM629" s="8">
        <v>600</v>
      </c>
      <c r="AN629" s="8"/>
      <c r="AO629" s="8">
        <v>362860</v>
      </c>
      <c r="AP629" s="8"/>
      <c r="AQ629" s="8">
        <v>291056</v>
      </c>
      <c r="AR629" s="8"/>
      <c r="AS629" s="8"/>
      <c r="AT629" s="8"/>
      <c r="AU629" s="8">
        <v>0</v>
      </c>
      <c r="AV629" s="8"/>
      <c r="AW629" s="8">
        <f t="shared" si="36"/>
        <v>11807015</v>
      </c>
      <c r="AY629" s="8">
        <f>+'St of Activites - GA Rev'!AI628-'St of Activities - GA Exp'!AW629</f>
        <v>-201984</v>
      </c>
      <c r="BA629" s="8">
        <v>4571715</v>
      </c>
      <c r="BC629" s="8">
        <f t="shared" si="37"/>
        <v>4369731</v>
      </c>
      <c r="BE629" s="8">
        <f>+'St of Net Assets - GA'!AA629-'St of Activities - GA Exp'!BC629</f>
        <v>0</v>
      </c>
    </row>
    <row r="630" spans="1:57" ht="12" customHeight="1">
      <c r="A630" s="12" t="s">
        <v>412</v>
      </c>
      <c r="B630" s="12"/>
      <c r="C630" s="12" t="s">
        <v>32</v>
      </c>
      <c r="D630" s="12"/>
      <c r="E630" s="32">
        <v>45153</v>
      </c>
      <c r="G630" s="8">
        <v>11087325</v>
      </c>
      <c r="H630" s="8"/>
      <c r="I630" s="8">
        <v>2210010</v>
      </c>
      <c r="J630" s="8"/>
      <c r="K630" s="8">
        <v>111788</v>
      </c>
      <c r="L630" s="8"/>
      <c r="M630" s="8">
        <v>8126</v>
      </c>
      <c r="N630" s="8"/>
      <c r="O630" s="8">
        <v>1722324</v>
      </c>
      <c r="P630" s="8"/>
      <c r="Q630" s="8">
        <v>1260675</v>
      </c>
      <c r="R630" s="8"/>
      <c r="S630" s="8">
        <v>243814</v>
      </c>
      <c r="T630" s="8"/>
      <c r="U630" s="8">
        <v>1661993</v>
      </c>
      <c r="V630" s="8"/>
      <c r="W630" s="8">
        <v>921145</v>
      </c>
      <c r="X630" s="8"/>
      <c r="Y630" s="8">
        <v>1669</v>
      </c>
      <c r="Z630" s="8"/>
      <c r="AA630" s="8">
        <v>2131820</v>
      </c>
      <c r="AB630" s="8"/>
      <c r="AC630" s="8">
        <v>496028</v>
      </c>
      <c r="AD630" s="8"/>
      <c r="AE630" s="8">
        <v>158061</v>
      </c>
      <c r="AF630" s="138"/>
      <c r="AG630" s="12" t="s">
        <v>412</v>
      </c>
      <c r="AH630" s="12"/>
      <c r="AI630" s="12" t="s">
        <v>32</v>
      </c>
      <c r="AJ630" s="12"/>
      <c r="AK630" s="8">
        <v>0</v>
      </c>
      <c r="AL630" s="8"/>
      <c r="AM630" s="8">
        <v>778503</v>
      </c>
      <c r="AN630" s="8"/>
      <c r="AO630" s="8">
        <v>784345</v>
      </c>
      <c r="AP630" s="8"/>
      <c r="AQ630" s="8">
        <v>1098621</v>
      </c>
      <c r="AR630" s="8"/>
      <c r="AS630" s="8"/>
      <c r="AT630" s="8"/>
      <c r="AU630" s="8">
        <v>0</v>
      </c>
      <c r="AV630" s="8"/>
      <c r="AW630" s="8">
        <f t="shared" si="36"/>
        <v>24676247</v>
      </c>
      <c r="AY630" s="8">
        <f>+'St of Activites - GA Rev'!AI629-'St of Activities - GA Exp'!AW630</f>
        <v>1864026</v>
      </c>
      <c r="BA630" s="8">
        <v>12080325</v>
      </c>
      <c r="BC630" s="8">
        <f t="shared" si="37"/>
        <v>13944351</v>
      </c>
      <c r="BE630" s="8">
        <f>+'St of Net Assets - GA'!AA630-'St of Activities - GA Exp'!BC630</f>
        <v>0</v>
      </c>
    </row>
    <row r="631" spans="1:57">
      <c r="A631" s="12" t="s">
        <v>388</v>
      </c>
      <c r="B631" s="12"/>
      <c r="C631" s="12" t="s">
        <v>116</v>
      </c>
      <c r="D631" s="12"/>
      <c r="E631" s="32">
        <v>45674</v>
      </c>
      <c r="G631" s="8">
        <v>3520106</v>
      </c>
      <c r="H631" s="8"/>
      <c r="I631" s="8">
        <v>672004</v>
      </c>
      <c r="J631" s="8"/>
      <c r="K631" s="8">
        <v>0</v>
      </c>
      <c r="L631" s="8"/>
      <c r="M631" s="8">
        <f>2970+12307+153073</f>
        <v>168350</v>
      </c>
      <c r="N631" s="8"/>
      <c r="O631" s="8">
        <v>539965</v>
      </c>
      <c r="P631" s="8"/>
      <c r="Q631" s="8">
        <v>537212</v>
      </c>
      <c r="R631" s="8"/>
      <c r="S631" s="8">
        <v>28118</v>
      </c>
      <c r="T631" s="8"/>
      <c r="U631" s="8">
        <v>793852</v>
      </c>
      <c r="V631" s="8"/>
      <c r="W631" s="8">
        <v>351805</v>
      </c>
      <c r="X631" s="8"/>
      <c r="Y631" s="8">
        <v>2735</v>
      </c>
      <c r="Z631" s="8"/>
      <c r="AA631" s="8">
        <v>813626</v>
      </c>
      <c r="AB631" s="8"/>
      <c r="AC631" s="8">
        <v>286894</v>
      </c>
      <c r="AD631" s="8"/>
      <c r="AE631" s="8">
        <v>36182</v>
      </c>
      <c r="AF631" s="138"/>
      <c r="AG631" s="12" t="s">
        <v>388</v>
      </c>
      <c r="AH631" s="12"/>
      <c r="AI631" s="12" t="s">
        <v>116</v>
      </c>
      <c r="AJ631" s="12"/>
      <c r="AK631" s="8">
        <v>0</v>
      </c>
      <c r="AL631" s="8"/>
      <c r="AM631" s="8">
        <v>151681</v>
      </c>
      <c r="AN631" s="8"/>
      <c r="AO631" s="8">
        <v>282022</v>
      </c>
      <c r="AP631" s="8"/>
      <c r="AQ631" s="8">
        <v>171400</v>
      </c>
      <c r="AR631" s="8"/>
      <c r="AS631" s="8"/>
      <c r="AT631" s="8"/>
      <c r="AU631" s="8">
        <v>0</v>
      </c>
      <c r="AV631" s="8"/>
      <c r="AW631" s="8">
        <f t="shared" si="36"/>
        <v>8355952</v>
      </c>
      <c r="AY631" s="8">
        <f>+'St of Activites - GA Rev'!AI630-'St of Activities - GA Exp'!AW631</f>
        <v>25451</v>
      </c>
      <c r="BA631" s="8">
        <v>5453689</v>
      </c>
      <c r="BC631" s="8">
        <f t="shared" si="37"/>
        <v>5479140</v>
      </c>
      <c r="BE631" s="8">
        <f>+'St of Net Assets - GA'!AA631-'St of Activities - GA Exp'!BC631</f>
        <v>0</v>
      </c>
    </row>
    <row r="632" spans="1:57">
      <c r="A632" s="12" t="s">
        <v>519</v>
      </c>
      <c r="B632" s="12"/>
      <c r="C632" s="12" t="s">
        <v>45</v>
      </c>
      <c r="D632" s="12"/>
      <c r="E632" s="32">
        <v>45161</v>
      </c>
      <c r="G632" s="8">
        <v>50955911</v>
      </c>
      <c r="H632" s="8"/>
      <c r="I632" s="8">
        <v>14425937</v>
      </c>
      <c r="J632" s="8"/>
      <c r="K632" s="8">
        <v>3206945</v>
      </c>
      <c r="L632" s="8"/>
      <c r="M632" s="8">
        <f>356429+8559198</f>
        <v>8915627</v>
      </c>
      <c r="N632" s="8"/>
      <c r="O632" s="8">
        <v>6127585</v>
      </c>
      <c r="P632" s="8"/>
      <c r="Q632" s="8">
        <v>9225815</v>
      </c>
      <c r="R632" s="8"/>
      <c r="S632" s="8">
        <v>433461</v>
      </c>
      <c r="T632" s="8"/>
      <c r="U632" s="8">
        <v>7458041</v>
      </c>
      <c r="V632" s="8"/>
      <c r="W632" s="8">
        <v>1458078</v>
      </c>
      <c r="X632" s="8"/>
      <c r="Y632" s="8">
        <v>857196</v>
      </c>
      <c r="Z632" s="8"/>
      <c r="AA632" s="8">
        <v>12461855</v>
      </c>
      <c r="AB632" s="8"/>
      <c r="AC632" s="8">
        <v>5623107</v>
      </c>
      <c r="AD632" s="8"/>
      <c r="AE632" s="8">
        <v>997804</v>
      </c>
      <c r="AF632" s="138"/>
      <c r="AG632" s="12" t="s">
        <v>519</v>
      </c>
      <c r="AH632" s="12"/>
      <c r="AI632" s="12" t="s">
        <v>45</v>
      </c>
      <c r="AJ632" s="12"/>
      <c r="AK632" s="8">
        <v>3354136</v>
      </c>
      <c r="AL632" s="8"/>
      <c r="AM632" s="8">
        <v>1800014</v>
      </c>
      <c r="AN632" s="8"/>
      <c r="AO632" s="8">
        <v>1029574</v>
      </c>
      <c r="AP632" s="8"/>
      <c r="AQ632" s="8">
        <v>1348158</v>
      </c>
      <c r="AR632" s="8"/>
      <c r="AS632" s="8"/>
      <c r="AT632" s="8"/>
      <c r="AU632" s="8">
        <v>0</v>
      </c>
      <c r="AV632" s="8"/>
      <c r="AW632" s="8">
        <f t="shared" si="36"/>
        <v>129679244</v>
      </c>
      <c r="AY632" s="8">
        <f>+'St of Activites - GA Rev'!AI631-'St of Activities - GA Exp'!AW632</f>
        <v>4249888</v>
      </c>
      <c r="BA632" s="8">
        <v>133983760</v>
      </c>
      <c r="BC632" s="8">
        <f t="shared" si="37"/>
        <v>138233648</v>
      </c>
      <c r="BE632" s="8">
        <f>+'St of Net Assets - GA'!AA632-'St of Activities - GA Exp'!BC632</f>
        <v>0</v>
      </c>
    </row>
    <row r="633" spans="1:57">
      <c r="A633" s="12" t="s">
        <v>621</v>
      </c>
      <c r="B633" s="12"/>
      <c r="C633" s="12" t="s">
        <v>58</v>
      </c>
      <c r="D633" s="12"/>
      <c r="E633" s="32">
        <v>49544</v>
      </c>
      <c r="G633" s="8">
        <v>6463248</v>
      </c>
      <c r="H633" s="8"/>
      <c r="I633" s="8">
        <v>1306038</v>
      </c>
      <c r="J633" s="8"/>
      <c r="K633" s="8">
        <v>9989</v>
      </c>
      <c r="L633" s="8"/>
      <c r="M633" s="8">
        <v>140700</v>
      </c>
      <c r="N633" s="8"/>
      <c r="O633" s="8">
        <v>463445</v>
      </c>
      <c r="P633" s="8"/>
      <c r="Q633" s="8">
        <v>498263</v>
      </c>
      <c r="R633" s="8"/>
      <c r="S633" s="8">
        <v>157325</v>
      </c>
      <c r="T633" s="8"/>
      <c r="U633" s="8">
        <v>768927</v>
      </c>
      <c r="V633" s="8"/>
      <c r="W633" s="8">
        <v>423560</v>
      </c>
      <c r="X633" s="8"/>
      <c r="Y633" s="8">
        <v>0</v>
      </c>
      <c r="Z633" s="8"/>
      <c r="AA633" s="8">
        <v>1823647</v>
      </c>
      <c r="AB633" s="8"/>
      <c r="AC633" s="8">
        <v>1018507</v>
      </c>
      <c r="AD633" s="8"/>
      <c r="AE633" s="8">
        <v>254764</v>
      </c>
      <c r="AF633" s="138"/>
      <c r="AG633" s="12" t="s">
        <v>621</v>
      </c>
      <c r="AH633" s="12"/>
      <c r="AI633" s="12" t="s">
        <v>58</v>
      </c>
      <c r="AJ633" s="12"/>
      <c r="AK633" s="8">
        <v>0</v>
      </c>
      <c r="AL633" s="8"/>
      <c r="AM633" s="8">
        <v>641766</v>
      </c>
      <c r="AN633" s="8"/>
      <c r="AO633" s="8">
        <v>414798</v>
      </c>
      <c r="AP633" s="8"/>
      <c r="AQ633" s="8">
        <v>338719</v>
      </c>
      <c r="AR633" s="8"/>
      <c r="AS633" s="8"/>
      <c r="AT633" s="8"/>
      <c r="AU633" s="8">
        <v>0</v>
      </c>
      <c r="AV633" s="8"/>
      <c r="AW633" s="8">
        <f t="shared" si="36"/>
        <v>14723696</v>
      </c>
      <c r="AY633" s="8">
        <f>+'St of Activites - GA Rev'!AI632-'St of Activities - GA Exp'!AW633</f>
        <v>-687017</v>
      </c>
      <c r="BA633" s="8">
        <v>15917654</v>
      </c>
      <c r="BC633" s="8">
        <f t="shared" si="37"/>
        <v>15230637</v>
      </c>
      <c r="BE633" s="8">
        <f>+'St of Net Assets - GA'!AA633-'St of Activities - GA Exp'!BC633</f>
        <v>0</v>
      </c>
    </row>
    <row r="634" spans="1:57">
      <c r="A634" s="12" t="s">
        <v>568</v>
      </c>
      <c r="B634" s="12"/>
      <c r="C634" s="12" t="s">
        <v>51</v>
      </c>
      <c r="D634" s="12"/>
      <c r="E634" s="32">
        <v>45179</v>
      </c>
      <c r="G634" s="8">
        <v>15731830</v>
      </c>
      <c r="H634" s="8"/>
      <c r="I634" s="8">
        <v>6143885</v>
      </c>
      <c r="J634" s="8"/>
      <c r="K634" s="8">
        <v>348139</v>
      </c>
      <c r="L634" s="8"/>
      <c r="M634" s="8">
        <v>1416419</v>
      </c>
      <c r="N634" s="8"/>
      <c r="O634" s="8">
        <v>2504852</v>
      </c>
      <c r="P634" s="8"/>
      <c r="Q634" s="8">
        <v>3204093</v>
      </c>
      <c r="R634" s="8"/>
      <c r="S634" s="8">
        <v>138018</v>
      </c>
      <c r="T634" s="8"/>
      <c r="U634" s="8">
        <v>2475959</v>
      </c>
      <c r="V634" s="8"/>
      <c r="W634" s="8">
        <v>659975</v>
      </c>
      <c r="X634" s="8"/>
      <c r="Y634" s="8">
        <v>0</v>
      </c>
      <c r="Z634" s="8"/>
      <c r="AA634" s="8">
        <v>3446426</v>
      </c>
      <c r="AB634" s="8"/>
      <c r="AC634" s="8">
        <v>1183458</v>
      </c>
      <c r="AD634" s="8"/>
      <c r="AE634" s="8">
        <v>686487</v>
      </c>
      <c r="AF634" s="138"/>
      <c r="AG634" s="12" t="s">
        <v>568</v>
      </c>
      <c r="AH634" s="12"/>
      <c r="AI634" s="12" t="s">
        <v>51</v>
      </c>
      <c r="AJ634" s="12"/>
      <c r="AK634" s="8">
        <v>1912687</v>
      </c>
      <c r="AL634" s="8"/>
      <c r="AM634" s="8">
        <v>392215</v>
      </c>
      <c r="AN634" s="8"/>
      <c r="AO634" s="8">
        <v>664576</v>
      </c>
      <c r="AP634" s="8"/>
      <c r="AQ634" s="8">
        <v>1543479</v>
      </c>
      <c r="AR634" s="8"/>
      <c r="AS634" s="8"/>
      <c r="AT634" s="8"/>
      <c r="AU634" s="8">
        <v>0</v>
      </c>
      <c r="AV634" s="8"/>
      <c r="AW634" s="8">
        <f t="shared" si="36"/>
        <v>42452498</v>
      </c>
      <c r="AY634" s="8">
        <f>+'St of Activites - GA Rev'!AI633-'St of Activities - GA Exp'!AW634</f>
        <v>4791805</v>
      </c>
      <c r="BA634" s="8">
        <v>64455029</v>
      </c>
      <c r="BC634" s="8">
        <f t="shared" si="37"/>
        <v>69246834</v>
      </c>
      <c r="BE634" s="8">
        <f>+'St of Net Assets - GA'!AA634-'St of Activities - GA Exp'!BC634</f>
        <v>0</v>
      </c>
    </row>
    <row r="635" spans="1:57">
      <c r="A635" s="12"/>
      <c r="B635" s="12"/>
      <c r="C635" s="12"/>
      <c r="D635" s="12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13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</row>
    <row r="636" spans="1:57"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13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</row>
    <row r="637" spans="1:57"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13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</row>
    <row r="638" spans="1:57"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13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</row>
    <row r="639" spans="1:57"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13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</row>
    <row r="640" spans="1:57"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13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</row>
    <row r="641" spans="1:48">
      <c r="A641" s="8"/>
      <c r="B641" s="8"/>
      <c r="C641" s="8"/>
      <c r="D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13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</row>
    <row r="642" spans="1:48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13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</row>
    <row r="643" spans="1:48"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13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</row>
    <row r="644" spans="1:48"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13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</row>
    <row r="645" spans="1:48"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13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</row>
    <row r="646" spans="1:48"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13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</row>
    <row r="647" spans="1:48"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13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</row>
    <row r="648" spans="1:48"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13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</row>
    <row r="649" spans="1:48"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13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</row>
    <row r="650" spans="1:48"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13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</row>
    <row r="651" spans="1:48"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13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</row>
    <row r="652" spans="1:48"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13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</row>
    <row r="653" spans="1:48"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13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</row>
    <row r="654" spans="1:48"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13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</row>
    <row r="655" spans="1:48"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13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</row>
    <row r="656" spans="1:48"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13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</row>
    <row r="657" spans="7:48"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13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</row>
    <row r="658" spans="7:48"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13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</row>
    <row r="659" spans="7:48"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13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</row>
    <row r="660" spans="7:48"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13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</row>
    <row r="661" spans="7:48"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13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</row>
    <row r="662" spans="7:48"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13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</row>
    <row r="663" spans="7:48"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13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</row>
    <row r="664" spans="7:48"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13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</row>
    <row r="665" spans="7:48"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13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</row>
    <row r="666" spans="7:48"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13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</row>
    <row r="667" spans="7:48"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13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</row>
    <row r="668" spans="7:48"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13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</row>
    <row r="669" spans="7:48"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13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</row>
    <row r="670" spans="7:48"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13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</row>
    <row r="671" spans="7:48"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13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</row>
    <row r="672" spans="7:48"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13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</row>
    <row r="673" spans="7:48"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13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</row>
    <row r="674" spans="7:48"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13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</row>
    <row r="675" spans="7:48"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13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</row>
    <row r="676" spans="7:48"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13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</row>
    <row r="677" spans="7:48"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13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</row>
    <row r="678" spans="7:48"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13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</row>
    <row r="679" spans="7:48"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13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</row>
    <row r="680" spans="7:48"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13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</row>
    <row r="681" spans="7:48"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13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</row>
    <row r="682" spans="7:48"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13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</row>
    <row r="683" spans="7:48"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13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</row>
    <row r="684" spans="7:48"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13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</row>
    <row r="685" spans="7:48"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13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</row>
    <row r="686" spans="7:48"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13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</row>
    <row r="687" spans="7:48"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13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</row>
    <row r="688" spans="7:48"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13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</row>
    <row r="689" spans="7:48"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13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</row>
    <row r="690" spans="7:48"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13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</row>
    <row r="691" spans="7:48"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13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</row>
    <row r="692" spans="7:48"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13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</row>
    <row r="693" spans="7:48"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13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</row>
    <row r="694" spans="7:48"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13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</row>
    <row r="695" spans="7:48"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13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</row>
    <row r="696" spans="7:48"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13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</row>
    <row r="697" spans="7:48"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13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</row>
    <row r="698" spans="7:48"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13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</row>
    <row r="699" spans="7:48"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13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</row>
    <row r="700" spans="7:48"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13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</row>
    <row r="701" spans="7:48"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13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</row>
    <row r="702" spans="7:48"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13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</row>
    <row r="703" spans="7:48"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13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</row>
    <row r="704" spans="7:48"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13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</row>
    <row r="705" spans="7:48"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13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</row>
    <row r="706" spans="7:48"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13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</row>
    <row r="707" spans="7:48"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13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</row>
    <row r="708" spans="7:48"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13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</row>
    <row r="709" spans="7:48"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13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</row>
    <row r="710" spans="7:48"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13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</row>
    <row r="711" spans="7:48"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13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</row>
    <row r="712" spans="7:48"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13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</row>
    <row r="713" spans="7:48"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13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</row>
    <row r="714" spans="7:48"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13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</row>
    <row r="715" spans="7:48"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13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</row>
    <row r="716" spans="7:48"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13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</row>
    <row r="717" spans="7:48"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13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</row>
    <row r="718" spans="7:48"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13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</row>
    <row r="719" spans="7:48"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13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</row>
    <row r="720" spans="7:48"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13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</row>
    <row r="721" spans="7:48"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13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</row>
    <row r="722" spans="7:48"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13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</row>
    <row r="723" spans="7:48"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13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</row>
    <row r="724" spans="7:48"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13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</row>
    <row r="725" spans="7:48"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13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</row>
    <row r="726" spans="7:48"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13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</row>
    <row r="727" spans="7:48"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13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</row>
    <row r="728" spans="7:48"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13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</row>
    <row r="729" spans="7:48"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13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</row>
    <row r="730" spans="7:48"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13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</row>
    <row r="731" spans="7:48"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13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</row>
    <row r="732" spans="7:48"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13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</row>
    <row r="733" spans="7:48"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13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</row>
    <row r="734" spans="7:48"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13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</row>
    <row r="735" spans="7:48"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13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</row>
    <row r="736" spans="7:48"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13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</row>
    <row r="737" spans="7:48"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13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</row>
    <row r="738" spans="7:48"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13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</row>
    <row r="739" spans="7:48"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13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</row>
    <row r="740" spans="7:48"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13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</row>
    <row r="741" spans="7:48"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13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</row>
    <row r="742" spans="7:48"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13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</row>
    <row r="743" spans="7:48"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13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</row>
    <row r="744" spans="7:48"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13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</row>
    <row r="745" spans="7:48"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13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</row>
    <row r="746" spans="7:48"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13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</row>
    <row r="747" spans="7:48"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13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</row>
    <row r="748" spans="7:48"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13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</row>
    <row r="749" spans="7:48"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13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</row>
    <row r="750" spans="7:48"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13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</row>
    <row r="751" spans="7:48"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13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</row>
    <row r="752" spans="7:48"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13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</row>
    <row r="753" spans="7:48"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13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</row>
    <row r="754" spans="7:48"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13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</row>
    <row r="755" spans="7:48"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13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</row>
    <row r="756" spans="7:48"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13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</row>
    <row r="757" spans="7:48"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13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</row>
    <row r="758" spans="7:48"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13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</row>
    <row r="759" spans="7:48"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13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</row>
    <row r="760" spans="7:48"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13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</row>
    <row r="761" spans="7:48"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13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</row>
    <row r="762" spans="7:48"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13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</row>
    <row r="763" spans="7:48"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13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</row>
    <row r="764" spans="7:48"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13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</row>
    <row r="765" spans="7:48"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13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</row>
    <row r="766" spans="7:48"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13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</row>
    <row r="767" spans="7:48"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13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</row>
    <row r="768" spans="7:48"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13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</row>
    <row r="769" spans="7:48"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13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</row>
    <row r="770" spans="7:48"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13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</row>
    <row r="771" spans="7:48"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13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</row>
    <row r="772" spans="7:48"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13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</row>
    <row r="773" spans="7:48"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13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</row>
    <row r="774" spans="7:48"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13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</row>
    <row r="775" spans="7:48"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13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</row>
    <row r="776" spans="7:48"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13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</row>
    <row r="777" spans="7:48"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13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</row>
    <row r="778" spans="7:48"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13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</row>
    <row r="779" spans="7:48"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13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</row>
    <row r="780" spans="7:48"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13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</row>
    <row r="781" spans="7:48"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13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</row>
    <row r="782" spans="7:48"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13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</row>
    <row r="783" spans="7:48"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13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</row>
    <row r="784" spans="7:48"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13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</row>
    <row r="785" spans="7:48"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13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</row>
    <row r="786" spans="7:48"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13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</row>
    <row r="787" spans="7:48"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13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</row>
    <row r="788" spans="7:48"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13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</row>
    <row r="789" spans="7:48"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13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</row>
    <row r="790" spans="7:48"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13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</row>
    <row r="791" spans="7:48"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13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</row>
    <row r="792" spans="7:48"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13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</row>
    <row r="793" spans="7:48"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13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</row>
    <row r="794" spans="7:48"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13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</row>
    <row r="795" spans="7:48"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13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</row>
    <row r="796" spans="7:48"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13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</row>
    <row r="797" spans="7:48"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13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</row>
    <row r="798" spans="7:48"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13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</row>
    <row r="799" spans="7:48"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13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</row>
    <row r="800" spans="7:48"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13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</row>
    <row r="801" spans="7:48"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13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</row>
    <row r="802" spans="7:48"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13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</row>
    <row r="803" spans="7:48"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13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</row>
    <row r="804" spans="7:48"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13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</row>
    <row r="805" spans="7:48"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13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</row>
    <row r="806" spans="7:48"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13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</row>
    <row r="807" spans="7:48"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13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</row>
    <row r="808" spans="7:48"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13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</row>
    <row r="809" spans="7:48"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13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</row>
    <row r="810" spans="7:48"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13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</row>
    <row r="811" spans="7:48"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13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</row>
    <row r="812" spans="7:48"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13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spans="7:48"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13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</row>
    <row r="814" spans="7:48"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13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</row>
    <row r="815" spans="7:48"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13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</row>
    <row r="816" spans="7:48"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13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</row>
    <row r="817" spans="7:48"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13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</row>
    <row r="818" spans="7:48"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13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</row>
    <row r="819" spans="7:48"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13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</row>
    <row r="820" spans="7:48"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13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</row>
    <row r="821" spans="7:48"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13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</row>
    <row r="822" spans="7:48"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13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</row>
    <row r="823" spans="7:48"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13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</row>
    <row r="824" spans="7:48"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13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</row>
    <row r="825" spans="7:48"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13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</row>
    <row r="826" spans="7:48"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13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</row>
    <row r="827" spans="7:48"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13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</row>
    <row r="828" spans="7:48"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13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</row>
    <row r="829" spans="7:48"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13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</row>
    <row r="830" spans="7:48"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13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</row>
    <row r="831" spans="7:48"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13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</row>
    <row r="832" spans="7:48"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13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</row>
    <row r="833" spans="7:48"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13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</row>
    <row r="834" spans="7:48"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13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</row>
    <row r="835" spans="7:48"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13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</row>
    <row r="836" spans="7:48"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13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</row>
    <row r="837" spans="7:48"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13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</row>
    <row r="838" spans="7:48"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13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</row>
    <row r="839" spans="7:48"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13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</row>
    <row r="840" spans="7:48"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13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</row>
    <row r="841" spans="7:48"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13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</row>
    <row r="842" spans="7:48"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13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</row>
    <row r="843" spans="7:48"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13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</row>
    <row r="844" spans="7:48"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13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</row>
    <row r="845" spans="7:48"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13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</row>
    <row r="846" spans="7:48"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13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</row>
    <row r="847" spans="7:48"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13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</row>
    <row r="848" spans="7:48"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13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</row>
    <row r="849" spans="7:48"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13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</row>
    <row r="850" spans="7:48"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13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</row>
    <row r="851" spans="7:48"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13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</row>
    <row r="852" spans="7:48"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13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</row>
    <row r="853" spans="7:48"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13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</row>
    <row r="854" spans="7:48"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13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</row>
    <row r="855" spans="7:48"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13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</row>
    <row r="856" spans="7:48"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13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</row>
    <row r="857" spans="7:48"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13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</row>
    <row r="858" spans="7:48"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13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</row>
    <row r="859" spans="7:48"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13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</row>
    <row r="860" spans="7:48"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13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</row>
    <row r="861" spans="7:48"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13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</row>
    <row r="862" spans="7:48"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13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</row>
    <row r="863" spans="7:48"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13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</row>
    <row r="864" spans="7:48"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13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</row>
    <row r="865" spans="7:48"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13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</row>
    <row r="866" spans="7:48"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13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</row>
    <row r="867" spans="7:48"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13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</row>
    <row r="868" spans="7:48"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13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</row>
    <row r="869" spans="7:48"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13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</row>
    <row r="870" spans="7:48"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13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</row>
    <row r="871" spans="7:48"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13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</row>
    <row r="872" spans="7:48"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13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</row>
    <row r="873" spans="7:48"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13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</row>
    <row r="874" spans="7:48"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13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</row>
    <row r="875" spans="7:48"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13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</row>
    <row r="876" spans="7:48"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13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</row>
    <row r="877" spans="7:48"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13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</row>
    <row r="878" spans="7:48"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13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</row>
    <row r="879" spans="7:48"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13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</row>
    <row r="880" spans="7:48"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13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</row>
    <row r="881" spans="7:48"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13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</row>
    <row r="882" spans="7:48"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13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</row>
    <row r="883" spans="7:48"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13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</row>
    <row r="884" spans="7:48"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13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</row>
    <row r="885" spans="7:48"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13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</row>
    <row r="886" spans="7:48"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13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</row>
    <row r="887" spans="7:48"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13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</row>
    <row r="888" spans="7:48"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13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</row>
    <row r="889" spans="7:48"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13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</row>
    <row r="890" spans="7:48"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13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</row>
    <row r="891" spans="7:48"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13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</row>
    <row r="892" spans="7:48"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13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</row>
    <row r="893" spans="7:48"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13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</row>
    <row r="894" spans="7:48"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13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</row>
    <row r="895" spans="7:48"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13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</row>
    <row r="896" spans="7:48"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13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</row>
    <row r="897" spans="7:48"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13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</row>
    <row r="898" spans="7:48"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13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</row>
    <row r="899" spans="7:48"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13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</row>
    <row r="900" spans="7:48"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13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</row>
    <row r="901" spans="7:48"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13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</row>
    <row r="902" spans="7:48"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13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</row>
    <row r="903" spans="7:48"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13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</row>
    <row r="904" spans="7:48"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13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</row>
    <row r="905" spans="7:48"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13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</row>
    <row r="906" spans="7:48"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13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</row>
    <row r="907" spans="7:48"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13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</row>
    <row r="908" spans="7:48"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13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</row>
    <row r="909" spans="7:48"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13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</row>
    <row r="910" spans="7:48"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13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</row>
    <row r="911" spans="7:48"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13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</row>
    <row r="912" spans="7:48"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13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</row>
    <row r="913" spans="7:48"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13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</row>
    <row r="914" spans="7:48"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13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</row>
    <row r="915" spans="7:48"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13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</row>
    <row r="916" spans="7:48"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13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</row>
    <row r="917" spans="7:48"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13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</row>
    <row r="918" spans="7:48"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13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</row>
    <row r="919" spans="7:48"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13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</row>
    <row r="920" spans="7:48"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13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</row>
    <row r="921" spans="7:48"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13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</row>
    <row r="922" spans="7:48"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13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</row>
    <row r="923" spans="7:48"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13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</row>
    <row r="924" spans="7:48"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13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</row>
    <row r="925" spans="7:48"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13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</row>
    <row r="926" spans="7:48"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13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</row>
    <row r="927" spans="7:48"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13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</row>
    <row r="928" spans="7:48"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13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</row>
    <row r="929" spans="7:48"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13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</row>
    <row r="930" spans="7:48"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13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</row>
    <row r="931" spans="7:48"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13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</row>
    <row r="932" spans="7:48"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13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</row>
    <row r="933" spans="7:48"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13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</row>
    <row r="934" spans="7:48"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13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</row>
    <row r="935" spans="7:48"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13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</row>
    <row r="936" spans="7:48"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13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</row>
    <row r="937" spans="7:48"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13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</row>
    <row r="938" spans="7:48"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13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</row>
    <row r="939" spans="7:48"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13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</row>
    <row r="940" spans="7:48"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13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</row>
    <row r="941" spans="7:48"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13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</row>
    <row r="942" spans="7:48"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13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</row>
    <row r="943" spans="7:48"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13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</row>
    <row r="944" spans="7:48"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13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</row>
    <row r="945" spans="7:48"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13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</row>
    <row r="946" spans="7:48"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13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</row>
    <row r="947" spans="7:48"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13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</row>
    <row r="948" spans="7:48"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13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</row>
    <row r="949" spans="7:48"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13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</row>
    <row r="950" spans="7:48"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13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</row>
    <row r="951" spans="7:48"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13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</row>
    <row r="952" spans="7:48"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13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</row>
    <row r="953" spans="7:48"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13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</row>
    <row r="954" spans="7:48"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13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</row>
    <row r="955" spans="7:48"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13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</row>
    <row r="956" spans="7:48"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13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</row>
    <row r="957" spans="7:48"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13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</row>
    <row r="958" spans="7:48"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13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</row>
    <row r="959" spans="7:48"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13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</row>
    <row r="960" spans="7:48"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13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</row>
    <row r="961" spans="7:48"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13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</row>
    <row r="962" spans="7:48"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13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spans="7:48"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13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</row>
    <row r="964" spans="7:48"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13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</row>
    <row r="965" spans="7:48"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13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</row>
    <row r="966" spans="7:48"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13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</row>
    <row r="967" spans="7:48"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13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</row>
    <row r="968" spans="7:48"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13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</row>
    <row r="969" spans="7:48"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13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</row>
    <row r="970" spans="7:48"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13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</row>
    <row r="971" spans="7:48"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13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</row>
    <row r="972" spans="7:48"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13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</row>
    <row r="973" spans="7:48"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13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</row>
    <row r="974" spans="7:48"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13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</row>
    <row r="975" spans="7:48"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13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</row>
    <row r="976" spans="7:48"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13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</row>
    <row r="977" spans="7:48"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13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</row>
    <row r="978" spans="7:48"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13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</row>
    <row r="979" spans="7:48"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13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</row>
    <row r="980" spans="7:48"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13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</row>
    <row r="981" spans="7:48"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13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</row>
    <row r="982" spans="7:48"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13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</row>
    <row r="983" spans="7:48"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13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</row>
    <row r="984" spans="7:48"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13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</row>
    <row r="985" spans="7:48"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13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</row>
    <row r="986" spans="7:48"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13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</row>
    <row r="987" spans="7:48"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13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</row>
    <row r="988" spans="7:48"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13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</row>
    <row r="989" spans="7:48"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13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</row>
    <row r="990" spans="7:48"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13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</row>
    <row r="991" spans="7:48"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13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</row>
    <row r="992" spans="7:48"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13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</row>
    <row r="993" spans="7:48"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13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</row>
    <row r="994" spans="7:48"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13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</row>
    <row r="995" spans="7:48"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13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</row>
    <row r="996" spans="7:48"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13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</row>
    <row r="997" spans="7:48"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13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</row>
    <row r="998" spans="7:48"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13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</row>
    <row r="999" spans="7:48"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13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</row>
    <row r="1000" spans="7:48"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13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</row>
    <row r="1001" spans="7:48"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13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</row>
    <row r="1002" spans="7:48"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13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</row>
    <row r="1003" spans="7:48"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13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</row>
    <row r="1004" spans="7:48"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13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</row>
    <row r="1005" spans="7:48"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13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</row>
    <row r="1006" spans="7:48"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13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</row>
    <row r="1007" spans="7:48"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13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</row>
    <row r="1008" spans="7:48"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13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</row>
    <row r="1009" spans="7:48"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13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</row>
    <row r="1010" spans="7:48"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13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</row>
    <row r="1011" spans="7:48"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13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</row>
    <row r="1012" spans="7:48"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13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</row>
    <row r="1013" spans="7:48"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13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</row>
    <row r="1014" spans="7:48"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13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</row>
    <row r="1015" spans="7:48"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13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</row>
    <row r="1016" spans="7:48"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13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</row>
    <row r="1017" spans="7:48"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13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</row>
    <row r="1018" spans="7:48"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13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</row>
    <row r="1019" spans="7:48"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13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</row>
    <row r="1020" spans="7:48"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13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</row>
    <row r="1021" spans="7:48"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13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</row>
    <row r="1022" spans="7:48"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13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</row>
    <row r="1023" spans="7:48"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13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</row>
    <row r="1024" spans="7:48"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13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</row>
    <row r="1025" spans="7:48"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13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</row>
    <row r="1026" spans="7:48"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13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</row>
  </sheetData>
  <mergeCells count="3">
    <mergeCell ref="A1:L1"/>
    <mergeCell ref="A642:O642"/>
    <mergeCell ref="AG1:AR1"/>
  </mergeCells>
  <phoneticPr fontId="3" type="noConversion"/>
  <pageMargins left="0.75" right="0.75" top="0.5" bottom="0.75" header="0.25" footer="0.25"/>
  <pageSetup scale="80" firstPageNumber="44" fitToWidth="4" fitToHeight="18" pageOrder="overThenDown" orientation="portrait" useFirstPageNumber="1" r:id="rId1"/>
  <headerFooter alignWithMargins="0">
    <oddFooter>&amp;C&amp;"Times New Roman,Regular"&amp;12&amp;P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AE635"/>
  <sheetViews>
    <sheetView zoomScaleNormal="100" zoomScaleSheetLayoutView="130" workbookViewId="0">
      <pane xSplit="5" ySplit="9" topLeftCell="F10" activePane="bottomRight" state="frozen"/>
      <selection sqref="A1:IV65536"/>
      <selection pane="topRight" sqref="A1:IV65536"/>
      <selection pane="bottomLeft" sqref="A1:IV65536"/>
      <selection pane="bottomRight" activeCell="C23" sqref="C23"/>
    </sheetView>
  </sheetViews>
  <sheetFormatPr defaultColWidth="9.140625" defaultRowHeight="12"/>
  <cols>
    <col min="1" max="1" width="32" style="10" customWidth="1"/>
    <col min="2" max="2" width="1.7109375" style="10" customWidth="1"/>
    <col min="3" max="3" width="11.7109375" style="10" customWidth="1"/>
    <col min="4" max="4" width="1.7109375" style="10" hidden="1" customWidth="1"/>
    <col min="5" max="5" width="11.7109375" style="30" hidden="1" customWidth="1"/>
    <col min="6" max="6" width="1.7109375" style="10" customWidth="1"/>
    <col min="7" max="7" width="11.7109375" style="8" customWidth="1"/>
    <col min="8" max="8" width="1.7109375" style="8" customWidth="1"/>
    <col min="9" max="9" width="11.7109375" style="8" customWidth="1"/>
    <col min="10" max="10" width="1.7109375" style="8" customWidth="1"/>
    <col min="11" max="11" width="11.7109375" style="8" customWidth="1"/>
    <col min="12" max="12" width="1.7109375" style="8" customWidth="1"/>
    <col min="13" max="13" width="12.140625" style="8" customWidth="1"/>
    <col min="14" max="14" width="1.7109375" style="8" customWidth="1"/>
    <col min="15" max="15" width="11.7109375" style="8" customWidth="1"/>
    <col min="16" max="16" width="1.7109375" style="8" customWidth="1"/>
    <col min="17" max="17" width="11.7109375" style="8" customWidth="1"/>
    <col min="18" max="18" width="1.7109375" style="8" customWidth="1"/>
    <col min="19" max="19" width="11.7109375" style="8" customWidth="1"/>
    <col min="20" max="20" width="1.7109375" style="8" customWidth="1"/>
    <col min="21" max="21" width="11.7109375" style="8" customWidth="1"/>
    <col min="22" max="22" width="1.7109375" style="8" customWidth="1"/>
    <col min="23" max="23" width="11.7109375" style="8" customWidth="1"/>
    <col min="24" max="24" width="1.7109375" style="8" customWidth="1"/>
    <col min="25" max="25" width="11.7109375" style="8" customWidth="1"/>
    <col min="26" max="26" width="1.7109375" style="8" customWidth="1"/>
    <col min="27" max="27" width="11.7109375" style="8" customWidth="1"/>
    <col min="28" max="28" width="1.7109375" style="10" customWidth="1"/>
    <col min="29" max="29" width="11.7109375" style="8" customWidth="1"/>
    <col min="30" max="30" width="1.7109375" style="10" customWidth="1"/>
    <col min="31" max="16384" width="9.140625" style="10"/>
  </cols>
  <sheetData>
    <row r="1" spans="1:31">
      <c r="A1" s="66" t="s">
        <v>119</v>
      </c>
      <c r="B1" s="66"/>
      <c r="C1" s="66"/>
      <c r="D1" s="66"/>
      <c r="E1" s="54"/>
      <c r="F1" s="66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66"/>
    </row>
    <row r="2" spans="1:31">
      <c r="A2" s="66" t="s">
        <v>894</v>
      </c>
      <c r="B2" s="66"/>
      <c r="C2" s="66"/>
      <c r="D2" s="66"/>
      <c r="E2" s="54"/>
      <c r="F2" s="66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66"/>
    </row>
    <row r="3" spans="1:31">
      <c r="A3" s="27" t="s">
        <v>805</v>
      </c>
      <c r="B3" s="66"/>
      <c r="C3" s="66"/>
      <c r="D3" s="66"/>
      <c r="E3" s="54"/>
      <c r="F3" s="66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66"/>
    </row>
    <row r="4" spans="1:31">
      <c r="A4" s="36" t="s">
        <v>175</v>
      </c>
      <c r="B4" s="36"/>
      <c r="C4" s="36"/>
      <c r="D4" s="36"/>
      <c r="E4" s="61"/>
      <c r="F4" s="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AB4" s="67"/>
    </row>
    <row r="5" spans="1:31" s="8" customFormat="1">
      <c r="A5" s="15"/>
      <c r="E5" s="30"/>
    </row>
    <row r="6" spans="1:31" s="15" customFormat="1">
      <c r="B6" s="11"/>
      <c r="C6" s="11"/>
      <c r="D6" s="11"/>
      <c r="E6" s="31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</row>
    <row r="7" spans="1:31">
      <c r="A7" s="36"/>
      <c r="B7" s="36"/>
      <c r="C7" s="36"/>
      <c r="D7" s="36"/>
      <c r="E7" s="61"/>
      <c r="F7" s="4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V7" s="5"/>
      <c r="W7" s="5" t="s">
        <v>809</v>
      </c>
      <c r="X7" s="5"/>
      <c r="Y7" s="5" t="s">
        <v>130</v>
      </c>
      <c r="Z7" s="5"/>
      <c r="AA7" s="5"/>
      <c r="AB7" s="67"/>
      <c r="AC7" s="16" t="s">
        <v>139</v>
      </c>
    </row>
    <row r="8" spans="1:31">
      <c r="A8" s="4"/>
      <c r="B8" s="4"/>
      <c r="C8" s="4"/>
      <c r="D8" s="4"/>
      <c r="E8" s="57"/>
      <c r="F8" s="4"/>
      <c r="G8" s="5" t="s">
        <v>89</v>
      </c>
      <c r="H8" s="5"/>
      <c r="I8" s="5" t="s">
        <v>104</v>
      </c>
      <c r="J8" s="5"/>
      <c r="K8" s="5" t="s">
        <v>82</v>
      </c>
      <c r="L8" s="5"/>
      <c r="M8" s="5" t="s">
        <v>3</v>
      </c>
      <c r="N8" s="5"/>
      <c r="O8" s="5"/>
      <c r="P8" s="5"/>
      <c r="Q8" s="5" t="s">
        <v>90</v>
      </c>
      <c r="R8" s="5"/>
      <c r="S8" s="5" t="s">
        <v>3</v>
      </c>
      <c r="T8" s="5"/>
      <c r="U8" s="5" t="s">
        <v>88</v>
      </c>
      <c r="V8" s="5"/>
      <c r="W8" s="5" t="s">
        <v>784</v>
      </c>
      <c r="X8" s="5"/>
      <c r="Y8" s="5" t="s">
        <v>808</v>
      </c>
      <c r="Z8" s="5"/>
      <c r="AA8" s="5" t="s">
        <v>3</v>
      </c>
      <c r="AB8" s="67"/>
      <c r="AC8" s="16" t="s">
        <v>140</v>
      </c>
    </row>
    <row r="9" spans="1:31" s="67" customFormat="1">
      <c r="A9" s="68" t="s">
        <v>206</v>
      </c>
      <c r="B9" s="20"/>
      <c r="C9" s="68" t="s">
        <v>4</v>
      </c>
      <c r="D9" s="20"/>
      <c r="E9" s="58" t="s">
        <v>205</v>
      </c>
      <c r="F9" s="4"/>
      <c r="G9" s="120" t="s">
        <v>92</v>
      </c>
      <c r="H9" s="5"/>
      <c r="I9" s="120" t="s">
        <v>87</v>
      </c>
      <c r="J9" s="5"/>
      <c r="K9" s="120" t="s">
        <v>87</v>
      </c>
      <c r="L9" s="5"/>
      <c r="M9" s="120" t="s">
        <v>87</v>
      </c>
      <c r="N9" s="5"/>
      <c r="O9" s="120" t="s">
        <v>93</v>
      </c>
      <c r="P9" s="5"/>
      <c r="Q9" s="120" t="s">
        <v>8</v>
      </c>
      <c r="R9" s="5"/>
      <c r="S9" s="120" t="s">
        <v>93</v>
      </c>
      <c r="T9" s="5"/>
      <c r="U9" s="120" t="s">
        <v>94</v>
      </c>
      <c r="V9" s="5"/>
      <c r="W9" s="120" t="s">
        <v>94</v>
      </c>
      <c r="X9" s="5"/>
      <c r="Y9" s="120" t="s">
        <v>94</v>
      </c>
      <c r="Z9" s="5"/>
      <c r="AA9" s="120" t="s">
        <v>94</v>
      </c>
      <c r="AC9" s="120" t="s">
        <v>141</v>
      </c>
    </row>
    <row r="10" spans="1:31">
      <c r="A10" s="12"/>
      <c r="B10" s="12"/>
      <c r="C10" s="12"/>
      <c r="D10" s="12"/>
      <c r="E10" s="32"/>
      <c r="F10" s="4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67"/>
    </row>
    <row r="11" spans="1:31" s="35" customFormat="1">
      <c r="A11" s="34" t="s">
        <v>207</v>
      </c>
      <c r="B11" s="34"/>
      <c r="C11" s="34" t="s">
        <v>208</v>
      </c>
      <c r="D11" s="34"/>
      <c r="E11" s="34">
        <v>61903</v>
      </c>
      <c r="F11" s="47"/>
      <c r="G11" s="35">
        <v>5752088</v>
      </c>
      <c r="I11" s="35">
        <v>13599</v>
      </c>
      <c r="K11" s="42">
        <f>+M11-I11-G11</f>
        <v>7492410</v>
      </c>
      <c r="M11" s="35">
        <v>13258097</v>
      </c>
      <c r="O11" s="42">
        <f>+S11-Q11</f>
        <v>3939530</v>
      </c>
      <c r="Q11" s="35">
        <v>6315213</v>
      </c>
      <c r="S11" s="35">
        <v>10254743</v>
      </c>
      <c r="U11" s="35">
        <f>576010+484862+13599</f>
        <v>1074471</v>
      </c>
      <c r="W11" s="35">
        <v>0</v>
      </c>
      <c r="Y11" s="35">
        <v>1928883</v>
      </c>
      <c r="AA11" s="14">
        <f t="shared" ref="AA11:AA77" si="0">+Y11+W11++U11</f>
        <v>3003354</v>
      </c>
      <c r="AC11" s="8">
        <f t="shared" ref="AC11:AC77" si="1">+G11+I11+K11-O11-Q11-Y11-W11-U11</f>
        <v>0</v>
      </c>
    </row>
    <row r="12" spans="1:31">
      <c r="A12" s="12" t="s">
        <v>616</v>
      </c>
      <c r="B12" s="12"/>
      <c r="C12" s="12" t="s">
        <v>58</v>
      </c>
      <c r="D12" s="12"/>
      <c r="E12" s="32">
        <v>49494</v>
      </c>
      <c r="G12" s="8">
        <v>2532873</v>
      </c>
      <c r="I12" s="8">
        <v>482075</v>
      </c>
      <c r="K12" s="3">
        <f t="shared" ref="K12:K77" si="2">+M12-I12-G12</f>
        <v>2287844</v>
      </c>
      <c r="M12" s="8">
        <v>5302792</v>
      </c>
      <c r="O12" s="3">
        <f t="shared" ref="O12:O77" si="3">+S12-Q12</f>
        <v>1056951</v>
      </c>
      <c r="Q12" s="8">
        <v>1642859</v>
      </c>
      <c r="S12" s="8">
        <v>2699810</v>
      </c>
      <c r="U12" s="8">
        <f>40765+189492+441048+41027</f>
        <v>712332</v>
      </c>
      <c r="W12" s="8">
        <v>0</v>
      </c>
      <c r="Y12" s="8">
        <v>1890650</v>
      </c>
      <c r="AA12" s="14">
        <f t="shared" si="0"/>
        <v>2602982</v>
      </c>
      <c r="AB12" s="8"/>
      <c r="AC12" s="8">
        <f t="shared" si="1"/>
        <v>0</v>
      </c>
    </row>
    <row r="13" spans="1:31">
      <c r="A13" s="12" t="s">
        <v>662</v>
      </c>
      <c r="B13" s="12"/>
      <c r="C13" s="12" t="s">
        <v>63</v>
      </c>
      <c r="D13" s="12"/>
      <c r="E13" s="32">
        <v>43489</v>
      </c>
      <c r="G13" s="8">
        <v>12859040</v>
      </c>
      <c r="I13" s="8">
        <v>0</v>
      </c>
      <c r="K13" s="3">
        <f t="shared" si="2"/>
        <v>142943730</v>
      </c>
      <c r="M13" s="8">
        <v>155802770</v>
      </c>
      <c r="O13" s="3">
        <f t="shared" si="3"/>
        <v>26713413</v>
      </c>
      <c r="Q13" s="8">
        <v>101855503</v>
      </c>
      <c r="S13" s="8">
        <v>128568916</v>
      </c>
      <c r="U13" s="8">
        <f>171644+10521327</f>
        <v>10692971</v>
      </c>
      <c r="W13" s="8">
        <v>0</v>
      </c>
      <c r="Y13" s="8">
        <v>16540883</v>
      </c>
      <c r="AA13" s="14">
        <f t="shared" si="0"/>
        <v>27233854</v>
      </c>
      <c r="AB13" s="8"/>
      <c r="AC13" s="8">
        <f t="shared" si="1"/>
        <v>0</v>
      </c>
    </row>
    <row r="14" spans="1:31" hidden="1">
      <c r="A14" s="13" t="s">
        <v>837</v>
      </c>
      <c r="B14" s="12"/>
      <c r="C14" s="12" t="s">
        <v>13</v>
      </c>
      <c r="D14" s="12"/>
      <c r="E14" s="32">
        <v>45906</v>
      </c>
      <c r="G14" s="8">
        <v>2622190</v>
      </c>
      <c r="I14" s="8">
        <v>333270</v>
      </c>
      <c r="K14" s="3">
        <f t="shared" si="2"/>
        <v>0</v>
      </c>
      <c r="M14" s="8">
        <v>2955460</v>
      </c>
      <c r="O14" s="3">
        <f t="shared" si="3"/>
        <v>0</v>
      </c>
      <c r="U14" s="8">
        <f>165800+313414+19856</f>
        <v>499070</v>
      </c>
      <c r="Y14" s="8">
        <v>2456390</v>
      </c>
      <c r="AA14" s="14">
        <f t="shared" si="0"/>
        <v>2955460</v>
      </c>
      <c r="AB14" s="8"/>
      <c r="AC14" s="8">
        <f t="shared" si="1"/>
        <v>0</v>
      </c>
      <c r="AE14" s="8" t="s">
        <v>956</v>
      </c>
    </row>
    <row r="15" spans="1:31">
      <c r="A15" s="12" t="s">
        <v>648</v>
      </c>
      <c r="B15" s="12"/>
      <c r="C15" s="12" t="s">
        <v>62</v>
      </c>
      <c r="D15" s="12"/>
      <c r="E15" s="32">
        <v>43497</v>
      </c>
      <c r="G15" s="8">
        <v>4423200</v>
      </c>
      <c r="I15" s="8">
        <v>204020</v>
      </c>
      <c r="K15" s="3">
        <f t="shared" si="2"/>
        <v>8062432</v>
      </c>
      <c r="M15" s="8">
        <v>12689652</v>
      </c>
      <c r="O15" s="3">
        <f t="shared" si="3"/>
        <v>3890617</v>
      </c>
      <c r="Q15" s="8">
        <v>7452171</v>
      </c>
      <c r="S15" s="8">
        <v>11342788</v>
      </c>
      <c r="U15" s="8">
        <f>319744+406982+202811+1209</f>
        <v>930746</v>
      </c>
      <c r="W15" s="8">
        <v>0</v>
      </c>
      <c r="Y15" s="8">
        <v>416118</v>
      </c>
      <c r="AA15" s="14">
        <f t="shared" si="0"/>
        <v>1346864</v>
      </c>
      <c r="AB15" s="8"/>
      <c r="AC15" s="8">
        <f t="shared" si="1"/>
        <v>0</v>
      </c>
    </row>
    <row r="16" spans="1:31">
      <c r="A16" s="12" t="s">
        <v>343</v>
      </c>
      <c r="B16" s="12"/>
      <c r="C16" s="12" t="s">
        <v>25</v>
      </c>
      <c r="D16" s="12"/>
      <c r="E16" s="32">
        <v>46847</v>
      </c>
      <c r="G16" s="8">
        <v>1094868</v>
      </c>
      <c r="I16" s="8">
        <v>0</v>
      </c>
      <c r="K16" s="3">
        <f t="shared" si="2"/>
        <v>2839961</v>
      </c>
      <c r="M16" s="8">
        <v>3934829</v>
      </c>
      <c r="O16" s="3">
        <f t="shared" si="3"/>
        <v>1783757</v>
      </c>
      <c r="Q16" s="8">
        <v>2438770</v>
      </c>
      <c r="S16" s="8">
        <v>4222527</v>
      </c>
      <c r="U16" s="8">
        <f>89613+367502</f>
        <v>457115</v>
      </c>
      <c r="W16" s="8">
        <v>0</v>
      </c>
      <c r="Y16" s="8">
        <v>-744813</v>
      </c>
      <c r="AA16" s="14">
        <f t="shared" si="0"/>
        <v>-287698</v>
      </c>
      <c r="AB16" s="8"/>
      <c r="AC16" s="8">
        <f t="shared" si="1"/>
        <v>0</v>
      </c>
    </row>
    <row r="17" spans="1:31" s="8" customFormat="1">
      <c r="A17" s="13" t="s">
        <v>775</v>
      </c>
      <c r="B17" s="13"/>
      <c r="C17" s="13" t="s">
        <v>44</v>
      </c>
      <c r="D17" s="13"/>
      <c r="E17" s="13">
        <v>45195</v>
      </c>
      <c r="F17" s="5"/>
      <c r="G17" s="8">
        <v>5190865</v>
      </c>
      <c r="I17" s="8">
        <v>0</v>
      </c>
      <c r="K17" s="3">
        <f>+M17-I17-G17</f>
        <v>15089213</v>
      </c>
      <c r="M17" s="8">
        <v>20280078</v>
      </c>
      <c r="O17" s="3">
        <f>+S17-Q17</f>
        <v>5245119</v>
      </c>
      <c r="Q17" s="8">
        <v>13123494</v>
      </c>
      <c r="S17" s="8">
        <v>18368613</v>
      </c>
      <c r="U17" s="8">
        <f>277381+1607780</f>
        <v>1885161</v>
      </c>
      <c r="W17" s="8">
        <v>0</v>
      </c>
      <c r="Y17" s="8">
        <v>26304</v>
      </c>
      <c r="AA17" s="14">
        <f>+Y17+W17++U17</f>
        <v>1911465</v>
      </c>
      <c r="AC17" s="8">
        <f>+G17+I17+K17-O17-Q17-Y17-W17-U17</f>
        <v>0</v>
      </c>
    </row>
    <row r="18" spans="1:31">
      <c r="A18" s="12" t="s">
        <v>641</v>
      </c>
      <c r="B18" s="12"/>
      <c r="C18" s="12" t="s">
        <v>61</v>
      </c>
      <c r="D18" s="12"/>
      <c r="E18" s="32">
        <v>49759</v>
      </c>
      <c r="G18" s="8">
        <v>3934765</v>
      </c>
      <c r="I18" s="8">
        <v>70953</v>
      </c>
      <c r="K18" s="3">
        <f t="shared" si="2"/>
        <v>2203428</v>
      </c>
      <c r="M18" s="8">
        <v>6209146</v>
      </c>
      <c r="O18" s="3">
        <f t="shared" si="3"/>
        <v>1067377</v>
      </c>
      <c r="Q18" s="8">
        <v>1787770</v>
      </c>
      <c r="S18" s="8">
        <v>2855147</v>
      </c>
      <c r="U18" s="8">
        <f>97347+164771+71229+70953</f>
        <v>404300</v>
      </c>
      <c r="W18" s="8">
        <v>0</v>
      </c>
      <c r="Y18" s="8">
        <v>2949699</v>
      </c>
      <c r="AA18" s="14">
        <f t="shared" si="0"/>
        <v>3353999</v>
      </c>
      <c r="AB18" s="8"/>
      <c r="AC18" s="8">
        <f t="shared" si="1"/>
        <v>0</v>
      </c>
    </row>
    <row r="19" spans="1:31" hidden="1">
      <c r="A19" s="13" t="s">
        <v>1019</v>
      </c>
      <c r="B19" s="13"/>
      <c r="C19" s="13" t="s">
        <v>814</v>
      </c>
      <c r="D19" s="12"/>
      <c r="E19" s="32"/>
      <c r="G19" s="8">
        <v>698915</v>
      </c>
      <c r="I19" s="8">
        <v>216453</v>
      </c>
      <c r="K19" s="3">
        <f t="shared" si="2"/>
        <v>0</v>
      </c>
      <c r="M19" s="8">
        <v>915368</v>
      </c>
      <c r="O19" s="3"/>
      <c r="U19" s="8">
        <f>97271+42458+118497+55498</f>
        <v>313724</v>
      </c>
      <c r="Y19" s="8">
        <v>601644</v>
      </c>
      <c r="AA19" s="14">
        <f t="shared" si="0"/>
        <v>915368</v>
      </c>
      <c r="AB19" s="8"/>
      <c r="AC19" s="8">
        <f t="shared" si="1"/>
        <v>0</v>
      </c>
    </row>
    <row r="20" spans="1:31">
      <c r="A20" s="12" t="s">
        <v>496</v>
      </c>
      <c r="B20" s="12"/>
      <c r="C20" s="12" t="s">
        <v>117</v>
      </c>
      <c r="D20" s="12"/>
      <c r="E20" s="32">
        <v>48207</v>
      </c>
      <c r="G20" s="8">
        <v>3657767</v>
      </c>
      <c r="I20" s="8">
        <v>34698</v>
      </c>
      <c r="K20" s="3">
        <f t="shared" si="2"/>
        <v>21679211</v>
      </c>
      <c r="M20" s="8">
        <v>25371676</v>
      </c>
      <c r="O20" s="3">
        <f t="shared" si="3"/>
        <v>22719582</v>
      </c>
      <c r="Q20" s="8">
        <v>1168877</v>
      </c>
      <c r="S20" s="8">
        <v>23888459</v>
      </c>
      <c r="U20" s="8">
        <f>359242+61466+126294+1333358+34698</f>
        <v>1915058</v>
      </c>
      <c r="W20" s="8">
        <v>0</v>
      </c>
      <c r="Y20" s="8">
        <v>-431841</v>
      </c>
      <c r="AA20" s="14">
        <f t="shared" si="0"/>
        <v>1483217</v>
      </c>
      <c r="AB20" s="8"/>
      <c r="AC20" s="8">
        <f t="shared" si="1"/>
        <v>0</v>
      </c>
    </row>
    <row r="21" spans="1:31">
      <c r="A21" s="12" t="s">
        <v>413</v>
      </c>
      <c r="B21" s="12"/>
      <c r="C21" s="12" t="s">
        <v>33</v>
      </c>
      <c r="D21" s="12"/>
      <c r="E21" s="32">
        <v>47415</v>
      </c>
      <c r="G21" s="8">
        <v>2786128</v>
      </c>
      <c r="I21" s="8">
        <v>6998</v>
      </c>
      <c r="K21" s="3">
        <f t="shared" si="2"/>
        <v>2145516</v>
      </c>
      <c r="M21" s="8">
        <v>4938642</v>
      </c>
      <c r="O21" s="3">
        <f t="shared" si="3"/>
        <v>682345</v>
      </c>
      <c r="Q21" s="8">
        <v>1715430</v>
      </c>
      <c r="S21" s="8">
        <v>2397775</v>
      </c>
      <c r="U21" s="8">
        <f>199824+3433+3565+37370</f>
        <v>244192</v>
      </c>
      <c r="W21" s="8">
        <v>0</v>
      </c>
      <c r="Y21" s="8">
        <v>2296675</v>
      </c>
      <c r="AA21" s="14">
        <f t="shared" si="0"/>
        <v>2540867</v>
      </c>
      <c r="AB21" s="8"/>
      <c r="AC21" s="8">
        <f t="shared" si="1"/>
        <v>0</v>
      </c>
    </row>
    <row r="22" spans="1:31" hidden="1">
      <c r="A22" s="13" t="s">
        <v>958</v>
      </c>
      <c r="B22" s="12"/>
      <c r="C22" s="12" t="s">
        <v>21</v>
      </c>
      <c r="D22" s="12"/>
      <c r="E22" s="32">
        <v>46631</v>
      </c>
      <c r="G22" s="8">
        <v>1725414</v>
      </c>
      <c r="I22" s="8">
        <v>309888</v>
      </c>
      <c r="K22" s="3">
        <f t="shared" si="2"/>
        <v>0</v>
      </c>
      <c r="M22" s="8">
        <v>2035302</v>
      </c>
      <c r="O22" s="3">
        <f t="shared" si="3"/>
        <v>0</v>
      </c>
      <c r="U22" s="8">
        <f>216478+289659+20229</f>
        <v>526366</v>
      </c>
      <c r="Y22" s="8">
        <v>1508936</v>
      </c>
      <c r="AA22" s="14">
        <f t="shared" si="0"/>
        <v>2035302</v>
      </c>
      <c r="AB22" s="8"/>
      <c r="AC22" s="8">
        <f t="shared" si="1"/>
        <v>0</v>
      </c>
      <c r="AE22" s="8" t="s">
        <v>956</v>
      </c>
    </row>
    <row r="23" spans="1:31">
      <c r="A23" s="12" t="s">
        <v>368</v>
      </c>
      <c r="B23" s="12"/>
      <c r="C23" s="12" t="s">
        <v>28</v>
      </c>
      <c r="D23" s="12"/>
      <c r="E23" s="32">
        <v>47043</v>
      </c>
      <c r="G23" s="8">
        <v>4318413</v>
      </c>
      <c r="I23" s="8">
        <v>0</v>
      </c>
      <c r="K23" s="3">
        <f t="shared" si="2"/>
        <v>6769938</v>
      </c>
      <c r="M23" s="8">
        <v>11088351</v>
      </c>
      <c r="O23" s="3">
        <f t="shared" si="3"/>
        <v>1308050</v>
      </c>
      <c r="Q23" s="8">
        <v>6466586</v>
      </c>
      <c r="S23" s="8">
        <v>7774636</v>
      </c>
      <c r="U23" s="8">
        <f>17575+227775</f>
        <v>245350</v>
      </c>
      <c r="W23" s="8">
        <v>0</v>
      </c>
      <c r="Y23" s="8">
        <v>3068365</v>
      </c>
      <c r="AA23" s="14">
        <f t="shared" si="0"/>
        <v>3313715</v>
      </c>
      <c r="AB23" s="8"/>
      <c r="AC23" s="8">
        <f t="shared" si="1"/>
        <v>0</v>
      </c>
    </row>
    <row r="24" spans="1:31">
      <c r="A24" s="12" t="s">
        <v>414</v>
      </c>
      <c r="B24" s="12"/>
      <c r="C24" s="12" t="s">
        <v>33</v>
      </c>
      <c r="D24" s="12"/>
      <c r="E24" s="32">
        <v>47423</v>
      </c>
      <c r="G24" s="8">
        <v>2730645</v>
      </c>
      <c r="I24" s="8">
        <v>284412</v>
      </c>
      <c r="K24" s="3">
        <f t="shared" si="2"/>
        <v>1576597</v>
      </c>
      <c r="M24" s="8">
        <v>4591654</v>
      </c>
      <c r="O24" s="3">
        <f t="shared" si="3"/>
        <v>633045</v>
      </c>
      <c r="Q24" s="8">
        <v>1116068</v>
      </c>
      <c r="S24" s="8">
        <v>1749113</v>
      </c>
      <c r="U24" s="8">
        <f>122000+284412+88156</f>
        <v>494568</v>
      </c>
      <c r="W24" s="8">
        <v>0</v>
      </c>
      <c r="Y24" s="8">
        <v>2347973</v>
      </c>
      <c r="AA24" s="14">
        <f t="shared" si="0"/>
        <v>2842541</v>
      </c>
      <c r="AB24" s="8"/>
      <c r="AC24" s="8">
        <f t="shared" si="1"/>
        <v>0</v>
      </c>
    </row>
    <row r="25" spans="1:31">
      <c r="A25" s="12" t="s">
        <v>213</v>
      </c>
      <c r="B25" s="12"/>
      <c r="C25" s="12" t="s">
        <v>11</v>
      </c>
      <c r="D25" s="12"/>
      <c r="E25" s="32">
        <v>43505</v>
      </c>
      <c r="G25" s="8">
        <v>7605134</v>
      </c>
      <c r="I25" s="8">
        <v>0</v>
      </c>
      <c r="K25" s="3">
        <f t="shared" si="2"/>
        <v>14758276</v>
      </c>
      <c r="M25" s="8">
        <v>22363410</v>
      </c>
      <c r="O25" s="3">
        <f t="shared" si="3"/>
        <v>3632051</v>
      </c>
      <c r="Q25" s="8">
        <v>10918852</v>
      </c>
      <c r="S25" s="8">
        <v>14550903</v>
      </c>
      <c r="U25" s="8">
        <f>128709+3610494</f>
        <v>3739203</v>
      </c>
      <c r="W25" s="8">
        <v>0</v>
      </c>
      <c r="Y25" s="8">
        <v>4073304</v>
      </c>
      <c r="AA25" s="14">
        <f t="shared" si="0"/>
        <v>7812507</v>
      </c>
      <c r="AB25" s="8"/>
      <c r="AC25" s="8">
        <f t="shared" si="1"/>
        <v>0</v>
      </c>
    </row>
    <row r="26" spans="1:31">
      <c r="A26" s="13" t="s">
        <v>761</v>
      </c>
      <c r="B26" s="13"/>
      <c r="C26" s="13" t="s">
        <v>12</v>
      </c>
      <c r="D26" s="13"/>
      <c r="E26" s="32">
        <v>43513</v>
      </c>
      <c r="G26" s="8">
        <v>911056</v>
      </c>
      <c r="I26" s="8">
        <v>0</v>
      </c>
      <c r="K26" s="3">
        <f t="shared" si="2"/>
        <v>9804323</v>
      </c>
      <c r="M26" s="8">
        <v>10715379</v>
      </c>
      <c r="O26" s="3">
        <f t="shared" si="3"/>
        <v>3900762</v>
      </c>
      <c r="Q26" s="8">
        <v>5113519</v>
      </c>
      <c r="S26" s="8">
        <v>9014281</v>
      </c>
      <c r="U26" s="8">
        <f>121930+4134032</f>
        <v>4255962</v>
      </c>
      <c r="W26" s="8">
        <v>0</v>
      </c>
      <c r="Y26" s="8">
        <v>-2554864</v>
      </c>
      <c r="AA26" s="14">
        <f t="shared" si="0"/>
        <v>1701098</v>
      </c>
      <c r="AB26" s="8"/>
      <c r="AC26" s="8">
        <f t="shared" si="1"/>
        <v>0</v>
      </c>
      <c r="AE26" s="8" t="s">
        <v>956</v>
      </c>
    </row>
    <row r="27" spans="1:31">
      <c r="A27" s="12" t="s">
        <v>223</v>
      </c>
      <c r="B27" s="12"/>
      <c r="C27" s="12" t="s">
        <v>13</v>
      </c>
      <c r="D27" s="12"/>
      <c r="E27" s="32">
        <v>43521</v>
      </c>
      <c r="G27" s="8">
        <v>8100033</v>
      </c>
      <c r="I27" s="8">
        <v>16311</v>
      </c>
      <c r="K27" s="3">
        <f t="shared" si="2"/>
        <v>20427145</v>
      </c>
      <c r="M27" s="8">
        <v>28543489</v>
      </c>
      <c r="O27" s="3">
        <f t="shared" si="3"/>
        <v>3223967</v>
      </c>
      <c r="Q27" s="8">
        <v>18236237</v>
      </c>
      <c r="S27" s="8">
        <v>21460204</v>
      </c>
      <c r="U27" s="8">
        <f>11103+987811+16311</f>
        <v>1015225</v>
      </c>
      <c r="W27" s="8">
        <v>0</v>
      </c>
      <c r="Y27" s="8">
        <v>6068060</v>
      </c>
      <c r="AA27" s="14">
        <f t="shared" si="0"/>
        <v>7083285</v>
      </c>
      <c r="AB27" s="8"/>
      <c r="AC27" s="8">
        <f t="shared" si="1"/>
        <v>0</v>
      </c>
      <c r="AE27" s="10" t="s">
        <v>956</v>
      </c>
    </row>
    <row r="28" spans="1:31">
      <c r="A28" s="12" t="s">
        <v>588</v>
      </c>
      <c r="B28" s="12"/>
      <c r="C28" s="12" t="s">
        <v>56</v>
      </c>
      <c r="D28" s="12"/>
      <c r="E28" s="32">
        <v>49171</v>
      </c>
      <c r="G28" s="8">
        <v>3938319</v>
      </c>
      <c r="I28" s="8">
        <v>401410</v>
      </c>
      <c r="K28" s="3">
        <f t="shared" si="2"/>
        <v>21431041</v>
      </c>
      <c r="M28" s="8">
        <v>25770770</v>
      </c>
      <c r="O28" s="3">
        <f t="shared" si="3"/>
        <v>2990156</v>
      </c>
      <c r="Q28" s="8">
        <v>19660655</v>
      </c>
      <c r="S28" s="8">
        <v>22650811</v>
      </c>
      <c r="U28" s="8">
        <f>407905+401410</f>
        <v>809315</v>
      </c>
      <c r="W28" s="8">
        <v>0</v>
      </c>
      <c r="Y28" s="8">
        <v>2310644</v>
      </c>
      <c r="AA28" s="14">
        <f t="shared" si="0"/>
        <v>3119959</v>
      </c>
      <c r="AB28" s="8"/>
      <c r="AC28" s="8">
        <f t="shared" si="1"/>
        <v>0</v>
      </c>
    </row>
    <row r="29" spans="1:31">
      <c r="A29" s="12" t="s">
        <v>508</v>
      </c>
      <c r="B29" s="12"/>
      <c r="C29" s="12" t="s">
        <v>45</v>
      </c>
      <c r="D29" s="12"/>
      <c r="E29" s="32">
        <v>48298</v>
      </c>
      <c r="G29" s="8">
        <v>3841633</v>
      </c>
      <c r="I29" s="8">
        <v>71261</v>
      </c>
      <c r="K29" s="3">
        <f t="shared" si="2"/>
        <v>17811022</v>
      </c>
      <c r="M29" s="8">
        <v>21723916</v>
      </c>
      <c r="O29" s="3">
        <f t="shared" si="3"/>
        <v>21177035</v>
      </c>
      <c r="Q29" s="8">
        <v>2106086</v>
      </c>
      <c r="S29" s="8">
        <v>23283121</v>
      </c>
      <c r="U29" s="8">
        <f>291575+34744+71261</f>
        <v>397580</v>
      </c>
      <c r="W29" s="8">
        <v>224000</v>
      </c>
      <c r="Y29" s="8">
        <v>-2180785</v>
      </c>
      <c r="AA29" s="14">
        <f t="shared" si="0"/>
        <v>-1559205</v>
      </c>
      <c r="AB29" s="8"/>
      <c r="AC29" s="8">
        <f t="shared" si="1"/>
        <v>0</v>
      </c>
      <c r="AE29" s="10" t="s">
        <v>956</v>
      </c>
    </row>
    <row r="30" spans="1:31">
      <c r="A30" s="12" t="s">
        <v>483</v>
      </c>
      <c r="B30" s="12"/>
      <c r="C30" s="12" t="s">
        <v>44</v>
      </c>
      <c r="D30" s="12"/>
      <c r="E30" s="32">
        <v>48124</v>
      </c>
      <c r="G30" s="8">
        <v>16698265</v>
      </c>
      <c r="I30" s="8">
        <v>113990</v>
      </c>
      <c r="K30" s="3">
        <f t="shared" si="2"/>
        <v>29992820</v>
      </c>
      <c r="M30" s="8">
        <v>46805075</v>
      </c>
      <c r="O30" s="3">
        <f t="shared" si="3"/>
        <v>4283754</v>
      </c>
      <c r="Q30" s="8">
        <v>28356172</v>
      </c>
      <c r="S30" s="8">
        <v>32639926</v>
      </c>
      <c r="U30" s="8">
        <f>28814+1763737+1440261+113990</f>
        <v>3346802</v>
      </c>
      <c r="W30" s="8">
        <v>0</v>
      </c>
      <c r="Y30" s="8">
        <v>10818347</v>
      </c>
      <c r="AA30" s="14">
        <f t="shared" si="0"/>
        <v>14165149</v>
      </c>
      <c r="AB30" s="8"/>
      <c r="AC30" s="8">
        <f t="shared" si="1"/>
        <v>0</v>
      </c>
      <c r="AE30" s="10" t="s">
        <v>956</v>
      </c>
    </row>
    <row r="31" spans="1:31">
      <c r="A31" s="12" t="s">
        <v>484</v>
      </c>
      <c r="B31" s="12"/>
      <c r="C31" s="12" t="s">
        <v>44</v>
      </c>
      <c r="D31" s="12"/>
      <c r="E31" s="32">
        <v>48116</v>
      </c>
      <c r="G31" s="8">
        <v>6098052</v>
      </c>
      <c r="I31" s="8">
        <v>0</v>
      </c>
      <c r="K31" s="3">
        <f t="shared" si="2"/>
        <v>20535397</v>
      </c>
      <c r="M31" s="8">
        <v>26633449</v>
      </c>
      <c r="O31" s="3">
        <f t="shared" si="3"/>
        <v>3264378</v>
      </c>
      <c r="Q31" s="8">
        <v>18311805</v>
      </c>
      <c r="S31" s="8">
        <v>21576183</v>
      </c>
      <c r="U31" s="8">
        <f>2006747+330221</f>
        <v>2336968</v>
      </c>
      <c r="W31" s="8">
        <v>0</v>
      </c>
      <c r="Y31" s="8">
        <v>2720298</v>
      </c>
      <c r="AA31" s="14">
        <f t="shared" si="0"/>
        <v>5057266</v>
      </c>
      <c r="AB31" s="8"/>
      <c r="AC31" s="8">
        <f t="shared" si="1"/>
        <v>0</v>
      </c>
      <c r="AE31" s="10" t="s">
        <v>956</v>
      </c>
    </row>
    <row r="32" spans="1:31">
      <c r="A32" s="12" t="s">
        <v>330</v>
      </c>
      <c r="B32" s="12"/>
      <c r="C32" s="12" t="s">
        <v>22</v>
      </c>
      <c r="D32" s="12"/>
      <c r="E32" s="32">
        <v>46706</v>
      </c>
      <c r="G32" s="8">
        <v>2777263</v>
      </c>
      <c r="I32" s="8">
        <v>1056</v>
      </c>
      <c r="K32" s="3">
        <f t="shared" si="2"/>
        <v>2762990</v>
      </c>
      <c r="M32" s="8">
        <v>5541309</v>
      </c>
      <c r="O32" s="3">
        <f t="shared" si="3"/>
        <v>927954</v>
      </c>
      <c r="Q32" s="8">
        <v>2171746</v>
      </c>
      <c r="S32" s="8">
        <v>3099700</v>
      </c>
      <c r="U32" s="8">
        <f>77499+19665+18062+143861+1056</f>
        <v>260143</v>
      </c>
      <c r="W32" s="8">
        <v>0</v>
      </c>
      <c r="Y32" s="8">
        <v>2181466</v>
      </c>
      <c r="AA32" s="14">
        <f t="shared" si="0"/>
        <v>2441609</v>
      </c>
      <c r="AB32" s="8"/>
      <c r="AC32" s="8">
        <f t="shared" si="1"/>
        <v>0</v>
      </c>
      <c r="AE32" s="10" t="s">
        <v>956</v>
      </c>
    </row>
    <row r="33" spans="1:31">
      <c r="A33" s="12" t="s">
        <v>663</v>
      </c>
      <c r="B33" s="12"/>
      <c r="C33" s="12" t="s">
        <v>63</v>
      </c>
      <c r="D33" s="12"/>
      <c r="E33" s="32">
        <v>43539</v>
      </c>
      <c r="G33" s="8">
        <v>11449627</v>
      </c>
      <c r="I33" s="8">
        <v>0</v>
      </c>
      <c r="K33" s="3">
        <f t="shared" si="2"/>
        <v>11032164</v>
      </c>
      <c r="M33" s="8">
        <v>22481791</v>
      </c>
      <c r="O33" s="3">
        <f t="shared" si="3"/>
        <v>14072008</v>
      </c>
      <c r="Q33" s="8">
        <v>815996</v>
      </c>
      <c r="S33" s="8">
        <v>14888004</v>
      </c>
      <c r="U33" s="8">
        <f>339405+50395+24365+1401048</f>
        <v>1815213</v>
      </c>
      <c r="W33" s="8">
        <v>0</v>
      </c>
      <c r="Y33" s="8">
        <v>5778574</v>
      </c>
      <c r="AA33" s="14">
        <f t="shared" si="0"/>
        <v>7593787</v>
      </c>
      <c r="AB33" s="8"/>
      <c r="AC33" s="8">
        <f t="shared" si="1"/>
        <v>0</v>
      </c>
      <c r="AE33" s="10" t="s">
        <v>956</v>
      </c>
    </row>
    <row r="34" spans="1:31">
      <c r="A34" s="12" t="s">
        <v>815</v>
      </c>
      <c r="B34" s="12"/>
      <c r="C34" s="12" t="s">
        <v>15</v>
      </c>
      <c r="D34" s="12"/>
      <c r="E34" s="32"/>
      <c r="G34" s="8">
        <v>2492095</v>
      </c>
      <c r="I34" s="8">
        <v>0</v>
      </c>
      <c r="K34" s="3">
        <f t="shared" si="2"/>
        <v>2133338</v>
      </c>
      <c r="M34" s="8">
        <v>4625433</v>
      </c>
      <c r="O34" s="3">
        <f t="shared" si="3"/>
        <v>929397</v>
      </c>
      <c r="Q34" s="8">
        <v>1902838</v>
      </c>
      <c r="S34" s="8">
        <v>2832235</v>
      </c>
      <c r="U34" s="8">
        <f>112387+185156+9036</f>
        <v>306579</v>
      </c>
      <c r="W34" s="8">
        <v>0</v>
      </c>
      <c r="Y34" s="8">
        <v>1486619</v>
      </c>
      <c r="AA34" s="14">
        <f t="shared" si="0"/>
        <v>1793198</v>
      </c>
      <c r="AB34" s="8"/>
      <c r="AC34" s="8">
        <f t="shared" si="1"/>
        <v>0</v>
      </c>
    </row>
    <row r="35" spans="1:31">
      <c r="A35" s="12" t="s">
        <v>266</v>
      </c>
      <c r="B35" s="12"/>
      <c r="C35" s="12" t="s">
        <v>115</v>
      </c>
      <c r="D35" s="12"/>
      <c r="E35" s="32">
        <v>46300</v>
      </c>
      <c r="G35" s="8">
        <v>1064447</v>
      </c>
      <c r="I35" s="8">
        <v>78607</v>
      </c>
      <c r="K35" s="3">
        <f t="shared" si="2"/>
        <v>6964584</v>
      </c>
      <c r="M35" s="8">
        <v>8107638</v>
      </c>
      <c r="O35" s="3">
        <f t="shared" si="3"/>
        <v>1876023</v>
      </c>
      <c r="Q35" s="8">
        <v>6474574</v>
      </c>
      <c r="S35" s="8">
        <v>8350597</v>
      </c>
      <c r="U35" s="8">
        <f>419752+78607+489400</f>
        <v>987759</v>
      </c>
      <c r="W35" s="8">
        <v>0</v>
      </c>
      <c r="Y35" s="8">
        <v>-1230718</v>
      </c>
      <c r="AA35" s="14">
        <f t="shared" si="0"/>
        <v>-242959</v>
      </c>
      <c r="AB35" s="8"/>
      <c r="AC35" s="8">
        <f t="shared" si="1"/>
        <v>0</v>
      </c>
    </row>
    <row r="36" spans="1:31" hidden="1">
      <c r="A36" s="13" t="s">
        <v>960</v>
      </c>
      <c r="B36" s="12"/>
      <c r="C36" s="12" t="s">
        <v>10</v>
      </c>
      <c r="D36" s="12"/>
      <c r="E36" s="32">
        <v>45765</v>
      </c>
      <c r="G36" s="8">
        <v>744790</v>
      </c>
      <c r="I36" s="8">
        <v>862209</v>
      </c>
      <c r="K36" s="3">
        <f t="shared" si="2"/>
        <v>10654654</v>
      </c>
      <c r="M36" s="8">
        <v>12261653</v>
      </c>
      <c r="O36" s="3">
        <f t="shared" si="3"/>
        <v>0</v>
      </c>
      <c r="U36" s="8">
        <f>800929+47142+211633+14138</f>
        <v>1073842</v>
      </c>
      <c r="W36" s="8">
        <v>888000</v>
      </c>
      <c r="Y36" s="8">
        <v>10299811</v>
      </c>
      <c r="AA36" s="14">
        <f t="shared" si="0"/>
        <v>12261653</v>
      </c>
      <c r="AB36" s="8"/>
      <c r="AC36" s="8">
        <f t="shared" si="1"/>
        <v>0</v>
      </c>
      <c r="AE36" s="10" t="s">
        <v>956</v>
      </c>
    </row>
    <row r="37" spans="1:31">
      <c r="A37" s="12" t="s">
        <v>296</v>
      </c>
      <c r="B37" s="12"/>
      <c r="C37" s="12" t="s">
        <v>20</v>
      </c>
      <c r="D37" s="12"/>
      <c r="E37" s="32">
        <v>43547</v>
      </c>
      <c r="G37" s="8">
        <v>6210345</v>
      </c>
      <c r="I37" s="8">
        <v>0</v>
      </c>
      <c r="K37" s="3">
        <f t="shared" si="2"/>
        <v>20083772</v>
      </c>
      <c r="M37" s="8">
        <v>26294117</v>
      </c>
      <c r="O37" s="3">
        <f t="shared" si="3"/>
        <v>3785986</v>
      </c>
      <c r="Q37" s="8">
        <v>16905225</v>
      </c>
      <c r="S37" s="8">
        <v>20691211</v>
      </c>
      <c r="U37" s="8">
        <f>3145254+32967+326+226156</f>
        <v>3404703</v>
      </c>
      <c r="W37" s="8">
        <v>0</v>
      </c>
      <c r="Y37" s="8">
        <v>2198203</v>
      </c>
      <c r="AA37" s="14">
        <f t="shared" si="0"/>
        <v>5602906</v>
      </c>
      <c r="AB37" s="8"/>
      <c r="AC37" s="8">
        <f t="shared" si="1"/>
        <v>0</v>
      </c>
    </row>
    <row r="38" spans="1:31">
      <c r="A38" s="12" t="s">
        <v>297</v>
      </c>
      <c r="B38" s="12"/>
      <c r="C38" s="12" t="s">
        <v>20</v>
      </c>
      <c r="D38" s="12"/>
      <c r="E38" s="32">
        <v>43554</v>
      </c>
      <c r="G38" s="8">
        <f>13068315+134873</f>
        <v>13203188</v>
      </c>
      <c r="I38" s="8">
        <v>0</v>
      </c>
      <c r="K38" s="3">
        <f t="shared" si="2"/>
        <v>26593428</v>
      </c>
      <c r="M38" s="8">
        <v>39796616</v>
      </c>
      <c r="O38" s="3">
        <f t="shared" si="3"/>
        <v>3013796</v>
      </c>
      <c r="Q38" s="8">
        <v>17945675</v>
      </c>
      <c r="S38" s="8">
        <v>20959471</v>
      </c>
      <c r="U38" s="8">
        <f>134453+79517+6867077+134873</f>
        <v>7215920</v>
      </c>
      <c r="W38" s="8">
        <v>0</v>
      </c>
      <c r="Y38" s="8">
        <v>11621225</v>
      </c>
      <c r="AA38" s="14">
        <f t="shared" si="0"/>
        <v>18837145</v>
      </c>
      <c r="AB38" s="8"/>
      <c r="AC38" s="8">
        <f t="shared" si="1"/>
        <v>0</v>
      </c>
    </row>
    <row r="39" spans="1:31">
      <c r="A39" s="12" t="s">
        <v>278</v>
      </c>
      <c r="B39" s="12"/>
      <c r="C39" s="12" t="s">
        <v>114</v>
      </c>
      <c r="D39" s="12"/>
      <c r="E39" s="32">
        <v>46425</v>
      </c>
      <c r="G39" s="8">
        <v>-77334</v>
      </c>
      <c r="I39" s="8">
        <v>0</v>
      </c>
      <c r="K39" s="3">
        <f t="shared" si="2"/>
        <v>5505940</v>
      </c>
      <c r="M39" s="8">
        <v>5428606</v>
      </c>
      <c r="O39" s="3">
        <f t="shared" si="3"/>
        <v>2442162</v>
      </c>
      <c r="Q39" s="8">
        <v>5303719</v>
      </c>
      <c r="S39" s="8">
        <v>7745881</v>
      </c>
      <c r="U39" s="8">
        <v>0</v>
      </c>
      <c r="W39" s="8">
        <v>0</v>
      </c>
      <c r="Y39" s="8">
        <v>-2317275</v>
      </c>
      <c r="AA39" s="14">
        <f t="shared" si="0"/>
        <v>-2317275</v>
      </c>
      <c r="AB39" s="8"/>
      <c r="AC39" s="8">
        <f t="shared" si="1"/>
        <v>0</v>
      </c>
    </row>
    <row r="40" spans="1:31">
      <c r="A40" s="12" t="s">
        <v>384</v>
      </c>
      <c r="B40" s="12"/>
      <c r="C40" s="12" t="s">
        <v>116</v>
      </c>
      <c r="D40" s="12"/>
      <c r="E40" s="32">
        <v>47241</v>
      </c>
      <c r="G40" s="8">
        <v>34130703</v>
      </c>
      <c r="I40" s="8">
        <v>0</v>
      </c>
      <c r="K40" s="3">
        <f t="shared" si="2"/>
        <v>43509771</v>
      </c>
      <c r="M40" s="8">
        <v>77640474</v>
      </c>
      <c r="O40" s="3">
        <f t="shared" si="3"/>
        <v>7710550</v>
      </c>
      <c r="Q40" s="8">
        <v>40691966</v>
      </c>
      <c r="S40" s="8">
        <v>48402516</v>
      </c>
      <c r="U40" s="8">
        <f>362203+13419+4653058</f>
        <v>5028680</v>
      </c>
      <c r="W40" s="8">
        <v>0</v>
      </c>
      <c r="Y40" s="8">
        <v>24209278</v>
      </c>
      <c r="AA40" s="14">
        <f t="shared" si="0"/>
        <v>29237958</v>
      </c>
      <c r="AB40" s="8"/>
      <c r="AC40" s="8">
        <f t="shared" si="1"/>
        <v>0</v>
      </c>
    </row>
    <row r="41" spans="1:31">
      <c r="A41" s="12" t="s">
        <v>298</v>
      </c>
      <c r="B41" s="12"/>
      <c r="C41" s="12" t="s">
        <v>20</v>
      </c>
      <c r="D41" s="12"/>
      <c r="E41" s="32">
        <v>43562</v>
      </c>
      <c r="G41" s="8">
        <v>12087721</v>
      </c>
      <c r="I41" s="8">
        <v>41998</v>
      </c>
      <c r="K41" s="3">
        <f t="shared" si="2"/>
        <v>29839337</v>
      </c>
      <c r="M41" s="8">
        <v>41969056</v>
      </c>
      <c r="O41" s="3">
        <f t="shared" si="3"/>
        <v>4546520</v>
      </c>
      <c r="Q41" s="8">
        <v>23833845</v>
      </c>
      <c r="S41" s="8">
        <v>28380365</v>
      </c>
      <c r="U41" s="8">
        <f>459250+3797068+41998+90000</f>
        <v>4388316</v>
      </c>
      <c r="W41" s="8">
        <v>0</v>
      </c>
      <c r="Y41" s="8">
        <v>9200375</v>
      </c>
      <c r="AA41" s="14">
        <f t="shared" si="0"/>
        <v>13588691</v>
      </c>
      <c r="AB41" s="8"/>
      <c r="AC41" s="8">
        <f t="shared" si="1"/>
        <v>0</v>
      </c>
    </row>
    <row r="42" spans="1:31">
      <c r="A42" s="12" t="s">
        <v>231</v>
      </c>
      <c r="B42" s="12"/>
      <c r="C42" s="12" t="s">
        <v>15</v>
      </c>
      <c r="D42" s="12"/>
      <c r="E42" s="32">
        <v>43570</v>
      </c>
      <c r="G42" s="8">
        <v>0</v>
      </c>
      <c r="I42" s="8">
        <v>0</v>
      </c>
      <c r="K42" s="3">
        <f t="shared" si="2"/>
        <v>2556133</v>
      </c>
      <c r="M42" s="8">
        <v>2556133</v>
      </c>
      <c r="O42" s="3">
        <f t="shared" si="3"/>
        <v>3194863</v>
      </c>
      <c r="Q42" s="8">
        <v>2299792</v>
      </c>
      <c r="S42" s="8">
        <v>5494655</v>
      </c>
      <c r="U42" s="8">
        <f>220051+154754+55562</f>
        <v>430367</v>
      </c>
      <c r="W42" s="8">
        <v>0</v>
      </c>
      <c r="Y42" s="8">
        <v>-3368889</v>
      </c>
      <c r="AA42" s="14">
        <f t="shared" si="0"/>
        <v>-2938522</v>
      </c>
      <c r="AB42" s="8"/>
      <c r="AC42" s="8">
        <f t="shared" si="1"/>
        <v>0</v>
      </c>
    </row>
    <row r="43" spans="1:31">
      <c r="A43" s="12" t="s">
        <v>443</v>
      </c>
      <c r="B43" s="12"/>
      <c r="C43" s="12" t="s">
        <v>37</v>
      </c>
      <c r="D43" s="12"/>
      <c r="E43" s="32">
        <v>43596</v>
      </c>
      <c r="G43" s="8">
        <v>2860178</v>
      </c>
      <c r="I43" s="8">
        <v>0</v>
      </c>
      <c r="K43" s="3">
        <f t="shared" si="2"/>
        <v>7338540</v>
      </c>
      <c r="M43" s="8">
        <v>10198718</v>
      </c>
      <c r="O43" s="3">
        <f t="shared" si="3"/>
        <v>7330788</v>
      </c>
      <c r="Q43" s="8">
        <v>486183</v>
      </c>
      <c r="S43" s="8">
        <v>7816971</v>
      </c>
      <c r="U43" s="8">
        <f>265206+79802+1181373+55849</f>
        <v>1582230</v>
      </c>
      <c r="W43" s="8">
        <v>0</v>
      </c>
      <c r="Y43" s="8">
        <v>799517</v>
      </c>
      <c r="AA43" s="14">
        <f t="shared" si="0"/>
        <v>2381747</v>
      </c>
      <c r="AB43" s="8"/>
      <c r="AC43" s="8">
        <f t="shared" si="1"/>
        <v>0</v>
      </c>
    </row>
    <row r="44" spans="1:31">
      <c r="A44" s="12" t="s">
        <v>715</v>
      </c>
      <c r="B44" s="12"/>
      <c r="C44" s="12" t="s">
        <v>70</v>
      </c>
      <c r="D44" s="12"/>
      <c r="E44" s="32">
        <v>43604</v>
      </c>
      <c r="G44" s="8">
        <v>1389143</v>
      </c>
      <c r="I44" s="8">
        <v>184557</v>
      </c>
      <c r="K44" s="3">
        <f t="shared" si="2"/>
        <v>3787822</v>
      </c>
      <c r="M44" s="8">
        <v>5361522</v>
      </c>
      <c r="O44" s="3">
        <f t="shared" si="3"/>
        <v>1298716</v>
      </c>
      <c r="Q44" s="8">
        <v>3608430</v>
      </c>
      <c r="S44" s="8">
        <v>4907146</v>
      </c>
      <c r="U44" s="8">
        <f>92976+131848+5944+22171+154652+1790</f>
        <v>409381</v>
      </c>
      <c r="W44" s="8">
        <v>276911</v>
      </c>
      <c r="Y44" s="8">
        <v>-231916</v>
      </c>
      <c r="AA44" s="14">
        <f t="shared" si="0"/>
        <v>454376</v>
      </c>
      <c r="AB44" s="8"/>
      <c r="AC44" s="8">
        <f t="shared" si="1"/>
        <v>0</v>
      </c>
    </row>
    <row r="45" spans="1:31">
      <c r="A45" s="12" t="s">
        <v>571</v>
      </c>
      <c r="B45" s="12"/>
      <c r="C45" s="12" t="s">
        <v>53</v>
      </c>
      <c r="D45" s="12"/>
      <c r="E45" s="32">
        <v>48926</v>
      </c>
      <c r="G45" s="8">
        <v>5018041</v>
      </c>
      <c r="I45" s="8">
        <v>0</v>
      </c>
      <c r="K45" s="3">
        <f t="shared" si="2"/>
        <v>8835068</v>
      </c>
      <c r="M45" s="8">
        <v>13853109</v>
      </c>
      <c r="O45" s="3">
        <f t="shared" si="3"/>
        <v>9744627</v>
      </c>
      <c r="Q45" s="8">
        <v>482156</v>
      </c>
      <c r="S45" s="8">
        <v>10226783</v>
      </c>
      <c r="U45" s="8">
        <f>403058+563471+16093+15616+386930</f>
        <v>1385168</v>
      </c>
      <c r="W45" s="8">
        <v>0</v>
      </c>
      <c r="Y45" s="8">
        <v>2241158</v>
      </c>
      <c r="AA45" s="14">
        <f t="shared" si="0"/>
        <v>3626326</v>
      </c>
      <c r="AB45" s="8"/>
      <c r="AC45" s="8">
        <f t="shared" si="1"/>
        <v>0</v>
      </c>
    </row>
    <row r="46" spans="1:31">
      <c r="A46" s="12" t="s">
        <v>299</v>
      </c>
      <c r="B46" s="12"/>
      <c r="C46" s="12" t="s">
        <v>20</v>
      </c>
      <c r="D46" s="12"/>
      <c r="E46" s="32">
        <v>43612</v>
      </c>
      <c r="G46" s="8">
        <v>28451445</v>
      </c>
      <c r="I46" s="8">
        <v>389213</v>
      </c>
      <c r="K46" s="3">
        <f t="shared" si="2"/>
        <v>61500239</v>
      </c>
      <c r="M46" s="8">
        <v>90340897</v>
      </c>
      <c r="O46" s="3">
        <f t="shared" si="3"/>
        <v>9355944</v>
      </c>
      <c r="Q46" s="8">
        <v>49185305</v>
      </c>
      <c r="S46" s="8">
        <v>58541249</v>
      </c>
      <c r="U46" s="8">
        <f>322075+389213+17898+5324664</f>
        <v>6053850</v>
      </c>
      <c r="W46" s="8">
        <v>0</v>
      </c>
      <c r="Y46" s="8">
        <v>25745798</v>
      </c>
      <c r="AA46" s="14">
        <f t="shared" si="0"/>
        <v>31799648</v>
      </c>
      <c r="AB46" s="8"/>
      <c r="AC46" s="8">
        <f t="shared" si="1"/>
        <v>0</v>
      </c>
    </row>
    <row r="47" spans="1:31">
      <c r="A47" s="12" t="s">
        <v>377</v>
      </c>
      <c r="B47" s="12"/>
      <c r="C47" s="12" t="s">
        <v>30</v>
      </c>
      <c r="D47" s="12"/>
      <c r="E47" s="32">
        <v>47167</v>
      </c>
      <c r="G47" s="8">
        <v>3269864</v>
      </c>
      <c r="I47" s="8">
        <v>39468</v>
      </c>
      <c r="K47" s="3">
        <f t="shared" si="2"/>
        <v>4819420</v>
      </c>
      <c r="M47" s="8">
        <v>8128752</v>
      </c>
      <c r="O47" s="3">
        <f t="shared" si="3"/>
        <v>1542845</v>
      </c>
      <c r="Q47" s="8">
        <v>3535541</v>
      </c>
      <c r="S47" s="8">
        <v>5078386</v>
      </c>
      <c r="U47" s="8">
        <f>346121+590400+39468</f>
        <v>975989</v>
      </c>
      <c r="W47" s="8">
        <v>0</v>
      </c>
      <c r="Y47" s="8">
        <v>2074377</v>
      </c>
      <c r="AA47" s="14">
        <f t="shared" si="0"/>
        <v>3050366</v>
      </c>
      <c r="AB47" s="8"/>
      <c r="AC47" s="8">
        <f t="shared" si="1"/>
        <v>0</v>
      </c>
    </row>
    <row r="48" spans="1:31">
      <c r="A48" s="12" t="s">
        <v>336</v>
      </c>
      <c r="B48" s="12"/>
      <c r="C48" s="12" t="s">
        <v>24</v>
      </c>
      <c r="D48" s="12"/>
      <c r="E48" s="32">
        <v>46789</v>
      </c>
      <c r="G48" s="8">
        <v>4434772</v>
      </c>
      <c r="I48" s="8">
        <v>18680</v>
      </c>
      <c r="K48" s="3">
        <f t="shared" si="2"/>
        <v>7385786</v>
      </c>
      <c r="M48" s="8">
        <v>11839238</v>
      </c>
      <c r="O48" s="3">
        <f t="shared" si="3"/>
        <v>7927754</v>
      </c>
      <c r="Q48" s="8">
        <v>474222</v>
      </c>
      <c r="S48" s="8">
        <v>8401976</v>
      </c>
      <c r="U48" s="8">
        <f>238761+15005+8642+685002+18680</f>
        <v>966090</v>
      </c>
      <c r="W48" s="8">
        <v>0</v>
      </c>
      <c r="Y48" s="8">
        <v>2471172</v>
      </c>
      <c r="AA48" s="14">
        <f t="shared" si="0"/>
        <v>3437262</v>
      </c>
      <c r="AB48" s="8"/>
      <c r="AC48" s="8">
        <f t="shared" si="1"/>
        <v>0</v>
      </c>
    </row>
    <row r="49" spans="1:31">
      <c r="A49" s="12" t="s">
        <v>344</v>
      </c>
      <c r="B49" s="12"/>
      <c r="C49" s="12" t="s">
        <v>25</v>
      </c>
      <c r="D49" s="12"/>
      <c r="E49" s="32">
        <v>46854</v>
      </c>
      <c r="G49" s="8">
        <v>1901319</v>
      </c>
      <c r="I49" s="8">
        <v>124979</v>
      </c>
      <c r="K49" s="3">
        <f t="shared" si="2"/>
        <v>3046983</v>
      </c>
      <c r="M49" s="8">
        <v>5073281</v>
      </c>
      <c r="O49" s="3">
        <f t="shared" si="3"/>
        <v>875763</v>
      </c>
      <c r="Q49" s="8">
        <v>2586267</v>
      </c>
      <c r="S49" s="8">
        <v>3462030</v>
      </c>
      <c r="U49" s="8">
        <f>69778+222592+2379+100000+22600</f>
        <v>417349</v>
      </c>
      <c r="W49" s="8">
        <v>0</v>
      </c>
      <c r="Y49" s="8">
        <v>1193902</v>
      </c>
      <c r="AA49" s="14">
        <f t="shared" si="0"/>
        <v>1611251</v>
      </c>
      <c r="AB49" s="8"/>
      <c r="AC49" s="8">
        <f t="shared" si="1"/>
        <v>0</v>
      </c>
    </row>
    <row r="50" spans="1:31">
      <c r="A50" s="12" t="s">
        <v>536</v>
      </c>
      <c r="B50" s="12"/>
      <c r="C50" s="12" t="s">
        <v>48</v>
      </c>
      <c r="D50" s="12"/>
      <c r="E50" s="32">
        <v>48611</v>
      </c>
      <c r="G50" s="8">
        <v>1542557</v>
      </c>
      <c r="I50" s="8">
        <v>33271</v>
      </c>
      <c r="K50" s="3">
        <f t="shared" si="2"/>
        <v>3180826</v>
      </c>
      <c r="M50" s="8">
        <v>4756654</v>
      </c>
      <c r="O50" s="3">
        <f t="shared" si="3"/>
        <v>677203</v>
      </c>
      <c r="Q50" s="8">
        <v>2766072</v>
      </c>
      <c r="S50" s="8">
        <v>3443275</v>
      </c>
      <c r="U50" s="8">
        <f>70080+3621+367267+33271</f>
        <v>474239</v>
      </c>
      <c r="W50" s="8">
        <v>0</v>
      </c>
      <c r="Y50" s="8">
        <v>839140</v>
      </c>
      <c r="AA50" s="14">
        <f t="shared" si="0"/>
        <v>1313379</v>
      </c>
      <c r="AB50" s="8"/>
      <c r="AC50" s="8">
        <f t="shared" si="1"/>
        <v>0</v>
      </c>
    </row>
    <row r="51" spans="1:31">
      <c r="A51" s="12" t="s">
        <v>267</v>
      </c>
      <c r="B51" s="12"/>
      <c r="C51" s="12" t="s">
        <v>115</v>
      </c>
      <c r="D51" s="12"/>
      <c r="E51" s="32">
        <v>46318</v>
      </c>
      <c r="G51" s="8">
        <v>994029</v>
      </c>
      <c r="I51" s="8">
        <v>433310</v>
      </c>
      <c r="K51" s="3">
        <f t="shared" si="2"/>
        <v>3352154</v>
      </c>
      <c r="M51" s="8">
        <v>4779493</v>
      </c>
      <c r="O51" s="3">
        <f t="shared" si="3"/>
        <v>1639785</v>
      </c>
      <c r="Q51" s="8">
        <v>3103713</v>
      </c>
      <c r="S51" s="8">
        <v>4743498</v>
      </c>
      <c r="U51" s="8">
        <f>124381+226400+433310</f>
        <v>784091</v>
      </c>
      <c r="W51" s="8">
        <v>0</v>
      </c>
      <c r="Y51" s="8">
        <v>-748096</v>
      </c>
      <c r="AA51" s="14">
        <f t="shared" si="0"/>
        <v>35995</v>
      </c>
      <c r="AB51" s="8"/>
      <c r="AC51" s="8">
        <f t="shared" si="1"/>
        <v>0</v>
      </c>
    </row>
    <row r="52" spans="1:31" hidden="1">
      <c r="A52" s="13" t="s">
        <v>962</v>
      </c>
      <c r="B52" s="12"/>
      <c r="C52" s="12" t="s">
        <v>60</v>
      </c>
      <c r="D52" s="12"/>
      <c r="E52" s="32">
        <v>49692</v>
      </c>
      <c r="G52" s="8">
        <f>9139+115730</f>
        <v>124869</v>
      </c>
      <c r="I52" s="8">
        <v>66041</v>
      </c>
      <c r="K52" s="3">
        <f t="shared" si="2"/>
        <v>0</v>
      </c>
      <c r="M52" s="8">
        <v>190910</v>
      </c>
      <c r="O52" s="3">
        <f t="shared" si="3"/>
        <v>0</v>
      </c>
      <c r="U52" s="8">
        <f>6396+34883+31158</f>
        <v>72437</v>
      </c>
      <c r="Y52" s="8">
        <v>118473</v>
      </c>
      <c r="AA52" s="14">
        <f t="shared" si="0"/>
        <v>190910</v>
      </c>
      <c r="AB52" s="8"/>
      <c r="AC52" s="8">
        <f t="shared" si="1"/>
        <v>0</v>
      </c>
      <c r="AE52" s="10" t="s">
        <v>956</v>
      </c>
    </row>
    <row r="53" spans="1:31">
      <c r="A53" s="12" t="s">
        <v>352</v>
      </c>
      <c r="B53" s="12"/>
      <c r="C53" s="12" t="s">
        <v>27</v>
      </c>
      <c r="D53" s="12"/>
      <c r="E53" s="32">
        <v>43620</v>
      </c>
      <c r="G53" s="8">
        <v>17286158</v>
      </c>
      <c r="I53" s="8">
        <v>16811</v>
      </c>
      <c r="K53" s="3">
        <f t="shared" si="2"/>
        <v>19883675</v>
      </c>
      <c r="M53" s="8">
        <v>37186644</v>
      </c>
      <c r="O53" s="3">
        <f t="shared" si="3"/>
        <v>3932201</v>
      </c>
      <c r="Q53" s="8">
        <v>11005678</v>
      </c>
      <c r="S53" s="8">
        <v>14937879</v>
      </c>
      <c r="U53" s="8">
        <f>6912733+303908+16811</f>
        <v>7233452</v>
      </c>
      <c r="W53" s="8">
        <v>0</v>
      </c>
      <c r="Y53" s="8">
        <v>15015313</v>
      </c>
      <c r="AA53" s="14">
        <f t="shared" si="0"/>
        <v>22248765</v>
      </c>
      <c r="AB53" s="8"/>
      <c r="AC53" s="8">
        <f t="shared" si="1"/>
        <v>0</v>
      </c>
    </row>
    <row r="54" spans="1:31">
      <c r="A54" s="12" t="s">
        <v>333</v>
      </c>
      <c r="B54" s="12"/>
      <c r="C54" s="12" t="s">
        <v>23</v>
      </c>
      <c r="D54" s="12"/>
      <c r="E54" s="32">
        <v>46748</v>
      </c>
      <c r="G54" s="8">
        <v>447681</v>
      </c>
      <c r="I54" s="8">
        <v>27131</v>
      </c>
      <c r="K54" s="3">
        <f t="shared" si="2"/>
        <v>14317780</v>
      </c>
      <c r="M54" s="8">
        <v>14792592</v>
      </c>
      <c r="O54" s="3">
        <f t="shared" si="3"/>
        <v>3157277</v>
      </c>
      <c r="Q54" s="8">
        <v>12000224</v>
      </c>
      <c r="S54" s="8">
        <v>15157501</v>
      </c>
      <c r="U54" s="8">
        <f>633315+27131+141452</f>
        <v>801898</v>
      </c>
      <c r="W54" s="8">
        <v>0</v>
      </c>
      <c r="Y54" s="8">
        <v>-1166807</v>
      </c>
      <c r="AA54" s="14">
        <f t="shared" si="0"/>
        <v>-364909</v>
      </c>
      <c r="AB54" s="8"/>
      <c r="AC54" s="8">
        <f t="shared" si="1"/>
        <v>0</v>
      </c>
    </row>
    <row r="55" spans="1:31">
      <c r="A55" s="12" t="s">
        <v>525</v>
      </c>
      <c r="B55" s="12"/>
      <c r="C55" s="12" t="s">
        <v>47</v>
      </c>
      <c r="D55" s="12"/>
      <c r="E55" s="32">
        <v>48462</v>
      </c>
      <c r="G55" s="8">
        <v>75760</v>
      </c>
      <c r="I55" s="8">
        <v>38225</v>
      </c>
      <c r="K55" s="3">
        <f t="shared" si="2"/>
        <v>4873121</v>
      </c>
      <c r="M55" s="8">
        <v>4987106</v>
      </c>
      <c r="O55" s="3">
        <f t="shared" si="3"/>
        <v>1830768</v>
      </c>
      <c r="Q55" s="8">
        <v>3658344</v>
      </c>
      <c r="S55" s="8">
        <v>5489112</v>
      </c>
      <c r="U55" s="8">
        <f>104984+549887+145345+38225</f>
        <v>838441</v>
      </c>
      <c r="W55" s="8">
        <v>0</v>
      </c>
      <c r="Y55" s="8">
        <v>-1340447</v>
      </c>
      <c r="AA55" s="14">
        <f t="shared" si="0"/>
        <v>-502006</v>
      </c>
      <c r="AB55" s="8"/>
      <c r="AC55" s="8">
        <f t="shared" si="1"/>
        <v>0</v>
      </c>
    </row>
    <row r="56" spans="1:31">
      <c r="A56" s="12" t="s">
        <v>274</v>
      </c>
      <c r="B56" s="12"/>
      <c r="C56" s="12" t="s">
        <v>18</v>
      </c>
      <c r="D56" s="12"/>
      <c r="E56" s="32">
        <v>46383</v>
      </c>
      <c r="G56" s="8">
        <v>1563501</v>
      </c>
      <c r="I56" s="8">
        <v>547402</v>
      </c>
      <c r="K56" s="3">
        <f t="shared" si="2"/>
        <v>3156023</v>
      </c>
      <c r="M56" s="8">
        <v>5266926</v>
      </c>
      <c r="O56" s="3">
        <f t="shared" si="3"/>
        <v>1580011</v>
      </c>
      <c r="Q56" s="8">
        <v>2843959</v>
      </c>
      <c r="S56" s="8">
        <v>4423970</v>
      </c>
      <c r="U56" s="8">
        <f>70419+177773+547402</f>
        <v>795594</v>
      </c>
      <c r="W56" s="8">
        <v>0</v>
      </c>
      <c r="Y56" s="8">
        <v>47362</v>
      </c>
      <c r="AA56" s="14">
        <f t="shared" si="0"/>
        <v>842956</v>
      </c>
      <c r="AB56" s="8"/>
      <c r="AC56" s="8">
        <f t="shared" si="1"/>
        <v>0</v>
      </c>
    </row>
    <row r="57" spans="1:31">
      <c r="A57" s="12" t="s">
        <v>345</v>
      </c>
      <c r="B57" s="12"/>
      <c r="C57" s="12" t="s">
        <v>25</v>
      </c>
      <c r="D57" s="12"/>
      <c r="E57" s="32">
        <v>46862</v>
      </c>
      <c r="G57" s="8">
        <v>2366548</v>
      </c>
      <c r="I57" s="8">
        <v>0</v>
      </c>
      <c r="K57" s="3">
        <f t="shared" si="2"/>
        <v>6648279</v>
      </c>
      <c r="M57" s="8">
        <v>9014827</v>
      </c>
      <c r="O57" s="3">
        <f t="shared" si="3"/>
        <v>1638080</v>
      </c>
      <c r="Q57" s="8">
        <v>4705330</v>
      </c>
      <c r="S57" s="8">
        <v>6343410</v>
      </c>
      <c r="U57" s="8">
        <f>28647+729871+4760</f>
        <v>763278</v>
      </c>
      <c r="W57" s="8">
        <v>0</v>
      </c>
      <c r="Y57" s="8">
        <v>1908139</v>
      </c>
      <c r="AA57" s="14">
        <f t="shared" si="0"/>
        <v>2671417</v>
      </c>
      <c r="AB57" s="8"/>
      <c r="AC57" s="8">
        <f t="shared" si="1"/>
        <v>0</v>
      </c>
    </row>
    <row r="58" spans="1:31">
      <c r="A58" s="12" t="s">
        <v>675</v>
      </c>
      <c r="B58" s="12"/>
      <c r="C58" s="12" t="s">
        <v>64</v>
      </c>
      <c r="D58" s="12"/>
      <c r="E58" s="32">
        <v>50096</v>
      </c>
      <c r="G58" s="8">
        <v>635356</v>
      </c>
      <c r="I58" s="8">
        <v>39051</v>
      </c>
      <c r="K58" s="3">
        <f t="shared" si="2"/>
        <v>1349262</v>
      </c>
      <c r="M58" s="8">
        <v>2023669</v>
      </c>
      <c r="O58" s="3">
        <f t="shared" si="3"/>
        <v>1475970</v>
      </c>
      <c r="Q58" s="8">
        <v>177673</v>
      </c>
      <c r="S58" s="8">
        <v>1653643</v>
      </c>
      <c r="U58" s="8">
        <f>16673+5088+5788+13233+25818</f>
        <v>66600</v>
      </c>
      <c r="W58" s="8">
        <v>0</v>
      </c>
      <c r="Y58" s="8">
        <v>303426</v>
      </c>
      <c r="AA58" s="14">
        <f t="shared" si="0"/>
        <v>370026</v>
      </c>
      <c r="AB58" s="8"/>
      <c r="AC58" s="8">
        <f t="shared" si="1"/>
        <v>0</v>
      </c>
    </row>
    <row r="59" spans="1:31" hidden="1">
      <c r="A59" s="13" t="s">
        <v>898</v>
      </c>
      <c r="B59" s="12"/>
      <c r="C59" s="12" t="s">
        <v>10</v>
      </c>
      <c r="D59" s="12"/>
      <c r="E59" s="32">
        <v>49593</v>
      </c>
      <c r="G59" s="8">
        <v>2159624</v>
      </c>
      <c r="K59" s="3">
        <f>+M59-I59-G59</f>
        <v>0</v>
      </c>
      <c r="M59" s="8">
        <v>2159624</v>
      </c>
      <c r="O59" s="3">
        <f>+S59-Q59</f>
        <v>0</v>
      </c>
      <c r="U59" s="8">
        <f>32297+9458</f>
        <v>41755</v>
      </c>
      <c r="Y59" s="8">
        <v>2117869</v>
      </c>
      <c r="AA59" s="14">
        <f>+Y59+W59++U59</f>
        <v>2159624</v>
      </c>
      <c r="AB59" s="8"/>
      <c r="AC59" s="8">
        <f>+G59+I59+K59-O59-Q59-Y59-W59-U59</f>
        <v>0</v>
      </c>
      <c r="AE59" s="10" t="s">
        <v>956</v>
      </c>
    </row>
    <row r="60" spans="1:31">
      <c r="A60" s="12" t="s">
        <v>626</v>
      </c>
      <c r="B60" s="12"/>
      <c r="C60" s="12" t="s">
        <v>59</v>
      </c>
      <c r="D60" s="12"/>
      <c r="E60" s="32">
        <v>49593</v>
      </c>
      <c r="G60" s="8">
        <v>589884</v>
      </c>
      <c r="I60" s="8">
        <v>176299</v>
      </c>
      <c r="K60" s="3">
        <f t="shared" si="2"/>
        <v>1188351</v>
      </c>
      <c r="M60" s="8">
        <v>1954534</v>
      </c>
      <c r="O60" s="3">
        <f t="shared" si="3"/>
        <v>846191</v>
      </c>
      <c r="Q60" s="8">
        <v>1051235</v>
      </c>
      <c r="S60" s="8">
        <v>1897426</v>
      </c>
      <c r="U60" s="8">
        <f>36982+120686+57057+82942+33272+3028</f>
        <v>333967</v>
      </c>
      <c r="W60" s="8">
        <v>0</v>
      </c>
      <c r="Y60" s="8">
        <v>-276859</v>
      </c>
      <c r="AA60" s="14">
        <f t="shared" si="0"/>
        <v>57108</v>
      </c>
      <c r="AB60" s="8"/>
      <c r="AC60" s="8">
        <f t="shared" si="1"/>
        <v>0</v>
      </c>
    </row>
    <row r="61" spans="1:31">
      <c r="A61" s="12" t="s">
        <v>509</v>
      </c>
      <c r="B61" s="12"/>
      <c r="C61" s="12" t="s">
        <v>45</v>
      </c>
      <c r="D61" s="12"/>
      <c r="E61" s="32">
        <v>48306</v>
      </c>
      <c r="G61" s="8">
        <v>10489108</v>
      </c>
      <c r="I61" s="8">
        <v>717678</v>
      </c>
      <c r="K61" s="3">
        <f t="shared" si="2"/>
        <v>26954272</v>
      </c>
      <c r="M61" s="8">
        <v>38161058</v>
      </c>
      <c r="O61" s="3">
        <f t="shared" si="3"/>
        <v>5159716</v>
      </c>
      <c r="Q61" s="8">
        <v>26786483</v>
      </c>
      <c r="S61" s="8">
        <v>31946199</v>
      </c>
      <c r="U61" s="8">
        <f>163218+476763+240915</f>
        <v>880896</v>
      </c>
      <c r="W61" s="8">
        <v>0</v>
      </c>
      <c r="Y61" s="8">
        <v>5333963</v>
      </c>
      <c r="AA61" s="14">
        <f t="shared" si="0"/>
        <v>6214859</v>
      </c>
      <c r="AB61" s="8"/>
      <c r="AC61" s="8">
        <f t="shared" si="1"/>
        <v>0</v>
      </c>
    </row>
    <row r="62" spans="1:31">
      <c r="A62" s="12" t="s">
        <v>642</v>
      </c>
      <c r="B62" s="12"/>
      <c r="C62" s="12" t="s">
        <v>61</v>
      </c>
      <c r="D62" s="12"/>
      <c r="E62" s="32">
        <v>49767</v>
      </c>
      <c r="G62" s="8">
        <v>647695</v>
      </c>
      <c r="I62" s="8">
        <v>73850</v>
      </c>
      <c r="K62" s="3">
        <f t="shared" si="2"/>
        <v>918179</v>
      </c>
      <c r="M62" s="8">
        <v>1639724</v>
      </c>
      <c r="O62" s="3">
        <f t="shared" si="3"/>
        <v>566644</v>
      </c>
      <c r="Q62" s="8">
        <v>748413</v>
      </c>
      <c r="S62" s="8">
        <v>1315057</v>
      </c>
      <c r="U62" s="8">
        <f>41880+67410+69817+4033</f>
        <v>183140</v>
      </c>
      <c r="W62" s="8">
        <v>0</v>
      </c>
      <c r="Y62" s="8">
        <v>141527</v>
      </c>
      <c r="AA62" s="14">
        <f t="shared" si="0"/>
        <v>324667</v>
      </c>
      <c r="AB62" s="8"/>
      <c r="AC62" s="8">
        <f t="shared" si="1"/>
        <v>0</v>
      </c>
    </row>
    <row r="63" spans="1:31">
      <c r="A63" s="12" t="s">
        <v>733</v>
      </c>
      <c r="B63" s="12"/>
      <c r="C63" s="12" t="s">
        <v>72</v>
      </c>
      <c r="D63" s="12"/>
      <c r="E63" s="32">
        <v>43638</v>
      </c>
      <c r="G63" s="8">
        <v>1833574</v>
      </c>
      <c r="I63" s="8">
        <v>0</v>
      </c>
      <c r="K63" s="3">
        <f t="shared" si="2"/>
        <v>22528279</v>
      </c>
      <c r="M63" s="8">
        <v>24361853</v>
      </c>
      <c r="O63" s="3">
        <f t="shared" si="3"/>
        <v>3041114</v>
      </c>
      <c r="Q63" s="8">
        <v>13099256</v>
      </c>
      <c r="S63" s="8">
        <v>16140370</v>
      </c>
      <c r="U63" s="8">
        <f>170394+87229+91557+1942007</f>
        <v>2291187</v>
      </c>
      <c r="W63" s="8">
        <v>0</v>
      </c>
      <c r="Y63" s="8">
        <v>5930296</v>
      </c>
      <c r="AA63" s="14">
        <f t="shared" si="0"/>
        <v>8221483</v>
      </c>
      <c r="AB63" s="8"/>
      <c r="AC63" s="8">
        <f t="shared" si="1"/>
        <v>0</v>
      </c>
    </row>
    <row r="64" spans="1:31" hidden="1">
      <c r="A64" s="88" t="s">
        <v>961</v>
      </c>
      <c r="B64" s="12"/>
      <c r="C64" s="12" t="s">
        <v>48</v>
      </c>
      <c r="D64" s="12"/>
      <c r="E64" s="32">
        <v>43646</v>
      </c>
      <c r="K64" s="3">
        <f>+M64-I64-G64</f>
        <v>0</v>
      </c>
      <c r="O64" s="3">
        <f>+S64-Q64</f>
        <v>0</v>
      </c>
      <c r="AA64" s="14">
        <f>+Y64+W64++U64</f>
        <v>0</v>
      </c>
      <c r="AB64" s="8"/>
      <c r="AC64" s="8">
        <f>+G64+I64+K64-O64-Q64-Y64-W64-U64</f>
        <v>0</v>
      </c>
    </row>
    <row r="65" spans="1:31">
      <c r="A65" s="12" t="s">
        <v>873</v>
      </c>
      <c r="B65" s="12"/>
      <c r="C65" s="12" t="s">
        <v>20</v>
      </c>
      <c r="D65" s="12"/>
      <c r="E65" s="32">
        <v>43646</v>
      </c>
      <c r="G65" s="8">
        <v>13918583</v>
      </c>
      <c r="I65" s="8">
        <v>0</v>
      </c>
      <c r="K65" s="3">
        <f t="shared" si="2"/>
        <v>32844286</v>
      </c>
      <c r="M65" s="8">
        <v>46762869</v>
      </c>
      <c r="O65" s="3">
        <f t="shared" si="3"/>
        <v>6222638</v>
      </c>
      <c r="Q65" s="8">
        <v>27816932</v>
      </c>
      <c r="S65" s="8">
        <v>34039570</v>
      </c>
      <c r="U65" s="8">
        <f>385224+4878865</f>
        <v>5264089</v>
      </c>
      <c r="W65" s="8">
        <v>0</v>
      </c>
      <c r="Y65" s="8">
        <v>7459210</v>
      </c>
      <c r="AA65" s="14">
        <f t="shared" si="0"/>
        <v>12723299</v>
      </c>
      <c r="AB65" s="8"/>
      <c r="AC65" s="8">
        <f t="shared" si="1"/>
        <v>0</v>
      </c>
    </row>
    <row r="66" spans="1:31">
      <c r="A66" s="12" t="s">
        <v>232</v>
      </c>
      <c r="B66" s="12"/>
      <c r="C66" s="12" t="s">
        <v>15</v>
      </c>
      <c r="D66" s="12"/>
      <c r="E66" s="32">
        <v>45237</v>
      </c>
      <c r="G66" s="8">
        <v>354134</v>
      </c>
      <c r="I66" s="8">
        <v>34439</v>
      </c>
      <c r="K66" s="3">
        <f t="shared" si="2"/>
        <v>1670123</v>
      </c>
      <c r="M66" s="8">
        <v>2058696</v>
      </c>
      <c r="O66" s="3">
        <f t="shared" si="3"/>
        <v>2147542</v>
      </c>
      <c r="Q66" s="8">
        <v>293689</v>
      </c>
      <c r="S66" s="8">
        <v>2441231</v>
      </c>
      <c r="U66" s="8">
        <f>15715+21045+2953+12211+34439</f>
        <v>86363</v>
      </c>
      <c r="W66" s="8">
        <v>0</v>
      </c>
      <c r="Y66" s="8">
        <v>-468898</v>
      </c>
      <c r="AA66" s="14">
        <f t="shared" si="0"/>
        <v>-382535</v>
      </c>
      <c r="AB66" s="8"/>
      <c r="AC66" s="8">
        <f t="shared" si="1"/>
        <v>0</v>
      </c>
      <c r="AE66" s="10" t="s">
        <v>956</v>
      </c>
    </row>
    <row r="67" spans="1:31">
      <c r="A67" s="12" t="s">
        <v>434</v>
      </c>
      <c r="B67" s="12"/>
      <c r="C67" s="12" t="s">
        <v>435</v>
      </c>
      <c r="D67" s="12"/>
      <c r="E67" s="32">
        <v>47613</v>
      </c>
      <c r="G67" s="8">
        <v>1737696</v>
      </c>
      <c r="I67" s="8">
        <v>48220</v>
      </c>
      <c r="K67" s="3">
        <f t="shared" si="2"/>
        <v>1494152</v>
      </c>
      <c r="M67" s="8">
        <v>3280068</v>
      </c>
      <c r="O67" s="3">
        <f t="shared" si="3"/>
        <v>925978</v>
      </c>
      <c r="Q67" s="8">
        <v>1426991</v>
      </c>
      <c r="S67" s="8">
        <v>2352969</v>
      </c>
      <c r="U67" s="8">
        <f>200872+67161+22449+25771</f>
        <v>316253</v>
      </c>
      <c r="W67" s="8">
        <v>0</v>
      </c>
      <c r="Y67" s="8">
        <v>610846</v>
      </c>
      <c r="AA67" s="14">
        <f t="shared" si="0"/>
        <v>927099</v>
      </c>
      <c r="AB67" s="8"/>
      <c r="AC67" s="8">
        <f t="shared" si="1"/>
        <v>0</v>
      </c>
    </row>
    <row r="68" spans="1:31">
      <c r="A68" s="12" t="s">
        <v>676</v>
      </c>
      <c r="B68" s="12"/>
      <c r="C68" s="12" t="s">
        <v>64</v>
      </c>
      <c r="D68" s="12"/>
      <c r="E68" s="32">
        <v>50112</v>
      </c>
      <c r="G68" s="8">
        <v>1595219</v>
      </c>
      <c r="I68" s="8">
        <v>188474</v>
      </c>
      <c r="K68" s="3">
        <f t="shared" si="2"/>
        <v>1837216</v>
      </c>
      <c r="M68" s="8">
        <v>3620909</v>
      </c>
      <c r="O68" s="3">
        <f t="shared" si="3"/>
        <v>2232813</v>
      </c>
      <c r="Q68" s="8">
        <v>213016</v>
      </c>
      <c r="S68" s="8">
        <v>2445829</v>
      </c>
      <c r="U68" s="8">
        <f>10598+7999+6738+682+187792</f>
        <v>213809</v>
      </c>
      <c r="W68" s="8">
        <v>0</v>
      </c>
      <c r="Y68" s="8">
        <v>961271</v>
      </c>
      <c r="AA68" s="14">
        <f t="shared" si="0"/>
        <v>1175080</v>
      </c>
      <c r="AB68" s="8"/>
      <c r="AC68" s="8">
        <f t="shared" si="1"/>
        <v>0</v>
      </c>
    </row>
    <row r="69" spans="1:31">
      <c r="A69" s="13" t="s">
        <v>677</v>
      </c>
      <c r="B69" s="12"/>
      <c r="C69" s="12" t="s">
        <v>64</v>
      </c>
      <c r="D69" s="12"/>
      <c r="E69" s="32">
        <v>50120</v>
      </c>
      <c r="G69" s="8">
        <v>100383</v>
      </c>
      <c r="I69" s="8">
        <v>0</v>
      </c>
      <c r="K69" s="3">
        <f t="shared" si="2"/>
        <v>3292482</v>
      </c>
      <c r="M69" s="8">
        <v>3392865</v>
      </c>
      <c r="O69" s="3">
        <f t="shared" si="3"/>
        <v>3813350</v>
      </c>
      <c r="Q69" s="8">
        <v>627131</v>
      </c>
      <c r="S69" s="8">
        <v>4440481</v>
      </c>
      <c r="U69" s="8">
        <f>43929+8395</f>
        <v>52324</v>
      </c>
      <c r="W69" s="8">
        <v>0</v>
      </c>
      <c r="Y69" s="8">
        <v>-1099940</v>
      </c>
      <c r="AA69" s="14">
        <f t="shared" si="0"/>
        <v>-1047616</v>
      </c>
      <c r="AB69" s="8"/>
      <c r="AC69" s="8">
        <f t="shared" si="1"/>
        <v>0</v>
      </c>
      <c r="AE69" s="8" t="s">
        <v>956</v>
      </c>
    </row>
    <row r="70" spans="1:31">
      <c r="A70" s="12" t="s">
        <v>301</v>
      </c>
      <c r="B70" s="12"/>
      <c r="C70" s="12" t="s">
        <v>20</v>
      </c>
      <c r="D70" s="12"/>
      <c r="E70" s="32">
        <v>43653</v>
      </c>
      <c r="G70" s="8">
        <v>977735</v>
      </c>
      <c r="I70" s="8">
        <v>13341</v>
      </c>
      <c r="K70" s="3">
        <f t="shared" si="2"/>
        <v>12750591</v>
      </c>
      <c r="M70" s="8">
        <v>13741667</v>
      </c>
      <c r="O70" s="3">
        <f t="shared" si="3"/>
        <v>1221747</v>
      </c>
      <c r="Q70" s="8">
        <v>9544521</v>
      </c>
      <c r="S70" s="8">
        <v>10766268</v>
      </c>
      <c r="U70" s="8">
        <f>2189510+13341</f>
        <v>2202851</v>
      </c>
      <c r="W70" s="8">
        <v>0</v>
      </c>
      <c r="Y70" s="8">
        <v>772548</v>
      </c>
      <c r="AA70" s="14">
        <f t="shared" si="0"/>
        <v>2975399</v>
      </c>
      <c r="AB70" s="8"/>
      <c r="AC70" s="8">
        <f t="shared" si="1"/>
        <v>0</v>
      </c>
    </row>
    <row r="71" spans="1:31">
      <c r="A71" s="13" t="s">
        <v>965</v>
      </c>
      <c r="B71" s="12"/>
      <c r="C71" s="12" t="s">
        <v>50</v>
      </c>
      <c r="D71" s="12"/>
      <c r="E71" s="32">
        <v>48678</v>
      </c>
      <c r="G71" s="8">
        <v>3672175</v>
      </c>
      <c r="I71" s="8">
        <v>421608</v>
      </c>
      <c r="K71" s="3">
        <f t="shared" si="2"/>
        <v>4795631</v>
      </c>
      <c r="M71" s="8">
        <v>8889414</v>
      </c>
      <c r="O71" s="3">
        <f t="shared" si="3"/>
        <v>1377838</v>
      </c>
      <c r="Q71" s="8">
        <v>4382853</v>
      </c>
      <c r="S71" s="8">
        <v>5760691</v>
      </c>
      <c r="U71" s="8">
        <f>150267+74377+324989+421608</f>
        <v>971241</v>
      </c>
      <c r="W71" s="8">
        <v>0</v>
      </c>
      <c r="Y71" s="8">
        <v>2157482</v>
      </c>
      <c r="AA71" s="14">
        <f t="shared" si="0"/>
        <v>3128723</v>
      </c>
      <c r="AB71" s="8"/>
      <c r="AC71" s="8">
        <f t="shared" si="1"/>
        <v>0</v>
      </c>
      <c r="AE71" s="8" t="s">
        <v>956</v>
      </c>
    </row>
    <row r="72" spans="1:31">
      <c r="A72" s="12" t="s">
        <v>252</v>
      </c>
      <c r="B72" s="12"/>
      <c r="C72" s="12" t="s">
        <v>16</v>
      </c>
      <c r="D72" s="12"/>
      <c r="E72" s="32">
        <v>46177</v>
      </c>
      <c r="G72" s="8">
        <v>1828899</v>
      </c>
      <c r="I72" s="8">
        <v>0</v>
      </c>
      <c r="K72" s="3">
        <f t="shared" si="2"/>
        <v>2790302</v>
      </c>
      <c r="M72" s="8">
        <v>4619201</v>
      </c>
      <c r="O72" s="3">
        <f t="shared" si="3"/>
        <v>652786</v>
      </c>
      <c r="Q72" s="8">
        <v>1885350</v>
      </c>
      <c r="S72" s="8">
        <v>2538136</v>
      </c>
      <c r="U72" s="8">
        <f>55939+904952</f>
        <v>960891</v>
      </c>
      <c r="W72" s="8">
        <v>0</v>
      </c>
      <c r="Y72" s="8">
        <v>1120174</v>
      </c>
      <c r="AA72" s="14">
        <f t="shared" si="0"/>
        <v>2081065</v>
      </c>
      <c r="AB72" s="8"/>
      <c r="AC72" s="8">
        <f t="shared" si="1"/>
        <v>0</v>
      </c>
    </row>
    <row r="73" spans="1:31">
      <c r="A73" s="12" t="s">
        <v>526</v>
      </c>
      <c r="B73" s="12"/>
      <c r="C73" s="12" t="s">
        <v>47</v>
      </c>
      <c r="D73" s="12"/>
      <c r="E73" s="32">
        <v>43661</v>
      </c>
      <c r="G73" s="8">
        <v>9804334</v>
      </c>
      <c r="I73" s="8">
        <v>1496843</v>
      </c>
      <c r="K73" s="3">
        <f t="shared" si="2"/>
        <v>34493430</v>
      </c>
      <c r="M73" s="8">
        <v>45794607</v>
      </c>
      <c r="O73" s="3">
        <f t="shared" si="3"/>
        <v>8002030</v>
      </c>
      <c r="Q73" s="8">
        <v>31057696</v>
      </c>
      <c r="S73" s="8">
        <v>39059726</v>
      </c>
      <c r="U73" s="8">
        <f>897357+3067541+1496843</f>
        <v>5461741</v>
      </c>
      <c r="W73" s="8">
        <v>0</v>
      </c>
      <c r="Y73" s="8">
        <v>1273140</v>
      </c>
      <c r="AA73" s="14">
        <f t="shared" si="0"/>
        <v>6734881</v>
      </c>
      <c r="AB73" s="8"/>
      <c r="AC73" s="8">
        <f t="shared" si="1"/>
        <v>0</v>
      </c>
    </row>
    <row r="74" spans="1:31" hidden="1">
      <c r="A74" s="13" t="s">
        <v>966</v>
      </c>
      <c r="B74" s="12"/>
      <c r="C74" s="12" t="s">
        <v>727</v>
      </c>
      <c r="D74" s="12"/>
      <c r="E74" s="32">
        <v>43679</v>
      </c>
      <c r="G74" s="8">
        <v>7190704</v>
      </c>
      <c r="K74" s="3">
        <f t="shared" si="2"/>
        <v>0</v>
      </c>
      <c r="M74" s="8">
        <v>7190704</v>
      </c>
      <c r="O74" s="3">
        <f t="shared" si="3"/>
        <v>0</v>
      </c>
      <c r="U74" s="8">
        <v>138711</v>
      </c>
      <c r="Y74" s="8">
        <v>7051993</v>
      </c>
      <c r="AA74" s="14">
        <f t="shared" si="0"/>
        <v>7190704</v>
      </c>
      <c r="AB74" s="8"/>
      <c r="AC74" s="8">
        <f t="shared" si="1"/>
        <v>0</v>
      </c>
      <c r="AE74" s="8" t="s">
        <v>956</v>
      </c>
    </row>
    <row r="75" spans="1:31">
      <c r="A75" s="12" t="s">
        <v>290</v>
      </c>
      <c r="B75" s="12"/>
      <c r="C75" s="12" t="s">
        <v>113</v>
      </c>
      <c r="D75" s="12"/>
      <c r="E75" s="32">
        <v>46508</v>
      </c>
      <c r="G75" s="8">
        <v>2082773</v>
      </c>
      <c r="I75" s="8">
        <v>43646</v>
      </c>
      <c r="K75" s="3">
        <f t="shared" si="2"/>
        <v>2216386</v>
      </c>
      <c r="M75" s="8">
        <v>4342805</v>
      </c>
      <c r="O75" s="3">
        <f t="shared" si="3"/>
        <v>2016502</v>
      </c>
      <c r="Q75" s="8">
        <v>60898</v>
      </c>
      <c r="S75" s="8">
        <v>2077400</v>
      </c>
      <c r="U75" s="8">
        <f>172589+3251+12300+466628+43646</f>
        <v>698414</v>
      </c>
      <c r="W75" s="8">
        <v>0</v>
      </c>
      <c r="Y75" s="8">
        <v>1566991</v>
      </c>
      <c r="AA75" s="14">
        <f t="shared" si="0"/>
        <v>2265405</v>
      </c>
      <c r="AB75" s="8"/>
      <c r="AC75" s="8">
        <f t="shared" si="1"/>
        <v>0</v>
      </c>
    </row>
    <row r="76" spans="1:31">
      <c r="A76" s="12" t="s">
        <v>217</v>
      </c>
      <c r="B76" s="12"/>
      <c r="C76" s="12" t="s">
        <v>12</v>
      </c>
      <c r="D76" s="12"/>
      <c r="E76" s="32">
        <v>45856</v>
      </c>
      <c r="G76" s="8">
        <v>4516683</v>
      </c>
      <c r="I76" s="8">
        <v>0</v>
      </c>
      <c r="K76" s="3">
        <f t="shared" si="2"/>
        <v>7427714</v>
      </c>
      <c r="M76" s="8">
        <v>11944397</v>
      </c>
      <c r="O76" s="3">
        <f t="shared" si="3"/>
        <v>2349662</v>
      </c>
      <c r="Q76" s="8">
        <v>4354282</v>
      </c>
      <c r="S76" s="8">
        <v>6703944</v>
      </c>
      <c r="U76" s="8">
        <f>52829+40320+2920392</f>
        <v>3013541</v>
      </c>
      <c r="W76" s="8">
        <v>0</v>
      </c>
      <c r="Y76" s="8">
        <v>2226912</v>
      </c>
      <c r="AA76" s="14">
        <f t="shared" si="0"/>
        <v>5240453</v>
      </c>
      <c r="AB76" s="8"/>
      <c r="AC76" s="8">
        <f t="shared" si="1"/>
        <v>0</v>
      </c>
    </row>
    <row r="77" spans="1:31">
      <c r="A77" s="12" t="s">
        <v>217</v>
      </c>
      <c r="B77" s="12"/>
      <c r="C77" s="12" t="s">
        <v>39</v>
      </c>
      <c r="D77" s="12"/>
      <c r="E77" s="32">
        <v>47787</v>
      </c>
      <c r="G77" s="8">
        <v>150097</v>
      </c>
      <c r="I77" s="8">
        <v>172687</v>
      </c>
      <c r="K77" s="3">
        <f t="shared" si="2"/>
        <v>7537122</v>
      </c>
      <c r="M77" s="8">
        <v>7859906</v>
      </c>
      <c r="O77" s="3">
        <f t="shared" si="3"/>
        <v>2392182</v>
      </c>
      <c r="Q77" s="8">
        <v>6589196</v>
      </c>
      <c r="S77" s="8">
        <v>8981378</v>
      </c>
      <c r="U77" s="8">
        <f>250895+115961+47688+9038</f>
        <v>423582</v>
      </c>
      <c r="W77" s="8">
        <v>0</v>
      </c>
      <c r="Y77" s="8">
        <v>-1545054</v>
      </c>
      <c r="AA77" s="14">
        <f t="shared" si="0"/>
        <v>-1121472</v>
      </c>
      <c r="AB77" s="8"/>
      <c r="AC77" s="8">
        <f t="shared" si="1"/>
        <v>0</v>
      </c>
    </row>
    <row r="78" spans="1:31">
      <c r="A78" s="13" t="s">
        <v>968</v>
      </c>
      <c r="B78" s="12"/>
      <c r="C78" s="12" t="s">
        <v>47</v>
      </c>
      <c r="D78" s="12"/>
      <c r="E78" s="32">
        <v>48470</v>
      </c>
      <c r="G78" s="8">
        <v>1942415</v>
      </c>
      <c r="I78" s="8">
        <v>0</v>
      </c>
      <c r="K78" s="3">
        <f t="shared" ref="K78:K89" si="4">+M78-I78-G78</f>
        <v>8516440</v>
      </c>
      <c r="M78" s="8">
        <v>10458855</v>
      </c>
      <c r="O78" s="3">
        <f t="shared" ref="O78:O90" si="5">+S78-Q78</f>
        <v>2735401</v>
      </c>
      <c r="Q78" s="8">
        <v>7795338</v>
      </c>
      <c r="S78" s="8">
        <v>10530739</v>
      </c>
      <c r="U78" s="8">
        <f>364925+589140</f>
        <v>954065</v>
      </c>
      <c r="W78" s="8">
        <v>0</v>
      </c>
      <c r="Y78" s="8">
        <v>-1025949</v>
      </c>
      <c r="AA78" s="14">
        <f t="shared" ref="AA78:AA90" si="6">+Y78+W78++U78</f>
        <v>-71884</v>
      </c>
      <c r="AB78" s="8"/>
      <c r="AC78" s="8">
        <f t="shared" ref="AC78:AC90" si="7">+G78+I78+K78-O78-Q78-Y78-W78-U78</f>
        <v>0</v>
      </c>
      <c r="AE78" s="8"/>
    </row>
    <row r="79" spans="1:31" hidden="1">
      <c r="A79" s="8" t="s">
        <v>901</v>
      </c>
      <c r="B79" s="12"/>
      <c r="C79" s="12" t="s">
        <v>114</v>
      </c>
      <c r="D79" s="12"/>
      <c r="E79" s="32">
        <v>46755</v>
      </c>
      <c r="K79" s="3">
        <f t="shared" si="4"/>
        <v>0</v>
      </c>
      <c r="O79" s="3">
        <f t="shared" si="5"/>
        <v>0</v>
      </c>
      <c r="AA79" s="14">
        <f t="shared" si="6"/>
        <v>0</v>
      </c>
      <c r="AB79" s="8"/>
      <c r="AC79" s="8">
        <f t="shared" si="7"/>
        <v>0</v>
      </c>
      <c r="AE79" s="8" t="s">
        <v>967</v>
      </c>
    </row>
    <row r="80" spans="1:31">
      <c r="A80" s="12" t="s">
        <v>334</v>
      </c>
      <c r="B80" s="12"/>
      <c r="C80" s="12" t="s">
        <v>23</v>
      </c>
      <c r="D80" s="12"/>
      <c r="E80" s="32">
        <v>46755</v>
      </c>
      <c r="G80" s="8">
        <v>3827973</v>
      </c>
      <c r="I80" s="8">
        <v>0</v>
      </c>
      <c r="K80" s="3">
        <f t="shared" si="4"/>
        <v>10825765</v>
      </c>
      <c r="M80" s="8">
        <v>14653738</v>
      </c>
      <c r="O80" s="3">
        <f t="shared" si="5"/>
        <v>10056457</v>
      </c>
      <c r="Q80" s="8">
        <v>430461</v>
      </c>
      <c r="S80" s="8">
        <v>10486918</v>
      </c>
      <c r="U80" s="8">
        <f>435434+10815+1016693+2985</f>
        <v>1465927</v>
      </c>
      <c r="W80" s="8">
        <v>0</v>
      </c>
      <c r="Y80" s="8">
        <v>2700893</v>
      </c>
      <c r="AA80" s="14">
        <f t="shared" si="6"/>
        <v>4166820</v>
      </c>
      <c r="AB80" s="8"/>
      <c r="AC80" s="8">
        <f t="shared" si="7"/>
        <v>0</v>
      </c>
    </row>
    <row r="81" spans="1:29">
      <c r="A81" s="12" t="s">
        <v>291</v>
      </c>
      <c r="B81" s="12"/>
      <c r="C81" s="12" t="s">
        <v>113</v>
      </c>
      <c r="D81" s="12"/>
      <c r="E81" s="32">
        <v>43687</v>
      </c>
      <c r="G81" s="8">
        <v>6209388</v>
      </c>
      <c r="I81" s="8">
        <v>73427</v>
      </c>
      <c r="K81" s="3">
        <f t="shared" si="4"/>
        <v>5439980</v>
      </c>
      <c r="M81" s="8">
        <v>11722795</v>
      </c>
      <c r="O81" s="3">
        <f t="shared" si="5"/>
        <v>1639954</v>
      </c>
      <c r="Q81" s="8">
        <v>3704196</v>
      </c>
      <c r="S81" s="8">
        <v>5344150</v>
      </c>
      <c r="U81" s="8">
        <f>1592917+67822+5605+185524</f>
        <v>1851868</v>
      </c>
      <c r="W81" s="8">
        <v>0</v>
      </c>
      <c r="Y81" s="8">
        <v>4526777</v>
      </c>
      <c r="AA81" s="14">
        <f t="shared" si="6"/>
        <v>6378645</v>
      </c>
      <c r="AB81" s="8"/>
      <c r="AC81" s="8">
        <f t="shared" si="7"/>
        <v>0</v>
      </c>
    </row>
    <row r="82" spans="1:29">
      <c r="A82" s="12"/>
      <c r="B82" s="12"/>
      <c r="C82" s="12"/>
      <c r="D82" s="12"/>
      <c r="E82" s="32"/>
      <c r="K82" s="3"/>
      <c r="O82" s="3"/>
      <c r="AA82" s="14"/>
      <c r="AB82" s="8"/>
    </row>
    <row r="83" spans="1:29">
      <c r="A83" s="12"/>
      <c r="B83" s="12"/>
      <c r="C83" s="12"/>
      <c r="D83" s="12"/>
      <c r="E83" s="32"/>
      <c r="K83" s="3"/>
      <c r="O83" s="3"/>
      <c r="AA83" s="14" t="s">
        <v>805</v>
      </c>
      <c r="AB83" s="8"/>
    </row>
    <row r="84" spans="1:29">
      <c r="A84" s="12"/>
      <c r="B84" s="12"/>
      <c r="C84" s="12"/>
      <c r="D84" s="12"/>
      <c r="E84" s="32"/>
      <c r="K84" s="3"/>
      <c r="O84" s="3"/>
      <c r="AA84" s="14"/>
      <c r="AB84" s="8"/>
    </row>
    <row r="85" spans="1:29">
      <c r="A85" s="12" t="s">
        <v>569</v>
      </c>
      <c r="B85" s="12"/>
      <c r="C85" s="12" t="s">
        <v>52</v>
      </c>
      <c r="D85" s="12"/>
      <c r="E85" s="32">
        <v>45252</v>
      </c>
      <c r="G85" s="35">
        <v>1241869</v>
      </c>
      <c r="H85" s="35"/>
      <c r="I85" s="35">
        <v>54998</v>
      </c>
      <c r="J85" s="35"/>
      <c r="K85" s="42">
        <f t="shared" ref="K85" si="8">+M85-I85-G85</f>
        <v>2378106</v>
      </c>
      <c r="L85" s="35"/>
      <c r="M85" s="35">
        <v>3674973</v>
      </c>
      <c r="N85" s="35"/>
      <c r="O85" s="42">
        <f t="shared" si="5"/>
        <v>1012475</v>
      </c>
      <c r="P85" s="35"/>
      <c r="Q85" s="35">
        <v>2057900</v>
      </c>
      <c r="R85" s="35"/>
      <c r="S85" s="35">
        <v>3070375</v>
      </c>
      <c r="T85" s="35"/>
      <c r="U85" s="35">
        <f>78314+756+28284+25958+308120</f>
        <v>441432</v>
      </c>
      <c r="V85" s="35"/>
      <c r="W85" s="35">
        <v>40000</v>
      </c>
      <c r="X85" s="35"/>
      <c r="Y85" s="35">
        <v>123166</v>
      </c>
      <c r="Z85" s="35"/>
      <c r="AA85" s="64">
        <f t="shared" ref="AA85" si="9">+Y85+W85++U85</f>
        <v>604598</v>
      </c>
      <c r="AB85" s="8"/>
      <c r="AC85" s="8">
        <f t="shared" si="7"/>
        <v>0</v>
      </c>
    </row>
    <row r="86" spans="1:29">
      <c r="A86" s="12" t="s">
        <v>389</v>
      </c>
      <c r="B86" s="12"/>
      <c r="C86" s="12" t="s">
        <v>31</v>
      </c>
      <c r="D86" s="12"/>
      <c r="E86" s="32">
        <v>43695</v>
      </c>
      <c r="G86" s="8">
        <v>1145166</v>
      </c>
      <c r="I86" s="8">
        <v>82185</v>
      </c>
      <c r="K86" s="3">
        <f t="shared" si="4"/>
        <v>6523516</v>
      </c>
      <c r="M86" s="8">
        <v>7750867</v>
      </c>
      <c r="O86" s="3">
        <f t="shared" si="5"/>
        <v>2425166</v>
      </c>
      <c r="Q86" s="8">
        <v>4121132</v>
      </c>
      <c r="S86" s="8">
        <v>6546298</v>
      </c>
      <c r="U86" s="8">
        <f>544719+2267502+82185</f>
        <v>2894406</v>
      </c>
      <c r="W86" s="8">
        <v>0</v>
      </c>
      <c r="Y86" s="8">
        <v>-1689837</v>
      </c>
      <c r="AA86" s="14">
        <f t="shared" si="6"/>
        <v>1204569</v>
      </c>
      <c r="AB86" s="8"/>
      <c r="AC86" s="8">
        <f t="shared" si="7"/>
        <v>0</v>
      </c>
    </row>
    <row r="87" spans="1:29">
      <c r="A87" s="12" t="s">
        <v>510</v>
      </c>
      <c r="B87" s="12"/>
      <c r="C87" s="12" t="s">
        <v>45</v>
      </c>
      <c r="D87" s="12"/>
      <c r="E87" s="32">
        <v>43703</v>
      </c>
      <c r="G87" s="8">
        <v>1083293</v>
      </c>
      <c r="I87" s="8">
        <v>80192</v>
      </c>
      <c r="K87" s="3">
        <f t="shared" si="4"/>
        <v>2706076</v>
      </c>
      <c r="M87" s="8">
        <v>3869561</v>
      </c>
      <c r="O87" s="3">
        <f t="shared" si="5"/>
        <v>1481814</v>
      </c>
      <c r="Q87" s="8">
        <v>2555128</v>
      </c>
      <c r="S87" s="8">
        <v>4036942</v>
      </c>
      <c r="U87" s="8">
        <f>165506+80192</f>
        <v>245698</v>
      </c>
      <c r="W87" s="8">
        <v>0</v>
      </c>
      <c r="Y87" s="8">
        <v>-413079</v>
      </c>
      <c r="AA87" s="14">
        <f t="shared" si="6"/>
        <v>-167381</v>
      </c>
      <c r="AB87" s="8"/>
      <c r="AC87" s="8">
        <f t="shared" si="7"/>
        <v>0</v>
      </c>
    </row>
    <row r="88" spans="1:29">
      <c r="A88" s="12" t="s">
        <v>353</v>
      </c>
      <c r="B88" s="12"/>
      <c r="C88" s="12" t="s">
        <v>27</v>
      </c>
      <c r="D88" s="12"/>
      <c r="E88" s="32">
        <v>46946</v>
      </c>
      <c r="G88" s="8">
        <v>3333550</v>
      </c>
      <c r="I88" s="8">
        <v>0</v>
      </c>
      <c r="K88" s="3">
        <f t="shared" si="4"/>
        <v>12568332</v>
      </c>
      <c r="M88" s="8">
        <v>15901882</v>
      </c>
      <c r="O88" s="3">
        <f t="shared" si="5"/>
        <v>11459709</v>
      </c>
      <c r="Q88" s="8">
        <v>930475</v>
      </c>
      <c r="S88" s="8">
        <v>12390184</v>
      </c>
      <c r="U88" s="8">
        <f>248130+3238917</f>
        <v>3487047</v>
      </c>
      <c r="W88" s="8">
        <v>0</v>
      </c>
      <c r="Y88" s="8">
        <v>24651</v>
      </c>
      <c r="AA88" s="14">
        <f t="shared" si="6"/>
        <v>3511698</v>
      </c>
      <c r="AB88" s="8"/>
      <c r="AC88" s="8">
        <f t="shared" si="7"/>
        <v>0</v>
      </c>
    </row>
    <row r="89" spans="1:29">
      <c r="A89" s="12" t="s">
        <v>511</v>
      </c>
      <c r="B89" s="12"/>
      <c r="C89" s="12" t="s">
        <v>45</v>
      </c>
      <c r="D89" s="12"/>
      <c r="E89" s="32">
        <v>48314</v>
      </c>
      <c r="G89" s="8">
        <v>5495410</v>
      </c>
      <c r="I89" s="8">
        <v>761460</v>
      </c>
      <c r="K89" s="3">
        <f t="shared" si="4"/>
        <v>16567557</v>
      </c>
      <c r="M89" s="8">
        <v>22824427</v>
      </c>
      <c r="O89" s="3">
        <f t="shared" si="5"/>
        <v>2443636</v>
      </c>
      <c r="Q89" s="8">
        <v>15488903</v>
      </c>
      <c r="S89" s="8">
        <v>17932539</v>
      </c>
      <c r="U89" s="8">
        <v>761460</v>
      </c>
      <c r="W89" s="8">
        <v>0</v>
      </c>
      <c r="Y89" s="8">
        <v>4130428</v>
      </c>
      <c r="AA89" s="14">
        <f t="shared" si="6"/>
        <v>4891888</v>
      </c>
      <c r="AB89" s="8"/>
      <c r="AC89" s="8">
        <f t="shared" si="7"/>
        <v>0</v>
      </c>
    </row>
    <row r="90" spans="1:29">
      <c r="A90" s="13" t="s">
        <v>650</v>
      </c>
      <c r="B90" s="12"/>
      <c r="C90" s="12" t="s">
        <v>62</v>
      </c>
      <c r="D90" s="12"/>
      <c r="E90" s="32">
        <v>43711</v>
      </c>
      <c r="G90" s="8">
        <v>0</v>
      </c>
      <c r="I90" s="8">
        <v>0</v>
      </c>
      <c r="K90" s="3">
        <f>+M90-I90-G90</f>
        <v>9760520</v>
      </c>
      <c r="M90" s="8">
        <v>9760520</v>
      </c>
      <c r="O90" s="3">
        <f t="shared" si="5"/>
        <v>10796175</v>
      </c>
      <c r="Q90" s="8">
        <v>1930219</v>
      </c>
      <c r="S90" s="8">
        <v>12726394</v>
      </c>
      <c r="U90" s="8">
        <f>23679+17239+325390</f>
        <v>366308</v>
      </c>
      <c r="W90" s="8">
        <v>0</v>
      </c>
      <c r="Y90" s="8">
        <v>-3332182</v>
      </c>
      <c r="AA90" s="14">
        <f t="shared" si="6"/>
        <v>-2965874</v>
      </c>
      <c r="AB90" s="8"/>
      <c r="AC90" s="8">
        <f t="shared" si="7"/>
        <v>0</v>
      </c>
    </row>
    <row r="91" spans="1:29" s="8" customFormat="1">
      <c r="A91" s="13" t="s">
        <v>649</v>
      </c>
      <c r="B91" s="13"/>
      <c r="C91" s="13" t="s">
        <v>62</v>
      </c>
      <c r="D91" s="13"/>
      <c r="E91" s="13">
        <v>49833</v>
      </c>
      <c r="G91" s="8">
        <v>10219000</v>
      </c>
      <c r="I91" s="8">
        <v>616000</v>
      </c>
      <c r="K91" s="3">
        <f t="shared" ref="K91:K159" si="10">+M91-I91-G91</f>
        <v>29712000</v>
      </c>
      <c r="M91" s="8">
        <v>40547000</v>
      </c>
      <c r="O91" s="3">
        <f t="shared" ref="O91:O160" si="11">+S91-Q91</f>
        <v>32984000</v>
      </c>
      <c r="Q91" s="8">
        <v>5705000</v>
      </c>
      <c r="S91" s="8">
        <v>38689000</v>
      </c>
      <c r="U91" s="8">
        <f>982000+461000+169000+1313000+57000+155000</f>
        <v>3137000</v>
      </c>
      <c r="W91" s="8">
        <v>0</v>
      </c>
      <c r="Y91" s="8">
        <v>-1279000</v>
      </c>
      <c r="AA91" s="14">
        <f t="shared" ref="AA91:AA159" si="12">+Y91+W91++U91</f>
        <v>1858000</v>
      </c>
      <c r="AC91" s="8">
        <f t="shared" ref="AC91:AC153" si="13">+G91+I91+K91-O91-Q91-Y91-W91-U91</f>
        <v>0</v>
      </c>
    </row>
    <row r="92" spans="1:29">
      <c r="A92" s="12" t="s">
        <v>378</v>
      </c>
      <c r="B92" s="12"/>
      <c r="C92" s="12" t="s">
        <v>30</v>
      </c>
      <c r="D92" s="12"/>
      <c r="E92" s="32">
        <v>47175</v>
      </c>
      <c r="G92" s="8">
        <v>1598945</v>
      </c>
      <c r="I92" s="8">
        <v>563531</v>
      </c>
      <c r="K92" s="3">
        <f t="shared" si="10"/>
        <v>6290537</v>
      </c>
      <c r="M92" s="8">
        <v>8453013</v>
      </c>
      <c r="O92" s="3">
        <f t="shared" si="11"/>
        <v>1973272</v>
      </c>
      <c r="Q92" s="8">
        <v>5574032</v>
      </c>
      <c r="S92" s="8">
        <v>7547304</v>
      </c>
      <c r="U92" s="8">
        <f>262573+667200+444691+118840</f>
        <v>1493304</v>
      </c>
      <c r="W92" s="8">
        <v>0</v>
      </c>
      <c r="Y92" s="8">
        <v>-587595</v>
      </c>
      <c r="AA92" s="14">
        <f t="shared" si="12"/>
        <v>905709</v>
      </c>
      <c r="AB92" s="8"/>
      <c r="AC92" s="8">
        <f t="shared" si="13"/>
        <v>0</v>
      </c>
    </row>
    <row r="93" spans="1:29">
      <c r="A93" s="12" t="s">
        <v>560</v>
      </c>
      <c r="B93" s="12"/>
      <c r="C93" s="12" t="s">
        <v>78</v>
      </c>
      <c r="D93" s="12"/>
      <c r="E93" s="32">
        <v>48793</v>
      </c>
      <c r="G93" s="8">
        <v>1230916</v>
      </c>
      <c r="I93" s="8">
        <v>28476</v>
      </c>
      <c r="K93" s="3">
        <f t="shared" si="10"/>
        <v>2191711</v>
      </c>
      <c r="M93" s="8">
        <v>3451103</v>
      </c>
      <c r="O93" s="3">
        <f t="shared" si="11"/>
        <v>2634884</v>
      </c>
      <c r="Q93" s="8">
        <v>184280</v>
      </c>
      <c r="S93" s="8">
        <v>2819164</v>
      </c>
      <c r="U93" s="8">
        <f>77933+15476+412518+28476</f>
        <v>534403</v>
      </c>
      <c r="W93" s="8">
        <v>0</v>
      </c>
      <c r="Y93" s="8">
        <f>89029+8507</f>
        <v>97536</v>
      </c>
      <c r="AA93" s="14">
        <f t="shared" si="12"/>
        <v>631939</v>
      </c>
      <c r="AB93" s="8"/>
      <c r="AC93" s="8">
        <f t="shared" si="13"/>
        <v>0</v>
      </c>
    </row>
    <row r="94" spans="1:29" hidden="1">
      <c r="A94" s="13" t="s">
        <v>838</v>
      </c>
      <c r="B94" s="12"/>
      <c r="C94" s="12" t="s">
        <v>740</v>
      </c>
      <c r="D94" s="12"/>
      <c r="E94" s="32">
        <v>45260</v>
      </c>
      <c r="G94" s="8">
        <v>5453018</v>
      </c>
      <c r="I94" s="8">
        <v>28499</v>
      </c>
      <c r="K94" s="3">
        <f t="shared" si="10"/>
        <v>0</v>
      </c>
      <c r="M94" s="8">
        <v>5481517</v>
      </c>
      <c r="O94" s="3">
        <f t="shared" si="11"/>
        <v>0</v>
      </c>
      <c r="U94" s="8">
        <f>180408+923+27576</f>
        <v>208907</v>
      </c>
      <c r="Y94" s="8">
        <v>5272610</v>
      </c>
      <c r="AA94" s="14">
        <f t="shared" si="12"/>
        <v>5481517</v>
      </c>
      <c r="AB94" s="8"/>
      <c r="AC94" s="8">
        <f t="shared" si="13"/>
        <v>0</v>
      </c>
    </row>
    <row r="95" spans="1:29">
      <c r="A95" s="12" t="s">
        <v>708</v>
      </c>
      <c r="B95" s="12"/>
      <c r="C95" s="12" t="s">
        <v>69</v>
      </c>
      <c r="D95" s="12"/>
      <c r="E95" s="32">
        <v>50419</v>
      </c>
      <c r="G95" s="8">
        <v>623121</v>
      </c>
      <c r="I95" s="8">
        <v>0</v>
      </c>
      <c r="K95" s="3">
        <f t="shared" si="10"/>
        <v>5297354</v>
      </c>
      <c r="M95" s="8">
        <v>5920475</v>
      </c>
      <c r="O95" s="3">
        <f t="shared" si="11"/>
        <v>1766003</v>
      </c>
      <c r="Q95" s="8">
        <v>4299942</v>
      </c>
      <c r="S95" s="8">
        <v>6065945</v>
      </c>
      <c r="U95" s="8">
        <v>294574</v>
      </c>
      <c r="W95" s="8">
        <v>0</v>
      </c>
      <c r="Y95" s="8">
        <v>-440044</v>
      </c>
      <c r="AA95" s="14">
        <f t="shared" si="12"/>
        <v>-145470</v>
      </c>
      <c r="AB95" s="8"/>
      <c r="AC95" s="8">
        <f t="shared" si="13"/>
        <v>0</v>
      </c>
    </row>
    <row r="96" spans="1:29">
      <c r="A96" s="12" t="s">
        <v>253</v>
      </c>
      <c r="B96" s="12"/>
      <c r="C96" s="12" t="s">
        <v>16</v>
      </c>
      <c r="D96" s="12"/>
      <c r="E96" s="32">
        <v>45278</v>
      </c>
      <c r="G96" s="8">
        <v>3610691</v>
      </c>
      <c r="I96" s="8">
        <v>1385</v>
      </c>
      <c r="K96" s="3">
        <f t="shared" si="10"/>
        <v>6196446</v>
      </c>
      <c r="M96" s="8">
        <v>9808522</v>
      </c>
      <c r="O96" s="3">
        <f t="shared" si="11"/>
        <v>2298898</v>
      </c>
      <c r="Q96" s="8">
        <v>5620024</v>
      </c>
      <c r="S96" s="8">
        <v>7918922</v>
      </c>
      <c r="U96" s="8">
        <f>334743+246800+1385</f>
        <v>582928</v>
      </c>
      <c r="W96" s="8">
        <v>0</v>
      </c>
      <c r="Y96" s="8">
        <v>1306672</v>
      </c>
      <c r="AA96" s="14">
        <f t="shared" si="12"/>
        <v>1889600</v>
      </c>
      <c r="AB96" s="8"/>
      <c r="AC96" s="8">
        <f t="shared" si="13"/>
        <v>0</v>
      </c>
    </row>
    <row r="97" spans="1:31">
      <c r="A97" s="12" t="s">
        <v>385</v>
      </c>
      <c r="B97" s="12"/>
      <c r="C97" s="12" t="s">
        <v>116</v>
      </c>
      <c r="D97" s="12"/>
      <c r="E97" s="32">
        <v>47258</v>
      </c>
      <c r="G97" s="8">
        <v>2072148</v>
      </c>
      <c r="I97" s="8">
        <v>0</v>
      </c>
      <c r="K97" s="3">
        <f t="shared" si="10"/>
        <v>2227599</v>
      </c>
      <c r="M97" s="8">
        <v>4299747</v>
      </c>
      <c r="O97" s="3">
        <f t="shared" si="11"/>
        <v>545060</v>
      </c>
      <c r="Q97" s="8">
        <v>1734816</v>
      </c>
      <c r="S97" s="8">
        <v>2279876</v>
      </c>
      <c r="U97" s="8">
        <f>56864+100344+59951</f>
        <v>217159</v>
      </c>
      <c r="W97" s="8">
        <v>0</v>
      </c>
      <c r="Y97" s="8">
        <v>1802712</v>
      </c>
      <c r="AA97" s="14">
        <f t="shared" si="12"/>
        <v>2019871</v>
      </c>
      <c r="AB97" s="8"/>
      <c r="AC97" s="8">
        <f t="shared" si="13"/>
        <v>0</v>
      </c>
    </row>
    <row r="98" spans="1:31" hidden="1">
      <c r="A98" s="13" t="s">
        <v>839</v>
      </c>
      <c r="B98" s="12"/>
      <c r="C98" s="12" t="s">
        <v>534</v>
      </c>
      <c r="D98" s="12"/>
      <c r="E98" s="32">
        <v>43729</v>
      </c>
      <c r="G98" s="8">
        <v>11075294</v>
      </c>
      <c r="I98" s="8">
        <v>1457479</v>
      </c>
      <c r="K98" s="3">
        <f t="shared" si="10"/>
        <v>0</v>
      </c>
      <c r="M98" s="8">
        <v>12532773</v>
      </c>
      <c r="O98" s="3">
        <f t="shared" si="11"/>
        <v>0</v>
      </c>
      <c r="U98" s="8">
        <f>1150838+1450073+3253+4153</f>
        <v>2608317</v>
      </c>
      <c r="Y98" s="8">
        <v>9924456</v>
      </c>
      <c r="AA98" s="14">
        <f t="shared" si="12"/>
        <v>12532773</v>
      </c>
      <c r="AB98" s="8"/>
      <c r="AC98" s="8">
        <f t="shared" si="13"/>
        <v>0</v>
      </c>
      <c r="AE98" s="8" t="s">
        <v>956</v>
      </c>
    </row>
    <row r="99" spans="1:31">
      <c r="A99" s="13" t="s">
        <v>454</v>
      </c>
      <c r="B99" s="12"/>
      <c r="C99" s="12" t="s">
        <v>40</v>
      </c>
      <c r="D99" s="12"/>
      <c r="E99" s="32">
        <v>47829</v>
      </c>
      <c r="G99" s="8">
        <v>3555938</v>
      </c>
      <c r="I99" s="8">
        <v>211935</v>
      </c>
      <c r="K99" s="3">
        <f t="shared" si="10"/>
        <v>2565133</v>
      </c>
      <c r="M99" s="8">
        <v>6333006</v>
      </c>
      <c r="O99" s="3">
        <f t="shared" si="11"/>
        <v>1075029</v>
      </c>
      <c r="Q99" s="8">
        <v>1354684</v>
      </c>
      <c r="S99" s="8">
        <v>2429713</v>
      </c>
      <c r="U99" s="8">
        <f>250410+839198+37491+174444</f>
        <v>1301543</v>
      </c>
      <c r="W99" s="8">
        <v>0</v>
      </c>
      <c r="Y99" s="8">
        <v>2601750</v>
      </c>
      <c r="AA99" s="14">
        <f t="shared" si="12"/>
        <v>3903293</v>
      </c>
      <c r="AB99" s="8"/>
      <c r="AC99" s="8">
        <f t="shared" si="13"/>
        <v>0</v>
      </c>
    </row>
    <row r="100" spans="1:31">
      <c r="A100" s="34" t="s">
        <v>907</v>
      </c>
      <c r="B100" s="12"/>
      <c r="C100" s="12" t="s">
        <v>50</v>
      </c>
      <c r="D100" s="12"/>
      <c r="E100" s="32">
        <v>43737</v>
      </c>
      <c r="G100" s="8">
        <v>18098876</v>
      </c>
      <c r="I100" s="8">
        <v>141886</v>
      </c>
      <c r="K100" s="3">
        <f t="shared" si="10"/>
        <v>50312638</v>
      </c>
      <c r="M100" s="8">
        <v>68553400</v>
      </c>
      <c r="O100" s="3">
        <f t="shared" si="11"/>
        <v>9749703</v>
      </c>
      <c r="Q100" s="8">
        <v>46485758</v>
      </c>
      <c r="S100" s="8">
        <v>56235461</v>
      </c>
      <c r="U100" s="8">
        <f>133263+3375026+141886</f>
        <v>3650175</v>
      </c>
      <c r="W100" s="8">
        <v>0</v>
      </c>
      <c r="Y100" s="8">
        <v>8667764</v>
      </c>
      <c r="AA100" s="14">
        <f t="shared" si="12"/>
        <v>12317939</v>
      </c>
      <c r="AB100" s="8"/>
      <c r="AC100" s="8">
        <f t="shared" si="13"/>
        <v>0</v>
      </c>
    </row>
    <row r="101" spans="1:31">
      <c r="A101" s="13" t="s">
        <v>1052</v>
      </c>
      <c r="B101" s="12"/>
      <c r="C101" s="12" t="s">
        <v>22</v>
      </c>
      <c r="D101" s="12"/>
      <c r="E101" s="32">
        <v>46714</v>
      </c>
      <c r="G101" s="8">
        <v>1867074</v>
      </c>
      <c r="I101" s="8">
        <v>203014</v>
      </c>
      <c r="K101" s="3">
        <f t="shared" si="10"/>
        <v>2704615</v>
      </c>
      <c r="M101" s="8">
        <v>4774703</v>
      </c>
      <c r="O101" s="3">
        <f t="shared" si="11"/>
        <v>1170870</v>
      </c>
      <c r="Q101" s="8">
        <v>2128324</v>
      </c>
      <c r="S101" s="8">
        <v>3299194</v>
      </c>
      <c r="U101" s="8">
        <f>144513+29977+5199+266869+203014</f>
        <v>649572</v>
      </c>
      <c r="W101" s="8">
        <v>0</v>
      </c>
      <c r="Y101" s="8">
        <v>825937</v>
      </c>
      <c r="AA101" s="14">
        <f t="shared" si="12"/>
        <v>1475509</v>
      </c>
      <c r="AB101" s="8"/>
      <c r="AC101" s="8">
        <f t="shared" si="13"/>
        <v>0</v>
      </c>
    </row>
    <row r="102" spans="1:31">
      <c r="A102" s="12" t="s">
        <v>302</v>
      </c>
      <c r="B102" s="12"/>
      <c r="C102" s="12" t="s">
        <v>20</v>
      </c>
      <c r="D102" s="12"/>
      <c r="E102" s="32">
        <v>45286</v>
      </c>
      <c r="G102" s="8">
        <v>4188909</v>
      </c>
      <c r="I102" s="8">
        <v>178204</v>
      </c>
      <c r="K102" s="3">
        <f t="shared" si="10"/>
        <v>18620549</v>
      </c>
      <c r="M102" s="8">
        <v>22987662</v>
      </c>
      <c r="O102" s="3">
        <f t="shared" si="11"/>
        <v>2722729</v>
      </c>
      <c r="Q102" s="8">
        <v>15786902</v>
      </c>
      <c r="S102" s="8">
        <v>18509631</v>
      </c>
      <c r="U102" s="8">
        <f>41456+2833623+74313+103891</f>
        <v>3053283</v>
      </c>
      <c r="W102" s="8">
        <v>0</v>
      </c>
      <c r="Y102" s="8">
        <v>1424748</v>
      </c>
      <c r="AA102" s="14">
        <f t="shared" si="12"/>
        <v>4478031</v>
      </c>
      <c r="AB102" s="8"/>
      <c r="AC102" s="8">
        <f t="shared" si="13"/>
        <v>0</v>
      </c>
    </row>
    <row r="103" spans="1:31">
      <c r="A103" s="12" t="s">
        <v>678</v>
      </c>
      <c r="B103" s="12"/>
      <c r="C103" s="12" t="s">
        <v>64</v>
      </c>
      <c r="D103" s="12"/>
      <c r="E103" s="32">
        <v>50138</v>
      </c>
      <c r="G103" s="8">
        <v>5107</v>
      </c>
      <c r="I103" s="8">
        <v>0</v>
      </c>
      <c r="K103" s="3">
        <f t="shared" si="10"/>
        <v>4113509</v>
      </c>
      <c r="M103" s="8">
        <v>4118616</v>
      </c>
      <c r="O103" s="3">
        <f t="shared" si="11"/>
        <v>4481060</v>
      </c>
      <c r="Q103" s="8">
        <v>920859</v>
      </c>
      <c r="S103" s="8">
        <v>5401919</v>
      </c>
      <c r="U103" s="8">
        <f>3183+14971+52098</f>
        <v>70252</v>
      </c>
      <c r="W103" s="8">
        <v>0</v>
      </c>
      <c r="Y103" s="8">
        <v>-1353555</v>
      </c>
      <c r="AA103" s="14">
        <f t="shared" si="12"/>
        <v>-1283303</v>
      </c>
      <c r="AB103" s="8"/>
      <c r="AC103" s="8">
        <f t="shared" si="13"/>
        <v>0</v>
      </c>
    </row>
    <row r="104" spans="1:31">
      <c r="A104" s="12" t="s">
        <v>379</v>
      </c>
      <c r="B104" s="12"/>
      <c r="C104" s="12" t="s">
        <v>30</v>
      </c>
      <c r="D104" s="12"/>
      <c r="E104" s="32">
        <v>47183</v>
      </c>
      <c r="G104" s="8">
        <v>2576186</v>
      </c>
      <c r="I104" s="8">
        <v>0</v>
      </c>
      <c r="K104" s="3">
        <f t="shared" si="10"/>
        <v>18840289</v>
      </c>
      <c r="M104" s="8">
        <v>21416475</v>
      </c>
      <c r="O104" s="3">
        <f t="shared" si="11"/>
        <v>3943590</v>
      </c>
      <c r="Q104" s="8">
        <v>13652017</v>
      </c>
      <c r="S104" s="8">
        <v>17595607</v>
      </c>
      <c r="U104" s="8">
        <f>270294+4718831</f>
        <v>4989125</v>
      </c>
      <c r="W104" s="8">
        <v>0</v>
      </c>
      <c r="Y104" s="8">
        <v>-1168257</v>
      </c>
      <c r="AA104" s="14">
        <f t="shared" si="12"/>
        <v>3820868</v>
      </c>
      <c r="AB104" s="8"/>
      <c r="AC104" s="8">
        <f t="shared" si="13"/>
        <v>0</v>
      </c>
    </row>
    <row r="105" spans="1:31">
      <c r="A105" s="12" t="s">
        <v>465</v>
      </c>
      <c r="B105" s="12"/>
      <c r="C105" s="12" t="s">
        <v>466</v>
      </c>
      <c r="D105" s="12"/>
      <c r="E105" s="32">
        <v>45294</v>
      </c>
      <c r="G105" s="8">
        <v>893853</v>
      </c>
      <c r="I105" s="8">
        <v>610946</v>
      </c>
      <c r="K105" s="3">
        <f t="shared" si="10"/>
        <v>2369853</v>
      </c>
      <c r="M105" s="8">
        <v>3874652</v>
      </c>
      <c r="O105" s="3">
        <f t="shared" si="11"/>
        <v>1472206</v>
      </c>
      <c r="Q105" s="8">
        <v>1901199</v>
      </c>
      <c r="S105" s="8">
        <v>3373405</v>
      </c>
      <c r="U105" s="8">
        <f>189310+290656+439060+14512+157374</f>
        <v>1090912</v>
      </c>
      <c r="W105" s="8">
        <v>0</v>
      </c>
      <c r="Y105" s="8">
        <v>-589665</v>
      </c>
      <c r="AA105" s="14">
        <f t="shared" si="12"/>
        <v>501247</v>
      </c>
      <c r="AB105" s="8"/>
      <c r="AC105" s="8">
        <f t="shared" si="13"/>
        <v>0</v>
      </c>
    </row>
    <row r="106" spans="1:31">
      <c r="A106" s="12" t="s">
        <v>617</v>
      </c>
      <c r="B106" s="12"/>
      <c r="C106" s="12" t="s">
        <v>58</v>
      </c>
      <c r="D106" s="12"/>
      <c r="E106" s="32">
        <v>43745</v>
      </c>
      <c r="G106" s="8">
        <v>4077112</v>
      </c>
      <c r="I106" s="8">
        <v>492</v>
      </c>
      <c r="K106" s="3">
        <f t="shared" si="10"/>
        <v>10285906</v>
      </c>
      <c r="M106" s="8">
        <v>14363510</v>
      </c>
      <c r="O106" s="3">
        <f t="shared" si="11"/>
        <v>2521658</v>
      </c>
      <c r="Q106" s="8">
        <v>9044828</v>
      </c>
      <c r="S106" s="8">
        <v>11566486</v>
      </c>
      <c r="U106" s="8">
        <f>139078+939922+492+221204</f>
        <v>1300696</v>
      </c>
      <c r="W106" s="8">
        <v>0</v>
      </c>
      <c r="Y106" s="8">
        <v>1496328</v>
      </c>
      <c r="AA106" s="14">
        <f t="shared" si="12"/>
        <v>2797024</v>
      </c>
      <c r="AB106" s="8"/>
      <c r="AC106" s="8">
        <f t="shared" si="13"/>
        <v>0</v>
      </c>
    </row>
    <row r="107" spans="1:31">
      <c r="A107" s="13" t="s">
        <v>721</v>
      </c>
      <c r="B107" s="12"/>
      <c r="C107" s="12" t="s">
        <v>71</v>
      </c>
      <c r="D107" s="12"/>
      <c r="E107" s="32">
        <v>50534</v>
      </c>
      <c r="G107" s="8">
        <v>3494175</v>
      </c>
      <c r="I107" s="8">
        <v>192220</v>
      </c>
      <c r="K107" s="3">
        <f t="shared" si="10"/>
        <v>4858014</v>
      </c>
      <c r="M107" s="8">
        <v>8544409</v>
      </c>
      <c r="O107" s="3">
        <f t="shared" si="11"/>
        <v>4735860</v>
      </c>
      <c r="Q107" s="8">
        <v>73927</v>
      </c>
      <c r="S107" s="8">
        <v>4809787</v>
      </c>
      <c r="U107" s="8">
        <f>140700+24740+51631+346262+43205+149015</f>
        <v>755553</v>
      </c>
      <c r="W107" s="8">
        <v>150386</v>
      </c>
      <c r="Y107" s="8">
        <v>2828683</v>
      </c>
      <c r="AA107" s="14">
        <f t="shared" si="12"/>
        <v>3734622</v>
      </c>
      <c r="AB107" s="8"/>
      <c r="AC107" s="8">
        <f t="shared" si="13"/>
        <v>0</v>
      </c>
      <c r="AE107" s="8"/>
    </row>
    <row r="108" spans="1:31">
      <c r="A108" s="13" t="s">
        <v>910</v>
      </c>
      <c r="B108" s="12"/>
      <c r="C108" s="12" t="s">
        <v>32</v>
      </c>
      <c r="D108" s="12"/>
      <c r="E108" s="32">
        <v>43752</v>
      </c>
      <c r="G108" s="8">
        <v>68872909</v>
      </c>
      <c r="I108" s="8">
        <v>1420826</v>
      </c>
      <c r="K108" s="3">
        <f t="shared" si="10"/>
        <v>308717473</v>
      </c>
      <c r="M108" s="8">
        <v>379011208</v>
      </c>
      <c r="O108" s="3">
        <f t="shared" si="11"/>
        <v>52283194</v>
      </c>
      <c r="Q108" s="8">
        <f>252583246+52461</f>
        <v>252635707</v>
      </c>
      <c r="S108" s="8">
        <v>304918901</v>
      </c>
      <c r="U108" s="8">
        <f>9722042+52088211+1420826+564733</f>
        <v>63795812</v>
      </c>
      <c r="W108" s="8">
        <v>0</v>
      </c>
      <c r="Y108" s="8">
        <v>10296495</v>
      </c>
      <c r="AA108" s="14">
        <f t="shared" si="12"/>
        <v>74092307</v>
      </c>
      <c r="AB108" s="8"/>
      <c r="AC108" s="8">
        <f t="shared" si="13"/>
        <v>0</v>
      </c>
    </row>
    <row r="109" spans="1:31" s="35" customFormat="1">
      <c r="A109" s="34" t="s">
        <v>581</v>
      </c>
      <c r="B109" s="34"/>
      <c r="C109" s="34" t="s">
        <v>54</v>
      </c>
      <c r="D109" s="34"/>
      <c r="E109" s="34">
        <v>43760</v>
      </c>
      <c r="G109" s="8">
        <v>13670695</v>
      </c>
      <c r="H109" s="8"/>
      <c r="I109" s="8">
        <v>101161</v>
      </c>
      <c r="J109" s="8"/>
      <c r="K109" s="3">
        <f t="shared" si="10"/>
        <v>9026242</v>
      </c>
      <c r="L109" s="8"/>
      <c r="M109" s="8">
        <v>22798098</v>
      </c>
      <c r="N109" s="8"/>
      <c r="O109" s="3">
        <f t="shared" si="11"/>
        <v>10111522</v>
      </c>
      <c r="P109" s="8"/>
      <c r="Q109" s="8">
        <v>493914</v>
      </c>
      <c r="R109" s="8"/>
      <c r="S109" s="8">
        <v>10605436</v>
      </c>
      <c r="T109" s="8"/>
      <c r="U109" s="8">
        <f>169945+1885+16734+1168943+82071+19090</f>
        <v>1458668</v>
      </c>
      <c r="V109" s="8"/>
      <c r="W109" s="8">
        <v>0</v>
      </c>
      <c r="X109" s="8"/>
      <c r="Y109" s="8">
        <v>10733994</v>
      </c>
      <c r="Z109" s="8"/>
      <c r="AA109" s="14">
        <f t="shared" si="12"/>
        <v>12192662</v>
      </c>
      <c r="AB109" s="8"/>
      <c r="AC109" s="8">
        <f t="shared" si="13"/>
        <v>0</v>
      </c>
    </row>
    <row r="110" spans="1:31">
      <c r="A110" s="12" t="s">
        <v>260</v>
      </c>
      <c r="B110" s="12"/>
      <c r="C110" s="12" t="s">
        <v>17</v>
      </c>
      <c r="D110" s="12"/>
      <c r="E110" s="32">
        <v>46284</v>
      </c>
      <c r="G110" s="8">
        <v>2722519</v>
      </c>
      <c r="I110" s="8">
        <v>27314</v>
      </c>
      <c r="K110" s="3">
        <f t="shared" si="10"/>
        <v>9700674</v>
      </c>
      <c r="M110" s="8">
        <v>12450507</v>
      </c>
      <c r="O110" s="3">
        <f t="shared" si="11"/>
        <v>2479822</v>
      </c>
      <c r="Q110" s="8">
        <v>8316915</v>
      </c>
      <c r="S110" s="8">
        <v>10796737</v>
      </c>
      <c r="U110" s="8">
        <f>219072+1920250+27314</f>
        <v>2166636</v>
      </c>
      <c r="W110" s="8">
        <v>0</v>
      </c>
      <c r="Y110" s="8">
        <v>-512866</v>
      </c>
      <c r="AA110" s="14">
        <f t="shared" si="12"/>
        <v>1653770</v>
      </c>
      <c r="AB110" s="8"/>
      <c r="AC110" s="8">
        <f t="shared" si="13"/>
        <v>0</v>
      </c>
    </row>
    <row r="111" spans="1:31">
      <c r="A111" s="12" t="s">
        <v>627</v>
      </c>
      <c r="B111" s="12"/>
      <c r="C111" s="12" t="s">
        <v>59</v>
      </c>
      <c r="D111" s="12"/>
      <c r="E111" s="32">
        <v>49601</v>
      </c>
      <c r="G111" s="8">
        <v>774012</v>
      </c>
      <c r="I111" s="8">
        <v>5256</v>
      </c>
      <c r="K111" s="3">
        <f t="shared" si="10"/>
        <v>1111921</v>
      </c>
      <c r="M111" s="8">
        <v>1891189</v>
      </c>
      <c r="O111" s="3">
        <f t="shared" si="11"/>
        <v>518476</v>
      </c>
      <c r="Q111" s="8">
        <v>1025361</v>
      </c>
      <c r="S111" s="8">
        <v>1543837</v>
      </c>
      <c r="U111" s="8">
        <f>26873+67388+5256</f>
        <v>99517</v>
      </c>
      <c r="W111" s="8">
        <v>0</v>
      </c>
      <c r="Y111" s="8">
        <v>247835</v>
      </c>
      <c r="AA111" s="14">
        <f t="shared" si="12"/>
        <v>347352</v>
      </c>
      <c r="AB111" s="8"/>
      <c r="AC111" s="8">
        <f t="shared" si="13"/>
        <v>0</v>
      </c>
    </row>
    <row r="112" spans="1:31">
      <c r="A112" s="12" t="s">
        <v>694</v>
      </c>
      <c r="B112" s="12"/>
      <c r="C112" s="12" t="s">
        <v>65</v>
      </c>
      <c r="D112" s="12"/>
      <c r="E112" s="32">
        <v>43778</v>
      </c>
      <c r="G112" s="8">
        <v>3430912</v>
      </c>
      <c r="I112" s="8">
        <v>172271</v>
      </c>
      <c r="K112" s="3">
        <f t="shared" si="10"/>
        <v>3478084</v>
      </c>
      <c r="M112" s="8">
        <v>7081267</v>
      </c>
      <c r="O112" s="3">
        <f t="shared" si="11"/>
        <v>4922108</v>
      </c>
      <c r="Q112" s="8">
        <v>460064</v>
      </c>
      <c r="S112" s="8">
        <v>5382172</v>
      </c>
      <c r="U112" s="8">
        <f>772809+23387+239553+147016+25255</f>
        <v>1208020</v>
      </c>
      <c r="W112" s="8">
        <v>0</v>
      </c>
      <c r="Y112" s="8">
        <v>491075</v>
      </c>
      <c r="AA112" s="14">
        <f t="shared" si="12"/>
        <v>1699095</v>
      </c>
      <c r="AB112" s="8"/>
      <c r="AC112" s="8">
        <f t="shared" si="13"/>
        <v>0</v>
      </c>
    </row>
    <row r="113" spans="1:29">
      <c r="A113" s="12" t="s">
        <v>609</v>
      </c>
      <c r="B113" s="12"/>
      <c r="C113" s="12" t="s">
        <v>112</v>
      </c>
      <c r="D113" s="12"/>
      <c r="E113" s="32">
        <v>49411</v>
      </c>
      <c r="G113" s="8">
        <v>5932581</v>
      </c>
      <c r="I113" s="8">
        <v>0</v>
      </c>
      <c r="K113" s="3">
        <f t="shared" si="10"/>
        <v>4201927</v>
      </c>
      <c r="M113" s="8">
        <v>10134508</v>
      </c>
      <c r="O113" s="3">
        <f t="shared" si="11"/>
        <v>4137344</v>
      </c>
      <c r="Q113" s="8">
        <v>282512</v>
      </c>
      <c r="S113" s="8">
        <v>4419856</v>
      </c>
      <c r="U113" s="8">
        <f>13306+24493+201370+867283</f>
        <v>1106452</v>
      </c>
      <c r="W113" s="8">
        <v>0</v>
      </c>
      <c r="Y113" s="8">
        <v>4608200</v>
      </c>
      <c r="AA113" s="14">
        <f t="shared" si="12"/>
        <v>5714652</v>
      </c>
      <c r="AB113" s="8"/>
      <c r="AC113" s="8">
        <f t="shared" si="13"/>
        <v>0</v>
      </c>
    </row>
    <row r="114" spans="1:29">
      <c r="A114" s="12" t="s">
        <v>485</v>
      </c>
      <c r="B114" s="12"/>
      <c r="C114" s="12" t="s">
        <v>44</v>
      </c>
      <c r="D114" s="12"/>
      <c r="E114" s="32">
        <v>48132</v>
      </c>
      <c r="G114" s="8">
        <v>979690</v>
      </c>
      <c r="I114" s="8">
        <v>215447</v>
      </c>
      <c r="K114" s="3">
        <f t="shared" si="10"/>
        <v>3122264</v>
      </c>
      <c r="M114" s="8">
        <v>4317401</v>
      </c>
      <c r="O114" s="3">
        <f t="shared" si="11"/>
        <v>1765544</v>
      </c>
      <c r="Q114" s="8">
        <v>2938946</v>
      </c>
      <c r="S114" s="8">
        <v>4704490</v>
      </c>
      <c r="U114" s="8">
        <f>89303+126144+147166+98254</f>
        <v>460867</v>
      </c>
      <c r="W114" s="8">
        <v>0</v>
      </c>
      <c r="Y114" s="8">
        <v>-847956</v>
      </c>
      <c r="AA114" s="14">
        <f t="shared" si="12"/>
        <v>-387089</v>
      </c>
      <c r="AB114" s="8"/>
      <c r="AC114" s="8">
        <f t="shared" si="13"/>
        <v>0</v>
      </c>
    </row>
    <row r="115" spans="1:29">
      <c r="A115" s="12" t="s">
        <v>911</v>
      </c>
      <c r="B115" s="12"/>
      <c r="C115" s="12" t="s">
        <v>115</v>
      </c>
      <c r="D115" s="12"/>
      <c r="E115" s="32"/>
      <c r="G115" s="8">
        <v>958543</v>
      </c>
      <c r="I115" s="8">
        <v>0</v>
      </c>
      <c r="K115" s="3">
        <f t="shared" si="10"/>
        <v>7289859</v>
      </c>
      <c r="M115" s="8">
        <v>8248402</v>
      </c>
      <c r="O115" s="3">
        <f t="shared" si="11"/>
        <v>1517478</v>
      </c>
      <c r="Q115" s="8">
        <v>5878281</v>
      </c>
      <c r="S115" s="8">
        <v>7395759</v>
      </c>
      <c r="U115" s="8">
        <f>49608+405000</f>
        <v>454608</v>
      </c>
      <c r="W115" s="8">
        <v>0</v>
      </c>
      <c r="Y115" s="8">
        <v>398035</v>
      </c>
      <c r="AA115" s="14">
        <f t="shared" si="12"/>
        <v>852643</v>
      </c>
      <c r="AB115" s="8"/>
      <c r="AC115" s="8">
        <f t="shared" si="13"/>
        <v>0</v>
      </c>
    </row>
    <row r="116" spans="1:29">
      <c r="A116" s="13" t="s">
        <v>908</v>
      </c>
      <c r="B116" s="12"/>
      <c r="C116" s="12" t="s">
        <v>20</v>
      </c>
      <c r="D116" s="12"/>
      <c r="E116" s="32">
        <v>43794</v>
      </c>
      <c r="G116" s="8">
        <v>36788211</v>
      </c>
      <c r="I116" s="8">
        <v>966022</v>
      </c>
      <c r="K116" s="3">
        <f t="shared" si="10"/>
        <v>74832533</v>
      </c>
      <c r="M116" s="8">
        <v>112586766</v>
      </c>
      <c r="O116" s="3">
        <f t="shared" si="11"/>
        <v>4701107</v>
      </c>
      <c r="Q116" s="8">
        <v>41558491</v>
      </c>
      <c r="S116" s="8">
        <v>46259598</v>
      </c>
      <c r="U116" s="8">
        <f>1867174+327875+25884023+966022</f>
        <v>29045094</v>
      </c>
      <c r="W116" s="8">
        <v>0</v>
      </c>
      <c r="Y116" s="8">
        <v>37282074</v>
      </c>
      <c r="AA116" s="14">
        <f t="shared" si="12"/>
        <v>66327168</v>
      </c>
      <c r="AB116" s="8"/>
      <c r="AC116" s="8">
        <f t="shared" si="13"/>
        <v>0</v>
      </c>
    </row>
    <row r="117" spans="1:29">
      <c r="A117" s="12" t="s">
        <v>303</v>
      </c>
      <c r="B117" s="12"/>
      <c r="C117" s="12" t="s">
        <v>20</v>
      </c>
      <c r="D117" s="12"/>
      <c r="E117" s="32">
        <v>43786</v>
      </c>
      <c r="G117" s="8">
        <v>49315221</v>
      </c>
      <c r="I117" s="8">
        <v>0</v>
      </c>
      <c r="K117" s="3">
        <f t="shared" si="10"/>
        <v>233255767</v>
      </c>
      <c r="M117" s="8">
        <v>282570988</v>
      </c>
      <c r="O117" s="3">
        <f t="shared" si="11"/>
        <v>62267855</v>
      </c>
      <c r="Q117" s="8">
        <v>203556632</v>
      </c>
      <c r="S117" s="8">
        <v>265824487</v>
      </c>
      <c r="U117" s="8">
        <f>919523+598118+21682643</f>
        <v>23200284</v>
      </c>
      <c r="W117" s="8">
        <v>0</v>
      </c>
      <c r="Y117" s="8">
        <v>-6453783</v>
      </c>
      <c r="AA117" s="14">
        <f t="shared" si="12"/>
        <v>16746501</v>
      </c>
      <c r="AB117" s="8"/>
      <c r="AC117" s="8">
        <f t="shared" si="13"/>
        <v>0</v>
      </c>
    </row>
    <row r="118" spans="1:29">
      <c r="A118" s="12" t="s">
        <v>275</v>
      </c>
      <c r="B118" s="12"/>
      <c r="C118" s="12" t="s">
        <v>18</v>
      </c>
      <c r="D118" s="12"/>
      <c r="E118" s="32">
        <v>46391</v>
      </c>
      <c r="G118" s="8">
        <v>3489689</v>
      </c>
      <c r="I118" s="8">
        <v>0</v>
      </c>
      <c r="K118" s="3">
        <f t="shared" si="10"/>
        <v>4518345</v>
      </c>
      <c r="M118" s="8">
        <v>8008034</v>
      </c>
      <c r="O118" s="3">
        <f t="shared" si="11"/>
        <v>5381757</v>
      </c>
      <c r="Q118" s="8">
        <v>283565</v>
      </c>
      <c r="S118" s="8">
        <v>5665322</v>
      </c>
      <c r="U118" s="8">
        <f>146731+43584+259466+57512</f>
        <v>507293</v>
      </c>
      <c r="W118" s="8">
        <v>0</v>
      </c>
      <c r="Y118" s="8">
        <v>1835419</v>
      </c>
      <c r="AA118" s="14">
        <f t="shared" si="12"/>
        <v>2342712</v>
      </c>
      <c r="AB118" s="8"/>
      <c r="AC118" s="8">
        <f t="shared" si="13"/>
        <v>0</v>
      </c>
    </row>
    <row r="119" spans="1:29">
      <c r="A119" s="12" t="s">
        <v>527</v>
      </c>
      <c r="B119" s="12"/>
      <c r="C119" s="12" t="s">
        <v>47</v>
      </c>
      <c r="D119" s="12"/>
      <c r="E119" s="32">
        <v>48488</v>
      </c>
      <c r="G119" s="8">
        <v>923584</v>
      </c>
      <c r="I119" s="8">
        <v>67090</v>
      </c>
      <c r="K119" s="3">
        <f t="shared" si="10"/>
        <v>12821954</v>
      </c>
      <c r="M119" s="8">
        <v>13812628</v>
      </c>
      <c r="O119" s="3">
        <f t="shared" si="11"/>
        <v>3915970</v>
      </c>
      <c r="Q119" s="8">
        <v>11064210</v>
      </c>
      <c r="S119" s="8">
        <v>14980180</v>
      </c>
      <c r="U119" s="8">
        <f>153041+1023357+67090</f>
        <v>1243488</v>
      </c>
      <c r="W119" s="8">
        <v>0</v>
      </c>
      <c r="Y119" s="8">
        <v>-2411040</v>
      </c>
      <c r="AA119" s="14">
        <f t="shared" si="12"/>
        <v>-1167552</v>
      </c>
      <c r="AB119" s="8"/>
      <c r="AC119" s="8">
        <f t="shared" si="13"/>
        <v>0</v>
      </c>
    </row>
    <row r="120" spans="1:29">
      <c r="A120" s="12" t="s">
        <v>622</v>
      </c>
      <c r="B120" s="12"/>
      <c r="C120" s="12" t="s">
        <v>79</v>
      </c>
      <c r="D120" s="12"/>
      <c r="E120" s="32">
        <v>45302</v>
      </c>
      <c r="G120" s="8">
        <v>3011328</v>
      </c>
      <c r="I120" s="8">
        <v>46349</v>
      </c>
      <c r="K120" s="3">
        <f t="shared" si="10"/>
        <v>7122294</v>
      </c>
      <c r="M120" s="8">
        <v>10179971</v>
      </c>
      <c r="O120" s="3">
        <f t="shared" si="11"/>
        <v>7633291</v>
      </c>
      <c r="Q120" s="8">
        <v>497801</v>
      </c>
      <c r="S120" s="8">
        <v>8131092</v>
      </c>
      <c r="U120" s="8">
        <f>97487+28589+833306+26452+46349</f>
        <v>1032183</v>
      </c>
      <c r="W120" s="8">
        <v>0</v>
      </c>
      <c r="Y120" s="8">
        <f>972375+44321</f>
        <v>1016696</v>
      </c>
      <c r="AA120" s="14">
        <f t="shared" si="12"/>
        <v>2048879</v>
      </c>
      <c r="AB120" s="8"/>
      <c r="AC120" s="8">
        <f t="shared" si="13"/>
        <v>0</v>
      </c>
    </row>
    <row r="121" spans="1:29" hidden="1">
      <c r="A121" s="13" t="s">
        <v>914</v>
      </c>
      <c r="B121" s="12"/>
      <c r="C121" s="12" t="s">
        <v>534</v>
      </c>
      <c r="D121" s="12"/>
      <c r="E121" s="32"/>
      <c r="G121" s="8">
        <v>2396514</v>
      </c>
      <c r="I121" s="8">
        <v>30977</v>
      </c>
      <c r="K121" s="3">
        <f t="shared" si="10"/>
        <v>0</v>
      </c>
      <c r="M121" s="8">
        <v>2427491</v>
      </c>
      <c r="O121" s="3">
        <f t="shared" si="11"/>
        <v>0</v>
      </c>
      <c r="U121" s="8">
        <f>235383+30977</f>
        <v>266360</v>
      </c>
      <c r="W121" s="8">
        <v>143000</v>
      </c>
      <c r="Y121" s="8">
        <v>2018131</v>
      </c>
      <c r="AA121" s="14">
        <f t="shared" si="12"/>
        <v>2427491</v>
      </c>
      <c r="AB121" s="8"/>
      <c r="AC121" s="8">
        <f t="shared" si="13"/>
        <v>0</v>
      </c>
    </row>
    <row r="122" spans="1:29" hidden="1">
      <c r="A122" s="12" t="s">
        <v>829</v>
      </c>
      <c r="B122" s="12"/>
      <c r="C122" s="12" t="s">
        <v>57</v>
      </c>
      <c r="D122" s="12"/>
      <c r="E122" s="32">
        <v>64964</v>
      </c>
      <c r="G122" s="8">
        <v>2042228</v>
      </c>
      <c r="I122" s="8">
        <v>95441</v>
      </c>
      <c r="K122" s="3">
        <f t="shared" si="10"/>
        <v>0</v>
      </c>
      <c r="M122" s="8">
        <v>2137669</v>
      </c>
      <c r="O122" s="3">
        <f t="shared" si="11"/>
        <v>0</v>
      </c>
      <c r="U122" s="8">
        <f>8500+14490+80951</f>
        <v>103941</v>
      </c>
      <c r="Y122" s="8">
        <v>2033728</v>
      </c>
      <c r="AA122" s="14">
        <f t="shared" si="12"/>
        <v>2137669</v>
      </c>
      <c r="AB122" s="8"/>
      <c r="AC122" s="8">
        <f t="shared" si="13"/>
        <v>0</v>
      </c>
    </row>
    <row r="123" spans="1:29">
      <c r="A123" s="12" t="s">
        <v>292</v>
      </c>
      <c r="B123" s="12"/>
      <c r="C123" s="12" t="s">
        <v>113</v>
      </c>
      <c r="D123" s="12"/>
      <c r="E123" s="32">
        <v>46516</v>
      </c>
      <c r="G123" s="8">
        <v>713304</v>
      </c>
      <c r="I123" s="8">
        <v>25438</v>
      </c>
      <c r="K123" s="3">
        <f t="shared" si="10"/>
        <v>3347966</v>
      </c>
      <c r="M123" s="8">
        <v>4086708</v>
      </c>
      <c r="O123" s="3">
        <f t="shared" si="11"/>
        <v>2814244</v>
      </c>
      <c r="Q123" s="8">
        <v>115952</v>
      </c>
      <c r="S123" s="8">
        <v>2930196</v>
      </c>
      <c r="U123" s="8">
        <f>39291+13349+12618+853206+618+25438</f>
        <v>944520</v>
      </c>
      <c r="W123" s="8">
        <v>0</v>
      </c>
      <c r="Y123" s="8">
        <v>211992</v>
      </c>
      <c r="AA123" s="14">
        <f t="shared" si="12"/>
        <v>1156512</v>
      </c>
      <c r="AB123" s="8"/>
      <c r="AC123" s="8">
        <f t="shared" si="13"/>
        <v>0</v>
      </c>
    </row>
    <row r="124" spans="1:29">
      <c r="A124" s="12" t="s">
        <v>486</v>
      </c>
      <c r="B124" s="12"/>
      <c r="C124" s="12" t="s">
        <v>44</v>
      </c>
      <c r="D124" s="12"/>
      <c r="E124" s="32">
        <v>48140</v>
      </c>
      <c r="G124" s="8">
        <v>2128923</v>
      </c>
      <c r="I124" s="8">
        <v>0</v>
      </c>
      <c r="K124" s="3">
        <f t="shared" si="10"/>
        <v>5750429</v>
      </c>
      <c r="M124" s="8">
        <v>7879352</v>
      </c>
      <c r="O124" s="3">
        <f t="shared" si="11"/>
        <v>6724188</v>
      </c>
      <c r="Q124" s="8">
        <v>112718</v>
      </c>
      <c r="S124" s="8">
        <v>6836906</v>
      </c>
      <c r="U124" s="8">
        <f>157950+358840</f>
        <v>516790</v>
      </c>
      <c r="W124" s="8">
        <v>0</v>
      </c>
      <c r="Y124" s="8">
        <v>525656</v>
      </c>
      <c r="AA124" s="14">
        <f t="shared" si="12"/>
        <v>1042446</v>
      </c>
      <c r="AB124" s="8"/>
      <c r="AC124" s="8">
        <f t="shared" si="13"/>
        <v>0</v>
      </c>
    </row>
    <row r="125" spans="1:29">
      <c r="A125" s="12" t="s">
        <v>279</v>
      </c>
      <c r="B125" s="12"/>
      <c r="C125" s="12" t="s">
        <v>114</v>
      </c>
      <c r="D125" s="12"/>
      <c r="E125" s="32">
        <v>45328</v>
      </c>
      <c r="G125" s="8">
        <v>2334424</v>
      </c>
      <c r="I125" s="8">
        <v>206</v>
      </c>
      <c r="K125" s="3">
        <f t="shared" si="10"/>
        <v>4376464</v>
      </c>
      <c r="M125" s="8">
        <v>6711094</v>
      </c>
      <c r="O125" s="3">
        <f t="shared" si="11"/>
        <v>1058562</v>
      </c>
      <c r="Q125" s="8">
        <v>3634741</v>
      </c>
      <c r="S125" s="8">
        <v>4693303</v>
      </c>
      <c r="U125" s="8">
        <f>1275+42291+206</f>
        <v>43772</v>
      </c>
      <c r="W125" s="8">
        <v>0</v>
      </c>
      <c r="Y125" s="8">
        <v>1974019</v>
      </c>
      <c r="AA125" s="14">
        <f t="shared" si="12"/>
        <v>2017791</v>
      </c>
      <c r="AB125" s="8"/>
      <c r="AC125" s="8">
        <f t="shared" si="13"/>
        <v>0</v>
      </c>
    </row>
    <row r="126" spans="1:29">
      <c r="A126" s="12" t="s">
        <v>354</v>
      </c>
      <c r="B126" s="12"/>
      <c r="C126" s="12" t="s">
        <v>27</v>
      </c>
      <c r="D126" s="12"/>
      <c r="E126" s="32">
        <v>43802</v>
      </c>
      <c r="G126" s="8">
        <v>112440312</v>
      </c>
      <c r="I126" s="8">
        <v>0</v>
      </c>
      <c r="K126" s="3">
        <f t="shared" si="10"/>
        <v>441883545</v>
      </c>
      <c r="M126" s="8">
        <v>554323857</v>
      </c>
      <c r="O126" s="3">
        <f t="shared" si="11"/>
        <v>82629002</v>
      </c>
      <c r="Q126" s="8">
        <v>315103892</v>
      </c>
      <c r="S126" s="8">
        <v>397732894</v>
      </c>
      <c r="U126" s="8">
        <f>6118550+106244232</f>
        <v>112362782</v>
      </c>
      <c r="W126" s="8">
        <v>0</v>
      </c>
      <c r="Y126" s="8">
        <v>44228181</v>
      </c>
      <c r="AA126" s="14">
        <f t="shared" si="12"/>
        <v>156590963</v>
      </c>
      <c r="AB126" s="8"/>
      <c r="AC126" s="8">
        <f t="shared" si="13"/>
        <v>0</v>
      </c>
    </row>
    <row r="127" spans="1:29" hidden="1">
      <c r="A127" s="13" t="s">
        <v>830</v>
      </c>
      <c r="B127" s="12"/>
      <c r="C127" s="12" t="s">
        <v>603</v>
      </c>
      <c r="D127" s="12"/>
      <c r="E127" s="32">
        <v>49312</v>
      </c>
      <c r="G127" s="8">
        <v>3638412</v>
      </c>
      <c r="I127" s="8">
        <v>186293</v>
      </c>
      <c r="K127" s="3">
        <f t="shared" si="10"/>
        <v>0</v>
      </c>
      <c r="M127" s="8">
        <v>3824705</v>
      </c>
      <c r="O127" s="3">
        <f t="shared" si="11"/>
        <v>0</v>
      </c>
      <c r="U127" s="8">
        <f>153797+29658+61743+94892</f>
        <v>340090</v>
      </c>
      <c r="Y127" s="8">
        <v>3484615</v>
      </c>
      <c r="AA127" s="14">
        <f t="shared" si="12"/>
        <v>3824705</v>
      </c>
      <c r="AB127" s="8"/>
      <c r="AC127" s="8">
        <f t="shared" si="13"/>
        <v>0</v>
      </c>
    </row>
    <row r="128" spans="1:29">
      <c r="A128" s="12" t="s">
        <v>218</v>
      </c>
      <c r="B128" s="12"/>
      <c r="C128" s="12" t="s">
        <v>12</v>
      </c>
      <c r="D128" s="12"/>
      <c r="E128" s="32">
        <v>43810</v>
      </c>
      <c r="G128" s="8">
        <v>2309821</v>
      </c>
      <c r="I128" s="8">
        <v>616065</v>
      </c>
      <c r="K128" s="3">
        <f t="shared" si="10"/>
        <v>4500010</v>
      </c>
      <c r="M128" s="8">
        <v>7425896</v>
      </c>
      <c r="O128" s="3">
        <f t="shared" si="11"/>
        <v>1389592</v>
      </c>
      <c r="Q128" s="8">
        <v>2867322</v>
      </c>
      <c r="S128" s="8">
        <v>4256914</v>
      </c>
      <c r="U128" s="8">
        <f>60615+1487393+269+615796</f>
        <v>2164073</v>
      </c>
      <c r="W128" s="8">
        <v>0</v>
      </c>
      <c r="Y128" s="8">
        <v>1004909</v>
      </c>
      <c r="AA128" s="14">
        <f t="shared" si="12"/>
        <v>3168982</v>
      </c>
      <c r="AB128" s="8"/>
      <c r="AC128" s="8">
        <f t="shared" si="13"/>
        <v>0</v>
      </c>
    </row>
    <row r="129" spans="1:31">
      <c r="A129" s="12" t="s">
        <v>427</v>
      </c>
      <c r="B129" s="12"/>
      <c r="C129" s="12" t="s">
        <v>428</v>
      </c>
      <c r="D129" s="12"/>
      <c r="E129" s="32">
        <v>47548</v>
      </c>
      <c r="G129" s="8">
        <v>1228216</v>
      </c>
      <c r="I129" s="8">
        <v>177823</v>
      </c>
      <c r="K129" s="3">
        <f t="shared" si="10"/>
        <v>1986332</v>
      </c>
      <c r="M129" s="8">
        <v>3392371</v>
      </c>
      <c r="O129" s="3">
        <f t="shared" si="11"/>
        <v>2277898</v>
      </c>
      <c r="Q129" s="8">
        <v>124369</v>
      </c>
      <c r="S129" s="8">
        <v>2402267</v>
      </c>
      <c r="U129" s="8">
        <f>4240+20463+118701+28459+149364</f>
        <v>321227</v>
      </c>
      <c r="W129" s="8">
        <v>0</v>
      </c>
      <c r="Y129" s="8">
        <v>668877</v>
      </c>
      <c r="AA129" s="14">
        <f t="shared" si="12"/>
        <v>990104</v>
      </c>
      <c r="AB129" s="8"/>
      <c r="AC129" s="8">
        <f t="shared" si="13"/>
        <v>0</v>
      </c>
    </row>
    <row r="130" spans="1:31" hidden="1">
      <c r="A130" s="88" t="s">
        <v>969</v>
      </c>
      <c r="B130" s="12"/>
      <c r="C130" s="12" t="s">
        <v>603</v>
      </c>
      <c r="D130" s="12"/>
      <c r="E130" s="32">
        <v>49320</v>
      </c>
      <c r="K130" s="3">
        <f t="shared" si="10"/>
        <v>0</v>
      </c>
      <c r="O130" s="3">
        <f t="shared" si="11"/>
        <v>0</v>
      </c>
      <c r="AA130" s="14">
        <f t="shared" si="12"/>
        <v>0</v>
      </c>
      <c r="AB130" s="8"/>
      <c r="AC130" s="8">
        <f t="shared" si="13"/>
        <v>0</v>
      </c>
    </row>
    <row r="131" spans="1:31">
      <c r="A131" s="12" t="s">
        <v>664</v>
      </c>
      <c r="B131" s="12"/>
      <c r="C131" s="12" t="s">
        <v>63</v>
      </c>
      <c r="D131" s="12"/>
      <c r="E131" s="32">
        <v>49981</v>
      </c>
      <c r="G131" s="8">
        <v>7800899</v>
      </c>
      <c r="I131" s="8">
        <v>0</v>
      </c>
      <c r="K131" s="3">
        <f t="shared" si="10"/>
        <v>26846402</v>
      </c>
      <c r="M131" s="8">
        <v>34647301</v>
      </c>
      <c r="O131" s="3">
        <f t="shared" si="11"/>
        <v>3402368</v>
      </c>
      <c r="Q131" s="8">
        <v>24296187</v>
      </c>
      <c r="S131" s="8">
        <v>27698555</v>
      </c>
      <c r="U131" s="8">
        <v>465801</v>
      </c>
      <c r="W131" s="8">
        <v>0</v>
      </c>
      <c r="Y131" s="8">
        <v>6482945</v>
      </c>
      <c r="AA131" s="14">
        <f t="shared" si="12"/>
        <v>6948746</v>
      </c>
      <c r="AB131" s="8"/>
      <c r="AC131" s="8">
        <f t="shared" si="13"/>
        <v>0</v>
      </c>
    </row>
    <row r="132" spans="1:31">
      <c r="A132" s="12" t="s">
        <v>415</v>
      </c>
      <c r="B132" s="12"/>
      <c r="C132" s="12" t="s">
        <v>33</v>
      </c>
      <c r="D132" s="12"/>
      <c r="E132" s="32">
        <v>47431</v>
      </c>
      <c r="G132" s="8">
        <v>254987</v>
      </c>
      <c r="I132" s="8">
        <v>5370</v>
      </c>
      <c r="K132" s="3">
        <f t="shared" si="10"/>
        <v>2230983</v>
      </c>
      <c r="M132" s="8">
        <v>2491340</v>
      </c>
      <c r="O132" s="3">
        <f t="shared" si="11"/>
        <v>891207</v>
      </c>
      <c r="Q132" s="8">
        <v>1585564</v>
      </c>
      <c r="S132" s="8">
        <v>2476771</v>
      </c>
      <c r="U132" s="8">
        <f>176000+5370+63851</f>
        <v>245221</v>
      </c>
      <c r="W132" s="8">
        <v>0</v>
      </c>
      <c r="Y132" s="8">
        <v>-230652</v>
      </c>
      <c r="AA132" s="14">
        <f t="shared" si="12"/>
        <v>14569</v>
      </c>
      <c r="AB132" s="8"/>
      <c r="AC132" s="8">
        <f t="shared" si="13"/>
        <v>0</v>
      </c>
    </row>
    <row r="133" spans="1:31">
      <c r="A133" s="12" t="s">
        <v>287</v>
      </c>
      <c r="B133" s="12"/>
      <c r="C133" s="12" t="s">
        <v>19</v>
      </c>
      <c r="D133" s="12"/>
      <c r="E133" s="32">
        <v>43828</v>
      </c>
      <c r="G133" s="8">
        <v>150998</v>
      </c>
      <c r="I133" s="8">
        <v>807745</v>
      </c>
      <c r="K133" s="3">
        <f t="shared" si="10"/>
        <v>5231668</v>
      </c>
      <c r="M133" s="8">
        <v>6190411</v>
      </c>
      <c r="O133" s="3">
        <f t="shared" si="11"/>
        <v>1402490</v>
      </c>
      <c r="Q133" s="8">
        <v>5025797</v>
      </c>
      <c r="S133" s="8">
        <v>6428287</v>
      </c>
      <c r="U133" s="8">
        <f>235546+34314+119684+575598+232147</f>
        <v>1197289</v>
      </c>
      <c r="W133" s="8">
        <v>0</v>
      </c>
      <c r="Y133" s="8">
        <v>-1435165</v>
      </c>
      <c r="AA133" s="14">
        <f t="shared" si="12"/>
        <v>-237876</v>
      </c>
      <c r="AB133" s="8"/>
      <c r="AC133" s="8">
        <f t="shared" si="13"/>
        <v>0</v>
      </c>
    </row>
    <row r="134" spans="1:31">
      <c r="A134" s="12" t="s">
        <v>816</v>
      </c>
      <c r="B134" s="12"/>
      <c r="C134" s="12" t="s">
        <v>63</v>
      </c>
      <c r="D134" s="12"/>
      <c r="E134" s="32"/>
      <c r="G134" s="8">
        <v>0</v>
      </c>
      <c r="I134" s="8">
        <v>6258</v>
      </c>
      <c r="K134" s="3">
        <f t="shared" si="10"/>
        <v>9191031</v>
      </c>
      <c r="M134" s="8">
        <v>9197289</v>
      </c>
      <c r="O134" s="3">
        <f t="shared" si="11"/>
        <v>2867108</v>
      </c>
      <c r="Q134" s="8">
        <v>8406054</v>
      </c>
      <c r="S134" s="8">
        <v>11273162</v>
      </c>
      <c r="U134" s="8">
        <f>871417+735608+239720</f>
        <v>1846745</v>
      </c>
      <c r="W134" s="8">
        <v>0</v>
      </c>
      <c r="Y134" s="8">
        <v>-3922618</v>
      </c>
      <c r="AA134" s="14">
        <f t="shared" si="12"/>
        <v>-2075873</v>
      </c>
      <c r="AB134" s="8"/>
      <c r="AC134" s="8">
        <f t="shared" si="13"/>
        <v>0</v>
      </c>
    </row>
    <row r="135" spans="1:31">
      <c r="A135" s="13" t="s">
        <v>915</v>
      </c>
      <c r="B135" s="12"/>
      <c r="C135" s="12" t="s">
        <v>48</v>
      </c>
      <c r="D135" s="12"/>
      <c r="E135" s="32">
        <v>45336</v>
      </c>
      <c r="G135" s="8">
        <v>1789365</v>
      </c>
      <c r="I135" s="8">
        <v>82568</v>
      </c>
      <c r="K135" s="3">
        <f t="shared" si="10"/>
        <v>2445843</v>
      </c>
      <c r="M135" s="8">
        <v>4317776</v>
      </c>
      <c r="O135" s="3">
        <f t="shared" si="11"/>
        <v>2508344</v>
      </c>
      <c r="Q135" s="8">
        <v>35778</v>
      </c>
      <c r="S135" s="8">
        <v>2544122</v>
      </c>
      <c r="U135" s="8">
        <f>83763+5495+91433+68578+13990</f>
        <v>263259</v>
      </c>
      <c r="W135" s="8">
        <v>0</v>
      </c>
      <c r="Y135" s="8">
        <v>1510395</v>
      </c>
      <c r="AA135" s="14">
        <f t="shared" si="12"/>
        <v>1773654</v>
      </c>
      <c r="AB135" s="8"/>
      <c r="AC135" s="8">
        <f t="shared" si="13"/>
        <v>0</v>
      </c>
    </row>
    <row r="136" spans="1:31">
      <c r="A136" s="13" t="s">
        <v>916</v>
      </c>
      <c r="B136" s="12"/>
      <c r="C136" s="12" t="s">
        <v>113</v>
      </c>
      <c r="D136" s="12"/>
      <c r="E136" s="32">
        <v>45344</v>
      </c>
      <c r="G136" s="8">
        <v>2185028</v>
      </c>
      <c r="I136" s="8">
        <v>50211</v>
      </c>
      <c r="K136" s="3">
        <f t="shared" si="10"/>
        <v>2644873</v>
      </c>
      <c r="M136" s="8">
        <v>4880112</v>
      </c>
      <c r="O136" s="3">
        <f t="shared" si="11"/>
        <v>2323258</v>
      </c>
      <c r="Q136" s="8">
        <v>314746</v>
      </c>
      <c r="S136" s="8">
        <v>2638004</v>
      </c>
      <c r="U136" s="8">
        <f>14710+30326+768464+35920+14291</f>
        <v>863711</v>
      </c>
      <c r="W136" s="8">
        <v>0</v>
      </c>
      <c r="Y136" s="8">
        <v>1378397</v>
      </c>
      <c r="AA136" s="14">
        <f t="shared" si="12"/>
        <v>2242108</v>
      </c>
      <c r="AB136" s="8"/>
      <c r="AC136" s="8">
        <f t="shared" si="13"/>
        <v>0</v>
      </c>
    </row>
    <row r="137" spans="1:31" ht="11.25" customHeight="1">
      <c r="A137" s="12" t="s">
        <v>280</v>
      </c>
      <c r="B137" s="12"/>
      <c r="C137" s="12" t="s">
        <v>114</v>
      </c>
      <c r="D137" s="12"/>
      <c r="E137" s="32">
        <v>46433</v>
      </c>
      <c r="G137" s="8">
        <v>858945</v>
      </c>
      <c r="I137" s="8">
        <v>92251</v>
      </c>
      <c r="K137" s="3">
        <f t="shared" si="10"/>
        <v>2549813</v>
      </c>
      <c r="M137" s="8">
        <v>3501009</v>
      </c>
      <c r="O137" s="3">
        <f t="shared" si="11"/>
        <v>1145552</v>
      </c>
      <c r="Q137" s="8">
        <v>2036776</v>
      </c>
      <c r="S137" s="8">
        <v>3182328</v>
      </c>
      <c r="U137" s="8">
        <f>38161+75777+16474+42814</f>
        <v>173226</v>
      </c>
      <c r="W137" s="8">
        <v>0</v>
      </c>
      <c r="Y137" s="8">
        <v>145455</v>
      </c>
      <c r="AA137" s="14">
        <f t="shared" si="12"/>
        <v>318681</v>
      </c>
      <c r="AB137" s="8"/>
      <c r="AC137" s="8">
        <f t="shared" si="13"/>
        <v>0</v>
      </c>
    </row>
    <row r="138" spans="1:31">
      <c r="A138" s="12" t="s">
        <v>280</v>
      </c>
      <c r="B138" s="12"/>
      <c r="C138" s="12" t="s">
        <v>112</v>
      </c>
      <c r="D138" s="12"/>
      <c r="E138" s="32">
        <v>49429</v>
      </c>
      <c r="G138" s="8">
        <v>5264739</v>
      </c>
      <c r="I138" s="8">
        <v>33996</v>
      </c>
      <c r="K138" s="3">
        <f t="shared" si="10"/>
        <v>2440682</v>
      </c>
      <c r="M138" s="8">
        <v>7739417</v>
      </c>
      <c r="O138" s="3">
        <f t="shared" si="11"/>
        <v>2701526</v>
      </c>
      <c r="Q138" s="8">
        <v>136762</v>
      </c>
      <c r="S138" s="8">
        <v>2838288</v>
      </c>
      <c r="U138" s="8">
        <f>104948+29175+37341+483852+32798+1198</f>
        <v>689312</v>
      </c>
      <c r="W138" s="8">
        <v>121033</v>
      </c>
      <c r="Y138" s="8">
        <v>4090784</v>
      </c>
      <c r="AA138" s="14">
        <f t="shared" si="12"/>
        <v>4901129</v>
      </c>
      <c r="AB138" s="8"/>
      <c r="AC138" s="8">
        <f t="shared" si="13"/>
        <v>0</v>
      </c>
      <c r="AD138" s="69"/>
    </row>
    <row r="139" spans="1:31" hidden="1">
      <c r="A139" s="13" t="s">
        <v>917</v>
      </c>
      <c r="B139" s="13"/>
      <c r="C139" s="13" t="s">
        <v>67</v>
      </c>
      <c r="D139" s="12"/>
      <c r="E139" s="32"/>
      <c r="G139" s="8">
        <v>1367335</v>
      </c>
      <c r="K139" s="3">
        <f t="shared" si="10"/>
        <v>0</v>
      </c>
      <c r="M139" s="8">
        <v>1367335</v>
      </c>
      <c r="O139" s="3">
        <f t="shared" si="11"/>
        <v>0</v>
      </c>
      <c r="U139" s="8">
        <v>8024</v>
      </c>
      <c r="W139" s="8">
        <v>1359311</v>
      </c>
      <c r="AA139" s="14">
        <f t="shared" si="12"/>
        <v>1367335</v>
      </c>
      <c r="AB139" s="8"/>
      <c r="AC139" s="8">
        <f t="shared" si="13"/>
        <v>0</v>
      </c>
      <c r="AD139" s="69"/>
    </row>
    <row r="140" spans="1:31">
      <c r="A140" s="12" t="s">
        <v>589</v>
      </c>
      <c r="B140" s="12"/>
      <c r="C140" s="12" t="s">
        <v>56</v>
      </c>
      <c r="D140" s="12"/>
      <c r="E140" s="32">
        <v>49189</v>
      </c>
      <c r="G140" s="8">
        <v>4334594</v>
      </c>
      <c r="I140" s="8">
        <v>281868</v>
      </c>
      <c r="K140" s="3">
        <f t="shared" si="10"/>
        <v>6006572</v>
      </c>
      <c r="M140" s="8">
        <v>10623034</v>
      </c>
      <c r="O140" s="3">
        <f t="shared" si="11"/>
        <v>8101931</v>
      </c>
      <c r="Q140" s="8">
        <v>283247</v>
      </c>
      <c r="S140" s="8">
        <v>8385178</v>
      </c>
      <c r="U140" s="8">
        <f>685352+15269+536881+262573+19295</f>
        <v>1519370</v>
      </c>
      <c r="W140" s="8">
        <v>0</v>
      </c>
      <c r="Y140" s="8">
        <v>718486</v>
      </c>
      <c r="AA140" s="14">
        <f t="shared" si="12"/>
        <v>2237856</v>
      </c>
      <c r="AB140" s="8"/>
      <c r="AC140" s="8">
        <f t="shared" si="13"/>
        <v>0</v>
      </c>
    </row>
    <row r="141" spans="1:31">
      <c r="A141" s="12" t="s">
        <v>817</v>
      </c>
      <c r="B141" s="12"/>
      <c r="C141" s="12" t="s">
        <v>579</v>
      </c>
      <c r="D141" s="12"/>
      <c r="E141" s="32"/>
      <c r="G141" s="8">
        <v>1133371</v>
      </c>
      <c r="I141" s="8">
        <v>0</v>
      </c>
      <c r="K141" s="3">
        <f t="shared" si="10"/>
        <v>1829071</v>
      </c>
      <c r="M141" s="8">
        <v>2962442</v>
      </c>
      <c r="O141" s="3">
        <f t="shared" si="11"/>
        <v>1023585</v>
      </c>
      <c r="Q141" s="8">
        <v>1502902</v>
      </c>
      <c r="S141" s="8">
        <v>2526487</v>
      </c>
      <c r="U141" s="8">
        <f>100239+73206+90995</f>
        <v>264440</v>
      </c>
      <c r="W141" s="8">
        <v>0</v>
      </c>
      <c r="Y141" s="8">
        <v>171515</v>
      </c>
      <c r="AA141" s="14">
        <f t="shared" si="12"/>
        <v>435955</v>
      </c>
      <c r="AB141" s="8"/>
      <c r="AC141" s="8">
        <f t="shared" si="13"/>
        <v>0</v>
      </c>
    </row>
    <row r="142" spans="1:31">
      <c r="A142" s="12" t="s">
        <v>665</v>
      </c>
      <c r="B142" s="12"/>
      <c r="C142" s="12" t="s">
        <v>63</v>
      </c>
      <c r="D142" s="12"/>
      <c r="E142" s="32">
        <v>43836</v>
      </c>
      <c r="G142" s="8">
        <v>5628739</v>
      </c>
      <c r="I142" s="8">
        <v>0</v>
      </c>
      <c r="K142" s="3">
        <f t="shared" si="10"/>
        <v>25834306</v>
      </c>
      <c r="M142" s="8">
        <v>31463045</v>
      </c>
      <c r="O142" s="3">
        <f t="shared" si="11"/>
        <v>28585290</v>
      </c>
      <c r="Q142" s="8">
        <v>703093</v>
      </c>
      <c r="S142" s="8">
        <v>29288383</v>
      </c>
      <c r="U142" s="8">
        <f>15071+65481+25802+2450082</f>
        <v>2556436</v>
      </c>
      <c r="W142" s="8">
        <v>0</v>
      </c>
      <c r="Y142" s="8">
        <v>-381774</v>
      </c>
      <c r="AA142" s="14">
        <f t="shared" si="12"/>
        <v>2174662</v>
      </c>
      <c r="AB142" s="8"/>
      <c r="AC142" s="8">
        <f t="shared" si="13"/>
        <v>0</v>
      </c>
    </row>
    <row r="143" spans="1:31">
      <c r="A143" s="13" t="s">
        <v>304</v>
      </c>
      <c r="B143" s="12"/>
      <c r="C143" s="12" t="s">
        <v>20</v>
      </c>
      <c r="D143" s="12"/>
      <c r="E143" s="32">
        <v>46557</v>
      </c>
      <c r="G143" s="8">
        <v>6903070</v>
      </c>
      <c r="I143" s="8">
        <v>70259</v>
      </c>
      <c r="K143" s="3">
        <f t="shared" si="10"/>
        <v>10199204</v>
      </c>
      <c r="M143" s="8">
        <v>17172533</v>
      </c>
      <c r="O143" s="3">
        <f t="shared" si="11"/>
        <v>2279086</v>
      </c>
      <c r="Q143" s="8">
        <v>8108506</v>
      </c>
      <c r="S143" s="8">
        <v>10387592</v>
      </c>
      <c r="U143" s="8">
        <f>172173+10507+15115+55144+1151772</f>
        <v>1404711</v>
      </c>
      <c r="W143" s="8">
        <v>0</v>
      </c>
      <c r="Y143" s="8">
        <v>5380230</v>
      </c>
      <c r="AA143" s="14">
        <f t="shared" si="12"/>
        <v>6784941</v>
      </c>
      <c r="AB143" s="8"/>
      <c r="AC143" s="8">
        <f t="shared" si="13"/>
        <v>0</v>
      </c>
      <c r="AE143" s="15" t="s">
        <v>919</v>
      </c>
    </row>
    <row r="144" spans="1:31">
      <c r="A144" s="12" t="s">
        <v>828</v>
      </c>
      <c r="B144" s="12"/>
      <c r="C144" s="12" t="s">
        <v>71</v>
      </c>
      <c r="D144" s="12"/>
      <c r="E144" s="32">
        <v>48934</v>
      </c>
      <c r="G144" s="8">
        <v>422570</v>
      </c>
      <c r="I144" s="8">
        <v>190023</v>
      </c>
      <c r="K144" s="3">
        <f t="shared" si="10"/>
        <v>3188400</v>
      </c>
      <c r="M144" s="8">
        <v>3800993</v>
      </c>
      <c r="O144" s="3">
        <f t="shared" si="11"/>
        <v>3626803</v>
      </c>
      <c r="Q144" s="8">
        <v>48253</v>
      </c>
      <c r="S144" s="8">
        <v>3675056</v>
      </c>
      <c r="U144" s="8">
        <f>11570+5874+187621+190023</f>
        <v>395088</v>
      </c>
      <c r="W144" s="8">
        <v>0</v>
      </c>
      <c r="Y144" s="8">
        <v>-269151</v>
      </c>
      <c r="AA144" s="14">
        <f t="shared" si="12"/>
        <v>125937</v>
      </c>
      <c r="AB144" s="8"/>
      <c r="AC144" s="8">
        <f t="shared" si="13"/>
        <v>0</v>
      </c>
    </row>
    <row r="145" spans="1:31">
      <c r="A145" s="12" t="s">
        <v>572</v>
      </c>
      <c r="B145" s="12"/>
      <c r="C145" s="12" t="s">
        <v>53</v>
      </c>
      <c r="D145" s="12"/>
      <c r="E145" s="32">
        <v>48934</v>
      </c>
      <c r="G145" s="8">
        <v>3365067</v>
      </c>
      <c r="I145" s="8">
        <v>3423</v>
      </c>
      <c r="K145" s="3">
        <f t="shared" si="10"/>
        <v>6977957</v>
      </c>
      <c r="M145" s="8">
        <v>10346447</v>
      </c>
      <c r="O145" s="3">
        <f t="shared" si="11"/>
        <v>6514584</v>
      </c>
      <c r="Q145" s="8">
        <v>229184</v>
      </c>
      <c r="S145" s="8">
        <v>6743768</v>
      </c>
      <c r="U145" s="8">
        <f>659446+25301+1050698+3423</f>
        <v>1738868</v>
      </c>
      <c r="W145" s="8">
        <v>0</v>
      </c>
      <c r="Y145" s="8">
        <v>1863811</v>
      </c>
      <c r="AA145" s="14">
        <f t="shared" si="12"/>
        <v>3602679</v>
      </c>
      <c r="AB145" s="8"/>
      <c r="AC145" s="8">
        <f t="shared" si="13"/>
        <v>0</v>
      </c>
    </row>
    <row r="146" spans="1:31" hidden="1">
      <c r="A146" s="13" t="s">
        <v>921</v>
      </c>
      <c r="B146" s="12"/>
      <c r="C146" s="12" t="s">
        <v>40</v>
      </c>
      <c r="D146" s="12"/>
      <c r="E146" s="32">
        <v>47837</v>
      </c>
      <c r="G146" s="8">
        <v>2265740</v>
      </c>
      <c r="K146" s="3">
        <f t="shared" si="10"/>
        <v>0</v>
      </c>
      <c r="M146" s="8">
        <v>2265740</v>
      </c>
      <c r="O146" s="3">
        <f t="shared" si="11"/>
        <v>0</v>
      </c>
      <c r="U146" s="8">
        <v>14503</v>
      </c>
      <c r="Y146" s="8">
        <v>2251237</v>
      </c>
      <c r="AA146" s="14">
        <f t="shared" si="12"/>
        <v>2265740</v>
      </c>
      <c r="AB146" s="8"/>
      <c r="AC146" s="8">
        <f t="shared" si="13"/>
        <v>0</v>
      </c>
    </row>
    <row r="147" spans="1:31">
      <c r="A147" s="12" t="s">
        <v>467</v>
      </c>
      <c r="B147" s="12"/>
      <c r="C147" s="12" t="s">
        <v>466</v>
      </c>
      <c r="D147" s="12"/>
      <c r="E147" s="32">
        <v>47928</v>
      </c>
      <c r="G147" s="8">
        <v>3429550</v>
      </c>
      <c r="I147" s="8">
        <v>0</v>
      </c>
      <c r="K147" s="3">
        <f t="shared" si="10"/>
        <v>1414965</v>
      </c>
      <c r="M147" s="8">
        <v>4844515</v>
      </c>
      <c r="O147" s="3">
        <f t="shared" si="11"/>
        <v>1048406</v>
      </c>
      <c r="Q147" s="8">
        <v>989526</v>
      </c>
      <c r="S147" s="8">
        <v>2037932</v>
      </c>
      <c r="U147" s="8">
        <f>147578+188960</f>
        <v>336538</v>
      </c>
      <c r="W147" s="8">
        <v>0</v>
      </c>
      <c r="Y147" s="8">
        <v>2470045</v>
      </c>
      <c r="AA147" s="14">
        <f t="shared" si="12"/>
        <v>2806583</v>
      </c>
      <c r="AB147" s="8"/>
      <c r="AC147" s="8">
        <f t="shared" si="13"/>
        <v>0</v>
      </c>
    </row>
    <row r="148" spans="1:31">
      <c r="A148" s="12" t="s">
        <v>546</v>
      </c>
      <c r="B148" s="12"/>
      <c r="C148" s="12" t="s">
        <v>50</v>
      </c>
      <c r="D148" s="12"/>
      <c r="E148" s="32">
        <v>43844</v>
      </c>
      <c r="G148" s="8">
        <v>8369829</v>
      </c>
      <c r="I148" s="8">
        <v>0</v>
      </c>
      <c r="K148" s="3">
        <f t="shared" si="10"/>
        <v>70975390</v>
      </c>
      <c r="M148" s="8">
        <v>79345219</v>
      </c>
      <c r="O148" s="3">
        <f t="shared" si="11"/>
        <v>11960031</v>
      </c>
      <c r="Q148" s="8">
        <v>60816729</v>
      </c>
      <c r="S148" s="8">
        <v>72776760</v>
      </c>
      <c r="U148" s="8">
        <f>1367450+715338+4205632+809</f>
        <v>6289229</v>
      </c>
      <c r="W148" s="8">
        <v>0</v>
      </c>
      <c r="Y148" s="8">
        <v>279230</v>
      </c>
      <c r="AA148" s="14">
        <f t="shared" si="12"/>
        <v>6568459</v>
      </c>
      <c r="AB148" s="8"/>
      <c r="AC148" s="8">
        <f t="shared" si="13"/>
        <v>0</v>
      </c>
    </row>
    <row r="149" spans="1:31">
      <c r="A149" s="13" t="s">
        <v>924</v>
      </c>
      <c r="B149" s="12"/>
      <c r="C149" s="12" t="s">
        <v>32</v>
      </c>
      <c r="D149" s="12"/>
      <c r="E149" s="32">
        <v>43851</v>
      </c>
      <c r="G149" s="8">
        <v>2795680</v>
      </c>
      <c r="I149" s="8">
        <v>53055</v>
      </c>
      <c r="K149" s="3">
        <f t="shared" si="10"/>
        <v>9117849</v>
      </c>
      <c r="M149" s="8">
        <v>11966584</v>
      </c>
      <c r="O149" s="3">
        <f t="shared" si="11"/>
        <v>1681477</v>
      </c>
      <c r="Q149" s="8">
        <v>5655913</v>
      </c>
      <c r="S149" s="8">
        <v>7337390</v>
      </c>
      <c r="U149" s="8">
        <f>188699+2866000+53055</f>
        <v>3107754</v>
      </c>
      <c r="W149" s="8">
        <v>0</v>
      </c>
      <c r="Y149" s="8">
        <v>1521440</v>
      </c>
      <c r="AA149" s="14">
        <f t="shared" si="12"/>
        <v>4629194</v>
      </c>
      <c r="AB149" s="8"/>
      <c r="AC149" s="8">
        <f t="shared" si="13"/>
        <v>0</v>
      </c>
    </row>
    <row r="150" spans="1:31" hidden="1">
      <c r="A150" s="13" t="s">
        <v>925</v>
      </c>
      <c r="B150" s="12"/>
      <c r="C150" s="12" t="s">
        <v>22</v>
      </c>
      <c r="D150" s="12"/>
      <c r="E150" s="32">
        <v>43869</v>
      </c>
      <c r="G150" s="8">
        <v>1813596</v>
      </c>
      <c r="K150" s="3">
        <f t="shared" si="10"/>
        <v>0</v>
      </c>
      <c r="M150" s="8">
        <v>1813596</v>
      </c>
      <c r="O150" s="3">
        <f t="shared" si="11"/>
        <v>0</v>
      </c>
      <c r="U150" s="8">
        <v>434100</v>
      </c>
      <c r="Y150" s="8">
        <v>1379496</v>
      </c>
      <c r="AA150" s="14">
        <f t="shared" si="12"/>
        <v>1813596</v>
      </c>
      <c r="AB150" s="8"/>
      <c r="AC150" s="8">
        <f t="shared" si="13"/>
        <v>0</v>
      </c>
    </row>
    <row r="151" spans="1:31">
      <c r="A151" s="13" t="s">
        <v>926</v>
      </c>
      <c r="B151" s="13"/>
      <c r="C151" s="13" t="s">
        <v>23</v>
      </c>
      <c r="D151" s="12"/>
      <c r="E151" s="32"/>
      <c r="G151" s="8">
        <v>7995192</v>
      </c>
      <c r="I151" s="8">
        <v>0</v>
      </c>
      <c r="K151" s="3">
        <f t="shared" si="10"/>
        <v>24880113</v>
      </c>
      <c r="M151" s="8">
        <v>32875305</v>
      </c>
      <c r="O151" s="3">
        <f t="shared" si="11"/>
        <v>5465552</v>
      </c>
      <c r="Q151" s="8">
        <v>21149676</v>
      </c>
      <c r="S151" s="8">
        <v>26615228</v>
      </c>
      <c r="U151" s="8">
        <f>287933+3491781</f>
        <v>3779714</v>
      </c>
      <c r="W151" s="8">
        <v>367699</v>
      </c>
      <c r="Y151" s="8">
        <v>2112664</v>
      </c>
      <c r="AA151" s="14">
        <f t="shared" si="12"/>
        <v>6260077</v>
      </c>
      <c r="AB151" s="8"/>
      <c r="AC151" s="8">
        <f t="shared" si="13"/>
        <v>0</v>
      </c>
    </row>
    <row r="152" spans="1:31">
      <c r="A152" s="12" t="s">
        <v>210</v>
      </c>
      <c r="B152" s="12"/>
      <c r="C152" s="12" t="s">
        <v>10</v>
      </c>
      <c r="D152" s="12"/>
      <c r="E152" s="32">
        <v>43885</v>
      </c>
      <c r="G152" s="8">
        <v>98060</v>
      </c>
      <c r="I152" s="8">
        <v>11268</v>
      </c>
      <c r="K152" s="3">
        <f t="shared" si="10"/>
        <v>4264694</v>
      </c>
      <c r="M152" s="8">
        <v>4374022</v>
      </c>
      <c r="O152" s="3">
        <f t="shared" si="11"/>
        <v>1107803</v>
      </c>
      <c r="Q152" s="8">
        <v>3759314</v>
      </c>
      <c r="S152" s="8">
        <v>4867117</v>
      </c>
      <c r="U152" s="8">
        <f>435125+11268+5891</f>
        <v>452284</v>
      </c>
      <c r="W152" s="8">
        <v>0</v>
      </c>
      <c r="Y152" s="8">
        <v>-945379</v>
      </c>
      <c r="AA152" s="14">
        <f t="shared" si="12"/>
        <v>-493095</v>
      </c>
      <c r="AB152" s="8"/>
      <c r="AC152" s="8">
        <f t="shared" si="13"/>
        <v>0</v>
      </c>
    </row>
    <row r="153" spans="1:31">
      <c r="A153" s="12" t="s">
        <v>695</v>
      </c>
      <c r="B153" s="12"/>
      <c r="C153" s="12" t="s">
        <v>65</v>
      </c>
      <c r="D153" s="12"/>
      <c r="E153" s="32">
        <v>43893</v>
      </c>
      <c r="G153" s="8">
        <v>5196377</v>
      </c>
      <c r="I153" s="8">
        <v>0</v>
      </c>
      <c r="K153" s="3">
        <f t="shared" si="10"/>
        <v>11767532</v>
      </c>
      <c r="M153" s="8">
        <v>16963909</v>
      </c>
      <c r="O153" s="3">
        <f t="shared" si="11"/>
        <v>2916906</v>
      </c>
      <c r="Q153" s="8">
        <v>10699565</v>
      </c>
      <c r="S153" s="8">
        <v>13616471</v>
      </c>
      <c r="U153" s="8">
        <f>510604+973015</f>
        <v>1483619</v>
      </c>
      <c r="W153" s="8">
        <v>0</v>
      </c>
      <c r="Y153" s="8">
        <v>1863819</v>
      </c>
      <c r="AA153" s="14">
        <f t="shared" si="12"/>
        <v>3347438</v>
      </c>
      <c r="AB153" s="8"/>
      <c r="AC153" s="8">
        <f t="shared" si="13"/>
        <v>0</v>
      </c>
    </row>
    <row r="154" spans="1:31">
      <c r="A154" s="12" t="s">
        <v>355</v>
      </c>
      <c r="B154" s="12"/>
      <c r="C154" s="12" t="s">
        <v>27</v>
      </c>
      <c r="D154" s="12"/>
      <c r="E154" s="32">
        <v>47027</v>
      </c>
      <c r="G154" s="8">
        <v>44202309</v>
      </c>
      <c r="I154" s="8">
        <v>0</v>
      </c>
      <c r="K154" s="3">
        <f t="shared" si="10"/>
        <v>187985258</v>
      </c>
      <c r="M154" s="8">
        <v>232187567</v>
      </c>
      <c r="O154" s="3">
        <f t="shared" si="11"/>
        <v>18192963</v>
      </c>
      <c r="Q154" s="8">
        <v>152198344</v>
      </c>
      <c r="S154" s="8">
        <v>170391307</v>
      </c>
      <c r="U154" s="8">
        <f>168508+159413</f>
        <v>327921</v>
      </c>
      <c r="W154" s="8">
        <f>1125772+1557386</f>
        <v>2683158</v>
      </c>
      <c r="Y154" s="8">
        <v>58785181</v>
      </c>
      <c r="AA154" s="14">
        <f t="shared" si="12"/>
        <v>61796260</v>
      </c>
      <c r="AB154" s="8"/>
      <c r="AC154" s="8">
        <f t="shared" ref="AC154:AC158" si="14">+G154+I154+K154-O154-Q154-Y154-W154-U154</f>
        <v>0</v>
      </c>
    </row>
    <row r="155" spans="1:31">
      <c r="A155" s="12"/>
      <c r="B155" s="12"/>
      <c r="C155" s="12"/>
      <c r="D155" s="12"/>
      <c r="E155" s="32"/>
      <c r="K155" s="3"/>
      <c r="O155" s="3"/>
      <c r="AA155" s="14"/>
      <c r="AB155" s="8"/>
    </row>
    <row r="156" spans="1:31">
      <c r="A156" s="12"/>
      <c r="B156" s="12"/>
      <c r="C156" s="12"/>
      <c r="D156" s="12"/>
      <c r="E156" s="32"/>
      <c r="K156" s="3"/>
      <c r="O156" s="3"/>
      <c r="AA156" s="14" t="s">
        <v>805</v>
      </c>
      <c r="AB156" s="8"/>
    </row>
    <row r="157" spans="1:31">
      <c r="A157" s="12"/>
      <c r="B157" s="12"/>
      <c r="C157" s="12"/>
      <c r="D157" s="12"/>
      <c r="E157" s="32"/>
      <c r="K157" s="3"/>
      <c r="O157" s="3"/>
      <c r="AA157" s="14"/>
      <c r="AB157" s="8"/>
    </row>
    <row r="158" spans="1:31">
      <c r="A158" s="13" t="s">
        <v>305</v>
      </c>
      <c r="B158" s="12"/>
      <c r="C158" s="12" t="s">
        <v>20</v>
      </c>
      <c r="D158" s="12"/>
      <c r="E158" s="32">
        <v>43901</v>
      </c>
      <c r="G158" s="35">
        <v>29399221</v>
      </c>
      <c r="H158" s="35"/>
      <c r="I158" s="35">
        <v>0</v>
      </c>
      <c r="J158" s="35"/>
      <c r="K158" s="42">
        <f t="shared" si="10"/>
        <v>18701024</v>
      </c>
      <c r="L158" s="35"/>
      <c r="M158" s="35">
        <v>48100245</v>
      </c>
      <c r="N158" s="35"/>
      <c r="O158" s="42">
        <f t="shared" si="11"/>
        <v>2643082</v>
      </c>
      <c r="P158" s="35"/>
      <c r="Q158" s="35">
        <v>15242789</v>
      </c>
      <c r="R158" s="35"/>
      <c r="S158" s="35">
        <v>17885871</v>
      </c>
      <c r="T158" s="35"/>
      <c r="U158" s="35">
        <f>2228250+1298460</f>
        <v>3526710</v>
      </c>
      <c r="V158" s="35"/>
      <c r="W158" s="35">
        <v>0</v>
      </c>
      <c r="X158" s="35"/>
      <c r="Y158" s="35">
        <v>26687664</v>
      </c>
      <c r="Z158" s="35"/>
      <c r="AA158" s="64">
        <f t="shared" si="12"/>
        <v>30214374</v>
      </c>
      <c r="AB158" s="8"/>
      <c r="AC158" s="8">
        <f t="shared" si="14"/>
        <v>0</v>
      </c>
      <c r="AE158" s="8" t="s">
        <v>956</v>
      </c>
    </row>
    <row r="159" spans="1:31">
      <c r="A159" s="12" t="s">
        <v>276</v>
      </c>
      <c r="B159" s="12"/>
      <c r="C159" s="12" t="s">
        <v>18</v>
      </c>
      <c r="D159" s="12"/>
      <c r="E159" s="32">
        <v>46409</v>
      </c>
      <c r="G159" s="8">
        <v>1062111</v>
      </c>
      <c r="I159" s="8">
        <v>0</v>
      </c>
      <c r="K159" s="3">
        <f t="shared" si="10"/>
        <v>2545701</v>
      </c>
      <c r="M159" s="8">
        <v>3607812</v>
      </c>
      <c r="O159" s="3">
        <f t="shared" si="11"/>
        <v>1473970</v>
      </c>
      <c r="Q159" s="8">
        <v>2347951</v>
      </c>
      <c r="S159" s="8">
        <v>3821921</v>
      </c>
      <c r="U159" s="8">
        <f>102294+192637</f>
        <v>294931</v>
      </c>
      <c r="W159" s="8">
        <v>0</v>
      </c>
      <c r="Y159" s="8">
        <v>-509040</v>
      </c>
      <c r="AA159" s="14">
        <f t="shared" si="12"/>
        <v>-214109</v>
      </c>
      <c r="AB159" s="8"/>
      <c r="AC159" s="8">
        <f t="shared" ref="AC159:AC179" si="15">+G159+I159+K159-O159-Q159-Y159-W159-U159</f>
        <v>0</v>
      </c>
    </row>
    <row r="160" spans="1:31">
      <c r="A160" s="12" t="s">
        <v>390</v>
      </c>
      <c r="B160" s="12"/>
      <c r="C160" s="12" t="s">
        <v>31</v>
      </c>
      <c r="D160" s="12"/>
      <c r="E160" s="32">
        <v>69682</v>
      </c>
      <c r="G160" s="8">
        <v>1745481</v>
      </c>
      <c r="I160" s="8">
        <v>0</v>
      </c>
      <c r="K160" s="3">
        <f t="shared" ref="K160:K178" si="16">+M160-I160-G160</f>
        <v>2676022</v>
      </c>
      <c r="M160" s="8">
        <v>4421503</v>
      </c>
      <c r="O160" s="3">
        <f t="shared" si="11"/>
        <v>1119480</v>
      </c>
      <c r="Q160" s="8">
        <v>1918317</v>
      </c>
      <c r="S160" s="8">
        <v>3037797</v>
      </c>
      <c r="U160" s="8">
        <f>269567+597158</f>
        <v>866725</v>
      </c>
      <c r="W160" s="8">
        <v>0</v>
      </c>
      <c r="Y160" s="8">
        <v>516981</v>
      </c>
      <c r="AA160" s="14">
        <f t="shared" ref="AA160:AA175" si="17">+Y160+W160++U160</f>
        <v>1383706</v>
      </c>
      <c r="AB160" s="8"/>
      <c r="AC160" s="8">
        <f t="shared" si="15"/>
        <v>0</v>
      </c>
    </row>
    <row r="161" spans="1:31">
      <c r="A161" s="12" t="s">
        <v>441</v>
      </c>
      <c r="B161" s="12"/>
      <c r="C161" s="12" t="s">
        <v>36</v>
      </c>
      <c r="D161" s="12"/>
      <c r="E161" s="32">
        <v>47688</v>
      </c>
      <c r="G161" s="8">
        <v>5569464</v>
      </c>
      <c r="I161" s="8">
        <v>0</v>
      </c>
      <c r="K161" s="3">
        <f t="shared" si="16"/>
        <v>7840419</v>
      </c>
      <c r="M161" s="8">
        <v>13409883</v>
      </c>
      <c r="O161" s="3">
        <f t="shared" ref="O161:O178" si="18">+S161-Q161</f>
        <v>1962940</v>
      </c>
      <c r="Q161" s="8">
        <v>7421517</v>
      </c>
      <c r="S161" s="8">
        <v>9384457</v>
      </c>
      <c r="U161" s="8">
        <f>135136+305441</f>
        <v>440577</v>
      </c>
      <c r="W161" s="8">
        <v>0</v>
      </c>
      <c r="Y161" s="8">
        <v>3584849</v>
      </c>
      <c r="AA161" s="14">
        <f t="shared" si="17"/>
        <v>4025426</v>
      </c>
      <c r="AB161" s="8"/>
      <c r="AC161" s="8">
        <f t="shared" si="15"/>
        <v>0</v>
      </c>
    </row>
    <row r="162" spans="1:31" hidden="1">
      <c r="A162" s="13" t="s">
        <v>929</v>
      </c>
      <c r="B162" s="13"/>
      <c r="C162" s="13" t="s">
        <v>40</v>
      </c>
      <c r="D162" s="12"/>
      <c r="E162" s="32"/>
      <c r="G162" s="8">
        <v>2472467</v>
      </c>
      <c r="K162" s="3">
        <f t="shared" si="16"/>
        <v>0</v>
      </c>
      <c r="M162" s="8">
        <v>2472467</v>
      </c>
      <c r="O162" s="3"/>
      <c r="U162" s="8">
        <v>54015</v>
      </c>
      <c r="Y162" s="8">
        <v>2418452</v>
      </c>
      <c r="AA162" s="14">
        <f t="shared" si="17"/>
        <v>2472467</v>
      </c>
      <c r="AB162" s="8"/>
      <c r="AC162" s="8">
        <f t="shared" si="15"/>
        <v>0</v>
      </c>
    </row>
    <row r="163" spans="1:31">
      <c r="A163" s="12" t="s">
        <v>281</v>
      </c>
      <c r="B163" s="12"/>
      <c r="C163" s="12" t="s">
        <v>114</v>
      </c>
      <c r="D163" s="12"/>
      <c r="E163" s="32">
        <v>43919</v>
      </c>
      <c r="G163" s="8">
        <v>3876655</v>
      </c>
      <c r="I163" s="8">
        <v>0</v>
      </c>
      <c r="K163" s="3">
        <f t="shared" si="16"/>
        <v>4695100</v>
      </c>
      <c r="M163" s="8">
        <v>8571755</v>
      </c>
      <c r="O163" s="3">
        <f t="shared" si="18"/>
        <v>2180702</v>
      </c>
      <c r="Q163" s="8">
        <v>4418125</v>
      </c>
      <c r="S163" s="8">
        <v>6598827</v>
      </c>
      <c r="U163" s="8">
        <f>383903+29462+21039+132616</f>
        <v>567020</v>
      </c>
      <c r="W163" s="8">
        <v>0</v>
      </c>
      <c r="Y163" s="8">
        <v>1405908</v>
      </c>
      <c r="AA163" s="14">
        <f t="shared" si="17"/>
        <v>1972928</v>
      </c>
      <c r="AB163" s="8"/>
      <c r="AC163" s="8">
        <f t="shared" si="15"/>
        <v>0</v>
      </c>
    </row>
    <row r="164" spans="1:31">
      <c r="A164" s="12" t="s">
        <v>563</v>
      </c>
      <c r="B164" s="12"/>
      <c r="C164" s="12" t="s">
        <v>51</v>
      </c>
      <c r="D164" s="12"/>
      <c r="E164" s="32">
        <v>48835</v>
      </c>
      <c r="G164" s="8">
        <v>3192761</v>
      </c>
      <c r="I164" s="8">
        <v>3468</v>
      </c>
      <c r="K164" s="3">
        <f t="shared" si="16"/>
        <v>5627785</v>
      </c>
      <c r="M164" s="8">
        <v>8824014</v>
      </c>
      <c r="O164" s="3">
        <f t="shared" si="18"/>
        <v>1939164</v>
      </c>
      <c r="Q164" s="8">
        <v>4828311</v>
      </c>
      <c r="S164" s="8">
        <v>6767475</v>
      </c>
      <c r="U164" s="8">
        <f>158511+3468+641589</f>
        <v>803568</v>
      </c>
      <c r="W164" s="8">
        <v>0</v>
      </c>
      <c r="Y164" s="8">
        <v>1252971</v>
      </c>
      <c r="AA164" s="14">
        <f t="shared" si="17"/>
        <v>2056539</v>
      </c>
      <c r="AB164" s="8"/>
      <c r="AC164" s="8">
        <f t="shared" si="15"/>
        <v>0</v>
      </c>
    </row>
    <row r="165" spans="1:31">
      <c r="A165" s="12" t="s">
        <v>282</v>
      </c>
      <c r="B165" s="12"/>
      <c r="C165" s="12" t="s">
        <v>114</v>
      </c>
      <c r="D165" s="12"/>
      <c r="E165" s="32">
        <v>43927</v>
      </c>
      <c r="G165" s="8">
        <v>148906</v>
      </c>
      <c r="I165" s="8">
        <v>94581</v>
      </c>
      <c r="K165" s="3">
        <f t="shared" si="16"/>
        <v>2726404</v>
      </c>
      <c r="M165" s="8">
        <v>2969891</v>
      </c>
      <c r="O165" s="3">
        <f t="shared" si="18"/>
        <v>1240290</v>
      </c>
      <c r="Q165" s="8">
        <v>2487039</v>
      </c>
      <c r="S165" s="8">
        <v>3727329</v>
      </c>
      <c r="U165" s="8">
        <f>67531+51945+94581</f>
        <v>214057</v>
      </c>
      <c r="W165" s="8">
        <v>0</v>
      </c>
      <c r="Y165" s="8">
        <v>-971495</v>
      </c>
      <c r="AA165" s="14">
        <f t="shared" si="17"/>
        <v>-757438</v>
      </c>
      <c r="AB165" s="8"/>
      <c r="AC165" s="8">
        <f t="shared" si="15"/>
        <v>0</v>
      </c>
    </row>
    <row r="166" spans="1:31">
      <c r="A166" s="12" t="s">
        <v>237</v>
      </c>
      <c r="B166" s="12"/>
      <c r="C166" s="12" t="s">
        <v>77</v>
      </c>
      <c r="D166" s="12"/>
      <c r="E166" s="32">
        <v>46037</v>
      </c>
      <c r="G166" s="8">
        <v>399399</v>
      </c>
      <c r="I166" s="8">
        <v>162174</v>
      </c>
      <c r="K166" s="3">
        <f t="shared" si="16"/>
        <v>2966185</v>
      </c>
      <c r="M166" s="8">
        <v>3527758</v>
      </c>
      <c r="O166" s="3">
        <f t="shared" si="18"/>
        <v>1440758</v>
      </c>
      <c r="Q166" s="8">
        <v>2383893</v>
      </c>
      <c r="S166" s="8">
        <v>3824651</v>
      </c>
      <c r="U166" s="8">
        <f>29082+573680+51911+73504+36759</f>
        <v>764936</v>
      </c>
      <c r="W166" s="8">
        <v>0</v>
      </c>
      <c r="Y166" s="8">
        <v>-1061829</v>
      </c>
      <c r="AA166" s="14">
        <f t="shared" si="17"/>
        <v>-296893</v>
      </c>
      <c r="AB166" s="8"/>
      <c r="AC166" s="8">
        <f t="shared" si="15"/>
        <v>0</v>
      </c>
    </row>
    <row r="167" spans="1:31">
      <c r="A167" s="12" t="s">
        <v>237</v>
      </c>
      <c r="B167" s="12"/>
      <c r="C167" s="12" t="s">
        <v>531</v>
      </c>
      <c r="D167" s="12"/>
      <c r="E167" s="32">
        <v>48512</v>
      </c>
      <c r="G167" s="8">
        <v>888045</v>
      </c>
      <c r="I167" s="8">
        <v>60519</v>
      </c>
      <c r="K167" s="3">
        <f t="shared" si="16"/>
        <v>1702474</v>
      </c>
      <c r="M167" s="8">
        <v>2651038</v>
      </c>
      <c r="O167" s="3">
        <f t="shared" si="18"/>
        <v>922768</v>
      </c>
      <c r="Q167" s="8">
        <v>1055959</v>
      </c>
      <c r="S167" s="8">
        <v>1978727</v>
      </c>
      <c r="U167" s="8">
        <f>63287+600645+7653+52866</f>
        <v>724451</v>
      </c>
      <c r="W167" s="8">
        <v>0</v>
      </c>
      <c r="Y167" s="8">
        <v>-52140</v>
      </c>
      <c r="AA167" s="14">
        <f t="shared" si="17"/>
        <v>672311</v>
      </c>
      <c r="AB167" s="8"/>
      <c r="AC167" s="8">
        <f t="shared" si="15"/>
        <v>0</v>
      </c>
    </row>
    <row r="168" spans="1:31" hidden="1">
      <c r="A168" s="13" t="s">
        <v>931</v>
      </c>
      <c r="B168" s="12"/>
      <c r="C168" s="12" t="s">
        <v>55</v>
      </c>
      <c r="D168" s="12"/>
      <c r="E168" s="32">
        <v>49122</v>
      </c>
      <c r="G168" s="8">
        <v>1019129</v>
      </c>
      <c r="I168" s="8">
        <v>121672</v>
      </c>
      <c r="K168" s="3">
        <f t="shared" si="16"/>
        <v>0</v>
      </c>
      <c r="M168" s="8">
        <v>1140801</v>
      </c>
      <c r="O168" s="3">
        <f t="shared" si="18"/>
        <v>0</v>
      </c>
      <c r="U168" s="8">
        <f>10453+120176+1496</f>
        <v>132125</v>
      </c>
      <c r="W168" s="8">
        <v>10000</v>
      </c>
      <c r="Y168" s="8">
        <v>998676</v>
      </c>
      <c r="AA168" s="14">
        <f t="shared" si="17"/>
        <v>1140801</v>
      </c>
      <c r="AB168" s="8"/>
      <c r="AC168" s="8">
        <f t="shared" si="15"/>
        <v>0</v>
      </c>
    </row>
    <row r="169" spans="1:31">
      <c r="A169" s="12" t="s">
        <v>734</v>
      </c>
      <c r="B169" s="12"/>
      <c r="C169" s="12" t="s">
        <v>72</v>
      </c>
      <c r="D169" s="12"/>
      <c r="E169" s="32">
        <v>50674</v>
      </c>
      <c r="G169" s="8">
        <v>5343956</v>
      </c>
      <c r="I169" s="8">
        <v>0</v>
      </c>
      <c r="K169" s="3">
        <f t="shared" si="16"/>
        <v>6250181</v>
      </c>
      <c r="M169" s="8">
        <v>11594137</v>
      </c>
      <c r="O169" s="3">
        <f t="shared" si="18"/>
        <v>2146342</v>
      </c>
      <c r="Q169" s="8">
        <v>4437101</v>
      </c>
      <c r="S169" s="8">
        <v>6583443</v>
      </c>
      <c r="U169" s="8">
        <f>93127+136648+115417+606631</f>
        <v>951823</v>
      </c>
      <c r="W169" s="8">
        <v>0</v>
      </c>
      <c r="Y169" s="8">
        <v>4058871</v>
      </c>
      <c r="AA169" s="14">
        <f t="shared" si="17"/>
        <v>5010694</v>
      </c>
      <c r="AB169" s="8"/>
      <c r="AC169" s="8">
        <f t="shared" si="15"/>
        <v>0</v>
      </c>
    </row>
    <row r="170" spans="1:31">
      <c r="A170" s="12" t="s">
        <v>974</v>
      </c>
      <c r="B170" s="12"/>
      <c r="C170" s="12" t="s">
        <v>57</v>
      </c>
      <c r="D170" s="12"/>
      <c r="E170" s="32">
        <v>43935</v>
      </c>
      <c r="G170" s="8">
        <v>7844511</v>
      </c>
      <c r="I170" s="8">
        <v>999189</v>
      </c>
      <c r="K170" s="3">
        <f t="shared" si="16"/>
        <v>8338984</v>
      </c>
      <c r="M170" s="8">
        <v>17182684</v>
      </c>
      <c r="O170" s="3">
        <f t="shared" si="18"/>
        <v>1819027</v>
      </c>
      <c r="Q170" s="8">
        <v>3543213</v>
      </c>
      <c r="S170" s="8">
        <v>5362240</v>
      </c>
      <c r="U170" s="8">
        <f>124679+149553+403660</f>
        <v>677892</v>
      </c>
      <c r="W170" s="8">
        <v>999189</v>
      </c>
      <c r="Y170" s="8">
        <v>10143363</v>
      </c>
      <c r="AA170" s="14">
        <f t="shared" si="17"/>
        <v>11820444</v>
      </c>
      <c r="AB170" s="8"/>
      <c r="AC170" s="8">
        <f t="shared" si="15"/>
        <v>0</v>
      </c>
      <c r="AE170" s="8" t="s">
        <v>956</v>
      </c>
    </row>
    <row r="171" spans="1:31" hidden="1">
      <c r="A171" s="12" t="s">
        <v>932</v>
      </c>
      <c r="B171" s="12"/>
      <c r="C171" s="12" t="s">
        <v>727</v>
      </c>
      <c r="D171" s="12"/>
      <c r="E171" s="32">
        <v>50617</v>
      </c>
      <c r="G171" s="8">
        <v>1603159</v>
      </c>
      <c r="K171" s="3">
        <f t="shared" si="16"/>
        <v>0</v>
      </c>
      <c r="M171" s="8">
        <v>1603159</v>
      </c>
      <c r="O171" s="3">
        <f t="shared" si="18"/>
        <v>0</v>
      </c>
      <c r="U171" s="8">
        <v>122201</v>
      </c>
      <c r="Y171" s="8">
        <v>1480958</v>
      </c>
      <c r="AA171" s="14">
        <f t="shared" si="17"/>
        <v>1603159</v>
      </c>
      <c r="AB171" s="8"/>
      <c r="AC171" s="8">
        <f t="shared" si="15"/>
        <v>0</v>
      </c>
    </row>
    <row r="172" spans="1:31">
      <c r="A172" s="12" t="s">
        <v>241</v>
      </c>
      <c r="B172" s="12"/>
      <c r="C172" s="12" t="s">
        <v>242</v>
      </c>
      <c r="D172" s="12"/>
      <c r="E172" s="32">
        <v>46094</v>
      </c>
      <c r="G172" s="8">
        <v>4019164</v>
      </c>
      <c r="I172" s="8">
        <v>123223</v>
      </c>
      <c r="K172" s="3">
        <f t="shared" si="16"/>
        <v>14143695</v>
      </c>
      <c r="M172" s="8">
        <v>18286082</v>
      </c>
      <c r="O172" s="3">
        <f t="shared" si="18"/>
        <v>16797215</v>
      </c>
      <c r="Q172" s="8">
        <v>205896</v>
      </c>
      <c r="S172" s="8">
        <v>17003111</v>
      </c>
      <c r="U172" s="8">
        <f>60758+123223+440000+5535</f>
        <v>629516</v>
      </c>
      <c r="W172" s="8">
        <v>0</v>
      </c>
      <c r="Y172" s="8">
        <v>653455</v>
      </c>
      <c r="AA172" s="14">
        <f t="shared" si="17"/>
        <v>1282971</v>
      </c>
      <c r="AB172" s="8"/>
      <c r="AC172" s="8">
        <f t="shared" si="15"/>
        <v>0</v>
      </c>
    </row>
    <row r="173" spans="1:31">
      <c r="A173" s="12" t="s">
        <v>450</v>
      </c>
      <c r="B173" s="12"/>
      <c r="C173" s="12" t="s">
        <v>39</v>
      </c>
      <c r="D173" s="12"/>
      <c r="E173" s="32">
        <v>47795</v>
      </c>
      <c r="G173" s="8">
        <v>825094</v>
      </c>
      <c r="I173" s="8">
        <v>147123</v>
      </c>
      <c r="K173" s="3">
        <f t="shared" si="16"/>
        <v>9124238</v>
      </c>
      <c r="M173" s="8">
        <v>10096455</v>
      </c>
      <c r="O173" s="3">
        <f t="shared" si="18"/>
        <v>9868511</v>
      </c>
      <c r="Q173" s="8">
        <v>604807</v>
      </c>
      <c r="S173" s="8">
        <v>10473318</v>
      </c>
      <c r="U173" s="8">
        <f>231561+13175+346274+106154+40969</f>
        <v>738133</v>
      </c>
      <c r="W173" s="8">
        <v>0</v>
      </c>
      <c r="Y173" s="8">
        <v>-1114996</v>
      </c>
      <c r="AA173" s="14">
        <f t="shared" si="17"/>
        <v>-376863</v>
      </c>
      <c r="AB173" s="8"/>
      <c r="AC173" s="8">
        <f t="shared" si="15"/>
        <v>0</v>
      </c>
    </row>
    <row r="174" spans="1:31" s="35" customFormat="1">
      <c r="A174" s="34" t="s">
        <v>729</v>
      </c>
      <c r="B174" s="34"/>
      <c r="C174" s="34" t="s">
        <v>727</v>
      </c>
      <c r="D174" s="34"/>
      <c r="E174" s="32">
        <v>50625</v>
      </c>
      <c r="G174" s="8">
        <v>2503548</v>
      </c>
      <c r="H174" s="8"/>
      <c r="I174" s="8">
        <v>0</v>
      </c>
      <c r="J174" s="8"/>
      <c r="K174" s="3">
        <f t="shared" si="16"/>
        <v>1503413</v>
      </c>
      <c r="L174" s="8"/>
      <c r="M174" s="8">
        <v>4006961</v>
      </c>
      <c r="N174" s="8"/>
      <c r="O174" s="3">
        <f t="shared" si="18"/>
        <v>645134</v>
      </c>
      <c r="P174" s="8"/>
      <c r="Q174" s="8">
        <v>1380261</v>
      </c>
      <c r="R174" s="8"/>
      <c r="S174" s="8">
        <v>2025395</v>
      </c>
      <c r="T174" s="8"/>
      <c r="U174" s="8">
        <f>1791+16613+99728</f>
        <v>118132</v>
      </c>
      <c r="V174" s="8"/>
      <c r="W174" s="8">
        <v>0</v>
      </c>
      <c r="X174" s="8"/>
      <c r="Y174" s="8">
        <v>1863434</v>
      </c>
      <c r="Z174" s="8"/>
      <c r="AA174" s="14">
        <f t="shared" si="17"/>
        <v>1981566</v>
      </c>
      <c r="AB174" s="8"/>
      <c r="AC174" s="8">
        <f t="shared" si="15"/>
        <v>0</v>
      </c>
    </row>
    <row r="175" spans="1:31" s="35" customFormat="1" hidden="1">
      <c r="A175" s="13" t="s">
        <v>934</v>
      </c>
      <c r="B175" s="13"/>
      <c r="C175" s="13" t="s">
        <v>10</v>
      </c>
      <c r="D175" s="34"/>
      <c r="E175" s="32"/>
      <c r="G175" s="8">
        <v>3920944</v>
      </c>
      <c r="H175" s="8"/>
      <c r="I175" s="8">
        <v>289094</v>
      </c>
      <c r="J175" s="8"/>
      <c r="K175" s="3">
        <f t="shared" si="16"/>
        <v>-81079</v>
      </c>
      <c r="L175" s="8"/>
      <c r="M175" s="8">
        <v>4128959</v>
      </c>
      <c r="N175" s="8"/>
      <c r="O175" s="3">
        <f t="shared" si="18"/>
        <v>0</v>
      </c>
      <c r="P175" s="8"/>
      <c r="Q175" s="8"/>
      <c r="R175" s="8"/>
      <c r="S175" s="8"/>
      <c r="T175" s="8"/>
      <c r="U175" s="8">
        <f>176881+32334+1399+255361</f>
        <v>465975</v>
      </c>
      <c r="V175" s="8"/>
      <c r="W175" s="8"/>
      <c r="X175" s="8"/>
      <c r="Y175" s="8">
        <v>3662984</v>
      </c>
      <c r="Z175" s="8"/>
      <c r="AA175" s="14">
        <f t="shared" si="17"/>
        <v>4128959</v>
      </c>
      <c r="AB175" s="8"/>
      <c r="AC175" s="8">
        <f t="shared" si="15"/>
        <v>0</v>
      </c>
    </row>
    <row r="176" spans="1:31" s="8" customFormat="1">
      <c r="A176" s="12" t="s">
        <v>977</v>
      </c>
      <c r="B176" s="13"/>
      <c r="C176" s="13" t="s">
        <v>46</v>
      </c>
      <c r="D176" s="13"/>
      <c r="E176" s="13">
        <v>48413</v>
      </c>
      <c r="G176" s="8">
        <v>480801</v>
      </c>
      <c r="I176" s="8">
        <v>34423</v>
      </c>
      <c r="K176" s="3">
        <f t="shared" si="16"/>
        <v>4188893</v>
      </c>
      <c r="M176" s="8">
        <v>4704117</v>
      </c>
      <c r="O176" s="3">
        <f t="shared" si="18"/>
        <v>1487525</v>
      </c>
      <c r="Q176" s="8">
        <v>2921078</v>
      </c>
      <c r="S176" s="8">
        <v>4408603</v>
      </c>
      <c r="U176" s="8">
        <f>1045102+8731+25692+31435</f>
        <v>1110960</v>
      </c>
      <c r="W176" s="8">
        <f>76925+230</f>
        <v>77155</v>
      </c>
      <c r="Y176" s="8">
        <v>-892601</v>
      </c>
      <c r="AA176" s="14">
        <f>+Y176+W176++U176</f>
        <v>295514</v>
      </c>
      <c r="AC176" s="8">
        <f t="shared" si="15"/>
        <v>0</v>
      </c>
    </row>
    <row r="177" spans="1:31" s="8" customFormat="1" hidden="1">
      <c r="A177" s="12" t="s">
        <v>1020</v>
      </c>
      <c r="B177" s="13"/>
      <c r="C177" s="13" t="s">
        <v>72</v>
      </c>
      <c r="D177" s="13"/>
      <c r="E177" s="13"/>
      <c r="K177" s="3"/>
      <c r="O177" s="3"/>
      <c r="AA177" s="14"/>
      <c r="AE177" s="8" t="s">
        <v>967</v>
      </c>
    </row>
    <row r="178" spans="1:31">
      <c r="A178" s="12" t="s">
        <v>487</v>
      </c>
      <c r="B178" s="12"/>
      <c r="C178" s="12" t="s">
        <v>44</v>
      </c>
      <c r="D178" s="12"/>
      <c r="E178" s="32">
        <v>43943</v>
      </c>
      <c r="G178" s="8">
        <v>4275018</v>
      </c>
      <c r="I178" s="8">
        <v>137471</v>
      </c>
      <c r="K178" s="3">
        <f t="shared" si="16"/>
        <v>29514043</v>
      </c>
      <c r="M178" s="8">
        <v>33926532</v>
      </c>
      <c r="O178" s="3">
        <f t="shared" si="18"/>
        <v>7865760</v>
      </c>
      <c r="Q178" s="8">
        <v>27600602</v>
      </c>
      <c r="S178" s="8">
        <v>35466362</v>
      </c>
      <c r="U178" s="8">
        <f>502052+1503246+137471</f>
        <v>2142769</v>
      </c>
      <c r="W178" s="8">
        <v>0</v>
      </c>
      <c r="Y178" s="8">
        <v>-3682599</v>
      </c>
      <c r="AA178" s="14">
        <f t="shared" ref="AA178:AA226" si="19">+Y178+W178++U178</f>
        <v>-1539830</v>
      </c>
      <c r="AB178" s="8"/>
      <c r="AC178" s="8">
        <f t="shared" si="15"/>
        <v>0</v>
      </c>
    </row>
    <row r="179" spans="1:31">
      <c r="A179" s="12" t="s">
        <v>306</v>
      </c>
      <c r="B179" s="12"/>
      <c r="C179" s="12" t="s">
        <v>20</v>
      </c>
      <c r="D179" s="12"/>
      <c r="E179" s="32">
        <v>43950</v>
      </c>
      <c r="G179" s="8">
        <v>4274969</v>
      </c>
      <c r="I179" s="8">
        <v>1276135</v>
      </c>
      <c r="K179" s="3">
        <f t="shared" ref="K179:K224" si="20">+M179-I179-G179</f>
        <v>43788674</v>
      </c>
      <c r="M179" s="8">
        <v>49339778</v>
      </c>
      <c r="O179" s="3">
        <f t="shared" ref="O179:O224" si="21">+S179-Q179</f>
        <v>7137320</v>
      </c>
      <c r="Q179" s="8">
        <v>32483880</v>
      </c>
      <c r="S179" s="8">
        <v>39621200</v>
      </c>
      <c r="U179" s="8">
        <f>557498+107828+81364+1276135+5688406</f>
        <v>7711231</v>
      </c>
      <c r="W179" s="8">
        <v>0</v>
      </c>
      <c r="Y179" s="8">
        <v>2007347</v>
      </c>
      <c r="AA179" s="14">
        <f t="shared" si="19"/>
        <v>9718578</v>
      </c>
      <c r="AB179" s="8"/>
      <c r="AC179" s="8">
        <f t="shared" si="15"/>
        <v>0</v>
      </c>
    </row>
    <row r="180" spans="1:31" hidden="1">
      <c r="A180" s="13" t="s">
        <v>840</v>
      </c>
      <c r="B180" s="12"/>
      <c r="C180" s="12" t="s">
        <v>28</v>
      </c>
      <c r="D180" s="12"/>
      <c r="E180" s="32">
        <v>47050</v>
      </c>
      <c r="G180" s="8">
        <v>3948655</v>
      </c>
      <c r="K180" s="3">
        <f t="shared" si="20"/>
        <v>0</v>
      </c>
      <c r="M180" s="8">
        <v>3948655</v>
      </c>
      <c r="O180" s="3">
        <f t="shared" si="21"/>
        <v>0</v>
      </c>
      <c r="U180" s="8">
        <v>102151</v>
      </c>
      <c r="Y180" s="8">
        <v>3846504</v>
      </c>
      <c r="AA180" s="14">
        <f t="shared" si="19"/>
        <v>3948655</v>
      </c>
      <c r="AB180" s="8"/>
      <c r="AC180" s="8">
        <f t="shared" ref="AC180:AC226" si="22">+G180+I180+K180-O180-Q180-Y180-W180-U180</f>
        <v>0</v>
      </c>
    </row>
    <row r="181" spans="1:31">
      <c r="A181" s="12" t="s">
        <v>702</v>
      </c>
      <c r="B181" s="12"/>
      <c r="C181" s="12" t="s">
        <v>66</v>
      </c>
      <c r="D181" s="12"/>
      <c r="E181" s="32">
        <v>50328</v>
      </c>
      <c r="G181" s="8">
        <v>2009503</v>
      </c>
      <c r="I181" s="8">
        <v>87102</v>
      </c>
      <c r="K181" s="3">
        <f t="shared" si="20"/>
        <v>5413796</v>
      </c>
      <c r="M181" s="8">
        <v>7510401</v>
      </c>
      <c r="O181" s="3">
        <f t="shared" si="21"/>
        <v>5381582</v>
      </c>
      <c r="Q181" s="8">
        <v>53077</v>
      </c>
      <c r="S181" s="8">
        <v>5434659</v>
      </c>
      <c r="U181" s="8">
        <f>56510+604690+87102</f>
        <v>748302</v>
      </c>
      <c r="W181" s="8">
        <v>0</v>
      </c>
      <c r="Y181" s="8">
        <v>1327440</v>
      </c>
      <c r="AA181" s="14">
        <f t="shared" si="19"/>
        <v>2075742</v>
      </c>
      <c r="AB181" s="8"/>
      <c r="AC181" s="8">
        <f t="shared" si="22"/>
        <v>0</v>
      </c>
    </row>
    <row r="182" spans="1:31">
      <c r="A182" s="12" t="s">
        <v>851</v>
      </c>
      <c r="B182" s="12"/>
      <c r="C182" s="12" t="s">
        <v>116</v>
      </c>
      <c r="D182" s="12"/>
      <c r="E182" s="32">
        <v>46102</v>
      </c>
      <c r="G182" s="8">
        <v>4396466</v>
      </c>
      <c r="I182" s="8">
        <v>974869</v>
      </c>
      <c r="K182" s="3">
        <f>+M182-I182-G182</f>
        <v>17438763</v>
      </c>
      <c r="M182" s="8">
        <v>22810098</v>
      </c>
      <c r="O182" s="3">
        <f>+S182-Q182</f>
        <v>5061176</v>
      </c>
      <c r="Q182" s="8">
        <v>15122945</v>
      </c>
      <c r="S182" s="8">
        <v>20184121</v>
      </c>
      <c r="U182" s="8">
        <f>255825+6165+983842+911083</f>
        <v>2156915</v>
      </c>
      <c r="W182" s="8">
        <v>0</v>
      </c>
      <c r="Y182" s="8">
        <v>469062</v>
      </c>
      <c r="AA182" s="14">
        <f>+Y182+W182++U182</f>
        <v>2625977</v>
      </c>
      <c r="AB182" s="8"/>
      <c r="AC182" s="8">
        <f>+G182+I182+K182-O182-Q182-Y182-W182-U182</f>
        <v>0</v>
      </c>
    </row>
    <row r="183" spans="1:31">
      <c r="A183" s="12" t="s">
        <v>243</v>
      </c>
      <c r="B183" s="12"/>
      <c r="C183" s="12" t="s">
        <v>242</v>
      </c>
      <c r="D183" s="12"/>
      <c r="E183" s="32">
        <v>46102</v>
      </c>
      <c r="G183" s="8">
        <v>16350816</v>
      </c>
      <c r="I183" s="8">
        <v>203843</v>
      </c>
      <c r="K183" s="3">
        <f t="shared" si="20"/>
        <v>49805368</v>
      </c>
      <c r="M183" s="8">
        <v>66360027</v>
      </c>
      <c r="O183" s="3">
        <f t="shared" si="21"/>
        <v>9479017</v>
      </c>
      <c r="Q183" s="8">
        <v>47343151</v>
      </c>
      <c r="S183" s="8">
        <v>56822168</v>
      </c>
      <c r="U183" s="8">
        <f>690544+1250618+203843</f>
        <v>2145005</v>
      </c>
      <c r="W183" s="8">
        <v>0</v>
      </c>
      <c r="Y183" s="8">
        <v>7392854</v>
      </c>
      <c r="AA183" s="14">
        <f t="shared" si="19"/>
        <v>9537859</v>
      </c>
      <c r="AB183" s="8"/>
      <c r="AC183" s="8">
        <f t="shared" si="22"/>
        <v>0</v>
      </c>
    </row>
    <row r="184" spans="1:31">
      <c r="A184" s="12" t="s">
        <v>436</v>
      </c>
      <c r="B184" s="12"/>
      <c r="C184" s="12" t="s">
        <v>435</v>
      </c>
      <c r="D184" s="12"/>
      <c r="E184" s="32">
        <v>47621</v>
      </c>
      <c r="G184" s="8">
        <v>1380051</v>
      </c>
      <c r="I184" s="8">
        <v>0</v>
      </c>
      <c r="K184" s="3">
        <f t="shared" si="20"/>
        <v>1492997</v>
      </c>
      <c r="M184" s="8">
        <v>2873048</v>
      </c>
      <c r="O184" s="3">
        <f t="shared" si="21"/>
        <v>1221363</v>
      </c>
      <c r="Q184" s="8">
        <v>1394541</v>
      </c>
      <c r="S184" s="8">
        <v>2615904</v>
      </c>
      <c r="U184" s="8">
        <f>330885+47000+51456</f>
        <v>429341</v>
      </c>
      <c r="W184" s="8">
        <v>0</v>
      </c>
      <c r="Y184" s="8">
        <v>-172197</v>
      </c>
      <c r="AA184" s="14">
        <f t="shared" si="19"/>
        <v>257144</v>
      </c>
      <c r="AB184" s="8"/>
      <c r="AC184" s="8">
        <f t="shared" si="22"/>
        <v>0</v>
      </c>
    </row>
    <row r="185" spans="1:31">
      <c r="A185" s="12" t="s">
        <v>346</v>
      </c>
      <c r="B185" s="12"/>
      <c r="C185" s="12" t="s">
        <v>25</v>
      </c>
      <c r="D185" s="12"/>
      <c r="E185" s="32">
        <v>46870</v>
      </c>
      <c r="G185" s="8">
        <v>3161292</v>
      </c>
      <c r="I185" s="8">
        <v>0</v>
      </c>
      <c r="K185" s="3">
        <f t="shared" si="20"/>
        <v>5792555</v>
      </c>
      <c r="M185" s="8">
        <v>8953847</v>
      </c>
      <c r="O185" s="3">
        <f t="shared" si="21"/>
        <v>2049351</v>
      </c>
      <c r="Q185" s="8">
        <v>3323704</v>
      </c>
      <c r="S185" s="8">
        <v>5373055</v>
      </c>
      <c r="U185" s="8">
        <f>149413+507373</f>
        <v>656786</v>
      </c>
      <c r="W185" s="8">
        <v>0</v>
      </c>
      <c r="Y185" s="8">
        <v>2924006</v>
      </c>
      <c r="AA185" s="14">
        <f t="shared" si="19"/>
        <v>3580792</v>
      </c>
      <c r="AB185" s="8"/>
      <c r="AC185" s="8">
        <f t="shared" si="22"/>
        <v>0</v>
      </c>
    </row>
    <row r="186" spans="1:31">
      <c r="A186" s="12" t="s">
        <v>468</v>
      </c>
      <c r="B186" s="12"/>
      <c r="C186" s="12" t="s">
        <v>466</v>
      </c>
      <c r="D186" s="12"/>
      <c r="E186" s="32">
        <v>47936</v>
      </c>
      <c r="G186" s="8">
        <v>4342529</v>
      </c>
      <c r="I186" s="8">
        <v>43460</v>
      </c>
      <c r="K186" s="3">
        <f t="shared" si="20"/>
        <v>2893025</v>
      </c>
      <c r="M186" s="8">
        <v>7279014</v>
      </c>
      <c r="O186" s="3">
        <f t="shared" si="21"/>
        <v>1844416</v>
      </c>
      <c r="Q186" s="8">
        <v>2380759</v>
      </c>
      <c r="S186" s="8">
        <v>4225175</v>
      </c>
      <c r="U186" s="8">
        <f>46716+459129+43460</f>
        <v>549305</v>
      </c>
      <c r="W186" s="8">
        <v>58859</v>
      </c>
      <c r="Y186" s="8">
        <v>2445675</v>
      </c>
      <c r="AA186" s="14">
        <f t="shared" si="19"/>
        <v>3053839</v>
      </c>
      <c r="AB186" s="8"/>
      <c r="AC186" s="8">
        <f t="shared" si="22"/>
        <v>0</v>
      </c>
    </row>
    <row r="187" spans="1:31" hidden="1">
      <c r="A187" s="12" t="s">
        <v>841</v>
      </c>
      <c r="B187" s="12"/>
      <c r="C187" s="12" t="s">
        <v>61</v>
      </c>
      <c r="D187" s="12"/>
      <c r="E187" s="32">
        <v>49775</v>
      </c>
      <c r="G187" s="8">
        <v>2171775</v>
      </c>
      <c r="K187" s="3">
        <f t="shared" si="20"/>
        <v>0</v>
      </c>
      <c r="M187" s="8">
        <v>2171775</v>
      </c>
      <c r="O187" s="3">
        <f t="shared" si="21"/>
        <v>0</v>
      </c>
      <c r="U187" s="8">
        <v>65153</v>
      </c>
      <c r="Y187" s="8">
        <v>2106622</v>
      </c>
      <c r="AA187" s="14">
        <f t="shared" si="19"/>
        <v>2171775</v>
      </c>
      <c r="AB187" s="8"/>
      <c r="AC187" s="8">
        <f t="shared" si="22"/>
        <v>0</v>
      </c>
    </row>
    <row r="188" spans="1:31">
      <c r="A188" s="12" t="s">
        <v>651</v>
      </c>
      <c r="B188" s="12"/>
      <c r="C188" s="12" t="s">
        <v>62</v>
      </c>
      <c r="D188" s="12"/>
      <c r="E188" s="32">
        <v>49841</v>
      </c>
      <c r="G188" s="8">
        <v>3174057</v>
      </c>
      <c r="I188" s="8">
        <v>8504</v>
      </c>
      <c r="K188" s="3">
        <f t="shared" si="20"/>
        <v>5960885</v>
      </c>
      <c r="M188" s="8">
        <v>9143446</v>
      </c>
      <c r="O188" s="3">
        <f t="shared" si="21"/>
        <v>7128043</v>
      </c>
      <c r="Q188" s="8">
        <v>987750</v>
      </c>
      <c r="S188" s="8">
        <v>8115793</v>
      </c>
      <c r="U188" s="8">
        <f>304397+352550+9747+8504</f>
        <v>675198</v>
      </c>
      <c r="W188" s="8">
        <v>0</v>
      </c>
      <c r="Y188" s="8">
        <v>352455</v>
      </c>
      <c r="AA188" s="14">
        <f t="shared" si="19"/>
        <v>1027653</v>
      </c>
      <c r="AB188" s="8"/>
      <c r="AC188" s="8">
        <f t="shared" si="22"/>
        <v>0</v>
      </c>
    </row>
    <row r="189" spans="1:31" hidden="1">
      <c r="A189" s="91" t="s">
        <v>972</v>
      </c>
      <c r="B189" s="12"/>
      <c r="C189" s="12" t="s">
        <v>41</v>
      </c>
      <c r="D189" s="12"/>
      <c r="E189" s="32">
        <v>45369</v>
      </c>
      <c r="K189" s="3">
        <f t="shared" si="20"/>
        <v>0</v>
      </c>
      <c r="O189" s="3">
        <f t="shared" si="21"/>
        <v>0</v>
      </c>
      <c r="AA189" s="14">
        <f t="shared" si="19"/>
        <v>0</v>
      </c>
      <c r="AB189" s="8"/>
      <c r="AC189" s="8">
        <f t="shared" si="22"/>
        <v>0</v>
      </c>
    </row>
    <row r="190" spans="1:31">
      <c r="A190" s="12" t="s">
        <v>307</v>
      </c>
      <c r="B190" s="12"/>
      <c r="C190" s="12" t="s">
        <v>20</v>
      </c>
      <c r="D190" s="12"/>
      <c r="E190" s="32">
        <v>43976</v>
      </c>
      <c r="G190" s="8">
        <v>10885413</v>
      </c>
      <c r="I190" s="8">
        <v>364682</v>
      </c>
      <c r="K190" s="3">
        <f t="shared" si="20"/>
        <v>16690199</v>
      </c>
      <c r="M190" s="8">
        <v>27940294</v>
      </c>
      <c r="O190" s="3">
        <f t="shared" si="21"/>
        <v>1844582</v>
      </c>
      <c r="Q190" s="8">
        <v>13939219</v>
      </c>
      <c r="S190" s="8">
        <v>15783801</v>
      </c>
      <c r="U190" s="8">
        <f>286108+5773+2433005+364682</f>
        <v>3089568</v>
      </c>
      <c r="W190" s="8">
        <v>0</v>
      </c>
      <c r="Y190" s="8">
        <v>9066925</v>
      </c>
      <c r="AA190" s="14">
        <f t="shared" si="19"/>
        <v>12156493</v>
      </c>
      <c r="AB190" s="8"/>
      <c r="AC190" s="8">
        <f t="shared" si="22"/>
        <v>0</v>
      </c>
    </row>
    <row r="191" spans="1:31">
      <c r="A191" s="12" t="s">
        <v>936</v>
      </c>
      <c r="B191" s="12"/>
      <c r="C191" s="12" t="s">
        <v>28</v>
      </c>
      <c r="D191" s="12"/>
      <c r="E191" s="32"/>
      <c r="G191" s="8">
        <v>1553593</v>
      </c>
      <c r="I191" s="8">
        <v>0</v>
      </c>
      <c r="K191" s="3">
        <f t="shared" si="20"/>
        <v>1453243</v>
      </c>
      <c r="M191" s="8">
        <v>3006836</v>
      </c>
      <c r="O191" s="3">
        <f t="shared" si="21"/>
        <v>539638</v>
      </c>
      <c r="Q191" s="8">
        <v>1152529</v>
      </c>
      <c r="S191" s="8">
        <v>1692167</v>
      </c>
      <c r="U191" s="8">
        <f>79015+13344+29488</f>
        <v>121847</v>
      </c>
      <c r="W191" s="8">
        <v>0</v>
      </c>
      <c r="Y191" s="8">
        <v>1192822</v>
      </c>
      <c r="AA191" s="14">
        <f t="shared" si="19"/>
        <v>1314669</v>
      </c>
      <c r="AB191" s="8"/>
      <c r="AC191" s="8">
        <f t="shared" si="22"/>
        <v>0</v>
      </c>
    </row>
    <row r="192" spans="1:31">
      <c r="A192" s="12" t="s">
        <v>238</v>
      </c>
      <c r="B192" s="12"/>
      <c r="C192" s="12" t="s">
        <v>77</v>
      </c>
      <c r="D192" s="12"/>
      <c r="E192" s="32">
        <v>46045</v>
      </c>
      <c r="G192" s="8">
        <v>1718936</v>
      </c>
      <c r="I192" s="8">
        <v>9257</v>
      </c>
      <c r="K192" s="3">
        <f t="shared" si="20"/>
        <v>1712653</v>
      </c>
      <c r="M192" s="8">
        <v>3440846</v>
      </c>
      <c r="O192" s="3">
        <f t="shared" si="21"/>
        <v>940787</v>
      </c>
      <c r="Q192" s="8">
        <v>1261518</v>
      </c>
      <c r="S192" s="8">
        <v>2202305</v>
      </c>
      <c r="U192" s="8">
        <f>88175+444500+9257</f>
        <v>541932</v>
      </c>
      <c r="W192" s="8">
        <v>0</v>
      </c>
      <c r="Y192" s="8">
        <v>696609</v>
      </c>
      <c r="AA192" s="14">
        <f t="shared" si="19"/>
        <v>1238541</v>
      </c>
      <c r="AB192" s="8"/>
      <c r="AC192" s="8">
        <f t="shared" si="22"/>
        <v>0</v>
      </c>
    </row>
    <row r="193" spans="1:29">
      <c r="A193" s="13" t="s">
        <v>937</v>
      </c>
      <c r="B193" s="13"/>
      <c r="C193" s="13" t="s">
        <v>13</v>
      </c>
      <c r="D193" s="12"/>
      <c r="E193" s="32"/>
      <c r="G193" s="8">
        <v>1170119</v>
      </c>
      <c r="I193" s="8">
        <v>26588</v>
      </c>
      <c r="K193" s="3">
        <f t="shared" si="20"/>
        <v>2343737</v>
      </c>
      <c r="M193" s="8">
        <v>3540444</v>
      </c>
      <c r="O193" s="3">
        <f t="shared" si="21"/>
        <v>1181649</v>
      </c>
      <c r="Q193" s="8">
        <v>1946417</v>
      </c>
      <c r="S193" s="8">
        <v>3128066</v>
      </c>
      <c r="U193" s="8">
        <f>43760+249286+26588</f>
        <v>319634</v>
      </c>
      <c r="W193" s="8">
        <v>0</v>
      </c>
      <c r="Y193" s="8">
        <v>92744</v>
      </c>
      <c r="AA193" s="14">
        <f t="shared" si="19"/>
        <v>412378</v>
      </c>
      <c r="AB193" s="8"/>
      <c r="AC193" s="8">
        <f t="shared" si="22"/>
        <v>0</v>
      </c>
    </row>
    <row r="194" spans="1:29">
      <c r="A194" s="12" t="s">
        <v>268</v>
      </c>
      <c r="B194" s="12"/>
      <c r="C194" s="12" t="s">
        <v>115</v>
      </c>
      <c r="D194" s="12"/>
      <c r="E194" s="32">
        <v>46334</v>
      </c>
      <c r="G194" s="8">
        <v>835533</v>
      </c>
      <c r="I194" s="8">
        <v>0</v>
      </c>
      <c r="K194" s="3">
        <f t="shared" si="20"/>
        <v>1683004</v>
      </c>
      <c r="M194" s="8">
        <v>2518537</v>
      </c>
      <c r="O194" s="3">
        <f t="shared" si="21"/>
        <v>1056745</v>
      </c>
      <c r="Q194" s="8">
        <v>1561310</v>
      </c>
      <c r="S194" s="8">
        <v>2618055</v>
      </c>
      <c r="U194" s="8">
        <f>101416+82178+88000+28364</f>
        <v>299958</v>
      </c>
      <c r="W194" s="8">
        <v>30437</v>
      </c>
      <c r="Y194" s="8">
        <v>-429913</v>
      </c>
      <c r="AA194" s="14">
        <f t="shared" si="19"/>
        <v>-99518</v>
      </c>
      <c r="AB194" s="8"/>
      <c r="AC194" s="8">
        <f t="shared" si="22"/>
        <v>0</v>
      </c>
    </row>
    <row r="195" spans="1:29">
      <c r="A195" s="12" t="s">
        <v>1054</v>
      </c>
      <c r="B195" s="12"/>
      <c r="C195" s="12" t="s">
        <v>56</v>
      </c>
      <c r="D195" s="12"/>
      <c r="E195" s="32">
        <v>49197</v>
      </c>
      <c r="G195" s="8">
        <v>171342</v>
      </c>
      <c r="I195" s="8">
        <v>0</v>
      </c>
      <c r="K195" s="3">
        <f t="shared" si="20"/>
        <v>9367511</v>
      </c>
      <c r="M195" s="8">
        <v>9538853</v>
      </c>
      <c r="O195" s="3">
        <f t="shared" si="21"/>
        <v>1820767</v>
      </c>
      <c r="Q195" s="8">
        <v>7892472</v>
      </c>
      <c r="S195" s="8">
        <v>9713239</v>
      </c>
      <c r="U195" s="8">
        <f>54832+894953+568401</f>
        <v>1518186</v>
      </c>
      <c r="W195" s="8">
        <v>0</v>
      </c>
      <c r="Y195" s="8">
        <v>-1692572</v>
      </c>
      <c r="AA195" s="14">
        <f t="shared" si="19"/>
        <v>-174386</v>
      </c>
      <c r="AB195" s="8"/>
      <c r="AC195" s="8">
        <f t="shared" si="22"/>
        <v>0</v>
      </c>
    </row>
    <row r="196" spans="1:29">
      <c r="A196" s="12" t="s">
        <v>416</v>
      </c>
      <c r="B196" s="12"/>
      <c r="C196" s="12" t="s">
        <v>33</v>
      </c>
      <c r="D196" s="12"/>
      <c r="E196" s="32">
        <v>43984</v>
      </c>
      <c r="G196" s="8">
        <v>10825955</v>
      </c>
      <c r="I196" s="8">
        <v>63923</v>
      </c>
      <c r="K196" s="3">
        <f t="shared" si="20"/>
        <v>34157833</v>
      </c>
      <c r="M196" s="8">
        <v>45047711</v>
      </c>
      <c r="O196" s="3">
        <f t="shared" si="21"/>
        <v>36508708</v>
      </c>
      <c r="Q196" s="8">
        <v>2540943</v>
      </c>
      <c r="S196" s="8">
        <v>39049651</v>
      </c>
      <c r="U196" s="8">
        <f>1140272+55811+1391170+94737+63923</f>
        <v>2745913</v>
      </c>
      <c r="W196" s="8">
        <v>0</v>
      </c>
      <c r="Y196" s="8">
        <v>3252147</v>
      </c>
      <c r="AA196" s="14">
        <f t="shared" si="19"/>
        <v>5998060</v>
      </c>
      <c r="AB196" s="8"/>
      <c r="AC196" s="8">
        <f t="shared" si="22"/>
        <v>0</v>
      </c>
    </row>
    <row r="197" spans="1:29">
      <c r="A197" s="12" t="s">
        <v>393</v>
      </c>
      <c r="B197" s="12"/>
      <c r="C197" s="12" t="s">
        <v>32</v>
      </c>
      <c r="D197" s="12"/>
      <c r="E197" s="32">
        <v>47332</v>
      </c>
      <c r="G197" s="8">
        <v>2345673</v>
      </c>
      <c r="I197" s="8">
        <v>0</v>
      </c>
      <c r="K197" s="3">
        <f t="shared" si="20"/>
        <v>9176390</v>
      </c>
      <c r="M197" s="8">
        <v>11522063</v>
      </c>
      <c r="O197" s="3">
        <f t="shared" si="21"/>
        <v>3000345</v>
      </c>
      <c r="Q197" s="8">
        <v>5890450</v>
      </c>
      <c r="S197" s="8">
        <v>8890795</v>
      </c>
      <c r="U197" s="8">
        <f>158543+3281721</f>
        <v>3440264</v>
      </c>
      <c r="W197" s="8">
        <v>0</v>
      </c>
      <c r="Y197" s="8">
        <v>-808996</v>
      </c>
      <c r="AA197" s="14">
        <f t="shared" si="19"/>
        <v>2631268</v>
      </c>
      <c r="AB197" s="8"/>
      <c r="AC197" s="8">
        <f t="shared" si="22"/>
        <v>0</v>
      </c>
    </row>
    <row r="198" spans="1:29">
      <c r="A198" s="12" t="s">
        <v>488</v>
      </c>
      <c r="B198" s="12"/>
      <c r="C198" s="12" t="s">
        <v>44</v>
      </c>
      <c r="D198" s="12"/>
      <c r="E198" s="32">
        <v>48157</v>
      </c>
      <c r="G198" s="8">
        <v>3191287</v>
      </c>
      <c r="I198" s="8">
        <v>782</v>
      </c>
      <c r="K198" s="3">
        <f t="shared" si="20"/>
        <v>6487442</v>
      </c>
      <c r="M198" s="8">
        <v>9679511</v>
      </c>
      <c r="O198" s="3">
        <f t="shared" si="21"/>
        <v>7791751</v>
      </c>
      <c r="Q198" s="8">
        <v>165496</v>
      </c>
      <c r="S198" s="8">
        <v>7957247</v>
      </c>
      <c r="U198" s="8">
        <f>10531+455619+22515+782</f>
        <v>489447</v>
      </c>
      <c r="W198" s="8">
        <v>0</v>
      </c>
      <c r="Y198" s="8">
        <v>1232817</v>
      </c>
      <c r="AA198" s="14">
        <f t="shared" si="19"/>
        <v>1722264</v>
      </c>
      <c r="AB198" s="8"/>
      <c r="AC198" s="8">
        <f t="shared" si="22"/>
        <v>0</v>
      </c>
    </row>
    <row r="199" spans="1:29">
      <c r="A199" s="12" t="s">
        <v>394</v>
      </c>
      <c r="B199" s="12"/>
      <c r="C199" s="12" t="s">
        <v>32</v>
      </c>
      <c r="D199" s="12"/>
      <c r="E199" s="32">
        <v>47340</v>
      </c>
      <c r="G199" s="8">
        <v>12086358</v>
      </c>
      <c r="I199" s="8">
        <v>250638</v>
      </c>
      <c r="K199" s="3">
        <f t="shared" si="20"/>
        <v>41438958</v>
      </c>
      <c r="M199" s="8">
        <v>53775954</v>
      </c>
      <c r="O199" s="3">
        <f t="shared" si="21"/>
        <v>9139682</v>
      </c>
      <c r="Q199" s="8">
        <v>23957094</v>
      </c>
      <c r="S199" s="8">
        <v>33096776</v>
      </c>
      <c r="U199" s="8">
        <f>182209+250638+14547346+247661</f>
        <v>15227854</v>
      </c>
      <c r="W199" s="8">
        <v>0</v>
      </c>
      <c r="Y199" s="8">
        <v>5451324</v>
      </c>
      <c r="AA199" s="14">
        <f t="shared" si="19"/>
        <v>20679178</v>
      </c>
      <c r="AB199" s="8"/>
      <c r="AC199" s="8">
        <f t="shared" si="22"/>
        <v>0</v>
      </c>
    </row>
    <row r="200" spans="1:29" hidden="1">
      <c r="A200" s="13" t="s">
        <v>836</v>
      </c>
      <c r="B200" s="12"/>
      <c r="C200" s="12" t="s">
        <v>70</v>
      </c>
      <c r="D200" s="12"/>
      <c r="E200" s="32">
        <v>50484</v>
      </c>
      <c r="G200" s="8">
        <v>293800</v>
      </c>
      <c r="I200" s="8">
        <v>36095</v>
      </c>
      <c r="K200" s="3">
        <f t="shared" si="20"/>
        <v>0</v>
      </c>
      <c r="M200" s="8">
        <v>329895</v>
      </c>
      <c r="O200" s="3">
        <f t="shared" si="21"/>
        <v>0</v>
      </c>
      <c r="U200" s="8">
        <f>17122+36095</f>
        <v>53217</v>
      </c>
      <c r="Y200" s="8">
        <v>276678</v>
      </c>
      <c r="AA200" s="14">
        <f t="shared" si="19"/>
        <v>329895</v>
      </c>
      <c r="AB200" s="8"/>
      <c r="AC200" s="8">
        <f t="shared" si="22"/>
        <v>0</v>
      </c>
    </row>
    <row r="201" spans="1:29">
      <c r="A201" s="12" t="s">
        <v>644</v>
      </c>
      <c r="B201" s="12"/>
      <c r="C201" s="12" t="s">
        <v>61</v>
      </c>
      <c r="D201" s="12"/>
      <c r="E201" s="32">
        <v>49783</v>
      </c>
      <c r="G201" s="8">
        <v>2533432</v>
      </c>
      <c r="I201" s="8">
        <v>194</v>
      </c>
      <c r="K201" s="3">
        <f t="shared" si="20"/>
        <v>2055682</v>
      </c>
      <c r="M201" s="8">
        <v>4589308</v>
      </c>
      <c r="O201" s="3">
        <f t="shared" si="21"/>
        <v>854736</v>
      </c>
      <c r="Q201" s="8">
        <v>1426814</v>
      </c>
      <c r="S201" s="8">
        <v>2281550</v>
      </c>
      <c r="U201" s="8">
        <f>107332+194+36317</f>
        <v>143843</v>
      </c>
      <c r="W201" s="8">
        <f>13973+12521</f>
        <v>26494</v>
      </c>
      <c r="Y201" s="8">
        <v>2137421</v>
      </c>
      <c r="AA201" s="14">
        <f t="shared" si="19"/>
        <v>2307758</v>
      </c>
      <c r="AB201" s="8"/>
      <c r="AC201" s="8">
        <f t="shared" si="22"/>
        <v>0</v>
      </c>
    </row>
    <row r="202" spans="1:29" hidden="1">
      <c r="A202" s="13" t="s">
        <v>938</v>
      </c>
      <c r="B202" s="13"/>
      <c r="C202" s="13" t="s">
        <v>534</v>
      </c>
      <c r="D202" s="12"/>
      <c r="E202" s="32"/>
      <c r="G202" s="8">
        <v>2193115</v>
      </c>
      <c r="K202" s="3">
        <f t="shared" si="20"/>
        <v>0</v>
      </c>
      <c r="M202" s="8">
        <v>2193115</v>
      </c>
      <c r="O202" s="3">
        <f t="shared" si="21"/>
        <v>0</v>
      </c>
      <c r="U202" s="8">
        <v>151877</v>
      </c>
      <c r="Y202" s="8">
        <v>2041238</v>
      </c>
      <c r="AA202" s="14">
        <f t="shared" si="19"/>
        <v>2193115</v>
      </c>
      <c r="AB202" s="8"/>
      <c r="AC202" s="8">
        <f t="shared" si="22"/>
        <v>0</v>
      </c>
    </row>
    <row r="203" spans="1:29">
      <c r="A203" s="12" t="s">
        <v>636</v>
      </c>
      <c r="B203" s="12"/>
      <c r="C203" s="12" t="s">
        <v>60</v>
      </c>
      <c r="D203" s="12"/>
      <c r="E203" s="32">
        <v>43992</v>
      </c>
      <c r="G203" s="8">
        <v>10290731</v>
      </c>
      <c r="I203" s="8">
        <v>14198</v>
      </c>
      <c r="K203" s="3">
        <f t="shared" si="20"/>
        <v>8065657</v>
      </c>
      <c r="M203" s="8">
        <v>18370586</v>
      </c>
      <c r="O203" s="3">
        <f t="shared" si="21"/>
        <v>8584576</v>
      </c>
      <c r="Q203" s="8">
        <v>536495</v>
      </c>
      <c r="S203" s="8">
        <v>9121071</v>
      </c>
      <c r="U203" s="8">
        <f>230046+35454+4822+821896+14198</f>
        <v>1106416</v>
      </c>
      <c r="W203" s="8">
        <v>0</v>
      </c>
      <c r="Y203" s="8">
        <v>8143099</v>
      </c>
      <c r="AA203" s="14">
        <f t="shared" si="19"/>
        <v>9249515</v>
      </c>
      <c r="AB203" s="8"/>
      <c r="AC203" s="8">
        <f t="shared" si="22"/>
        <v>0</v>
      </c>
    </row>
    <row r="204" spans="1:29">
      <c r="A204" s="12" t="s">
        <v>709</v>
      </c>
      <c r="B204" s="12"/>
      <c r="C204" s="12" t="s">
        <v>69</v>
      </c>
      <c r="D204" s="12"/>
      <c r="E204" s="32">
        <v>44008</v>
      </c>
      <c r="G204" s="8">
        <v>7434454</v>
      </c>
      <c r="I204" s="8">
        <v>0</v>
      </c>
      <c r="K204" s="3">
        <f t="shared" si="20"/>
        <v>11732557</v>
      </c>
      <c r="M204" s="8">
        <v>19167011</v>
      </c>
      <c r="O204" s="3">
        <f t="shared" si="21"/>
        <v>3106879</v>
      </c>
      <c r="Q204" s="8">
        <v>10862435</v>
      </c>
      <c r="S204" s="8">
        <v>13969314</v>
      </c>
      <c r="U204" s="8">
        <f>242994+842500</f>
        <v>1085494</v>
      </c>
      <c r="W204" s="8">
        <v>0</v>
      </c>
      <c r="Y204" s="8">
        <v>4112203</v>
      </c>
      <c r="AA204" s="14">
        <f t="shared" si="19"/>
        <v>5197697</v>
      </c>
      <c r="AB204" s="8"/>
      <c r="AC204" s="8">
        <f t="shared" si="22"/>
        <v>0</v>
      </c>
    </row>
    <row r="205" spans="1:29" s="35" customFormat="1">
      <c r="A205" s="34" t="s">
        <v>564</v>
      </c>
      <c r="B205" s="34"/>
      <c r="C205" s="34" t="s">
        <v>51</v>
      </c>
      <c r="D205" s="34"/>
      <c r="E205" s="34">
        <v>48843</v>
      </c>
      <c r="G205" s="8">
        <v>5269499</v>
      </c>
      <c r="H205" s="8"/>
      <c r="I205" s="8">
        <v>41756</v>
      </c>
      <c r="J205" s="8"/>
      <c r="K205" s="3">
        <f t="shared" si="20"/>
        <v>4643186</v>
      </c>
      <c r="L205" s="8"/>
      <c r="M205" s="8">
        <v>9954441</v>
      </c>
      <c r="N205" s="8"/>
      <c r="O205" s="3">
        <f t="shared" si="21"/>
        <v>2671716</v>
      </c>
      <c r="P205" s="8"/>
      <c r="Q205" s="8">
        <v>4230983</v>
      </c>
      <c r="R205" s="8"/>
      <c r="S205" s="8">
        <v>6902699</v>
      </c>
      <c r="T205" s="8"/>
      <c r="U205" s="8">
        <f>213159+131631+39012+2744</f>
        <v>386546</v>
      </c>
      <c r="V205" s="8"/>
      <c r="W205" s="8">
        <v>0</v>
      </c>
      <c r="X205" s="8"/>
      <c r="Y205" s="8">
        <v>2665196</v>
      </c>
      <c r="Z205" s="8"/>
      <c r="AA205" s="14">
        <f t="shared" si="19"/>
        <v>3051742</v>
      </c>
      <c r="AB205" s="8"/>
      <c r="AC205" s="8">
        <f t="shared" si="22"/>
        <v>0</v>
      </c>
    </row>
    <row r="206" spans="1:29" hidden="1">
      <c r="A206" s="12" t="s">
        <v>835</v>
      </c>
      <c r="B206" s="12"/>
      <c r="C206" s="12" t="s">
        <v>21</v>
      </c>
      <c r="D206" s="12"/>
      <c r="E206" s="32">
        <v>46649</v>
      </c>
      <c r="G206" s="8">
        <v>2468262</v>
      </c>
      <c r="I206" s="8">
        <v>360</v>
      </c>
      <c r="K206" s="3">
        <f t="shared" si="20"/>
        <v>0</v>
      </c>
      <c r="M206" s="8">
        <v>2468622</v>
      </c>
      <c r="O206" s="3">
        <f t="shared" si="21"/>
        <v>0</v>
      </c>
      <c r="U206" s="8">
        <f>168013+360</f>
        <v>168373</v>
      </c>
      <c r="Y206" s="8">
        <v>2300249</v>
      </c>
      <c r="AA206" s="14">
        <f t="shared" si="19"/>
        <v>2468622</v>
      </c>
      <c r="AB206" s="8"/>
      <c r="AC206" s="8">
        <f t="shared" si="22"/>
        <v>0</v>
      </c>
    </row>
    <row r="207" spans="1:29" hidden="1">
      <c r="A207" s="12" t="s">
        <v>939</v>
      </c>
      <c r="B207" s="12"/>
      <c r="C207" s="12" t="s">
        <v>40</v>
      </c>
      <c r="D207" s="12"/>
      <c r="E207" s="32">
        <v>47852</v>
      </c>
      <c r="G207" s="8">
        <v>1399331</v>
      </c>
      <c r="K207" s="3">
        <f t="shared" si="20"/>
        <v>0</v>
      </c>
      <c r="M207" s="8">
        <v>1399331</v>
      </c>
      <c r="O207" s="3">
        <f t="shared" si="21"/>
        <v>0</v>
      </c>
      <c r="U207" s="8">
        <v>188628</v>
      </c>
      <c r="Y207" s="8">
        <v>1210703</v>
      </c>
      <c r="AA207" s="14">
        <f t="shared" si="19"/>
        <v>1399331</v>
      </c>
      <c r="AB207" s="8"/>
      <c r="AC207" s="8">
        <f t="shared" si="22"/>
        <v>0</v>
      </c>
    </row>
    <row r="208" spans="1:29">
      <c r="A208" s="12" t="s">
        <v>623</v>
      </c>
      <c r="B208" s="12"/>
      <c r="C208" s="12" t="s">
        <v>79</v>
      </c>
      <c r="D208" s="12"/>
      <c r="E208" s="32">
        <v>44016</v>
      </c>
      <c r="G208" s="8">
        <v>21563065</v>
      </c>
      <c r="I208" s="8">
        <v>0</v>
      </c>
      <c r="K208" s="3">
        <f t="shared" si="20"/>
        <v>14172582</v>
      </c>
      <c r="M208" s="8">
        <v>35735647</v>
      </c>
      <c r="O208" s="3">
        <f t="shared" si="21"/>
        <v>3432961</v>
      </c>
      <c r="Q208" s="8">
        <v>10062837</v>
      </c>
      <c r="S208" s="8">
        <v>13495798</v>
      </c>
      <c r="U208" s="8">
        <f>108168+1688277</f>
        <v>1796445</v>
      </c>
      <c r="W208" s="8">
        <v>0</v>
      </c>
      <c r="Y208" s="8">
        <v>20443404</v>
      </c>
      <c r="AA208" s="14">
        <f t="shared" si="19"/>
        <v>22239849</v>
      </c>
      <c r="AB208" s="8"/>
      <c r="AC208" s="8">
        <f t="shared" si="22"/>
        <v>0</v>
      </c>
    </row>
    <row r="209" spans="1:31">
      <c r="A209" s="12" t="s">
        <v>717</v>
      </c>
      <c r="B209" s="12"/>
      <c r="C209" s="12" t="s">
        <v>70</v>
      </c>
      <c r="D209" s="12"/>
      <c r="E209" s="32">
        <v>50492</v>
      </c>
      <c r="G209" s="8">
        <v>1103736</v>
      </c>
      <c r="I209" s="8">
        <v>0</v>
      </c>
      <c r="K209" s="3">
        <f t="shared" si="20"/>
        <v>1912557</v>
      </c>
      <c r="M209" s="8">
        <v>3016293</v>
      </c>
      <c r="O209" s="3">
        <f t="shared" si="21"/>
        <v>1950423</v>
      </c>
      <c r="Q209" s="8">
        <v>139012</v>
      </c>
      <c r="S209" s="8">
        <v>2089435</v>
      </c>
      <c r="U209" s="8">
        <f>16317+37038+26084+124363+57525+235814</f>
        <v>497141</v>
      </c>
      <c r="W209" s="8">
        <v>4345</v>
      </c>
      <c r="Y209" s="8">
        <v>425372</v>
      </c>
      <c r="AA209" s="14">
        <f t="shared" si="19"/>
        <v>926858</v>
      </c>
      <c r="AB209" s="8"/>
      <c r="AC209" s="8">
        <f t="shared" si="22"/>
        <v>0</v>
      </c>
    </row>
    <row r="210" spans="1:31">
      <c r="A210" s="12" t="s">
        <v>356</v>
      </c>
      <c r="B210" s="12"/>
      <c r="C210" s="12" t="s">
        <v>27</v>
      </c>
      <c r="D210" s="12"/>
      <c r="E210" s="32">
        <v>46961</v>
      </c>
      <c r="G210" s="8">
        <f>18420484+1000303</f>
        <v>19420787</v>
      </c>
      <c r="I210" s="8">
        <v>0</v>
      </c>
      <c r="K210" s="3">
        <f t="shared" si="20"/>
        <v>80686311</v>
      </c>
      <c r="M210" s="8">
        <v>100107098</v>
      </c>
      <c r="O210" s="3">
        <f t="shared" si="21"/>
        <v>9734210</v>
      </c>
      <c r="Q210" s="8">
        <v>61335855</v>
      </c>
      <c r="S210" s="8">
        <v>71070065</v>
      </c>
      <c r="U210" s="8">
        <f>3619944+122956+18907388+1000303</f>
        <v>23650591</v>
      </c>
      <c r="W210" s="8">
        <v>0</v>
      </c>
      <c r="Y210" s="8">
        <v>5386442</v>
      </c>
      <c r="AA210" s="14">
        <f t="shared" si="19"/>
        <v>29037033</v>
      </c>
      <c r="AB210" s="8"/>
      <c r="AC210" s="8">
        <f t="shared" si="22"/>
        <v>0</v>
      </c>
    </row>
    <row r="211" spans="1:31">
      <c r="A211" s="12" t="s">
        <v>294</v>
      </c>
      <c r="B211" s="12"/>
      <c r="C211" s="12" t="s">
        <v>113</v>
      </c>
      <c r="D211" s="12"/>
      <c r="E211" s="32">
        <v>44024</v>
      </c>
      <c r="G211" s="8">
        <v>1838181</v>
      </c>
      <c r="I211" s="8">
        <v>0</v>
      </c>
      <c r="K211" s="3">
        <f t="shared" si="20"/>
        <v>4784995</v>
      </c>
      <c r="M211" s="8">
        <v>6623176</v>
      </c>
      <c r="O211" s="3">
        <f t="shared" si="21"/>
        <v>1968688</v>
      </c>
      <c r="Q211" s="8">
        <v>3015692</v>
      </c>
      <c r="S211" s="8">
        <v>4984380</v>
      </c>
      <c r="U211" s="8">
        <f>1758257+258117</f>
        <v>2016374</v>
      </c>
      <c r="W211" s="8">
        <v>0</v>
      </c>
      <c r="Y211" s="8">
        <v>-377578</v>
      </c>
      <c r="AA211" s="14">
        <f t="shared" si="19"/>
        <v>1638796</v>
      </c>
      <c r="AB211" s="8"/>
      <c r="AC211" s="8">
        <f t="shared" si="22"/>
        <v>0</v>
      </c>
    </row>
    <row r="212" spans="1:31">
      <c r="A212" s="12" t="s">
        <v>375</v>
      </c>
      <c r="B212" s="12"/>
      <c r="C212" s="12" t="s">
        <v>29</v>
      </c>
      <c r="D212" s="12"/>
      <c r="E212" s="32">
        <v>65680</v>
      </c>
      <c r="G212" s="8">
        <v>3320593</v>
      </c>
      <c r="I212" s="8">
        <v>284744</v>
      </c>
      <c r="K212" s="3">
        <f t="shared" si="20"/>
        <v>8649601</v>
      </c>
      <c r="M212" s="8">
        <v>12254938</v>
      </c>
      <c r="O212" s="3">
        <f t="shared" si="21"/>
        <v>2169266</v>
      </c>
      <c r="Q212" s="8">
        <v>8264470</v>
      </c>
      <c r="S212" s="8">
        <v>10433736</v>
      </c>
      <c r="U212" s="8">
        <f>90371+72632+284744</f>
        <v>447747</v>
      </c>
      <c r="W212" s="8">
        <v>0</v>
      </c>
      <c r="Y212" s="8">
        <v>1373455</v>
      </c>
      <c r="AA212" s="14">
        <f t="shared" si="19"/>
        <v>1821202</v>
      </c>
      <c r="AB212" s="8"/>
      <c r="AC212" s="8">
        <f t="shared" si="22"/>
        <v>0</v>
      </c>
    </row>
    <row r="213" spans="1:31">
      <c r="A213" s="12" t="s">
        <v>376</v>
      </c>
      <c r="B213" s="12"/>
      <c r="C213" s="12" t="s">
        <v>29</v>
      </c>
      <c r="D213" s="12"/>
      <c r="E213" s="32">
        <v>44032</v>
      </c>
      <c r="G213" s="8">
        <v>524045</v>
      </c>
      <c r="I213" s="8">
        <v>643453</v>
      </c>
      <c r="K213" s="3">
        <f t="shared" si="20"/>
        <v>6002537</v>
      </c>
      <c r="M213" s="8">
        <v>7170035</v>
      </c>
      <c r="O213" s="3">
        <f t="shared" si="21"/>
        <v>6879250</v>
      </c>
      <c r="Q213" s="8">
        <v>454373</v>
      </c>
      <c r="S213" s="8">
        <v>7333623</v>
      </c>
      <c r="U213" s="8">
        <f>243055+56738+111592+91624+643453</f>
        <v>1146462</v>
      </c>
      <c r="W213" s="8">
        <v>0</v>
      </c>
      <c r="Y213" s="8">
        <v>-1310050</v>
      </c>
      <c r="AA213" s="14">
        <f t="shared" si="19"/>
        <v>-163588</v>
      </c>
      <c r="AB213" s="8"/>
      <c r="AC213" s="8">
        <f t="shared" si="22"/>
        <v>0</v>
      </c>
    </row>
    <row r="214" spans="1:31">
      <c r="A214" s="12" t="s">
        <v>696</v>
      </c>
      <c r="B214" s="12"/>
      <c r="C214" s="12" t="s">
        <v>65</v>
      </c>
      <c r="D214" s="12"/>
      <c r="E214" s="32">
        <v>50278</v>
      </c>
      <c r="G214" s="8">
        <v>3900144</v>
      </c>
      <c r="I214" s="8">
        <v>54953</v>
      </c>
      <c r="K214" s="3">
        <f t="shared" si="20"/>
        <v>5073009</v>
      </c>
      <c r="M214" s="8">
        <v>9028106</v>
      </c>
      <c r="O214" s="3">
        <f t="shared" si="21"/>
        <v>5922941</v>
      </c>
      <c r="Q214" s="8">
        <v>199188</v>
      </c>
      <c r="S214" s="8">
        <v>6122129</v>
      </c>
      <c r="U214" s="8">
        <f>1105+319760+54953</f>
        <v>375818</v>
      </c>
      <c r="W214" s="8">
        <v>0</v>
      </c>
      <c r="Y214" s="8">
        <v>2530159</v>
      </c>
      <c r="AA214" s="14">
        <f t="shared" si="19"/>
        <v>2905977</v>
      </c>
      <c r="AB214" s="8"/>
      <c r="AC214" s="8">
        <f t="shared" si="22"/>
        <v>0</v>
      </c>
    </row>
    <row r="215" spans="1:31">
      <c r="A215" s="12" t="s">
        <v>980</v>
      </c>
      <c r="B215" s="12"/>
      <c r="C215" s="12" t="s">
        <v>20</v>
      </c>
      <c r="D215" s="12"/>
      <c r="E215" s="32">
        <v>44040</v>
      </c>
      <c r="G215" s="8">
        <v>1522265</v>
      </c>
      <c r="I215" s="8">
        <v>0</v>
      </c>
      <c r="K215" s="3">
        <f t="shared" si="20"/>
        <v>16797809</v>
      </c>
      <c r="M215" s="8">
        <v>18320074</v>
      </c>
      <c r="O215" s="3">
        <f t="shared" si="21"/>
        <v>5315625</v>
      </c>
      <c r="Q215" s="8">
        <v>10978673</v>
      </c>
      <c r="S215" s="8">
        <v>16294298</v>
      </c>
      <c r="U215" s="8">
        <f>697216+2702418+418752+500000</f>
        <v>4318386</v>
      </c>
      <c r="W215" s="8">
        <v>0</v>
      </c>
      <c r="Y215" s="8">
        <v>-2292610</v>
      </c>
      <c r="AA215" s="14">
        <f t="shared" si="19"/>
        <v>2025776</v>
      </c>
      <c r="AB215" s="8"/>
      <c r="AC215" s="8">
        <f t="shared" si="22"/>
        <v>0</v>
      </c>
      <c r="AE215" s="8" t="s">
        <v>956</v>
      </c>
    </row>
    <row r="216" spans="1:31">
      <c r="A216" s="12" t="s">
        <v>888</v>
      </c>
      <c r="B216" s="12"/>
      <c r="C216" s="12" t="s">
        <v>12</v>
      </c>
      <c r="D216" s="12"/>
      <c r="E216" s="32">
        <v>44057</v>
      </c>
      <c r="G216" s="8">
        <v>1451797</v>
      </c>
      <c r="I216" s="8">
        <v>358077</v>
      </c>
      <c r="K216" s="3">
        <f t="shared" si="20"/>
        <v>6919227</v>
      </c>
      <c r="M216" s="8">
        <v>8729101</v>
      </c>
      <c r="O216" s="3">
        <f t="shared" si="21"/>
        <v>2648183</v>
      </c>
      <c r="Q216" s="8">
        <v>3880087</v>
      </c>
      <c r="S216" s="8">
        <v>6528270</v>
      </c>
      <c r="U216" s="8">
        <f>73067+2832198+358077</f>
        <v>3263342</v>
      </c>
      <c r="W216" s="8">
        <v>0</v>
      </c>
      <c r="Y216" s="8">
        <v>-1062511</v>
      </c>
      <c r="AA216" s="14">
        <f t="shared" si="19"/>
        <v>2200831</v>
      </c>
      <c r="AB216" s="8"/>
      <c r="AC216" s="8">
        <f t="shared" si="22"/>
        <v>0</v>
      </c>
    </row>
    <row r="217" spans="1:31">
      <c r="A217" s="12" t="s">
        <v>573</v>
      </c>
      <c r="B217" s="12"/>
      <c r="C217" s="12" t="s">
        <v>53</v>
      </c>
      <c r="D217" s="12"/>
      <c r="E217" s="32">
        <v>48942</v>
      </c>
      <c r="G217" s="8">
        <v>1371079</v>
      </c>
      <c r="I217" s="8">
        <v>44853</v>
      </c>
      <c r="K217" s="3">
        <f t="shared" si="20"/>
        <v>3860570</v>
      </c>
      <c r="M217" s="8">
        <v>5276502</v>
      </c>
      <c r="O217" s="3">
        <f t="shared" si="21"/>
        <v>4571823</v>
      </c>
      <c r="Q217" s="8">
        <v>45962</v>
      </c>
      <c r="S217" s="8">
        <v>4617785</v>
      </c>
      <c r="U217" s="8">
        <f>37573+23263+15021+509441+44853</f>
        <v>630151</v>
      </c>
      <c r="W217" s="8">
        <v>420290</v>
      </c>
      <c r="Y217" s="8">
        <v>-391724</v>
      </c>
      <c r="AA217" s="14">
        <f t="shared" si="19"/>
        <v>658717</v>
      </c>
      <c r="AB217" s="8"/>
      <c r="AC217" s="8">
        <f t="shared" si="22"/>
        <v>0</v>
      </c>
    </row>
    <row r="218" spans="1:31" hidden="1">
      <c r="A218" s="12" t="s">
        <v>940</v>
      </c>
      <c r="B218" s="12"/>
      <c r="C218" s="12" t="s">
        <v>77</v>
      </c>
      <c r="D218" s="12"/>
      <c r="E218" s="32">
        <v>45377</v>
      </c>
      <c r="G218" s="8">
        <v>783121</v>
      </c>
      <c r="I218" s="8">
        <v>9608</v>
      </c>
      <c r="K218" s="3">
        <f t="shared" si="20"/>
        <v>0</v>
      </c>
      <c r="M218" s="8">
        <v>792729</v>
      </c>
      <c r="O218" s="3">
        <f t="shared" si="21"/>
        <v>0</v>
      </c>
      <c r="U218" s="8">
        <f>56176+5814+3794</f>
        <v>65784</v>
      </c>
      <c r="Y218" s="8">
        <v>726945</v>
      </c>
      <c r="AA218" s="14">
        <f t="shared" si="19"/>
        <v>792729</v>
      </c>
      <c r="AB218" s="8"/>
      <c r="AC218" s="8">
        <f t="shared" si="22"/>
        <v>0</v>
      </c>
    </row>
    <row r="219" spans="1:31">
      <c r="A219" s="12" t="s">
        <v>624</v>
      </c>
      <c r="B219" s="12"/>
      <c r="C219" s="12" t="s">
        <v>79</v>
      </c>
      <c r="D219" s="12"/>
      <c r="E219" s="32">
        <v>45385</v>
      </c>
      <c r="G219" s="8">
        <v>2471378</v>
      </c>
      <c r="I219" s="8">
        <v>271944</v>
      </c>
      <c r="K219" s="3">
        <f t="shared" si="20"/>
        <v>1974020</v>
      </c>
      <c r="M219" s="8">
        <v>4717342</v>
      </c>
      <c r="O219" s="3">
        <f t="shared" si="21"/>
        <v>2575584</v>
      </c>
      <c r="Q219" s="8">
        <v>125732</v>
      </c>
      <c r="S219" s="8">
        <v>2701316</v>
      </c>
      <c r="U219" s="8">
        <f>57159+11656+229432+190546+29274+52124</f>
        <v>570191</v>
      </c>
      <c r="W219" s="8">
        <v>0</v>
      </c>
      <c r="Y219" s="8">
        <v>1445835</v>
      </c>
      <c r="AA219" s="14">
        <f t="shared" si="19"/>
        <v>2016026</v>
      </c>
      <c r="AB219" s="8"/>
      <c r="AC219" s="8">
        <f t="shared" si="22"/>
        <v>0</v>
      </c>
    </row>
    <row r="220" spans="1:31">
      <c r="A220" s="12" t="s">
        <v>679</v>
      </c>
      <c r="B220" s="12"/>
      <c r="C220" s="12" t="s">
        <v>64</v>
      </c>
      <c r="D220" s="12"/>
      <c r="E220" s="32">
        <v>44065</v>
      </c>
      <c r="G220" s="8">
        <v>5990846</v>
      </c>
      <c r="I220" s="8">
        <v>423105</v>
      </c>
      <c r="K220" s="3">
        <f t="shared" si="20"/>
        <v>4634814</v>
      </c>
      <c r="M220" s="8">
        <v>11048765</v>
      </c>
      <c r="O220" s="3">
        <f t="shared" si="21"/>
        <v>5454787</v>
      </c>
      <c r="Q220" s="8">
        <v>610768</v>
      </c>
      <c r="S220" s="8">
        <v>6065555</v>
      </c>
      <c r="U220" s="8">
        <f>588463+17683+19309+304173+23367+95565</f>
        <v>1048560</v>
      </c>
      <c r="W220" s="8">
        <v>0</v>
      </c>
      <c r="Y220" s="8">
        <v>3934650</v>
      </c>
      <c r="AA220" s="14">
        <f t="shared" si="19"/>
        <v>4983210</v>
      </c>
      <c r="AB220" s="8"/>
      <c r="AC220" s="8">
        <f t="shared" si="22"/>
        <v>0</v>
      </c>
    </row>
    <row r="221" spans="1:31" hidden="1">
      <c r="A221" s="12" t="s">
        <v>1030</v>
      </c>
      <c r="B221" s="12"/>
      <c r="C221" s="12" t="s">
        <v>28</v>
      </c>
      <c r="D221" s="12"/>
      <c r="E221" s="32">
        <v>47068</v>
      </c>
      <c r="K221" s="3">
        <f t="shared" si="20"/>
        <v>0</v>
      </c>
      <c r="O221" s="3">
        <f t="shared" si="21"/>
        <v>0</v>
      </c>
      <c r="AA221" s="14">
        <f t="shared" si="19"/>
        <v>0</v>
      </c>
      <c r="AB221" s="8"/>
      <c r="AC221" s="8">
        <f t="shared" si="22"/>
        <v>0</v>
      </c>
      <c r="AE221" s="15" t="s">
        <v>973</v>
      </c>
    </row>
    <row r="222" spans="1:31">
      <c r="A222" s="12" t="s">
        <v>269</v>
      </c>
      <c r="B222" s="12"/>
      <c r="C222" s="12" t="s">
        <v>115</v>
      </c>
      <c r="D222" s="12"/>
      <c r="E222" s="32">
        <v>46342</v>
      </c>
      <c r="G222" s="8">
        <v>4038294</v>
      </c>
      <c r="I222" s="8">
        <v>2132</v>
      </c>
      <c r="K222" s="3">
        <f t="shared" si="20"/>
        <v>7030379</v>
      </c>
      <c r="M222" s="8">
        <v>11070805</v>
      </c>
      <c r="O222" s="3">
        <f t="shared" si="21"/>
        <v>3008919</v>
      </c>
      <c r="Q222" s="8">
        <v>5649498</v>
      </c>
      <c r="S222" s="8">
        <v>8658417</v>
      </c>
      <c r="U222" s="8">
        <f>334798+2132</f>
        <v>336930</v>
      </c>
      <c r="W222" s="8">
        <v>0</v>
      </c>
      <c r="Y222" s="8">
        <v>2075458</v>
      </c>
      <c r="AA222" s="14">
        <f t="shared" si="19"/>
        <v>2412388</v>
      </c>
      <c r="AB222" s="8"/>
      <c r="AC222" s="8">
        <f t="shared" si="22"/>
        <v>0</v>
      </c>
    </row>
    <row r="223" spans="1:31">
      <c r="A223" s="12" t="s">
        <v>254</v>
      </c>
      <c r="B223" s="12"/>
      <c r="C223" s="12" t="s">
        <v>255</v>
      </c>
      <c r="D223" s="12"/>
      <c r="E223" s="32">
        <v>46193</v>
      </c>
      <c r="G223" s="8">
        <v>986435</v>
      </c>
      <c r="I223" s="8">
        <v>0</v>
      </c>
      <c r="K223" s="3">
        <f t="shared" si="20"/>
        <v>4210405</v>
      </c>
      <c r="M223" s="8">
        <v>5196840</v>
      </c>
      <c r="O223" s="3">
        <f t="shared" si="21"/>
        <v>4860135</v>
      </c>
      <c r="Q223" s="8">
        <v>0</v>
      </c>
      <c r="S223" s="8">
        <v>4860135</v>
      </c>
      <c r="U223" s="8">
        <f>62076+1472200</f>
        <v>1534276</v>
      </c>
      <c r="W223" s="8">
        <v>0</v>
      </c>
      <c r="Y223" s="8">
        <v>-1197571</v>
      </c>
      <c r="AA223" s="14">
        <f t="shared" si="19"/>
        <v>336705</v>
      </c>
      <c r="AB223" s="8"/>
      <c r="AC223" s="8">
        <f t="shared" si="22"/>
        <v>0</v>
      </c>
    </row>
    <row r="224" spans="1:31">
      <c r="A224" s="12" t="s">
        <v>220</v>
      </c>
      <c r="B224" s="12"/>
      <c r="C224" s="12" t="s">
        <v>12</v>
      </c>
      <c r="D224" s="12"/>
      <c r="E224" s="32">
        <v>45864</v>
      </c>
      <c r="G224" s="8">
        <v>2156953</v>
      </c>
      <c r="I224" s="8">
        <v>0</v>
      </c>
      <c r="K224" s="3">
        <f t="shared" si="20"/>
        <v>3959576</v>
      </c>
      <c r="M224" s="8">
        <v>6116529</v>
      </c>
      <c r="O224" s="3">
        <f t="shared" si="21"/>
        <v>1549141</v>
      </c>
      <c r="Q224" s="8">
        <v>2529964</v>
      </c>
      <c r="S224" s="8">
        <v>4079105</v>
      </c>
      <c r="U224" s="8">
        <f>107026+1360281</f>
        <v>1467307</v>
      </c>
      <c r="W224" s="8">
        <v>0</v>
      </c>
      <c r="Y224" s="8">
        <v>570117</v>
      </c>
      <c r="AA224" s="14">
        <f t="shared" si="19"/>
        <v>2037424</v>
      </c>
      <c r="AB224" s="8"/>
      <c r="AC224" s="8">
        <f t="shared" si="22"/>
        <v>0</v>
      </c>
    </row>
    <row r="225" spans="1:31">
      <c r="A225" s="12" t="s">
        <v>357</v>
      </c>
      <c r="B225" s="12"/>
      <c r="C225" s="12" t="s">
        <v>27</v>
      </c>
      <c r="D225" s="12"/>
      <c r="E225" s="32">
        <v>44073</v>
      </c>
      <c r="G225" s="8">
        <v>6609197</v>
      </c>
      <c r="I225" s="8">
        <v>68902</v>
      </c>
      <c r="K225" s="3">
        <f t="shared" ref="K225:K256" si="23">+M225-I225-G225</f>
        <v>9466749</v>
      </c>
      <c r="M225" s="8">
        <v>16144848</v>
      </c>
      <c r="O225" s="3">
        <f t="shared" ref="O225:O257" si="24">+S225-Q225</f>
        <v>1959639</v>
      </c>
      <c r="Q225" s="8">
        <f>6211641+10075</f>
        <v>6221716</v>
      </c>
      <c r="S225" s="8">
        <v>8181355</v>
      </c>
      <c r="U225" s="8">
        <f>68902+50318+365271+362556</f>
        <v>847047</v>
      </c>
      <c r="W225" s="8">
        <v>0</v>
      </c>
      <c r="Y225" s="8">
        <v>7116446</v>
      </c>
      <c r="AA225" s="14">
        <f t="shared" si="19"/>
        <v>7963493</v>
      </c>
      <c r="AB225" s="8"/>
      <c r="AC225" s="8">
        <f t="shared" si="22"/>
        <v>0</v>
      </c>
    </row>
    <row r="226" spans="1:31">
      <c r="A226" s="12" t="s">
        <v>942</v>
      </c>
      <c r="B226" s="12"/>
      <c r="C226" s="12" t="s">
        <v>42</v>
      </c>
      <c r="D226" s="12"/>
      <c r="E226" s="32">
        <v>45393</v>
      </c>
      <c r="G226" s="8">
        <v>5711341</v>
      </c>
      <c r="I226" s="8">
        <v>0</v>
      </c>
      <c r="K226" s="3">
        <f t="shared" si="23"/>
        <v>15251409</v>
      </c>
      <c r="M226" s="8">
        <v>20962750</v>
      </c>
      <c r="O226" s="3">
        <f t="shared" si="24"/>
        <v>3064307</v>
      </c>
      <c r="Q226" s="8">
        <v>12675038</v>
      </c>
      <c r="S226" s="8">
        <v>15739345</v>
      </c>
      <c r="U226" s="8">
        <f>168540+27682+723200</f>
        <v>919422</v>
      </c>
      <c r="Y226" s="8">
        <v>4303983</v>
      </c>
      <c r="AA226" s="14">
        <f t="shared" si="19"/>
        <v>5223405</v>
      </c>
      <c r="AB226" s="8"/>
      <c r="AC226" s="8">
        <f t="shared" si="22"/>
        <v>0</v>
      </c>
    </row>
    <row r="227" spans="1:31">
      <c r="A227" s="12" t="s">
        <v>628</v>
      </c>
      <c r="B227" s="12"/>
      <c r="C227" s="12" t="s">
        <v>59</v>
      </c>
      <c r="D227" s="12"/>
      <c r="E227" s="32">
        <v>49619</v>
      </c>
      <c r="G227" s="8">
        <v>445095</v>
      </c>
      <c r="I227" s="8">
        <v>311721</v>
      </c>
      <c r="K227" s="3">
        <f t="shared" si="23"/>
        <v>1438550</v>
      </c>
      <c r="M227" s="8">
        <v>2195366</v>
      </c>
      <c r="O227" s="3">
        <f t="shared" si="24"/>
        <v>601687</v>
      </c>
      <c r="Q227" s="8">
        <v>1337885</v>
      </c>
      <c r="S227" s="8">
        <v>1939572</v>
      </c>
      <c r="U227" s="8">
        <f>263910+100665+139988+171733</f>
        <v>676296</v>
      </c>
      <c r="W227" s="8">
        <v>0</v>
      </c>
      <c r="Y227" s="8">
        <v>-420502</v>
      </c>
      <c r="AA227" s="14">
        <f t="shared" ref="AA227:AA257" si="25">+Y227+W227++U227</f>
        <v>255794</v>
      </c>
      <c r="AB227" s="8"/>
      <c r="AC227" s="8">
        <f t="shared" ref="AC227:AC264" si="26">+G227+I227+K227-O227-Q227-Y227-W227-U227</f>
        <v>0</v>
      </c>
    </row>
    <row r="228" spans="1:31">
      <c r="A228" s="12" t="s">
        <v>628</v>
      </c>
      <c r="B228" s="12"/>
      <c r="C228" s="12" t="s">
        <v>63</v>
      </c>
      <c r="D228" s="12"/>
      <c r="E228" s="32">
        <v>50013</v>
      </c>
      <c r="G228" s="8">
        <v>754190</v>
      </c>
      <c r="I228" s="8">
        <v>0</v>
      </c>
      <c r="K228" s="3">
        <f t="shared" si="23"/>
        <v>15483369</v>
      </c>
      <c r="M228" s="8">
        <v>16237559</v>
      </c>
      <c r="O228" s="3">
        <f t="shared" si="24"/>
        <v>5168763</v>
      </c>
      <c r="Q228" s="8">
        <v>12996192</v>
      </c>
      <c r="S228" s="8">
        <v>18164955</v>
      </c>
      <c r="U228" s="8">
        <f>198011+1881528+165711+283642</f>
        <v>2528892</v>
      </c>
      <c r="W228" s="8">
        <v>0</v>
      </c>
      <c r="Y228" s="8">
        <v>-4456288</v>
      </c>
      <c r="AA228" s="14">
        <f t="shared" si="25"/>
        <v>-1927396</v>
      </c>
      <c r="AB228" s="8"/>
      <c r="AC228" s="8">
        <f t="shared" si="26"/>
        <v>0</v>
      </c>
    </row>
    <row r="229" spans="1:31">
      <c r="A229" s="12" t="s">
        <v>628</v>
      </c>
      <c r="B229" s="12"/>
      <c r="C229" s="12" t="s">
        <v>71</v>
      </c>
      <c r="D229" s="12"/>
      <c r="E229" s="32">
        <v>50559</v>
      </c>
      <c r="G229" s="8">
        <v>1190056</v>
      </c>
      <c r="I229" s="8">
        <v>0</v>
      </c>
      <c r="K229" s="3">
        <f t="shared" si="23"/>
        <v>4992670</v>
      </c>
      <c r="M229" s="8">
        <v>6182726</v>
      </c>
      <c r="O229" s="3">
        <f t="shared" si="24"/>
        <v>1283026</v>
      </c>
      <c r="Q229" s="8">
        <v>4671413</v>
      </c>
      <c r="S229" s="8">
        <v>5954439</v>
      </c>
      <c r="U229" s="8">
        <f>49040+296509</f>
        <v>345549</v>
      </c>
      <c r="W229" s="8">
        <v>0</v>
      </c>
      <c r="Y229" s="8">
        <v>-117262</v>
      </c>
      <c r="AA229" s="14">
        <f t="shared" si="25"/>
        <v>228287</v>
      </c>
      <c r="AB229" s="8"/>
      <c r="AC229" s="8">
        <f t="shared" si="26"/>
        <v>0</v>
      </c>
    </row>
    <row r="230" spans="1:31">
      <c r="A230" s="12" t="s">
        <v>386</v>
      </c>
      <c r="B230" s="12"/>
      <c r="C230" s="12" t="s">
        <v>116</v>
      </c>
      <c r="D230" s="12"/>
      <c r="E230" s="32">
        <v>47266</v>
      </c>
      <c r="G230" s="8">
        <v>4474635</v>
      </c>
      <c r="I230" s="8">
        <v>76238</v>
      </c>
      <c r="K230" s="3">
        <f t="shared" si="23"/>
        <v>3994005</v>
      </c>
      <c r="M230" s="8">
        <v>8544878</v>
      </c>
      <c r="O230" s="3">
        <f t="shared" si="24"/>
        <v>1213317</v>
      </c>
      <c r="Q230" s="8">
        <v>3189797</v>
      </c>
      <c r="S230" s="8">
        <v>4403114</v>
      </c>
      <c r="U230" s="8">
        <f>136684+208917+76238+134347</f>
        <v>556186</v>
      </c>
      <c r="W230" s="8">
        <v>0</v>
      </c>
      <c r="Y230" s="8">
        <v>3585578</v>
      </c>
      <c r="AA230" s="14">
        <f t="shared" si="25"/>
        <v>4141764</v>
      </c>
      <c r="AB230" s="8"/>
      <c r="AC230" s="8">
        <f t="shared" si="26"/>
        <v>0</v>
      </c>
    </row>
    <row r="231" spans="1:31">
      <c r="A231" s="12" t="s">
        <v>437</v>
      </c>
      <c r="B231" s="12"/>
      <c r="C231" s="12" t="s">
        <v>435</v>
      </c>
      <c r="D231" s="12"/>
      <c r="E231" s="32">
        <v>45401</v>
      </c>
      <c r="G231" s="8">
        <v>3560176</v>
      </c>
      <c r="I231" s="8">
        <v>0</v>
      </c>
      <c r="K231" s="3">
        <f t="shared" si="23"/>
        <v>6779342</v>
      </c>
      <c r="M231" s="8">
        <v>10339518</v>
      </c>
      <c r="O231" s="3">
        <f t="shared" si="24"/>
        <v>2012617</v>
      </c>
      <c r="Q231" s="8">
        <v>4447005</v>
      </c>
      <c r="S231" s="8">
        <v>6459622</v>
      </c>
      <c r="U231" s="8">
        <f>837698+208189</f>
        <v>1045887</v>
      </c>
      <c r="W231" s="8">
        <v>0</v>
      </c>
      <c r="Y231" s="8">
        <v>2834009</v>
      </c>
      <c r="AA231" s="14">
        <f t="shared" si="25"/>
        <v>3879896</v>
      </c>
      <c r="AB231" s="8"/>
      <c r="AC231" s="8">
        <f t="shared" si="26"/>
        <v>0</v>
      </c>
    </row>
    <row r="232" spans="1:31">
      <c r="A232" s="12" t="s">
        <v>261</v>
      </c>
      <c r="B232" s="12"/>
      <c r="C232" s="12" t="s">
        <v>17</v>
      </c>
      <c r="D232" s="12"/>
      <c r="E232" s="32">
        <v>46235</v>
      </c>
      <c r="G232" s="8">
        <v>1207699</v>
      </c>
      <c r="I232" s="8">
        <v>32397</v>
      </c>
      <c r="K232" s="3">
        <f t="shared" si="23"/>
        <v>6066808</v>
      </c>
      <c r="M232" s="8">
        <v>7306904</v>
      </c>
      <c r="O232" s="3">
        <f t="shared" si="24"/>
        <v>1698174</v>
      </c>
      <c r="Q232" s="8">
        <v>3532166</v>
      </c>
      <c r="S232" s="8">
        <v>5230340</v>
      </c>
      <c r="U232" s="8">
        <f>100+1260797+32397</f>
        <v>1293294</v>
      </c>
      <c r="W232" s="8">
        <v>218555</v>
      </c>
      <c r="Y232" s="8">
        <v>564715</v>
      </c>
      <c r="AA232" s="14">
        <f t="shared" si="25"/>
        <v>2076564</v>
      </c>
      <c r="AB232" s="8"/>
      <c r="AC232" s="8">
        <f t="shared" si="26"/>
        <v>0</v>
      </c>
    </row>
    <row r="233" spans="1:31">
      <c r="A233" s="12"/>
      <c r="B233" s="12"/>
      <c r="C233" s="12"/>
      <c r="D233" s="12"/>
      <c r="E233" s="32"/>
      <c r="K233" s="3"/>
      <c r="O233" s="3"/>
      <c r="AA233" s="14"/>
      <c r="AB233" s="8"/>
    </row>
    <row r="234" spans="1:31">
      <c r="A234" s="12"/>
      <c r="B234" s="12"/>
      <c r="C234" s="12"/>
      <c r="D234" s="12"/>
      <c r="E234" s="32"/>
      <c r="K234" s="3"/>
      <c r="O234" s="3"/>
      <c r="AA234" s="14" t="s">
        <v>805</v>
      </c>
      <c r="AB234" s="8"/>
    </row>
    <row r="235" spans="1:31">
      <c r="A235" s="12"/>
      <c r="B235" s="12"/>
      <c r="C235" s="12"/>
      <c r="D235" s="12"/>
      <c r="E235" s="32"/>
      <c r="K235" s="3"/>
      <c r="O235" s="3"/>
      <c r="AA235" s="14"/>
      <c r="AB235" s="8"/>
    </row>
    <row r="236" spans="1:31">
      <c r="A236" s="12" t="s">
        <v>327</v>
      </c>
      <c r="B236" s="12"/>
      <c r="C236" s="12" t="s">
        <v>21</v>
      </c>
      <c r="D236" s="12"/>
      <c r="E236" s="32">
        <v>44099</v>
      </c>
      <c r="G236" s="35">
        <v>4766298</v>
      </c>
      <c r="H236" s="35"/>
      <c r="I236" s="35">
        <v>109938</v>
      </c>
      <c r="J236" s="35"/>
      <c r="K236" s="42">
        <f t="shared" si="23"/>
        <v>10193310</v>
      </c>
      <c r="L236" s="35"/>
      <c r="M236" s="35">
        <v>15069546</v>
      </c>
      <c r="N236" s="35"/>
      <c r="O236" s="42">
        <f t="shared" si="24"/>
        <v>3341333</v>
      </c>
      <c r="P236" s="35"/>
      <c r="Q236" s="35">
        <v>8160289</v>
      </c>
      <c r="R236" s="35"/>
      <c r="S236" s="35">
        <v>11501622</v>
      </c>
      <c r="T236" s="35"/>
      <c r="U236" s="35">
        <f>66003+977979+10328+99610</f>
        <v>1153920</v>
      </c>
      <c r="V236" s="35"/>
      <c r="W236" s="35">
        <v>0</v>
      </c>
      <c r="X236" s="35"/>
      <c r="Y236" s="35">
        <v>2414004</v>
      </c>
      <c r="Z236" s="35"/>
      <c r="AA236" s="64">
        <f t="shared" si="25"/>
        <v>3567924</v>
      </c>
      <c r="AB236" s="8"/>
      <c r="AC236" s="8">
        <f t="shared" si="26"/>
        <v>0</v>
      </c>
    </row>
    <row r="237" spans="1:31">
      <c r="A237" s="12" t="s">
        <v>358</v>
      </c>
      <c r="B237" s="12"/>
      <c r="C237" s="12" t="s">
        <v>27</v>
      </c>
      <c r="D237" s="12"/>
      <c r="E237" s="32">
        <v>46979</v>
      </c>
      <c r="G237" s="8">
        <v>0</v>
      </c>
      <c r="I237" s="8">
        <v>0</v>
      </c>
      <c r="K237" s="3">
        <f t="shared" si="23"/>
        <v>27174885</v>
      </c>
      <c r="M237" s="8">
        <v>27174885</v>
      </c>
      <c r="O237" s="3">
        <f t="shared" si="24"/>
        <v>7044547</v>
      </c>
      <c r="Q237" s="8">
        <v>17849215</v>
      </c>
      <c r="S237" s="8">
        <v>24893762</v>
      </c>
      <c r="U237" s="8">
        <f>147388+1862630+266956+9188758</f>
        <v>11465732</v>
      </c>
      <c r="W237" s="8">
        <v>0</v>
      </c>
      <c r="Y237" s="8">
        <v>-9184609</v>
      </c>
      <c r="AA237" s="14">
        <f t="shared" si="25"/>
        <v>2281123</v>
      </c>
      <c r="AB237" s="8"/>
      <c r="AC237" s="8">
        <f t="shared" si="26"/>
        <v>0</v>
      </c>
      <c r="AE237" s="15" t="s">
        <v>905</v>
      </c>
    </row>
    <row r="238" spans="1:31">
      <c r="A238" s="12" t="s">
        <v>244</v>
      </c>
      <c r="B238" s="12"/>
      <c r="C238" s="12" t="s">
        <v>242</v>
      </c>
      <c r="D238" s="12"/>
      <c r="E238" s="32">
        <v>44107</v>
      </c>
      <c r="G238" s="8">
        <v>5992894</v>
      </c>
      <c r="I238" s="8">
        <v>0</v>
      </c>
      <c r="K238" s="3">
        <f t="shared" si="23"/>
        <v>23252962</v>
      </c>
      <c r="M238" s="8">
        <v>29245856</v>
      </c>
      <c r="O238" s="3">
        <f t="shared" si="24"/>
        <v>11889328</v>
      </c>
      <c r="Q238" s="8">
        <v>21673850</v>
      </c>
      <c r="S238" s="8">
        <v>33563178</v>
      </c>
      <c r="U238" s="8">
        <f>572251+2047+857532</f>
        <v>1431830</v>
      </c>
      <c r="W238" s="8">
        <v>0</v>
      </c>
      <c r="Y238" s="8">
        <v>-5749152</v>
      </c>
      <c r="AA238" s="14">
        <f t="shared" si="25"/>
        <v>-4317322</v>
      </c>
      <c r="AB238" s="8"/>
      <c r="AC238" s="8">
        <f t="shared" si="26"/>
        <v>0</v>
      </c>
    </row>
    <row r="239" spans="1:31">
      <c r="A239" s="12" t="s">
        <v>359</v>
      </c>
      <c r="B239" s="12"/>
      <c r="C239" s="12" t="s">
        <v>27</v>
      </c>
      <c r="D239" s="12"/>
      <c r="E239" s="32">
        <v>46953</v>
      </c>
      <c r="G239" s="8">
        <v>6095421</v>
      </c>
      <c r="I239" s="8">
        <v>0</v>
      </c>
      <c r="K239" s="3">
        <f t="shared" si="23"/>
        <v>6752344</v>
      </c>
      <c r="M239" s="8">
        <v>12847765</v>
      </c>
      <c r="O239" s="3">
        <f t="shared" si="24"/>
        <v>3370371</v>
      </c>
      <c r="Q239" s="8">
        <v>4195177</v>
      </c>
      <c r="S239" s="8">
        <v>7565548</v>
      </c>
      <c r="U239" s="8">
        <f>171063+19878+1978563</f>
        <v>2169504</v>
      </c>
      <c r="W239" s="8">
        <v>0</v>
      </c>
      <c r="Y239" s="8">
        <v>3112713</v>
      </c>
      <c r="AA239" s="14">
        <f t="shared" si="25"/>
        <v>5282217</v>
      </c>
      <c r="AB239" s="8"/>
      <c r="AC239" s="8">
        <f t="shared" si="26"/>
        <v>0</v>
      </c>
      <c r="AE239" s="8"/>
    </row>
    <row r="240" spans="1:31">
      <c r="A240" s="12" t="s">
        <v>422</v>
      </c>
      <c r="B240" s="12"/>
      <c r="C240" s="12" t="s">
        <v>421</v>
      </c>
      <c r="D240" s="12"/>
      <c r="E240" s="32">
        <v>47498</v>
      </c>
      <c r="G240" s="8">
        <v>1899466</v>
      </c>
      <c r="I240" s="8">
        <v>191554</v>
      </c>
      <c r="K240" s="3">
        <f t="shared" si="23"/>
        <v>1324954</v>
      </c>
      <c r="M240" s="8">
        <v>3415974</v>
      </c>
      <c r="O240" s="3">
        <f t="shared" si="24"/>
        <v>429819</v>
      </c>
      <c r="Q240" s="8">
        <v>934171</v>
      </c>
      <c r="S240" s="8">
        <v>1363990</v>
      </c>
      <c r="U240" s="8">
        <f>32467+92746+174238+17316</f>
        <v>316767</v>
      </c>
      <c r="W240" s="8">
        <v>0</v>
      </c>
      <c r="Y240" s="8">
        <v>1735217</v>
      </c>
      <c r="AA240" s="14">
        <f t="shared" si="25"/>
        <v>2051984</v>
      </c>
      <c r="AB240" s="8"/>
      <c r="AC240" s="8">
        <f t="shared" si="26"/>
        <v>0</v>
      </c>
    </row>
    <row r="241" spans="1:29">
      <c r="A241" s="12" t="s">
        <v>645</v>
      </c>
      <c r="B241" s="12"/>
      <c r="C241" s="12" t="s">
        <v>61</v>
      </c>
      <c r="D241" s="12"/>
      <c r="E241" s="32">
        <v>49791</v>
      </c>
      <c r="G241" s="8">
        <v>1675330</v>
      </c>
      <c r="I241" s="8">
        <v>64358</v>
      </c>
      <c r="K241" s="3">
        <f t="shared" si="23"/>
        <v>1855289</v>
      </c>
      <c r="M241" s="8">
        <v>3594977</v>
      </c>
      <c r="O241" s="3">
        <f t="shared" si="24"/>
        <v>746811</v>
      </c>
      <c r="Q241" s="8">
        <v>1489239</v>
      </c>
      <c r="S241" s="8">
        <v>2236050</v>
      </c>
      <c r="U241" s="8">
        <f>54290+144699+64358</f>
        <v>263347</v>
      </c>
      <c r="W241" s="8">
        <v>38784</v>
      </c>
      <c r="Y241" s="8">
        <v>1056796</v>
      </c>
      <c r="AA241" s="14">
        <f t="shared" si="25"/>
        <v>1358927</v>
      </c>
      <c r="AB241" s="8"/>
      <c r="AC241" s="8">
        <f t="shared" si="26"/>
        <v>0</v>
      </c>
    </row>
    <row r="242" spans="1:29">
      <c r="A242" s="12" t="s">
        <v>429</v>
      </c>
      <c r="B242" s="12"/>
      <c r="C242" s="12" t="s">
        <v>428</v>
      </c>
      <c r="D242" s="12"/>
      <c r="E242" s="32">
        <v>45245</v>
      </c>
      <c r="G242" s="8">
        <v>1017483</v>
      </c>
      <c r="I242" s="8">
        <v>742576</v>
      </c>
      <c r="K242" s="3">
        <f t="shared" si="23"/>
        <v>6383759</v>
      </c>
      <c r="M242" s="8">
        <v>8143818</v>
      </c>
      <c r="O242" s="3">
        <f t="shared" si="24"/>
        <v>4925652</v>
      </c>
      <c r="Q242" s="8">
        <v>1022440</v>
      </c>
      <c r="S242" s="8">
        <v>5948092</v>
      </c>
      <c r="U242" s="8">
        <f>224997+124333+52570+602515+73694+612902+55980+6363</f>
        <v>1753354</v>
      </c>
      <c r="W242" s="8">
        <v>78109</v>
      </c>
      <c r="Y242" s="8">
        <v>364263</v>
      </c>
      <c r="AA242" s="14">
        <f t="shared" si="25"/>
        <v>2195726</v>
      </c>
      <c r="AB242" s="8"/>
      <c r="AC242" s="8">
        <f t="shared" si="26"/>
        <v>0</v>
      </c>
    </row>
    <row r="243" spans="1:29">
      <c r="A243" s="12" t="s">
        <v>473</v>
      </c>
      <c r="B243" s="12"/>
      <c r="C243" s="12" t="s">
        <v>42</v>
      </c>
      <c r="D243" s="12"/>
      <c r="E243" s="32">
        <v>44115</v>
      </c>
      <c r="G243" s="8">
        <v>726770</v>
      </c>
      <c r="I243" s="8">
        <v>1006293</v>
      </c>
      <c r="K243" s="3">
        <f t="shared" si="23"/>
        <v>9713088</v>
      </c>
      <c r="M243" s="8">
        <v>11446151</v>
      </c>
      <c r="O243" s="3">
        <f t="shared" si="24"/>
        <v>1267784</v>
      </c>
      <c r="Q243" s="8">
        <f>7075277+4426</f>
        <v>7079703</v>
      </c>
      <c r="S243" s="8">
        <v>8347487</v>
      </c>
      <c r="U243" s="8">
        <f>131612+32046+381900+1006293</f>
        <v>1551851</v>
      </c>
      <c r="W243" s="8">
        <v>10026</v>
      </c>
      <c r="Y243" s="8">
        <v>1536787</v>
      </c>
      <c r="AA243" s="14">
        <f t="shared" si="25"/>
        <v>3098664</v>
      </c>
      <c r="AB243" s="8"/>
      <c r="AC243" s="8">
        <f t="shared" si="26"/>
        <v>0</v>
      </c>
    </row>
    <row r="244" spans="1:29" hidden="1">
      <c r="A244" s="12" t="s">
        <v>945</v>
      </c>
      <c r="B244" s="12"/>
      <c r="C244" s="12" t="s">
        <v>22</v>
      </c>
      <c r="D244" s="12"/>
      <c r="E244" s="32">
        <v>45419</v>
      </c>
      <c r="G244" s="8">
        <v>3672998</v>
      </c>
      <c r="K244" s="3">
        <f t="shared" si="23"/>
        <v>0</v>
      </c>
      <c r="M244" s="8">
        <v>3672998</v>
      </c>
      <c r="O244" s="3">
        <f t="shared" si="24"/>
        <v>0</v>
      </c>
      <c r="U244" s="8">
        <v>171943</v>
      </c>
      <c r="Y244" s="8">
        <v>3501055</v>
      </c>
      <c r="AA244" s="14">
        <f t="shared" si="25"/>
        <v>3672998</v>
      </c>
      <c r="AB244" s="8"/>
      <c r="AC244" s="8">
        <f t="shared" si="26"/>
        <v>0</v>
      </c>
    </row>
    <row r="245" spans="1:29">
      <c r="A245" s="12" t="s">
        <v>528</v>
      </c>
      <c r="B245" s="12"/>
      <c r="C245" s="12" t="s">
        <v>47</v>
      </c>
      <c r="D245" s="12"/>
      <c r="E245" s="32">
        <v>48496</v>
      </c>
      <c r="G245" s="8">
        <v>9104051</v>
      </c>
      <c r="I245" s="8">
        <v>0</v>
      </c>
      <c r="K245" s="3">
        <f t="shared" si="23"/>
        <v>16628553</v>
      </c>
      <c r="M245" s="8">
        <v>25732604</v>
      </c>
      <c r="O245" s="3">
        <f t="shared" si="24"/>
        <v>3376800</v>
      </c>
      <c r="Q245" s="8">
        <v>14949446</v>
      </c>
      <c r="S245" s="8">
        <v>18326246</v>
      </c>
      <c r="U245" s="8">
        <v>102151</v>
      </c>
      <c r="W245" s="8">
        <v>0</v>
      </c>
      <c r="Y245" s="8">
        <v>7304207</v>
      </c>
      <c r="AA245" s="14">
        <f t="shared" si="25"/>
        <v>7406358</v>
      </c>
      <c r="AB245" s="8"/>
      <c r="AC245" s="8">
        <f t="shared" si="26"/>
        <v>0</v>
      </c>
    </row>
    <row r="246" spans="1:29">
      <c r="A246" s="12" t="s">
        <v>528</v>
      </c>
      <c r="B246" s="12"/>
      <c r="C246" s="12" t="s">
        <v>78</v>
      </c>
      <c r="D246" s="12"/>
      <c r="E246" s="32">
        <v>48801</v>
      </c>
      <c r="G246" s="8">
        <v>2983807</v>
      </c>
      <c r="I246" s="8">
        <v>701789</v>
      </c>
      <c r="K246" s="3">
        <f t="shared" si="23"/>
        <v>3589623</v>
      </c>
      <c r="M246" s="8">
        <v>7275219</v>
      </c>
      <c r="O246" s="3">
        <f t="shared" si="24"/>
        <v>2276583</v>
      </c>
      <c r="Q246" s="8">
        <v>2254391</v>
      </c>
      <c r="S246" s="8">
        <v>4530974</v>
      </c>
      <c r="U246" s="8">
        <f>584201+699619+2170+30738</f>
        <v>1316728</v>
      </c>
      <c r="W246" s="8">
        <v>350000</v>
      </c>
      <c r="Y246" s="8">
        <v>1077517</v>
      </c>
      <c r="AA246" s="14">
        <f t="shared" si="25"/>
        <v>2744245</v>
      </c>
      <c r="AB246" s="8"/>
      <c r="AC246" s="8">
        <f t="shared" si="26"/>
        <v>0</v>
      </c>
    </row>
    <row r="247" spans="1:29">
      <c r="A247" s="12" t="s">
        <v>360</v>
      </c>
      <c r="B247" s="12"/>
      <c r="C247" s="12" t="s">
        <v>27</v>
      </c>
      <c r="D247" s="12"/>
      <c r="E247" s="32">
        <v>47019</v>
      </c>
      <c r="G247" s="8">
        <v>16955653</v>
      </c>
      <c r="I247" s="8">
        <v>0</v>
      </c>
      <c r="K247" s="3">
        <f t="shared" si="23"/>
        <v>100724842</v>
      </c>
      <c r="M247" s="8">
        <v>117680495</v>
      </c>
      <c r="O247" s="3">
        <f t="shared" si="24"/>
        <v>18042946</v>
      </c>
      <c r="Q247" s="8">
        <v>61736399</v>
      </c>
      <c r="S247" s="8">
        <v>79779345</v>
      </c>
      <c r="U247" s="8">
        <v>1632959</v>
      </c>
      <c r="W247" s="8">
        <v>38592208</v>
      </c>
      <c r="Y247" s="8">
        <v>-2324017</v>
      </c>
      <c r="AA247" s="14">
        <f t="shared" si="25"/>
        <v>37901150</v>
      </c>
      <c r="AB247" s="8"/>
      <c r="AC247" s="8">
        <f t="shared" si="26"/>
        <v>0</v>
      </c>
    </row>
    <row r="248" spans="1:29">
      <c r="A248" s="12" t="s">
        <v>438</v>
      </c>
      <c r="B248" s="12"/>
      <c r="C248" s="12" t="s">
        <v>435</v>
      </c>
      <c r="D248" s="12"/>
      <c r="E248" s="32">
        <v>44123</v>
      </c>
      <c r="G248" s="8">
        <v>3448012</v>
      </c>
      <c r="I248" s="8">
        <v>0</v>
      </c>
      <c r="K248" s="3">
        <f t="shared" si="23"/>
        <v>10127531</v>
      </c>
      <c r="M248" s="8">
        <v>13575543</v>
      </c>
      <c r="O248" s="3">
        <f t="shared" si="24"/>
        <v>2015408</v>
      </c>
      <c r="Q248" s="8">
        <v>8393369</v>
      </c>
      <c r="S248" s="8">
        <v>10408777</v>
      </c>
      <c r="U248" s="8">
        <f>242627+292629+75952</f>
        <v>611208</v>
      </c>
      <c r="W248" s="8">
        <v>0</v>
      </c>
      <c r="Y248" s="8">
        <v>2555558</v>
      </c>
      <c r="AA248" s="14">
        <f t="shared" si="25"/>
        <v>3166766</v>
      </c>
      <c r="AB248" s="8"/>
      <c r="AC248" s="8">
        <f t="shared" si="26"/>
        <v>0</v>
      </c>
    </row>
    <row r="249" spans="1:29">
      <c r="A249" s="12" t="s">
        <v>214</v>
      </c>
      <c r="B249" s="12"/>
      <c r="C249" s="12" t="s">
        <v>11</v>
      </c>
      <c r="D249" s="12"/>
      <c r="E249" s="32">
        <v>45823</v>
      </c>
      <c r="G249" s="8">
        <v>1507999</v>
      </c>
      <c r="I249" s="8">
        <v>0</v>
      </c>
      <c r="K249" s="3">
        <f>+M249-I249-G249</f>
        <v>4187260</v>
      </c>
      <c r="M249" s="8">
        <v>5695259</v>
      </c>
      <c r="O249" s="3">
        <f>+S249-Q249</f>
        <v>3815668</v>
      </c>
      <c r="Q249" s="8">
        <v>271744</v>
      </c>
      <c r="S249" s="8">
        <v>4087412</v>
      </c>
      <c r="U249" s="8">
        <f>145012+9653+1097565+101948</f>
        <v>1354178</v>
      </c>
      <c r="W249" s="8">
        <v>0</v>
      </c>
      <c r="Y249" s="8">
        <v>253669</v>
      </c>
      <c r="AA249" s="14">
        <f>+Y249+W249++U249</f>
        <v>1607847</v>
      </c>
      <c r="AB249" s="8"/>
      <c r="AC249" s="8">
        <f t="shared" si="26"/>
        <v>0</v>
      </c>
    </row>
    <row r="250" spans="1:29">
      <c r="A250" s="12" t="s">
        <v>430</v>
      </c>
      <c r="B250" s="12"/>
      <c r="C250" s="12" t="s">
        <v>34</v>
      </c>
      <c r="D250" s="12"/>
      <c r="E250" s="32">
        <v>47571</v>
      </c>
      <c r="G250" s="8">
        <v>2036628</v>
      </c>
      <c r="I250" s="8">
        <v>37226</v>
      </c>
      <c r="K250" s="3">
        <f t="shared" si="23"/>
        <v>1228049</v>
      </c>
      <c r="M250" s="8">
        <v>3301903</v>
      </c>
      <c r="O250" s="3">
        <f t="shared" si="24"/>
        <v>479969</v>
      </c>
      <c r="Q250" s="8">
        <v>966097</v>
      </c>
      <c r="S250" s="8">
        <v>1446066</v>
      </c>
      <c r="U250" s="8">
        <f>42853+32799+4427+5322</f>
        <v>85401</v>
      </c>
      <c r="W250" s="8">
        <v>0</v>
      </c>
      <c r="Y250" s="8">
        <v>1770436</v>
      </c>
      <c r="AA250" s="14">
        <f t="shared" si="25"/>
        <v>1855837</v>
      </c>
      <c r="AB250" s="8"/>
      <c r="AC250" s="8">
        <f t="shared" si="26"/>
        <v>0</v>
      </c>
    </row>
    <row r="251" spans="1:29">
      <c r="A251" s="12" t="s">
        <v>680</v>
      </c>
      <c r="B251" s="12"/>
      <c r="C251" s="12" t="s">
        <v>64</v>
      </c>
      <c r="D251" s="12"/>
      <c r="E251" s="32">
        <v>50161</v>
      </c>
      <c r="G251" s="8">
        <v>1416960</v>
      </c>
      <c r="I251" s="8">
        <v>4487</v>
      </c>
      <c r="K251" s="3">
        <f t="shared" si="23"/>
        <v>19132900</v>
      </c>
      <c r="M251" s="8">
        <v>20554347</v>
      </c>
      <c r="O251" s="3">
        <f t="shared" si="24"/>
        <v>19477134</v>
      </c>
      <c r="Q251" s="8">
        <v>3248442</v>
      </c>
      <c r="S251" s="8">
        <v>22725576</v>
      </c>
      <c r="U251" s="8">
        <f>11371+43145+35545+77899+4487</f>
        <v>172447</v>
      </c>
      <c r="W251" s="8">
        <v>0</v>
      </c>
      <c r="Y251" s="8">
        <v>-2343676</v>
      </c>
      <c r="AA251" s="14">
        <f t="shared" si="25"/>
        <v>-2171229</v>
      </c>
      <c r="AB251" s="8"/>
      <c r="AC251" s="8">
        <f t="shared" si="26"/>
        <v>0</v>
      </c>
    </row>
    <row r="252" spans="1:29">
      <c r="A252" s="12" t="s">
        <v>681</v>
      </c>
      <c r="B252" s="12"/>
      <c r="C252" s="12" t="s">
        <v>64</v>
      </c>
      <c r="D252" s="12"/>
      <c r="E252" s="32">
        <v>45427</v>
      </c>
      <c r="G252" s="8">
        <v>6833449</v>
      </c>
      <c r="I252" s="8">
        <v>384815</v>
      </c>
      <c r="K252" s="3">
        <f t="shared" si="23"/>
        <v>7685918</v>
      </c>
      <c r="M252" s="8">
        <v>14904182</v>
      </c>
      <c r="O252" s="3">
        <f t="shared" si="24"/>
        <v>2301562</v>
      </c>
      <c r="Q252" s="8">
        <v>7341992</v>
      </c>
      <c r="S252" s="8">
        <v>9643554</v>
      </c>
      <c r="U252" s="8">
        <f>5804+317920+66895+20509+32803</f>
        <v>443931</v>
      </c>
      <c r="W252" s="8">
        <v>0</v>
      </c>
      <c r="Y252" s="8">
        <v>4816697</v>
      </c>
      <c r="AA252" s="14">
        <f t="shared" si="25"/>
        <v>5260628</v>
      </c>
      <c r="AB252" s="8"/>
      <c r="AC252" s="8">
        <f t="shared" si="26"/>
        <v>0</v>
      </c>
    </row>
    <row r="253" spans="1:29">
      <c r="A253" s="12" t="s">
        <v>547</v>
      </c>
      <c r="B253" s="12"/>
      <c r="C253" s="12" t="s">
        <v>50</v>
      </c>
      <c r="D253" s="12"/>
      <c r="E253" s="32">
        <v>48751</v>
      </c>
      <c r="G253" s="8">
        <v>17095828</v>
      </c>
      <c r="I253" s="8">
        <v>1601617</v>
      </c>
      <c r="K253" s="3">
        <f t="shared" si="23"/>
        <v>35293520</v>
      </c>
      <c r="M253" s="8">
        <v>53990965</v>
      </c>
      <c r="O253" s="3">
        <f t="shared" si="24"/>
        <v>6795485</v>
      </c>
      <c r="Q253" s="8">
        <v>24400894</v>
      </c>
      <c r="S253" s="8">
        <v>31196379</v>
      </c>
      <c r="U253" s="8">
        <f>633065+502344+1429982+1601617</f>
        <v>4167008</v>
      </c>
      <c r="W253" s="8">
        <v>0</v>
      </c>
      <c r="Y253" s="8">
        <v>18627578</v>
      </c>
      <c r="AA253" s="14">
        <f t="shared" si="25"/>
        <v>22794586</v>
      </c>
      <c r="AB253" s="8"/>
      <c r="AC253" s="8">
        <f t="shared" si="26"/>
        <v>0</v>
      </c>
    </row>
    <row r="254" spans="1:29">
      <c r="A254" s="12" t="s">
        <v>666</v>
      </c>
      <c r="B254" s="12"/>
      <c r="C254" s="12" t="s">
        <v>63</v>
      </c>
      <c r="D254" s="12"/>
      <c r="E254" s="32">
        <v>50021</v>
      </c>
      <c r="G254" s="8">
        <v>16722888</v>
      </c>
      <c r="I254" s="8">
        <v>141643</v>
      </c>
      <c r="K254" s="3">
        <f t="shared" si="23"/>
        <v>35161818</v>
      </c>
      <c r="M254" s="8">
        <v>52026349</v>
      </c>
      <c r="O254" s="3">
        <f t="shared" si="24"/>
        <v>37354543</v>
      </c>
      <c r="Q254" s="8">
        <v>1651346</v>
      </c>
      <c r="S254" s="8">
        <v>39005889</v>
      </c>
      <c r="U254" s="8">
        <f>1851884+3559743+141643</f>
        <v>5553270</v>
      </c>
      <c r="W254" s="8">
        <v>0</v>
      </c>
      <c r="Y254" s="8">
        <v>7467190</v>
      </c>
      <c r="AA254" s="14">
        <f t="shared" si="25"/>
        <v>13020460</v>
      </c>
      <c r="AB254" s="8"/>
      <c r="AC254" s="8">
        <f t="shared" si="26"/>
        <v>0</v>
      </c>
    </row>
    <row r="255" spans="1:29">
      <c r="A255" s="12" t="s">
        <v>618</v>
      </c>
      <c r="B255" s="12"/>
      <c r="C255" s="12" t="s">
        <v>58</v>
      </c>
      <c r="D255" s="12"/>
      <c r="E255" s="32">
        <v>49502</v>
      </c>
      <c r="G255" s="8">
        <v>4862142</v>
      </c>
      <c r="I255" s="8">
        <v>577983</v>
      </c>
      <c r="K255" s="3">
        <f t="shared" si="23"/>
        <v>1381157</v>
      </c>
      <c r="M255" s="8">
        <v>6821282</v>
      </c>
      <c r="O255" s="3">
        <f t="shared" si="24"/>
        <v>1163062</v>
      </c>
      <c r="Q255" s="8">
        <v>1208695</v>
      </c>
      <c r="S255" s="8">
        <v>2371757</v>
      </c>
      <c r="U255" s="8">
        <f>45748+114349+9827+393993+185302+688</f>
        <v>749907</v>
      </c>
      <c r="W255" s="8">
        <v>0</v>
      </c>
      <c r="Y255" s="8">
        <v>3699618</v>
      </c>
      <c r="AA255" s="14">
        <f t="shared" si="25"/>
        <v>4449525</v>
      </c>
      <c r="AB255" s="8"/>
      <c r="AC255" s="8">
        <f t="shared" si="26"/>
        <v>0</v>
      </c>
    </row>
    <row r="256" spans="1:29">
      <c r="A256" s="12" t="s">
        <v>337</v>
      </c>
      <c r="B256" s="12"/>
      <c r="C256" s="12" t="s">
        <v>24</v>
      </c>
      <c r="D256" s="12"/>
      <c r="E256" s="32">
        <v>44131</v>
      </c>
      <c r="G256" s="8">
        <v>6462243</v>
      </c>
      <c r="I256" s="8">
        <v>26629</v>
      </c>
      <c r="K256" s="3">
        <f t="shared" si="23"/>
        <v>10095409</v>
      </c>
      <c r="M256" s="8">
        <v>16584281</v>
      </c>
      <c r="O256" s="3">
        <f t="shared" si="24"/>
        <v>9898254</v>
      </c>
      <c r="Q256" s="8">
        <v>561609</v>
      </c>
      <c r="S256" s="8">
        <v>10459863</v>
      </c>
      <c r="U256" s="8">
        <f>190053+2060+1321659+26629</f>
        <v>1540401</v>
      </c>
      <c r="W256" s="8">
        <v>0</v>
      </c>
      <c r="Y256" s="8">
        <v>4584017</v>
      </c>
      <c r="AA256" s="14">
        <f t="shared" si="25"/>
        <v>6124418</v>
      </c>
      <c r="AB256" s="8"/>
      <c r="AC256" s="8">
        <f t="shared" si="26"/>
        <v>0</v>
      </c>
    </row>
    <row r="257" spans="1:31">
      <c r="A257" s="12" t="s">
        <v>309</v>
      </c>
      <c r="B257" s="12"/>
      <c r="C257" s="12" t="s">
        <v>20</v>
      </c>
      <c r="D257" s="12"/>
      <c r="E257" s="32">
        <v>46565</v>
      </c>
      <c r="G257" s="8">
        <v>903491</v>
      </c>
      <c r="I257" s="8">
        <v>0</v>
      </c>
      <c r="K257" s="3">
        <f>+M257-I257-G257</f>
        <v>14687624</v>
      </c>
      <c r="M257" s="8">
        <v>15591115</v>
      </c>
      <c r="O257" s="3">
        <f t="shared" si="24"/>
        <v>1933339</v>
      </c>
      <c r="Q257" s="8">
        <v>12202442</v>
      </c>
      <c r="S257" s="8">
        <v>14135781</v>
      </c>
      <c r="U257" s="8">
        <f>34651+1777675</f>
        <v>1812326</v>
      </c>
      <c r="W257" s="8">
        <v>0</v>
      </c>
      <c r="Y257" s="8">
        <v>-356992</v>
      </c>
      <c r="AA257" s="14">
        <f t="shared" si="25"/>
        <v>1455334</v>
      </c>
      <c r="AB257" s="8"/>
      <c r="AC257" s="8">
        <f t="shared" si="26"/>
        <v>0</v>
      </c>
    </row>
    <row r="258" spans="1:31" s="8" customFormat="1">
      <c r="A258" s="13" t="s">
        <v>451</v>
      </c>
      <c r="B258" s="13"/>
      <c r="C258" s="13" t="s">
        <v>39</v>
      </c>
      <c r="D258" s="13"/>
      <c r="E258" s="13">
        <v>47803</v>
      </c>
      <c r="G258" s="8">
        <v>263540</v>
      </c>
      <c r="I258" s="8">
        <v>69324</v>
      </c>
      <c r="K258" s="3">
        <f>+M258-I258-G258</f>
        <v>8237399</v>
      </c>
      <c r="M258" s="8">
        <v>8570263</v>
      </c>
      <c r="O258" s="3">
        <f>+S258-Q258</f>
        <v>2031922</v>
      </c>
      <c r="Q258" s="8">
        <v>7569750</v>
      </c>
      <c r="S258" s="8">
        <v>9601672</v>
      </c>
      <c r="U258" s="8">
        <f>108150+550819+69324</f>
        <v>728293</v>
      </c>
      <c r="W258" s="8">
        <v>0</v>
      </c>
      <c r="Y258" s="8">
        <v>-1759702</v>
      </c>
      <c r="AA258" s="14">
        <f>+Y258+W258++U258</f>
        <v>-1031409</v>
      </c>
      <c r="AC258" s="8">
        <f t="shared" si="26"/>
        <v>0</v>
      </c>
    </row>
    <row r="259" spans="1:31">
      <c r="A259" s="12" t="s">
        <v>395</v>
      </c>
      <c r="B259" s="12"/>
      <c r="C259" s="12" t="s">
        <v>32</v>
      </c>
      <c r="D259" s="12"/>
      <c r="E259" s="32">
        <v>45435</v>
      </c>
      <c r="G259" s="8">
        <v>21701526</v>
      </c>
      <c r="I259" s="8">
        <v>27576</v>
      </c>
      <c r="K259" s="3">
        <f t="shared" ref="K259:K274" si="27">+M259-I259-G259</f>
        <v>27002164</v>
      </c>
      <c r="M259" s="8">
        <v>48731266</v>
      </c>
      <c r="O259" s="3">
        <f t="shared" ref="O259:O273" si="28">+S259-Q259</f>
        <v>18464790</v>
      </c>
      <c r="Q259" s="8">
        <v>475000</v>
      </c>
      <c r="S259" s="8">
        <v>18939790</v>
      </c>
      <c r="U259" s="8">
        <f>60504+9578000+1588+27576</f>
        <v>9667668</v>
      </c>
      <c r="W259" s="8">
        <v>0</v>
      </c>
      <c r="Y259" s="8">
        <v>20123808</v>
      </c>
      <c r="AA259" s="14">
        <f t="shared" ref="AA259:AA274" si="29">+Y259+W259++U259</f>
        <v>29791476</v>
      </c>
      <c r="AB259" s="8"/>
      <c r="AC259" s="8">
        <f t="shared" si="26"/>
        <v>0</v>
      </c>
    </row>
    <row r="260" spans="1:31" hidden="1">
      <c r="A260" s="12" t="s">
        <v>947</v>
      </c>
      <c r="B260" s="12"/>
      <c r="C260" s="12" t="s">
        <v>43</v>
      </c>
      <c r="D260" s="12"/>
      <c r="E260" s="32"/>
      <c r="G260" s="8">
        <v>3187756</v>
      </c>
      <c r="K260" s="3">
        <f t="shared" si="27"/>
        <v>0</v>
      </c>
      <c r="M260" s="8">
        <v>3187756</v>
      </c>
      <c r="O260" s="3">
        <f t="shared" si="28"/>
        <v>0</v>
      </c>
      <c r="U260" s="8">
        <v>66011</v>
      </c>
      <c r="Y260" s="8">
        <v>3121745</v>
      </c>
      <c r="AA260" s="14">
        <f t="shared" si="29"/>
        <v>3187756</v>
      </c>
      <c r="AB260" s="8"/>
      <c r="AC260" s="8">
        <f t="shared" si="26"/>
        <v>0</v>
      </c>
    </row>
    <row r="261" spans="1:31">
      <c r="A261" s="12" t="s">
        <v>697</v>
      </c>
      <c r="B261" s="12"/>
      <c r="C261" s="12" t="s">
        <v>65</v>
      </c>
      <c r="D261" s="12"/>
      <c r="E261" s="32">
        <v>50286</v>
      </c>
      <c r="G261" s="8">
        <v>2107638</v>
      </c>
      <c r="I261" s="8">
        <v>0</v>
      </c>
      <c r="K261" s="3">
        <f t="shared" si="27"/>
        <v>3989651</v>
      </c>
      <c r="M261" s="8">
        <v>6097289</v>
      </c>
      <c r="O261" s="3">
        <f t="shared" si="28"/>
        <v>1903496</v>
      </c>
      <c r="Q261" s="8">
        <v>3659832</v>
      </c>
      <c r="S261" s="8">
        <v>5563328</v>
      </c>
      <c r="U261" s="8">
        <f>60910+46456+258057</f>
        <v>365423</v>
      </c>
      <c r="W261" s="8">
        <v>0</v>
      </c>
      <c r="Y261" s="8">
        <v>168538</v>
      </c>
      <c r="AA261" s="14">
        <f t="shared" si="29"/>
        <v>533961</v>
      </c>
      <c r="AB261" s="8"/>
      <c r="AC261" s="8">
        <f t="shared" si="26"/>
        <v>0</v>
      </c>
    </row>
    <row r="262" spans="1:31">
      <c r="A262" s="12" t="s">
        <v>469</v>
      </c>
      <c r="B262" s="12"/>
      <c r="C262" s="12" t="s">
        <v>466</v>
      </c>
      <c r="D262" s="12"/>
      <c r="E262" s="32">
        <v>44149</v>
      </c>
      <c r="G262" s="8">
        <v>1363433</v>
      </c>
      <c r="I262" s="8">
        <v>1004997</v>
      </c>
      <c r="K262" s="3">
        <f t="shared" si="27"/>
        <v>2947326</v>
      </c>
      <c r="M262" s="8">
        <v>5315756</v>
      </c>
      <c r="O262" s="3">
        <f t="shared" si="28"/>
        <v>1959565</v>
      </c>
      <c r="Q262" s="8">
        <v>2159988</v>
      </c>
      <c r="S262" s="8">
        <v>4119553</v>
      </c>
      <c r="U262" s="8">
        <f>227500+403545+965209+35379+4409</f>
        <v>1636042</v>
      </c>
      <c r="W262" s="8">
        <v>0</v>
      </c>
      <c r="Y262" s="8">
        <v>-439839</v>
      </c>
      <c r="AA262" s="14">
        <f t="shared" si="29"/>
        <v>1196203</v>
      </c>
      <c r="AB262" s="8"/>
      <c r="AC262" s="8">
        <f t="shared" si="26"/>
        <v>0</v>
      </c>
    </row>
    <row r="263" spans="1:31" hidden="1">
      <c r="A263" s="12" t="s">
        <v>948</v>
      </c>
      <c r="B263" s="12"/>
      <c r="C263" s="12" t="s">
        <v>61</v>
      </c>
      <c r="D263" s="12"/>
      <c r="E263" s="32">
        <v>49809</v>
      </c>
      <c r="G263" s="8">
        <v>746283</v>
      </c>
      <c r="K263" s="3">
        <f t="shared" si="27"/>
        <v>0</v>
      </c>
      <c r="M263" s="8">
        <v>746283</v>
      </c>
      <c r="O263" s="3">
        <f t="shared" si="28"/>
        <v>0</v>
      </c>
      <c r="U263" s="8">
        <v>56689</v>
      </c>
      <c r="Y263" s="8">
        <v>689594</v>
      </c>
      <c r="AA263" s="14">
        <f t="shared" si="29"/>
        <v>746283</v>
      </c>
      <c r="AB263" s="8"/>
      <c r="AC263" s="8">
        <f t="shared" si="26"/>
        <v>0</v>
      </c>
    </row>
    <row r="264" spans="1:31" hidden="1">
      <c r="A264" s="12" t="s">
        <v>982</v>
      </c>
      <c r="B264" s="12"/>
      <c r="C264" s="12" t="s">
        <v>38</v>
      </c>
      <c r="D264" s="12"/>
      <c r="E264" s="32"/>
      <c r="G264" s="8">
        <v>1857961</v>
      </c>
      <c r="K264" s="3">
        <f t="shared" si="27"/>
        <v>0</v>
      </c>
      <c r="M264" s="8">
        <v>1857961</v>
      </c>
      <c r="O264" s="3">
        <f t="shared" si="28"/>
        <v>0</v>
      </c>
      <c r="U264" s="8">
        <v>60815</v>
      </c>
      <c r="Y264" s="8">
        <v>1797146</v>
      </c>
      <c r="AA264" s="14">
        <f t="shared" si="29"/>
        <v>1857961</v>
      </c>
      <c r="AB264" s="8"/>
      <c r="AC264" s="8">
        <f t="shared" si="26"/>
        <v>0</v>
      </c>
      <c r="AE264" s="8" t="s">
        <v>956</v>
      </c>
    </row>
    <row r="265" spans="1:31">
      <c r="A265" s="12" t="s">
        <v>652</v>
      </c>
      <c r="B265" s="12"/>
      <c r="C265" s="12" t="s">
        <v>62</v>
      </c>
      <c r="D265" s="12"/>
      <c r="E265" s="32">
        <v>49858</v>
      </c>
      <c r="G265" s="8">
        <v>8414213</v>
      </c>
      <c r="I265" s="8">
        <v>0</v>
      </c>
      <c r="K265" s="3">
        <f t="shared" si="27"/>
        <v>36262859</v>
      </c>
      <c r="M265" s="8">
        <v>44677072</v>
      </c>
      <c r="O265" s="3">
        <f t="shared" si="28"/>
        <v>39387587</v>
      </c>
      <c r="Q265" s="8">
        <v>1489168</v>
      </c>
      <c r="S265" s="8">
        <v>40876755</v>
      </c>
      <c r="U265" s="8">
        <f>538240+121979+35650+1684372</f>
        <v>2380241</v>
      </c>
      <c r="W265" s="8">
        <v>0</v>
      </c>
      <c r="Y265" s="8">
        <v>1420076</v>
      </c>
      <c r="AA265" s="14">
        <f t="shared" si="29"/>
        <v>3800317</v>
      </c>
      <c r="AB265" s="8"/>
      <c r="AC265" s="8">
        <f t="shared" ref="AC265:AC273" si="30">+G265+I265+K265-O265-Q265-Y265-W265-U265</f>
        <v>0</v>
      </c>
    </row>
    <row r="266" spans="1:31">
      <c r="A266" s="12" t="s">
        <v>512</v>
      </c>
      <c r="B266" s="12"/>
      <c r="C266" s="12" t="s">
        <v>45</v>
      </c>
      <c r="D266" s="12"/>
      <c r="E266" s="32">
        <v>48322</v>
      </c>
      <c r="G266" s="8">
        <v>2847742</v>
      </c>
      <c r="I266" s="8">
        <v>32441</v>
      </c>
      <c r="K266" s="3">
        <f t="shared" si="27"/>
        <v>3138971</v>
      </c>
      <c r="M266" s="8">
        <v>6019154</v>
      </c>
      <c r="O266" s="3">
        <f t="shared" si="28"/>
        <v>3927499</v>
      </c>
      <c r="Q266" s="8">
        <v>205938</v>
      </c>
      <c r="S266" s="8">
        <v>4133437</v>
      </c>
      <c r="U266" s="8">
        <f>44046+10685+32441</f>
        <v>87172</v>
      </c>
      <c r="W266" s="8">
        <v>0</v>
      </c>
      <c r="Y266" s="8">
        <v>1798545</v>
      </c>
      <c r="AA266" s="14">
        <f t="shared" si="29"/>
        <v>1885717</v>
      </c>
      <c r="AB266" s="8"/>
      <c r="AC266" s="8">
        <f t="shared" si="30"/>
        <v>0</v>
      </c>
    </row>
    <row r="267" spans="1:31">
      <c r="A267" s="12" t="s">
        <v>591</v>
      </c>
      <c r="B267" s="12"/>
      <c r="C267" s="12" t="s">
        <v>56</v>
      </c>
      <c r="D267" s="12"/>
      <c r="E267" s="32">
        <v>49205</v>
      </c>
      <c r="G267" s="8">
        <v>2481995</v>
      </c>
      <c r="I267" s="8">
        <v>118832</v>
      </c>
      <c r="K267" s="3">
        <f t="shared" si="27"/>
        <v>4499231</v>
      </c>
      <c r="M267" s="8">
        <v>7100058</v>
      </c>
      <c r="O267" s="3">
        <f t="shared" si="28"/>
        <v>5185705</v>
      </c>
      <c r="Q267" s="8">
        <v>384777</v>
      </c>
      <c r="S267" s="8">
        <v>5570482</v>
      </c>
      <c r="U267" s="8">
        <f>102391+18396+27597+370478+50662+68170</f>
        <v>637694</v>
      </c>
      <c r="W267" s="8">
        <v>0</v>
      </c>
      <c r="Y267" s="8">
        <v>891882</v>
      </c>
      <c r="AA267" s="14">
        <f t="shared" si="29"/>
        <v>1529576</v>
      </c>
      <c r="AB267" s="8"/>
      <c r="AC267" s="8">
        <f t="shared" si="30"/>
        <v>0</v>
      </c>
    </row>
    <row r="268" spans="1:31">
      <c r="A268" s="12" t="s">
        <v>984</v>
      </c>
      <c r="B268" s="12"/>
      <c r="C268" s="12" t="s">
        <v>12</v>
      </c>
      <c r="D268" s="12"/>
      <c r="E268" s="32">
        <v>45872</v>
      </c>
      <c r="G268" s="8">
        <v>2244252</v>
      </c>
      <c r="I268" s="8">
        <v>1180388</v>
      </c>
      <c r="K268" s="3">
        <f t="shared" si="27"/>
        <v>5758921</v>
      </c>
      <c r="M268" s="8">
        <v>9183561</v>
      </c>
      <c r="O268" s="3">
        <f t="shared" si="28"/>
        <v>2167317</v>
      </c>
      <c r="Q268" s="8">
        <v>3516447</v>
      </c>
      <c r="S268" s="8">
        <v>5683764</v>
      </c>
      <c r="U268" s="8">
        <f>235404+1178466+1922+2117453</f>
        <v>3533245</v>
      </c>
      <c r="W268" s="8">
        <v>0</v>
      </c>
      <c r="Y268" s="8">
        <v>-33448</v>
      </c>
      <c r="AA268" s="14">
        <f t="shared" si="29"/>
        <v>3499797</v>
      </c>
      <c r="AB268" s="8"/>
      <c r="AC268" s="8">
        <f t="shared" si="30"/>
        <v>0</v>
      </c>
      <c r="AE268" s="8" t="s">
        <v>956</v>
      </c>
    </row>
    <row r="269" spans="1:31">
      <c r="A269" s="12" t="s">
        <v>504</v>
      </c>
      <c r="B269" s="12"/>
      <c r="C269" s="12" t="s">
        <v>505</v>
      </c>
      <c r="D269" s="12"/>
      <c r="E269" s="32">
        <v>48256</v>
      </c>
      <c r="G269" s="8">
        <v>6106835</v>
      </c>
      <c r="I269" s="8">
        <v>3880</v>
      </c>
      <c r="K269" s="3">
        <f t="shared" si="27"/>
        <v>4901824</v>
      </c>
      <c r="M269" s="8">
        <v>11012539</v>
      </c>
      <c r="O269" s="3">
        <f t="shared" si="28"/>
        <v>3617463</v>
      </c>
      <c r="Q269" s="8">
        <v>129809</v>
      </c>
      <c r="S269" s="8">
        <v>3747272</v>
      </c>
      <c r="U269" s="8">
        <f>93266+44390+1978339+3880</f>
        <v>2119875</v>
      </c>
      <c r="W269" s="8">
        <v>0</v>
      </c>
      <c r="Y269" s="8">
        <v>5145392</v>
      </c>
      <c r="AA269" s="14">
        <f t="shared" si="29"/>
        <v>7265267</v>
      </c>
      <c r="AB269" s="8"/>
      <c r="AC269" s="8">
        <f t="shared" si="30"/>
        <v>0</v>
      </c>
    </row>
    <row r="270" spans="1:31">
      <c r="A270" s="12" t="s">
        <v>548</v>
      </c>
      <c r="B270" s="12"/>
      <c r="C270" s="12" t="s">
        <v>50</v>
      </c>
      <c r="D270" s="12"/>
      <c r="E270" s="32">
        <v>48686</v>
      </c>
      <c r="G270" s="8">
        <v>1327717</v>
      </c>
      <c r="I270" s="3">
        <v>9948</v>
      </c>
      <c r="K270" s="3">
        <f t="shared" si="27"/>
        <v>3659668</v>
      </c>
      <c r="M270" s="8">
        <v>4997333</v>
      </c>
      <c r="O270" s="3">
        <f t="shared" si="28"/>
        <v>3438254</v>
      </c>
      <c r="Q270" s="8">
        <v>377726</v>
      </c>
      <c r="S270" s="8">
        <v>3815980</v>
      </c>
      <c r="U270" s="8">
        <f>95713+15418+10801+216117+5450+4498+35952</f>
        <v>383949</v>
      </c>
      <c r="W270" s="8">
        <v>0</v>
      </c>
      <c r="Y270" s="8">
        <v>797404</v>
      </c>
      <c r="AA270" s="14">
        <f t="shared" si="29"/>
        <v>1181353</v>
      </c>
      <c r="AB270" s="8"/>
      <c r="AC270" s="8">
        <f t="shared" si="30"/>
        <v>0</v>
      </c>
      <c r="AE270" s="8" t="s">
        <v>956</v>
      </c>
    </row>
    <row r="271" spans="1:31" hidden="1">
      <c r="A271" s="12" t="s">
        <v>949</v>
      </c>
      <c r="B271" s="12"/>
      <c r="C271" s="12" t="s">
        <v>603</v>
      </c>
      <c r="D271" s="12"/>
      <c r="E271" s="32"/>
      <c r="G271" s="8">
        <v>293360</v>
      </c>
      <c r="I271" s="3">
        <v>43003</v>
      </c>
      <c r="K271" s="3">
        <f t="shared" si="27"/>
        <v>0</v>
      </c>
      <c r="M271" s="8">
        <v>336363</v>
      </c>
      <c r="O271" s="3">
        <f t="shared" si="28"/>
        <v>0</v>
      </c>
      <c r="U271" s="8">
        <f>39973+153+41600</f>
        <v>81726</v>
      </c>
      <c r="Y271" s="8">
        <v>254637</v>
      </c>
      <c r="AA271" s="14">
        <f t="shared" si="29"/>
        <v>336363</v>
      </c>
      <c r="AB271" s="8"/>
      <c r="AC271" s="8">
        <f t="shared" si="30"/>
        <v>0</v>
      </c>
    </row>
    <row r="272" spans="1:31">
      <c r="A272" s="12" t="s">
        <v>474</v>
      </c>
      <c r="B272" s="12"/>
      <c r="C272" s="12" t="s">
        <v>42</v>
      </c>
      <c r="D272" s="12"/>
      <c r="E272" s="32">
        <v>47985</v>
      </c>
      <c r="G272" s="8">
        <v>3712364</v>
      </c>
      <c r="I272" s="8">
        <v>150375</v>
      </c>
      <c r="K272" s="3">
        <f t="shared" si="27"/>
        <v>5622902</v>
      </c>
      <c r="M272" s="8">
        <v>9485641</v>
      </c>
      <c r="O272" s="3">
        <f t="shared" si="28"/>
        <v>5153402</v>
      </c>
      <c r="Q272" s="8">
        <v>210838</v>
      </c>
      <c r="S272" s="8">
        <v>5364240</v>
      </c>
      <c r="U272" s="8">
        <f>97927+12901+8269+237900+146420+3955</f>
        <v>507372</v>
      </c>
      <c r="W272" s="8">
        <v>629497</v>
      </c>
      <c r="Y272" s="8">
        <v>2984532</v>
      </c>
      <c r="AA272" s="14">
        <f t="shared" si="29"/>
        <v>4121401</v>
      </c>
      <c r="AB272" s="8"/>
      <c r="AC272" s="8">
        <f t="shared" si="30"/>
        <v>0</v>
      </c>
    </row>
    <row r="273" spans="1:31">
      <c r="A273" s="12" t="s">
        <v>506</v>
      </c>
      <c r="B273" s="12"/>
      <c r="C273" s="12" t="s">
        <v>505</v>
      </c>
      <c r="D273" s="12"/>
      <c r="E273" s="32">
        <v>48264</v>
      </c>
      <c r="G273" s="8">
        <v>2101598</v>
      </c>
      <c r="I273" s="8">
        <v>44799</v>
      </c>
      <c r="K273" s="3">
        <f t="shared" si="27"/>
        <v>5456246</v>
      </c>
      <c r="M273" s="8">
        <v>7602643</v>
      </c>
      <c r="O273" s="3">
        <f t="shared" si="28"/>
        <v>5206013</v>
      </c>
      <c r="Q273" s="8">
        <v>76849</v>
      </c>
      <c r="S273" s="8">
        <v>5282862</v>
      </c>
      <c r="U273" s="8">
        <f>13901+1254695+44799</f>
        <v>1313395</v>
      </c>
      <c r="W273" s="8">
        <v>0</v>
      </c>
      <c r="Y273" s="8">
        <v>1006386</v>
      </c>
      <c r="AA273" s="14">
        <f t="shared" si="29"/>
        <v>2319781</v>
      </c>
      <c r="AB273" s="8"/>
      <c r="AC273" s="8">
        <f t="shared" si="30"/>
        <v>0</v>
      </c>
    </row>
    <row r="274" spans="1:31">
      <c r="A274" s="12" t="s">
        <v>682</v>
      </c>
      <c r="B274" s="12"/>
      <c r="C274" s="12" t="s">
        <v>64</v>
      </c>
      <c r="D274" s="12"/>
      <c r="E274" s="32">
        <v>50179</v>
      </c>
      <c r="G274" s="8">
        <v>1989078</v>
      </c>
      <c r="I274" s="8">
        <v>82175</v>
      </c>
      <c r="K274" s="3">
        <f t="shared" si="27"/>
        <v>3287414</v>
      </c>
      <c r="M274" s="8">
        <v>5358667</v>
      </c>
      <c r="O274" s="3">
        <f t="shared" ref="O274:O320" si="31">+S274-Q274</f>
        <v>833391</v>
      </c>
      <c r="Q274" s="8">
        <v>3249258</v>
      </c>
      <c r="S274" s="8">
        <v>4082649</v>
      </c>
      <c r="U274" s="8">
        <f>21335+15686+46350+33356+2469</f>
        <v>119196</v>
      </c>
      <c r="W274" s="8">
        <v>0</v>
      </c>
      <c r="Y274" s="8">
        <v>1156822</v>
      </c>
      <c r="AA274" s="14">
        <f t="shared" si="29"/>
        <v>1276018</v>
      </c>
      <c r="AB274" s="8"/>
      <c r="AC274" s="8">
        <f t="shared" ref="AC274:AC320" si="32">+G274+I274+K274-O274-Q274-Y274-W274-U274</f>
        <v>0</v>
      </c>
    </row>
    <row r="275" spans="1:31">
      <c r="A275" s="12" t="s">
        <v>338</v>
      </c>
      <c r="B275" s="12"/>
      <c r="C275" s="12" t="s">
        <v>24</v>
      </c>
      <c r="D275" s="12"/>
      <c r="E275" s="32">
        <v>46797</v>
      </c>
      <c r="G275" s="8">
        <v>406856</v>
      </c>
      <c r="I275" s="8">
        <v>0</v>
      </c>
      <c r="K275" s="3">
        <f t="shared" ref="K275:K320" si="33">+M275-I275-G275</f>
        <v>880094</v>
      </c>
      <c r="M275" s="8">
        <v>1286950</v>
      </c>
      <c r="O275" s="3">
        <f t="shared" si="31"/>
        <v>793405</v>
      </c>
      <c r="Q275" s="8">
        <v>28978</v>
      </c>
      <c r="S275" s="8">
        <v>822383</v>
      </c>
      <c r="U275" s="8">
        <f>16190+4578+141026</f>
        <v>161794</v>
      </c>
      <c r="W275" s="8">
        <v>0</v>
      </c>
      <c r="Y275" s="8">
        <v>302773</v>
      </c>
      <c r="AA275" s="14">
        <f t="shared" ref="AA275:AA320" si="34">+Y275+W275++U275</f>
        <v>464567</v>
      </c>
      <c r="AB275" s="8"/>
      <c r="AC275" s="8">
        <f t="shared" si="32"/>
        <v>0</v>
      </c>
    </row>
    <row r="276" spans="1:31">
      <c r="A276" s="12" t="s">
        <v>380</v>
      </c>
      <c r="B276" s="12"/>
      <c r="C276" s="12" t="s">
        <v>30</v>
      </c>
      <c r="D276" s="12"/>
      <c r="E276" s="32">
        <v>47191</v>
      </c>
      <c r="G276" s="8">
        <v>8802611</v>
      </c>
      <c r="I276" s="8">
        <v>1005</v>
      </c>
      <c r="K276" s="3">
        <f t="shared" si="33"/>
        <v>23581182</v>
      </c>
      <c r="M276" s="8">
        <v>32384798</v>
      </c>
      <c r="O276" s="3">
        <f t="shared" si="31"/>
        <v>4104129</v>
      </c>
      <c r="Q276" s="8">
        <v>19738316</v>
      </c>
      <c r="S276" s="8">
        <v>23842445</v>
      </c>
      <c r="U276" s="8">
        <f>1922762+1005+3350200</f>
        <v>5273967</v>
      </c>
      <c r="W276" s="8">
        <v>0</v>
      </c>
      <c r="Y276" s="8">
        <v>3268386</v>
      </c>
      <c r="AA276" s="14">
        <f t="shared" si="34"/>
        <v>8542353</v>
      </c>
      <c r="AB276" s="8"/>
      <c r="AC276" s="8">
        <f t="shared" si="32"/>
        <v>0</v>
      </c>
    </row>
    <row r="277" spans="1:31">
      <c r="A277" s="12" t="s">
        <v>592</v>
      </c>
      <c r="B277" s="12"/>
      <c r="C277" s="12" t="s">
        <v>56</v>
      </c>
      <c r="D277" s="12"/>
      <c r="E277" s="32">
        <v>44164</v>
      </c>
      <c r="G277" s="8">
        <v>15792608</v>
      </c>
      <c r="I277" s="8">
        <v>0</v>
      </c>
      <c r="K277" s="3">
        <f t="shared" si="33"/>
        <v>21372296</v>
      </c>
      <c r="M277" s="8">
        <v>37164904</v>
      </c>
      <c r="O277" s="3">
        <f t="shared" si="31"/>
        <v>5140121</v>
      </c>
      <c r="Q277" s="8">
        <v>19198275</v>
      </c>
      <c r="S277" s="8">
        <v>24338396</v>
      </c>
      <c r="U277" s="8">
        <f>334477+125362+1997174</f>
        <v>2457013</v>
      </c>
      <c r="W277" s="8">
        <v>0</v>
      </c>
      <c r="Y277" s="8">
        <v>10369495</v>
      </c>
      <c r="AA277" s="14">
        <f>+Y277+W277++U277</f>
        <v>12826508</v>
      </c>
      <c r="AB277" s="8"/>
      <c r="AC277" s="8">
        <f t="shared" si="32"/>
        <v>0</v>
      </c>
    </row>
    <row r="278" spans="1:31">
      <c r="A278" s="12" t="s">
        <v>423</v>
      </c>
      <c r="B278" s="12"/>
      <c r="C278" s="12" t="s">
        <v>421</v>
      </c>
      <c r="D278" s="12"/>
      <c r="E278" s="32">
        <v>44172</v>
      </c>
      <c r="G278" s="8">
        <v>3405932</v>
      </c>
      <c r="I278" s="8">
        <v>84678</v>
      </c>
      <c r="K278" s="3">
        <f t="shared" si="33"/>
        <v>4382478</v>
      </c>
      <c r="M278" s="8">
        <v>7873088</v>
      </c>
      <c r="O278" s="3">
        <f t="shared" si="31"/>
        <v>2121111</v>
      </c>
      <c r="Q278" s="8">
        <v>3278953</v>
      </c>
      <c r="S278" s="8">
        <v>5400064</v>
      </c>
      <c r="U278" s="8">
        <f>386025+68364+16314+212511</f>
        <v>683214</v>
      </c>
      <c r="W278" s="8">
        <v>0</v>
      </c>
      <c r="Y278" s="8">
        <v>1789810</v>
      </c>
      <c r="AA278" s="14">
        <f t="shared" si="34"/>
        <v>2473024</v>
      </c>
      <c r="AB278" s="8"/>
      <c r="AC278" s="8">
        <f t="shared" si="32"/>
        <v>0</v>
      </c>
    </row>
    <row r="279" spans="1:31">
      <c r="A279" s="12" t="s">
        <v>549</v>
      </c>
      <c r="B279" s="12"/>
      <c r="C279" s="12" t="s">
        <v>50</v>
      </c>
      <c r="D279" s="12"/>
      <c r="E279" s="32">
        <v>44180</v>
      </c>
      <c r="G279" s="8">
        <v>7487124</v>
      </c>
      <c r="I279" s="8">
        <v>0</v>
      </c>
      <c r="K279" s="3">
        <f t="shared" si="33"/>
        <v>57863969</v>
      </c>
      <c r="M279" s="8">
        <v>65351093</v>
      </c>
      <c r="O279" s="3">
        <f t="shared" si="31"/>
        <v>10316503</v>
      </c>
      <c r="Q279" s="8">
        <v>45273674</v>
      </c>
      <c r="S279" s="8">
        <v>55590177</v>
      </c>
      <c r="U279" s="8">
        <f>707028+268086+2987976</f>
        <v>3963090</v>
      </c>
      <c r="W279" s="8">
        <v>0</v>
      </c>
      <c r="Y279" s="8">
        <v>5797826</v>
      </c>
      <c r="AA279" s="14">
        <f t="shared" si="34"/>
        <v>9760916</v>
      </c>
      <c r="AB279" s="8"/>
      <c r="AC279" s="8">
        <f t="shared" si="32"/>
        <v>0</v>
      </c>
    </row>
    <row r="280" spans="1:31">
      <c r="A280" s="12" t="s">
        <v>489</v>
      </c>
      <c r="B280" s="12"/>
      <c r="C280" s="12" t="s">
        <v>44</v>
      </c>
      <c r="D280" s="12"/>
      <c r="E280" s="32">
        <v>48165</v>
      </c>
      <c r="G280" s="8">
        <v>5823236</v>
      </c>
      <c r="I280" s="8">
        <v>0</v>
      </c>
      <c r="K280" s="3">
        <f t="shared" si="33"/>
        <v>5393969</v>
      </c>
      <c r="M280" s="8">
        <v>11217205</v>
      </c>
      <c r="O280" s="3">
        <f t="shared" si="31"/>
        <v>6249766</v>
      </c>
      <c r="Q280" s="8">
        <v>347377</v>
      </c>
      <c r="S280" s="8">
        <v>6597143</v>
      </c>
      <c r="U280" s="8">
        <f>200763+297168+10784</f>
        <v>508715</v>
      </c>
      <c r="W280" s="8">
        <v>0</v>
      </c>
      <c r="Y280" s="8">
        <v>4111347</v>
      </c>
      <c r="AA280" s="14">
        <f t="shared" si="34"/>
        <v>4620062</v>
      </c>
      <c r="AB280" s="8"/>
      <c r="AC280" s="8">
        <f t="shared" si="32"/>
        <v>0</v>
      </c>
    </row>
    <row r="281" spans="1:31">
      <c r="A281" s="12" t="s">
        <v>710</v>
      </c>
      <c r="B281" s="12"/>
      <c r="C281" s="12" t="s">
        <v>69</v>
      </c>
      <c r="D281" s="12"/>
      <c r="E281" s="32">
        <v>50435</v>
      </c>
      <c r="G281" s="8">
        <v>10211218</v>
      </c>
      <c r="I281" s="8">
        <v>0</v>
      </c>
      <c r="K281" s="3">
        <f t="shared" si="33"/>
        <v>21612005</v>
      </c>
      <c r="M281" s="8">
        <v>31823223</v>
      </c>
      <c r="O281" s="3">
        <f t="shared" si="31"/>
        <v>4711334</v>
      </c>
      <c r="Q281" s="8">
        <v>19357095</v>
      </c>
      <c r="S281" s="8">
        <v>24068429</v>
      </c>
      <c r="U281" s="8">
        <f>60543+1617850</f>
        <v>1678393</v>
      </c>
      <c r="W281" s="8">
        <v>0</v>
      </c>
      <c r="Y281" s="8">
        <v>6076401</v>
      </c>
      <c r="AA281" s="14">
        <f t="shared" si="34"/>
        <v>7754794</v>
      </c>
      <c r="AB281" s="8"/>
      <c r="AC281" s="8">
        <f t="shared" si="32"/>
        <v>0</v>
      </c>
    </row>
    <row r="282" spans="1:31" hidden="1">
      <c r="A282" s="12" t="s">
        <v>1021</v>
      </c>
      <c r="B282" s="12"/>
      <c r="C282" s="12" t="s">
        <v>41</v>
      </c>
      <c r="D282" s="12"/>
      <c r="E282" s="32">
        <v>47878</v>
      </c>
      <c r="G282" s="8">
        <v>8396045</v>
      </c>
      <c r="I282" s="8">
        <v>273364</v>
      </c>
      <c r="K282" s="3">
        <f t="shared" si="33"/>
        <v>0</v>
      </c>
      <c r="M282" s="8">
        <v>8669409</v>
      </c>
      <c r="O282" s="3">
        <f t="shared" si="31"/>
        <v>0</v>
      </c>
      <c r="U282" s="8">
        <f>109833+218248+55116</f>
        <v>383197</v>
      </c>
      <c r="Y282" s="8">
        <v>8286212</v>
      </c>
      <c r="AA282" s="14">
        <f t="shared" si="34"/>
        <v>8669409</v>
      </c>
      <c r="AB282" s="8"/>
      <c r="AC282" s="8">
        <f t="shared" si="32"/>
        <v>0</v>
      </c>
      <c r="AE282" s="15"/>
    </row>
    <row r="283" spans="1:31">
      <c r="A283" s="12" t="s">
        <v>683</v>
      </c>
      <c r="B283" s="12"/>
      <c r="C283" s="12" t="s">
        <v>64</v>
      </c>
      <c r="D283" s="12"/>
      <c r="E283" s="32">
        <v>50245</v>
      </c>
      <c r="G283" s="8">
        <v>2199822</v>
      </c>
      <c r="I283" s="8">
        <v>46436</v>
      </c>
      <c r="K283" s="3">
        <f t="shared" si="33"/>
        <v>3863448</v>
      </c>
      <c r="M283" s="8">
        <v>6109706</v>
      </c>
      <c r="O283" s="3">
        <f t="shared" si="31"/>
        <v>4190157</v>
      </c>
      <c r="Q283" s="8">
        <v>1045232</v>
      </c>
      <c r="S283" s="8">
        <v>5235389</v>
      </c>
      <c r="U283" s="8">
        <f>150665+46436+7278+43562+28657</f>
        <v>276598</v>
      </c>
      <c r="W283" s="8">
        <v>0</v>
      </c>
      <c r="Y283" s="8">
        <v>597719</v>
      </c>
      <c r="AA283" s="14">
        <f t="shared" si="34"/>
        <v>874317</v>
      </c>
      <c r="AB283" s="8"/>
      <c r="AC283" s="8">
        <f t="shared" si="32"/>
        <v>0</v>
      </c>
    </row>
    <row r="284" spans="1:31">
      <c r="A284" s="12" t="s">
        <v>653</v>
      </c>
      <c r="B284" s="12"/>
      <c r="C284" s="12" t="s">
        <v>62</v>
      </c>
      <c r="D284" s="12"/>
      <c r="E284" s="32">
        <v>49866</v>
      </c>
      <c r="G284" s="8">
        <v>7931529</v>
      </c>
      <c r="I284" s="8">
        <v>0</v>
      </c>
      <c r="K284" s="3">
        <f t="shared" si="33"/>
        <v>12788775</v>
      </c>
      <c r="M284" s="8">
        <v>20720304</v>
      </c>
      <c r="O284" s="3">
        <f t="shared" si="31"/>
        <v>4299724</v>
      </c>
      <c r="Q284" s="8">
        <v>11984724</v>
      </c>
      <c r="S284" s="8">
        <v>16284448</v>
      </c>
      <c r="U284" s="8">
        <f>667483+658040+95898</f>
        <v>1421421</v>
      </c>
      <c r="W284" s="8">
        <v>0</v>
      </c>
      <c r="Y284" s="8">
        <v>3014435</v>
      </c>
      <c r="AA284" s="14">
        <f t="shared" si="34"/>
        <v>4435856</v>
      </c>
      <c r="AB284" s="8"/>
      <c r="AC284" s="8">
        <f t="shared" si="32"/>
        <v>0</v>
      </c>
    </row>
    <row r="285" spans="1:31">
      <c r="A285" s="12" t="s">
        <v>653</v>
      </c>
      <c r="B285" s="12"/>
      <c r="C285" s="12" t="s">
        <v>72</v>
      </c>
      <c r="D285" s="12"/>
      <c r="E285" s="32">
        <v>50690</v>
      </c>
      <c r="G285" s="8">
        <v>2606595</v>
      </c>
      <c r="I285" s="8">
        <v>160891</v>
      </c>
      <c r="K285" s="3">
        <f t="shared" si="33"/>
        <v>8439395</v>
      </c>
      <c r="M285" s="8">
        <v>11206881</v>
      </c>
      <c r="O285" s="3">
        <f t="shared" si="31"/>
        <v>1307131</v>
      </c>
      <c r="Q285" s="8">
        <v>6993677</v>
      </c>
      <c r="S285" s="8">
        <v>8300808</v>
      </c>
      <c r="U285" s="8">
        <f>179818+32653+787979+137972+22919</f>
        <v>1161341</v>
      </c>
      <c r="W285" s="8">
        <v>0</v>
      </c>
      <c r="Y285" s="8">
        <v>1744732</v>
      </c>
      <c r="AA285" s="14">
        <f t="shared" si="34"/>
        <v>2906073</v>
      </c>
      <c r="AB285" s="8"/>
      <c r="AC285" s="8">
        <f t="shared" si="32"/>
        <v>0</v>
      </c>
    </row>
    <row r="286" spans="1:31">
      <c r="A286" s="12" t="s">
        <v>684</v>
      </c>
      <c r="B286" s="12"/>
      <c r="C286" s="12" t="s">
        <v>64</v>
      </c>
      <c r="D286" s="12"/>
      <c r="E286" s="32">
        <v>50187</v>
      </c>
      <c r="G286" s="8">
        <v>164180</v>
      </c>
      <c r="I286" s="8">
        <v>325527</v>
      </c>
      <c r="K286" s="3">
        <f t="shared" si="33"/>
        <v>7310296</v>
      </c>
      <c r="M286" s="8">
        <v>7800003</v>
      </c>
      <c r="O286" s="3">
        <f t="shared" si="31"/>
        <v>1882278</v>
      </c>
      <c r="Q286" s="8">
        <v>7008933</v>
      </c>
      <c r="S286" s="8">
        <v>8891211</v>
      </c>
      <c r="U286" s="8">
        <f>28567+142053+210000+183474</f>
        <v>564094</v>
      </c>
      <c r="W286" s="8">
        <v>0</v>
      </c>
      <c r="Y286" s="8">
        <v>-1655302</v>
      </c>
      <c r="AA286" s="14">
        <f t="shared" si="34"/>
        <v>-1091208</v>
      </c>
      <c r="AB286" s="8"/>
      <c r="AC286" s="8">
        <f t="shared" si="32"/>
        <v>0</v>
      </c>
    </row>
    <row r="287" spans="1:31">
      <c r="A287" s="12" t="s">
        <v>310</v>
      </c>
      <c r="B287" s="12"/>
      <c r="C287" s="12" t="s">
        <v>20</v>
      </c>
      <c r="D287" s="12"/>
      <c r="E287" s="32">
        <v>44198</v>
      </c>
      <c r="G287" s="8">
        <v>16019490</v>
      </c>
      <c r="I287" s="8">
        <v>0</v>
      </c>
      <c r="K287" s="3">
        <f t="shared" si="33"/>
        <v>36911024</v>
      </c>
      <c r="M287" s="8">
        <v>52930514</v>
      </c>
      <c r="O287" s="3">
        <f t="shared" si="31"/>
        <v>35312935</v>
      </c>
      <c r="Q287" s="8">
        <v>3324952</v>
      </c>
      <c r="S287" s="8">
        <v>38637887</v>
      </c>
      <c r="U287" s="8">
        <f>790487+5238220+11295</f>
        <v>6040002</v>
      </c>
      <c r="W287" s="8">
        <v>0</v>
      </c>
      <c r="Y287" s="8">
        <v>8252625</v>
      </c>
      <c r="AA287" s="14">
        <f t="shared" si="34"/>
        <v>14292627</v>
      </c>
      <c r="AB287" s="8"/>
      <c r="AC287" s="8">
        <f t="shared" si="32"/>
        <v>0</v>
      </c>
    </row>
    <row r="288" spans="1:31">
      <c r="A288" s="12" t="s">
        <v>863</v>
      </c>
      <c r="B288" s="12"/>
      <c r="C288" s="12" t="s">
        <v>42</v>
      </c>
      <c r="D288" s="12"/>
      <c r="E288" s="32">
        <v>47993</v>
      </c>
      <c r="G288" s="8">
        <v>1765971</v>
      </c>
      <c r="I288" s="8">
        <v>6140</v>
      </c>
      <c r="K288" s="3">
        <f t="shared" si="33"/>
        <v>14240016</v>
      </c>
      <c r="M288" s="8">
        <v>16012127</v>
      </c>
      <c r="O288" s="3">
        <f t="shared" si="31"/>
        <v>11023302</v>
      </c>
      <c r="Q288" s="8">
        <v>10610</v>
      </c>
      <c r="S288" s="8">
        <v>11033912</v>
      </c>
      <c r="U288" s="8">
        <f>226302+179786+38806+495800+6140</f>
        <v>946834</v>
      </c>
      <c r="W288" s="8">
        <v>204164</v>
      </c>
      <c r="Y288" s="8">
        <v>3827217</v>
      </c>
      <c r="AA288" s="14">
        <f t="shared" si="34"/>
        <v>4978215</v>
      </c>
      <c r="AB288" s="8"/>
      <c r="AC288" s="8">
        <f t="shared" si="32"/>
        <v>0</v>
      </c>
    </row>
    <row r="289" spans="1:31">
      <c r="A289" s="12" t="s">
        <v>245</v>
      </c>
      <c r="B289" s="12"/>
      <c r="C289" s="12" t="s">
        <v>242</v>
      </c>
      <c r="D289" s="12"/>
      <c r="E289" s="32">
        <v>46110</v>
      </c>
      <c r="G289" s="8">
        <v>48406639</v>
      </c>
      <c r="I289" s="8">
        <v>668315</v>
      </c>
      <c r="K289" s="3">
        <f t="shared" si="33"/>
        <v>83604643</v>
      </c>
      <c r="M289" s="8">
        <v>132679597</v>
      </c>
      <c r="O289" s="3">
        <f t="shared" si="31"/>
        <v>22231736</v>
      </c>
      <c r="Q289" s="8">
        <v>79535649</v>
      </c>
      <c r="S289" s="8">
        <v>101767385</v>
      </c>
      <c r="U289" s="8">
        <f>1768633+2311702+668315</f>
        <v>4748650</v>
      </c>
      <c r="W289" s="8">
        <v>0</v>
      </c>
      <c r="Y289" s="8">
        <v>26163562</v>
      </c>
      <c r="AA289" s="14">
        <f t="shared" si="34"/>
        <v>30912212</v>
      </c>
      <c r="AB289" s="8"/>
      <c r="AC289" s="8">
        <f t="shared" si="32"/>
        <v>0</v>
      </c>
    </row>
    <row r="290" spans="1:31">
      <c r="A290" s="12" t="s">
        <v>245</v>
      </c>
      <c r="B290" s="12"/>
      <c r="C290" s="12" t="s">
        <v>79</v>
      </c>
      <c r="D290" s="12"/>
      <c r="E290" s="32">
        <v>49569</v>
      </c>
      <c r="G290" s="8">
        <v>168700</v>
      </c>
      <c r="I290" s="8">
        <v>59918</v>
      </c>
      <c r="K290" s="3">
        <f t="shared" si="33"/>
        <v>3468140</v>
      </c>
      <c r="M290" s="8">
        <v>3696758</v>
      </c>
      <c r="O290" s="3">
        <f t="shared" si="31"/>
        <v>3291228</v>
      </c>
      <c r="Q290" s="8">
        <v>194933</v>
      </c>
      <c r="S290" s="8">
        <v>3486161</v>
      </c>
      <c r="U290" s="8">
        <f>47654+322677+27170+32748+5000</f>
        <v>435249</v>
      </c>
      <c r="W290" s="8">
        <v>0</v>
      </c>
      <c r="Y290" s="8">
        <v>-224652</v>
      </c>
      <c r="AA290" s="14">
        <f t="shared" si="34"/>
        <v>210597</v>
      </c>
      <c r="AB290" s="8"/>
      <c r="AC290" s="8">
        <f t="shared" si="32"/>
        <v>0</v>
      </c>
      <c r="AE290" s="8" t="s">
        <v>956</v>
      </c>
    </row>
    <row r="291" spans="1:31">
      <c r="A291" s="12" t="s">
        <v>347</v>
      </c>
      <c r="B291" s="12"/>
      <c r="C291" s="12" t="s">
        <v>25</v>
      </c>
      <c r="D291" s="12"/>
      <c r="E291" s="32">
        <v>44206</v>
      </c>
      <c r="G291" s="8">
        <v>14959877</v>
      </c>
      <c r="I291" s="8">
        <v>40693</v>
      </c>
      <c r="K291" s="3">
        <f t="shared" si="33"/>
        <v>25314774</v>
      </c>
      <c r="M291" s="8">
        <v>40315344</v>
      </c>
      <c r="O291" s="3">
        <f t="shared" si="31"/>
        <v>7156192</v>
      </c>
      <c r="Q291" s="8">
        <v>19728887</v>
      </c>
      <c r="S291" s="8">
        <v>26885079</v>
      </c>
      <c r="U291" s="8">
        <f>2268324+1374248+40693</f>
        <v>3683265</v>
      </c>
      <c r="W291" s="8">
        <v>0</v>
      </c>
      <c r="Y291" s="8">
        <v>9747000</v>
      </c>
      <c r="AA291" s="14">
        <f t="shared" si="34"/>
        <v>13430265</v>
      </c>
      <c r="AB291" s="8"/>
      <c r="AC291" s="8">
        <f t="shared" si="32"/>
        <v>0</v>
      </c>
    </row>
    <row r="292" spans="1:31" hidden="1">
      <c r="A292" s="12" t="s">
        <v>831</v>
      </c>
      <c r="B292" s="12"/>
      <c r="C292" s="12" t="s">
        <v>69</v>
      </c>
      <c r="D292" s="12"/>
      <c r="E292" s="32">
        <v>44214</v>
      </c>
      <c r="G292" s="8">
        <v>8281402</v>
      </c>
      <c r="I292" s="8">
        <v>237041</v>
      </c>
      <c r="K292" s="3">
        <f t="shared" si="33"/>
        <v>0</v>
      </c>
      <c r="M292" s="8">
        <v>8518443</v>
      </c>
      <c r="O292" s="3">
        <f t="shared" si="31"/>
        <v>0</v>
      </c>
      <c r="U292" s="8">
        <f>681442+237041</f>
        <v>918483</v>
      </c>
      <c r="Y292" s="8">
        <v>7599960</v>
      </c>
      <c r="AA292" s="14">
        <f t="shared" si="34"/>
        <v>8518443</v>
      </c>
      <c r="AB292" s="8"/>
      <c r="AC292" s="8">
        <f t="shared" si="32"/>
        <v>0</v>
      </c>
    </row>
    <row r="293" spans="1:31">
      <c r="A293" s="12" t="s">
        <v>381</v>
      </c>
      <c r="B293" s="12"/>
      <c r="C293" s="12" t="s">
        <v>30</v>
      </c>
      <c r="D293" s="12"/>
      <c r="E293" s="32">
        <v>47209</v>
      </c>
      <c r="G293" s="8">
        <v>0</v>
      </c>
      <c r="I293" s="8">
        <v>248789</v>
      </c>
      <c r="K293" s="3">
        <f t="shared" si="33"/>
        <v>2187561</v>
      </c>
      <c r="M293" s="8">
        <v>2436350</v>
      </c>
      <c r="O293" s="3">
        <f t="shared" si="31"/>
        <v>640119</v>
      </c>
      <c r="Q293" s="8">
        <v>1711326</v>
      </c>
      <c r="S293" s="8">
        <v>2351445</v>
      </c>
      <c r="U293" s="8">
        <f>309219+255100+476241+16022+514420+23784+10268</f>
        <v>1605054</v>
      </c>
      <c r="W293" s="8">
        <v>0</v>
      </c>
      <c r="Y293" s="8">
        <v>-1520149</v>
      </c>
      <c r="AA293" s="14">
        <f t="shared" si="34"/>
        <v>84905</v>
      </c>
      <c r="AB293" s="8"/>
      <c r="AC293" s="8">
        <f t="shared" si="32"/>
        <v>0</v>
      </c>
    </row>
    <row r="294" spans="1:31" hidden="1">
      <c r="A294" s="12" t="s">
        <v>987</v>
      </c>
      <c r="B294" s="12"/>
      <c r="C294" s="12" t="s">
        <v>603</v>
      </c>
      <c r="D294" s="12"/>
      <c r="E294" s="32">
        <v>49353</v>
      </c>
      <c r="G294" s="8">
        <v>2063463</v>
      </c>
      <c r="I294" s="8">
        <v>17563</v>
      </c>
      <c r="K294" s="3">
        <f t="shared" si="33"/>
        <v>0</v>
      </c>
      <c r="M294" s="8">
        <v>2081026</v>
      </c>
      <c r="O294" s="3">
        <f t="shared" si="31"/>
        <v>0</v>
      </c>
      <c r="U294" s="8">
        <f>16184+4328+17563</f>
        <v>38075</v>
      </c>
      <c r="W294" s="8">
        <f>105085+76075+269437</f>
        <v>450597</v>
      </c>
      <c r="Y294" s="8">
        <v>1592354</v>
      </c>
      <c r="AA294" s="14">
        <f t="shared" si="34"/>
        <v>2081026</v>
      </c>
      <c r="AB294" s="8"/>
      <c r="AC294" s="8">
        <f t="shared" si="32"/>
        <v>0</v>
      </c>
      <c r="AE294" s="8"/>
    </row>
    <row r="295" spans="1:31">
      <c r="A295" s="12" t="s">
        <v>610</v>
      </c>
      <c r="B295" s="12"/>
      <c r="C295" s="12" t="s">
        <v>112</v>
      </c>
      <c r="D295" s="12"/>
      <c r="E295" s="32">
        <v>49437</v>
      </c>
      <c r="G295" s="8">
        <v>3084184</v>
      </c>
      <c r="I295" s="8">
        <v>82043</v>
      </c>
      <c r="K295" s="3">
        <f t="shared" si="33"/>
        <v>9079545</v>
      </c>
      <c r="M295" s="8">
        <v>12245772</v>
      </c>
      <c r="O295" s="3">
        <f t="shared" si="31"/>
        <v>9498049</v>
      </c>
      <c r="Q295" s="8">
        <v>478334</v>
      </c>
      <c r="S295" s="8">
        <v>9976383</v>
      </c>
      <c r="U295" s="8">
        <f>22316+48419+1815099+81351+692</f>
        <v>1967877</v>
      </c>
      <c r="W295" s="8">
        <v>0</v>
      </c>
      <c r="Y295" s="8">
        <v>301512</v>
      </c>
      <c r="AA295" s="14">
        <f t="shared" si="34"/>
        <v>2269389</v>
      </c>
      <c r="AB295" s="8"/>
      <c r="AC295" s="8">
        <f t="shared" si="32"/>
        <v>0</v>
      </c>
    </row>
    <row r="296" spans="1:31">
      <c r="A296" s="12" t="s">
        <v>431</v>
      </c>
      <c r="B296" s="12"/>
      <c r="C296" s="12" t="s">
        <v>34</v>
      </c>
      <c r="D296" s="12"/>
      <c r="E296" s="32">
        <v>47589</v>
      </c>
      <c r="G296" s="8">
        <v>3772618</v>
      </c>
      <c r="I296" s="8">
        <v>0</v>
      </c>
      <c r="K296" s="3">
        <f t="shared" si="33"/>
        <v>5229190</v>
      </c>
      <c r="M296" s="8">
        <v>9001808</v>
      </c>
      <c r="O296" s="3">
        <f t="shared" si="31"/>
        <v>1167599</v>
      </c>
      <c r="Q296" s="8">
        <v>4251991</v>
      </c>
      <c r="S296" s="8">
        <v>5419590</v>
      </c>
      <c r="U296" s="8">
        <f>150020+177386</f>
        <v>327406</v>
      </c>
      <c r="W296" s="8">
        <v>0</v>
      </c>
      <c r="Y296" s="8">
        <v>3254812</v>
      </c>
      <c r="AA296" s="14">
        <f t="shared" si="34"/>
        <v>3582218</v>
      </c>
      <c r="AB296" s="8"/>
      <c r="AC296" s="8">
        <f t="shared" si="32"/>
        <v>0</v>
      </c>
    </row>
    <row r="297" spans="1:31">
      <c r="A297" s="12" t="s">
        <v>685</v>
      </c>
      <c r="B297" s="12"/>
      <c r="C297" s="12" t="s">
        <v>64</v>
      </c>
      <c r="D297" s="12"/>
      <c r="E297" s="32">
        <v>50195</v>
      </c>
      <c r="G297" s="8">
        <v>403743</v>
      </c>
      <c r="I297" s="8">
        <v>315350</v>
      </c>
      <c r="K297" s="3">
        <f t="shared" si="33"/>
        <v>9113071</v>
      </c>
      <c r="M297" s="8">
        <v>9832164</v>
      </c>
      <c r="O297" s="3">
        <f t="shared" si="31"/>
        <v>11404706</v>
      </c>
      <c r="Q297" s="8">
        <v>998309</v>
      </c>
      <c r="S297" s="8">
        <v>12403015</v>
      </c>
      <c r="U297" s="8">
        <f>350948+14989+25352+10960+39581+275769</f>
        <v>717599</v>
      </c>
      <c r="W297" s="8">
        <v>0</v>
      </c>
      <c r="Y297" s="8">
        <v>-3288450</v>
      </c>
      <c r="AA297" s="14">
        <f t="shared" si="34"/>
        <v>-2570851</v>
      </c>
      <c r="AB297" s="8"/>
      <c r="AC297" s="8">
        <f t="shared" si="32"/>
        <v>0</v>
      </c>
      <c r="AE297" s="8"/>
    </row>
    <row r="298" spans="1:31">
      <c r="A298" s="12" t="s">
        <v>869</v>
      </c>
      <c r="B298" s="12"/>
      <c r="C298" s="12" t="s">
        <v>25</v>
      </c>
      <c r="D298" s="12"/>
      <c r="E298" s="32">
        <v>46888</v>
      </c>
      <c r="G298" s="8">
        <v>4163238</v>
      </c>
      <c r="I298" s="8">
        <v>0</v>
      </c>
      <c r="K298" s="3">
        <f t="shared" si="33"/>
        <v>3918702</v>
      </c>
      <c r="M298" s="8">
        <v>8081940</v>
      </c>
      <c r="O298" s="3">
        <f t="shared" si="31"/>
        <v>1401259</v>
      </c>
      <c r="Q298" s="8">
        <v>2654118</v>
      </c>
      <c r="S298" s="8">
        <v>4055377</v>
      </c>
      <c r="U298" s="8">
        <v>355272</v>
      </c>
      <c r="W298" s="8">
        <v>0</v>
      </c>
      <c r="Y298" s="8">
        <v>3671291</v>
      </c>
      <c r="AA298" s="14">
        <f t="shared" si="34"/>
        <v>4026563</v>
      </c>
      <c r="AB298" s="8"/>
      <c r="AC298" s="8">
        <f t="shared" si="32"/>
        <v>0</v>
      </c>
    </row>
    <row r="299" spans="1:31">
      <c r="A299" s="12" t="s">
        <v>417</v>
      </c>
      <c r="B299" s="12"/>
      <c r="C299" s="12" t="s">
        <v>33</v>
      </c>
      <c r="D299" s="12"/>
      <c r="E299" s="32">
        <v>47449</v>
      </c>
      <c r="G299" s="8">
        <v>4085380</v>
      </c>
      <c r="I299" s="8">
        <v>0</v>
      </c>
      <c r="K299" s="3">
        <f t="shared" si="33"/>
        <v>4793689</v>
      </c>
      <c r="M299" s="8">
        <v>8879069</v>
      </c>
      <c r="O299" s="3">
        <f t="shared" si="31"/>
        <v>1361714</v>
      </c>
      <c r="Q299" s="8">
        <v>3898702</v>
      </c>
      <c r="S299" s="8">
        <v>5260416</v>
      </c>
      <c r="U299" s="8">
        <f>397000+322434</f>
        <v>719434</v>
      </c>
      <c r="W299" s="8">
        <v>0</v>
      </c>
      <c r="Y299" s="8">
        <v>2899219</v>
      </c>
      <c r="AA299" s="14">
        <f t="shared" si="34"/>
        <v>3618653</v>
      </c>
      <c r="AB299" s="8"/>
      <c r="AC299" s="8">
        <f t="shared" si="32"/>
        <v>0</v>
      </c>
    </row>
    <row r="300" spans="1:31">
      <c r="A300" s="12" t="s">
        <v>476</v>
      </c>
      <c r="B300" s="12"/>
      <c r="C300" s="12" t="s">
        <v>42</v>
      </c>
      <c r="D300" s="12"/>
      <c r="E300" s="32">
        <v>48009</v>
      </c>
      <c r="G300" s="8">
        <v>2517741</v>
      </c>
      <c r="I300" s="8">
        <v>12538</v>
      </c>
      <c r="K300" s="3">
        <f t="shared" si="33"/>
        <v>29914070</v>
      </c>
      <c r="M300" s="8">
        <v>32444349</v>
      </c>
      <c r="O300" s="3">
        <f t="shared" si="31"/>
        <v>2872272</v>
      </c>
      <c r="Q300" s="8">
        <v>26349986</v>
      </c>
      <c r="S300" s="8">
        <v>29222258</v>
      </c>
      <c r="U300" s="8">
        <f>40238+3537473+12538</f>
        <v>3590249</v>
      </c>
      <c r="W300" s="8">
        <v>0</v>
      </c>
      <c r="Y300" s="8">
        <v>-368158</v>
      </c>
      <c r="AA300" s="14">
        <f t="shared" si="34"/>
        <v>3222091</v>
      </c>
      <c r="AB300" s="8"/>
      <c r="AC300" s="8">
        <f t="shared" si="32"/>
        <v>0</v>
      </c>
    </row>
    <row r="301" spans="1:31">
      <c r="A301" s="12" t="s">
        <v>477</v>
      </c>
      <c r="B301" s="12"/>
      <c r="C301" s="12" t="s">
        <v>42</v>
      </c>
      <c r="D301" s="12"/>
      <c r="E301" s="32">
        <v>48017</v>
      </c>
      <c r="G301" s="8">
        <v>4344197</v>
      </c>
      <c r="I301" s="8">
        <v>34148</v>
      </c>
      <c r="K301" s="3">
        <f t="shared" si="33"/>
        <v>5730734</v>
      </c>
      <c r="M301" s="8">
        <v>10109079</v>
      </c>
      <c r="O301" s="3">
        <f t="shared" si="31"/>
        <v>-37866117</v>
      </c>
      <c r="Q301" s="8">
        <v>44114309</v>
      </c>
      <c r="S301" s="8">
        <v>6248192</v>
      </c>
      <c r="U301" s="8">
        <f>502495+222578+189615+34148+1025</f>
        <v>949861</v>
      </c>
      <c r="W301" s="8">
        <v>0</v>
      </c>
      <c r="Y301" s="8">
        <v>2911026</v>
      </c>
      <c r="AA301" s="14">
        <f t="shared" si="34"/>
        <v>3860887</v>
      </c>
      <c r="AB301" s="8"/>
      <c r="AC301" s="8">
        <f t="shared" si="32"/>
        <v>0</v>
      </c>
    </row>
    <row r="302" spans="1:31" hidden="1">
      <c r="A302" s="13" t="s">
        <v>989</v>
      </c>
      <c r="B302" s="13"/>
      <c r="C302" s="13" t="s">
        <v>10</v>
      </c>
      <c r="D302" s="12"/>
      <c r="E302" s="32"/>
      <c r="G302" s="8">
        <v>1424340</v>
      </c>
      <c r="I302" s="8">
        <v>1277931</v>
      </c>
      <c r="K302" s="3">
        <f t="shared" si="33"/>
        <v>0</v>
      </c>
      <c r="M302" s="8">
        <v>2702271</v>
      </c>
      <c r="O302" s="3">
        <f t="shared" si="31"/>
        <v>0</v>
      </c>
      <c r="U302" s="8">
        <f>258945+2715</f>
        <v>261660</v>
      </c>
      <c r="Y302" s="8">
        <v>2440611</v>
      </c>
      <c r="AA302" s="14">
        <f t="shared" si="34"/>
        <v>2702271</v>
      </c>
      <c r="AB302" s="8"/>
      <c r="AC302" s="8">
        <f t="shared" si="32"/>
        <v>0</v>
      </c>
    </row>
    <row r="303" spans="1:31" s="35" customFormat="1">
      <c r="A303" s="34" t="s">
        <v>705</v>
      </c>
      <c r="B303" s="34"/>
      <c r="C303" s="34" t="s">
        <v>67</v>
      </c>
      <c r="D303" s="34"/>
      <c r="E303" s="34">
        <v>50369</v>
      </c>
      <c r="G303" s="8">
        <v>8422568</v>
      </c>
      <c r="H303" s="8"/>
      <c r="I303" s="8">
        <v>8324</v>
      </c>
      <c r="J303" s="8"/>
      <c r="K303" s="3">
        <f t="shared" si="33"/>
        <v>2536058</v>
      </c>
      <c r="L303" s="8"/>
      <c r="M303" s="8">
        <v>10966950</v>
      </c>
      <c r="N303" s="8"/>
      <c r="O303" s="3">
        <f t="shared" si="31"/>
        <v>2580409</v>
      </c>
      <c r="P303" s="8"/>
      <c r="Q303" s="8">
        <v>526988</v>
      </c>
      <c r="R303" s="8"/>
      <c r="S303" s="8">
        <v>3107397</v>
      </c>
      <c r="T303" s="8"/>
      <c r="U303" s="8">
        <f>1759+176232+10671+8324</f>
        <v>196986</v>
      </c>
      <c r="V303" s="8"/>
      <c r="W303" s="8">
        <v>0</v>
      </c>
      <c r="X303" s="8"/>
      <c r="Y303" s="8">
        <v>7662567</v>
      </c>
      <c r="Z303" s="8"/>
      <c r="AA303" s="14">
        <f t="shared" si="34"/>
        <v>7859553</v>
      </c>
      <c r="AC303" s="8">
        <f t="shared" si="32"/>
        <v>0</v>
      </c>
    </row>
    <row r="304" spans="1:31">
      <c r="A304" s="12" t="s">
        <v>283</v>
      </c>
      <c r="B304" s="12"/>
      <c r="C304" s="12" t="s">
        <v>114</v>
      </c>
      <c r="D304" s="12"/>
      <c r="E304" s="32">
        <v>45450</v>
      </c>
      <c r="G304" s="8">
        <v>3476247</v>
      </c>
      <c r="I304" s="8">
        <v>0</v>
      </c>
      <c r="K304" s="3">
        <f t="shared" si="33"/>
        <v>1549398</v>
      </c>
      <c r="M304" s="8">
        <v>5025645</v>
      </c>
      <c r="O304" s="3">
        <f t="shared" si="31"/>
        <v>899635</v>
      </c>
      <c r="Q304" s="8">
        <v>1484298</v>
      </c>
      <c r="S304" s="8">
        <v>2383933</v>
      </c>
      <c r="U304" s="8">
        <f>49478+35354</f>
        <v>84832</v>
      </c>
      <c r="W304" s="8">
        <v>0</v>
      </c>
      <c r="Y304" s="8">
        <v>2556880</v>
      </c>
      <c r="AA304" s="14">
        <f t="shared" si="34"/>
        <v>2641712</v>
      </c>
      <c r="AB304" s="8"/>
      <c r="AC304" s="8">
        <f t="shared" si="32"/>
        <v>0</v>
      </c>
    </row>
    <row r="305" spans="1:31">
      <c r="A305" s="12" t="s">
        <v>711</v>
      </c>
      <c r="B305" s="12"/>
      <c r="C305" s="12" t="s">
        <v>69</v>
      </c>
      <c r="D305" s="12"/>
      <c r="E305" s="32">
        <v>50443</v>
      </c>
      <c r="G305" s="8">
        <v>2024662</v>
      </c>
      <c r="I305" s="8">
        <v>45155</v>
      </c>
      <c r="K305" s="3">
        <f t="shared" si="33"/>
        <v>17150370</v>
      </c>
      <c r="M305" s="8">
        <v>19220187</v>
      </c>
      <c r="O305" s="3">
        <f t="shared" si="31"/>
        <v>4233148</v>
      </c>
      <c r="Q305" s="8">
        <v>15674320</v>
      </c>
      <c r="S305" s="8">
        <v>19907468</v>
      </c>
      <c r="U305" s="8">
        <f>224845+1326570+45155</f>
        <v>1596570</v>
      </c>
      <c r="W305" s="8">
        <v>0</v>
      </c>
      <c r="Y305" s="8">
        <v>-2283851</v>
      </c>
      <c r="AA305" s="14">
        <f t="shared" si="34"/>
        <v>-687281</v>
      </c>
      <c r="AB305" s="8"/>
      <c r="AC305" s="8">
        <f t="shared" si="32"/>
        <v>0</v>
      </c>
    </row>
    <row r="306" spans="1:31" hidden="1">
      <c r="A306" s="77" t="s">
        <v>995</v>
      </c>
      <c r="B306" s="12"/>
      <c r="C306" s="12" t="s">
        <v>32</v>
      </c>
      <c r="D306" s="12"/>
      <c r="E306" s="32">
        <v>44230</v>
      </c>
      <c r="G306" s="8">
        <v>2334577</v>
      </c>
      <c r="I306" s="8">
        <v>871429</v>
      </c>
      <c r="K306" s="3">
        <f t="shared" si="33"/>
        <v>0</v>
      </c>
      <c r="M306" s="8">
        <v>3206006</v>
      </c>
      <c r="O306" s="3">
        <f t="shared" si="31"/>
        <v>0</v>
      </c>
      <c r="U306" s="8">
        <f>153955+624323+247106</f>
        <v>1025384</v>
      </c>
      <c r="W306" s="8">
        <v>120509</v>
      </c>
      <c r="Y306" s="8">
        <v>2060113</v>
      </c>
      <c r="AA306" s="14">
        <f t="shared" si="34"/>
        <v>3206006</v>
      </c>
      <c r="AB306" s="8"/>
      <c r="AC306" s="8">
        <f t="shared" si="32"/>
        <v>0</v>
      </c>
      <c r="AE306" s="15" t="s">
        <v>905</v>
      </c>
    </row>
    <row r="307" spans="1:31">
      <c r="A307" s="77"/>
      <c r="B307" s="12"/>
      <c r="C307" s="12"/>
      <c r="D307" s="12"/>
      <c r="E307" s="32"/>
      <c r="K307" s="3"/>
      <c r="O307" s="3"/>
      <c r="AA307" s="14"/>
      <c r="AB307" s="8"/>
      <c r="AE307" s="15"/>
    </row>
    <row r="308" spans="1:31">
      <c r="A308" s="77"/>
      <c r="B308" s="12"/>
      <c r="C308" s="12"/>
      <c r="D308" s="12"/>
      <c r="E308" s="32"/>
      <c r="K308" s="3"/>
      <c r="O308" s="3"/>
      <c r="AA308" s="14" t="s">
        <v>805</v>
      </c>
      <c r="AB308" s="8"/>
      <c r="AE308" s="15"/>
    </row>
    <row r="309" spans="1:31">
      <c r="A309" s="77"/>
      <c r="B309" s="12"/>
      <c r="C309" s="12"/>
      <c r="D309" s="12"/>
      <c r="E309" s="32"/>
      <c r="K309" s="3"/>
      <c r="O309" s="3"/>
      <c r="AA309" s="14"/>
      <c r="AB309" s="8"/>
      <c r="AE309" s="15"/>
    </row>
    <row r="310" spans="1:31">
      <c r="A310" s="12" t="s">
        <v>582</v>
      </c>
      <c r="B310" s="12"/>
      <c r="C310" s="12" t="s">
        <v>54</v>
      </c>
      <c r="D310" s="12"/>
      <c r="E310" s="32">
        <v>49080</v>
      </c>
      <c r="G310" s="35">
        <v>3061910</v>
      </c>
      <c r="H310" s="35"/>
      <c r="I310" s="35">
        <v>170623</v>
      </c>
      <c r="J310" s="35"/>
      <c r="K310" s="42">
        <f t="shared" si="33"/>
        <v>10786497</v>
      </c>
      <c r="L310" s="35"/>
      <c r="M310" s="35">
        <v>14019030</v>
      </c>
      <c r="N310" s="35"/>
      <c r="O310" s="42">
        <f t="shared" si="31"/>
        <v>7286213</v>
      </c>
      <c r="P310" s="35"/>
      <c r="Q310" s="35">
        <v>335243</v>
      </c>
      <c r="R310" s="35"/>
      <c r="S310" s="35">
        <v>7621456</v>
      </c>
      <c r="T310" s="35"/>
      <c r="U310" s="35">
        <f>47678+1414581+170623</f>
        <v>1632882</v>
      </c>
      <c r="V310" s="35"/>
      <c r="W310" s="35">
        <v>0</v>
      </c>
      <c r="X310" s="35"/>
      <c r="Y310" s="35">
        <v>4764692</v>
      </c>
      <c r="Z310" s="35"/>
      <c r="AA310" s="64">
        <f t="shared" si="34"/>
        <v>6397574</v>
      </c>
      <c r="AB310" s="8"/>
      <c r="AC310" s="8">
        <f t="shared" si="32"/>
        <v>0</v>
      </c>
    </row>
    <row r="311" spans="1:31">
      <c r="A311" s="12" t="s">
        <v>440</v>
      </c>
      <c r="B311" s="12"/>
      <c r="C311" s="12" t="s">
        <v>35</v>
      </c>
      <c r="D311" s="12"/>
      <c r="E311" s="32">
        <v>44248</v>
      </c>
      <c r="G311" s="8">
        <v>330046</v>
      </c>
      <c r="I311" s="8">
        <v>0</v>
      </c>
      <c r="K311" s="3">
        <f t="shared" si="33"/>
        <v>17002667</v>
      </c>
      <c r="M311" s="8">
        <v>17332713</v>
      </c>
      <c r="O311" s="3">
        <f t="shared" si="31"/>
        <v>14248032</v>
      </c>
      <c r="Q311" s="8">
        <v>39875</v>
      </c>
      <c r="S311" s="8">
        <v>14287907</v>
      </c>
      <c r="U311" s="8">
        <f>352426+16181+143353+914452+437334</f>
        <v>1863746</v>
      </c>
      <c r="W311" s="8">
        <v>0</v>
      </c>
      <c r="Y311" s="8">
        <v>1181060</v>
      </c>
      <c r="AA311" s="14">
        <f t="shared" si="34"/>
        <v>3044806</v>
      </c>
      <c r="AB311" s="8"/>
      <c r="AC311" s="8">
        <f t="shared" si="32"/>
        <v>0</v>
      </c>
      <c r="AE311" s="8"/>
    </row>
    <row r="312" spans="1:31">
      <c r="A312" s="12" t="s">
        <v>507</v>
      </c>
      <c r="B312" s="12"/>
      <c r="C312" s="12" t="s">
        <v>505</v>
      </c>
      <c r="D312" s="12"/>
      <c r="E312" s="32">
        <v>44255</v>
      </c>
      <c r="G312" s="8">
        <v>3476671</v>
      </c>
      <c r="I312" s="8">
        <v>0</v>
      </c>
      <c r="K312" s="3">
        <f t="shared" si="33"/>
        <v>7900095</v>
      </c>
      <c r="M312" s="8">
        <v>11376766</v>
      </c>
      <c r="O312" s="3">
        <f t="shared" si="31"/>
        <v>3338793</v>
      </c>
      <c r="Q312" s="8">
        <v>6343899</v>
      </c>
      <c r="S312" s="8">
        <v>9682692</v>
      </c>
      <c r="U312" s="8">
        <v>150795</v>
      </c>
      <c r="W312" s="8">
        <v>0</v>
      </c>
      <c r="Y312" s="8">
        <v>1543279</v>
      </c>
      <c r="AA312" s="14">
        <f t="shared" si="34"/>
        <v>1694074</v>
      </c>
      <c r="AB312" s="8"/>
      <c r="AC312" s="8">
        <f t="shared" si="32"/>
        <v>0</v>
      </c>
    </row>
    <row r="313" spans="1:31">
      <c r="A313" s="12" t="s">
        <v>490</v>
      </c>
      <c r="B313" s="12"/>
      <c r="C313" s="12" t="s">
        <v>44</v>
      </c>
      <c r="D313" s="12"/>
      <c r="E313" s="32">
        <v>44263</v>
      </c>
      <c r="G313" s="8">
        <v>6761663</v>
      </c>
      <c r="I313" s="8">
        <v>0</v>
      </c>
      <c r="K313" s="3">
        <f t="shared" si="33"/>
        <v>24617309</v>
      </c>
      <c r="M313" s="8">
        <v>31378972</v>
      </c>
      <c r="O313" s="3">
        <f t="shared" si="31"/>
        <v>8911124</v>
      </c>
      <c r="Q313" s="8">
        <v>17704560</v>
      </c>
      <c r="S313" s="8">
        <v>26615684</v>
      </c>
      <c r="U313" s="8">
        <f>1769853+1152754+1555359</f>
        <v>4477966</v>
      </c>
      <c r="W313" s="8">
        <v>0</v>
      </c>
      <c r="Y313" s="8">
        <v>285322</v>
      </c>
      <c r="AA313" s="14">
        <f t="shared" si="34"/>
        <v>4763288</v>
      </c>
      <c r="AB313" s="8"/>
      <c r="AC313" s="8">
        <f t="shared" si="32"/>
        <v>0</v>
      </c>
    </row>
    <row r="314" spans="1:31">
      <c r="A314" s="12" t="s">
        <v>686</v>
      </c>
      <c r="B314" s="12"/>
      <c r="C314" s="12" t="s">
        <v>64</v>
      </c>
      <c r="D314" s="12"/>
      <c r="E314" s="32">
        <v>50203</v>
      </c>
      <c r="G314" s="8">
        <v>21762850</v>
      </c>
      <c r="I314" s="8">
        <v>18543</v>
      </c>
      <c r="K314" s="3">
        <f t="shared" si="33"/>
        <v>-13842080</v>
      </c>
      <c r="M314" s="8">
        <v>7939313</v>
      </c>
      <c r="O314" s="3">
        <f t="shared" si="31"/>
        <v>6349523</v>
      </c>
      <c r="Q314" s="8">
        <v>187400</v>
      </c>
      <c r="S314" s="8">
        <v>6536923</v>
      </c>
      <c r="U314" s="8">
        <f>192343+2221+28405+18543</f>
        <v>241512</v>
      </c>
      <c r="W314" s="8">
        <v>0</v>
      </c>
      <c r="Y314" s="8">
        <v>1160878</v>
      </c>
      <c r="AA314" s="14">
        <f t="shared" si="34"/>
        <v>1402390</v>
      </c>
      <c r="AB314" s="8"/>
      <c r="AC314" s="8">
        <f t="shared" si="32"/>
        <v>0</v>
      </c>
    </row>
    <row r="315" spans="1:31">
      <c r="A315" s="12" t="s">
        <v>991</v>
      </c>
      <c r="B315" s="12"/>
      <c r="C315" s="12" t="s">
        <v>11</v>
      </c>
      <c r="D315" s="12"/>
      <c r="E315" s="32">
        <v>45468</v>
      </c>
      <c r="G315" s="8">
        <v>3239581</v>
      </c>
      <c r="I315" s="8">
        <v>12035</v>
      </c>
      <c r="K315" s="3">
        <f t="shared" si="33"/>
        <v>5281196</v>
      </c>
      <c r="M315" s="8">
        <v>8532812</v>
      </c>
      <c r="O315" s="3">
        <f t="shared" si="31"/>
        <v>4584933</v>
      </c>
      <c r="Q315" s="8">
        <v>302534</v>
      </c>
      <c r="S315" s="8">
        <v>4887467</v>
      </c>
      <c r="U315" s="8">
        <f>33131+36764+1226424+12035</f>
        <v>1308354</v>
      </c>
      <c r="W315" s="8">
        <v>0</v>
      </c>
      <c r="Y315" s="8">
        <v>2336991</v>
      </c>
      <c r="AA315" s="14">
        <f t="shared" si="34"/>
        <v>3645345</v>
      </c>
      <c r="AB315" s="8"/>
      <c r="AC315" s="8">
        <f t="shared" si="32"/>
        <v>0</v>
      </c>
      <c r="AE315" s="8" t="s">
        <v>956</v>
      </c>
    </row>
    <row r="316" spans="1:31">
      <c r="A316" s="12" t="s">
        <v>654</v>
      </c>
      <c r="B316" s="12"/>
      <c r="C316" s="12" t="s">
        <v>62</v>
      </c>
      <c r="D316" s="12"/>
      <c r="E316" s="32">
        <v>49874</v>
      </c>
      <c r="G316" s="8">
        <v>3833740</v>
      </c>
      <c r="I316" s="8">
        <v>219348</v>
      </c>
      <c r="K316" s="3">
        <f t="shared" si="33"/>
        <v>6853615</v>
      </c>
      <c r="M316" s="8">
        <v>10906703</v>
      </c>
      <c r="O316" s="3">
        <f t="shared" si="31"/>
        <v>2737904</v>
      </c>
      <c r="Q316" s="8">
        <v>6399775</v>
      </c>
      <c r="S316" s="8">
        <v>9137679</v>
      </c>
      <c r="U316" s="8">
        <f>144586+339340+216007+3341</f>
        <v>703274</v>
      </c>
      <c r="W316" s="8">
        <v>0</v>
      </c>
      <c r="Y316" s="8">
        <v>1065750</v>
      </c>
      <c r="AA316" s="14">
        <f t="shared" si="34"/>
        <v>1769024</v>
      </c>
      <c r="AB316" s="8"/>
      <c r="AC316" s="8">
        <f>+G316+I316+K316-O316-Q316-Y316-W316-U316</f>
        <v>0</v>
      </c>
    </row>
    <row r="317" spans="1:31">
      <c r="A317" s="12" t="s">
        <v>397</v>
      </c>
      <c r="B317" s="12"/>
      <c r="C317" s="12" t="s">
        <v>32</v>
      </c>
      <c r="D317" s="12"/>
      <c r="E317" s="32">
        <v>44271</v>
      </c>
      <c r="G317" s="8">
        <v>4892141</v>
      </c>
      <c r="I317" s="8">
        <v>336785</v>
      </c>
      <c r="K317" s="3">
        <f t="shared" si="33"/>
        <v>23838276</v>
      </c>
      <c r="M317" s="8">
        <v>29067202</v>
      </c>
      <c r="O317" s="3">
        <f t="shared" si="31"/>
        <v>5127253</v>
      </c>
      <c r="Q317" s="8">
        <v>18017521</v>
      </c>
      <c r="S317" s="8">
        <v>23144774</v>
      </c>
      <c r="U317" s="8">
        <f>58826+5022210+336785</f>
        <v>5417821</v>
      </c>
      <c r="W317" s="8">
        <v>0</v>
      </c>
      <c r="Y317" s="8">
        <v>504607</v>
      </c>
      <c r="AA317" s="14">
        <f t="shared" si="34"/>
        <v>5922428</v>
      </c>
      <c r="AB317" s="8"/>
      <c r="AC317" s="8">
        <f t="shared" si="32"/>
        <v>0</v>
      </c>
    </row>
    <row r="318" spans="1:31">
      <c r="A318" s="12" t="s">
        <v>513</v>
      </c>
      <c r="B318" s="12"/>
      <c r="C318" s="12" t="s">
        <v>45</v>
      </c>
      <c r="D318" s="12"/>
      <c r="E318" s="32">
        <v>48330</v>
      </c>
      <c r="G318" s="8">
        <v>1079722</v>
      </c>
      <c r="I318" s="8">
        <v>223813</v>
      </c>
      <c r="K318" s="3">
        <f t="shared" si="33"/>
        <v>1641800</v>
      </c>
      <c r="M318" s="8">
        <v>2945335</v>
      </c>
      <c r="O318" s="3">
        <f t="shared" si="31"/>
        <v>1544236</v>
      </c>
      <c r="Q318" s="8">
        <v>69647</v>
      </c>
      <c r="S318" s="8">
        <v>1613883</v>
      </c>
      <c r="U318" s="8">
        <f>1917+716957+127705+96108</f>
        <v>942687</v>
      </c>
      <c r="W318" s="8">
        <v>0</v>
      </c>
      <c r="Y318" s="8">
        <v>388765</v>
      </c>
      <c r="AA318" s="14">
        <f t="shared" si="34"/>
        <v>1331452</v>
      </c>
      <c r="AB318" s="8"/>
      <c r="AC318" s="8">
        <f t="shared" si="32"/>
        <v>0</v>
      </c>
    </row>
    <row r="319" spans="1:31">
      <c r="A319" s="12" t="s">
        <v>611</v>
      </c>
      <c r="B319" s="12"/>
      <c r="C319" s="12" t="s">
        <v>112</v>
      </c>
      <c r="D319" s="12"/>
      <c r="E319" s="32">
        <v>49445</v>
      </c>
      <c r="G319" s="8">
        <v>2274745</v>
      </c>
      <c r="I319" s="8">
        <v>282657</v>
      </c>
      <c r="K319" s="3">
        <f t="shared" si="33"/>
        <v>2807485</v>
      </c>
      <c r="M319" s="8">
        <v>5364887</v>
      </c>
      <c r="O319" s="3">
        <f t="shared" si="31"/>
        <v>2585469</v>
      </c>
      <c r="Q319" s="8">
        <v>127266</v>
      </c>
      <c r="S319" s="8">
        <v>2712735</v>
      </c>
      <c r="U319" s="8">
        <f>264523+2010+390435+282657</f>
        <v>939625</v>
      </c>
      <c r="W319" s="8">
        <v>0</v>
      </c>
      <c r="Y319" s="8">
        <v>1712527</v>
      </c>
      <c r="AA319" s="14">
        <f t="shared" si="34"/>
        <v>2652152</v>
      </c>
      <c r="AB319" s="8"/>
      <c r="AC319" s="8">
        <f t="shared" si="32"/>
        <v>0</v>
      </c>
    </row>
    <row r="320" spans="1:31">
      <c r="A320" s="12" t="s">
        <v>439</v>
      </c>
      <c r="B320" s="12"/>
      <c r="C320" s="12" t="s">
        <v>435</v>
      </c>
      <c r="D320" s="12"/>
      <c r="E320" s="32">
        <v>47639</v>
      </c>
      <c r="G320" s="8">
        <v>7694905</v>
      </c>
      <c r="I320" s="8">
        <v>31371</v>
      </c>
      <c r="K320" s="3">
        <f t="shared" si="33"/>
        <v>1953491</v>
      </c>
      <c r="M320" s="8">
        <v>9679767</v>
      </c>
      <c r="O320" s="3">
        <f t="shared" si="31"/>
        <v>1286437</v>
      </c>
      <c r="Q320" s="8">
        <v>1781721</v>
      </c>
      <c r="S320" s="8">
        <v>3068158</v>
      </c>
      <c r="U320" s="8">
        <f>108863+31938+79602+30409+962</f>
        <v>251774</v>
      </c>
      <c r="W320" s="8">
        <v>0</v>
      </c>
      <c r="Y320" s="8">
        <v>6359835</v>
      </c>
      <c r="AA320" s="14">
        <f t="shared" si="34"/>
        <v>6611609</v>
      </c>
      <c r="AB320" s="8"/>
      <c r="AC320" s="8">
        <f t="shared" si="32"/>
        <v>0</v>
      </c>
    </row>
    <row r="321" spans="1:31">
      <c r="A321" s="13" t="s">
        <v>1055</v>
      </c>
      <c r="B321" s="12"/>
      <c r="C321" s="12" t="s">
        <v>50</v>
      </c>
      <c r="D321" s="12"/>
      <c r="E321" s="32">
        <v>48702</v>
      </c>
      <c r="G321" s="8">
        <v>13868337</v>
      </c>
      <c r="I321" s="8">
        <v>0</v>
      </c>
      <c r="K321" s="3">
        <f t="shared" ref="K321:K345" si="35">+M321-I321-G321</f>
        <v>9401903</v>
      </c>
      <c r="M321" s="8">
        <v>23270240</v>
      </c>
      <c r="O321" s="3">
        <f t="shared" ref="O321:O345" si="36">+S321-Q321</f>
        <v>4187975</v>
      </c>
      <c r="Q321" s="8">
        <v>8296850</v>
      </c>
      <c r="S321" s="8">
        <v>12484825</v>
      </c>
      <c r="U321" s="8">
        <f>385539+533233</f>
        <v>918772</v>
      </c>
      <c r="W321" s="8">
        <v>0</v>
      </c>
      <c r="Y321" s="8">
        <v>9866643</v>
      </c>
      <c r="AA321" s="14">
        <f t="shared" ref="AA321:AA345" si="37">+Y321+W321++U321</f>
        <v>10785415</v>
      </c>
      <c r="AB321" s="8"/>
      <c r="AC321" s="8">
        <f t="shared" ref="AC321:AC345" si="38">+G321+I321+K321-O321-Q321-Y321-W321-U321</f>
        <v>0</v>
      </c>
      <c r="AE321" s="15" t="s">
        <v>905</v>
      </c>
    </row>
    <row r="322" spans="1:31">
      <c r="A322" s="12" t="s">
        <v>398</v>
      </c>
      <c r="B322" s="12"/>
      <c r="C322" s="12" t="s">
        <v>32</v>
      </c>
      <c r="D322" s="12"/>
      <c r="E322" s="32">
        <v>44289</v>
      </c>
      <c r="G322" s="8">
        <v>4178040</v>
      </c>
      <c r="I322" s="8">
        <v>0</v>
      </c>
      <c r="K322" s="3">
        <f t="shared" si="35"/>
        <v>12097203</v>
      </c>
      <c r="M322" s="8">
        <v>16275243</v>
      </c>
      <c r="O322" s="3">
        <f t="shared" si="36"/>
        <v>2207649</v>
      </c>
      <c r="Q322" s="8">
        <v>7286185</v>
      </c>
      <c r="S322" s="8">
        <v>9493834</v>
      </c>
      <c r="U322" s="8">
        <f>199947+3898000+167929</f>
        <v>4265876</v>
      </c>
      <c r="W322" s="8">
        <v>0</v>
      </c>
      <c r="Y322" s="8">
        <v>2515533</v>
      </c>
      <c r="AA322" s="14">
        <f t="shared" si="37"/>
        <v>6781409</v>
      </c>
      <c r="AB322" s="8"/>
      <c r="AC322" s="8">
        <f t="shared" si="38"/>
        <v>0</v>
      </c>
    </row>
    <row r="323" spans="1:31">
      <c r="A323" s="12" t="s">
        <v>246</v>
      </c>
      <c r="B323" s="12"/>
      <c r="C323" s="12" t="s">
        <v>242</v>
      </c>
      <c r="D323" s="12"/>
      <c r="E323" s="32">
        <v>46128</v>
      </c>
      <c r="G323" s="8">
        <v>2108555</v>
      </c>
      <c r="I323" s="8">
        <v>0</v>
      </c>
      <c r="K323" s="3">
        <f t="shared" si="35"/>
        <v>5192041</v>
      </c>
      <c r="M323" s="8">
        <v>7300596</v>
      </c>
      <c r="O323" s="3">
        <f t="shared" si="36"/>
        <v>1067052</v>
      </c>
      <c r="Q323" s="8">
        <v>3529461</v>
      </c>
      <c r="S323" s="8">
        <v>4596513</v>
      </c>
      <c r="U323" s="8">
        <f>105311+1335000</f>
        <v>1440311</v>
      </c>
      <c r="W323" s="8">
        <v>0</v>
      </c>
      <c r="Y323" s="8">
        <v>1263772</v>
      </c>
      <c r="AA323" s="14">
        <f t="shared" si="37"/>
        <v>2704083</v>
      </c>
      <c r="AB323" s="8"/>
      <c r="AC323" s="8">
        <f t="shared" si="38"/>
        <v>0</v>
      </c>
    </row>
    <row r="324" spans="1:31" hidden="1">
      <c r="A324" s="12" t="s">
        <v>993</v>
      </c>
      <c r="B324" s="12"/>
      <c r="C324" s="12" t="s">
        <v>41</v>
      </c>
      <c r="D324" s="12"/>
      <c r="E324" s="32"/>
      <c r="G324" s="8">
        <v>2414778</v>
      </c>
      <c r="I324" s="8">
        <v>725465</v>
      </c>
      <c r="K324" s="3">
        <f t="shared" si="35"/>
        <v>0</v>
      </c>
      <c r="M324" s="8">
        <v>3140243</v>
      </c>
      <c r="O324" s="3"/>
      <c r="U324" s="8">
        <f>148191+574994+120163+30308</f>
        <v>873656</v>
      </c>
      <c r="Y324" s="8">
        <v>2266587</v>
      </c>
      <c r="AA324" s="14">
        <f t="shared" si="37"/>
        <v>3140243</v>
      </c>
      <c r="AB324" s="8"/>
      <c r="AC324" s="8">
        <f t="shared" si="38"/>
        <v>0</v>
      </c>
    </row>
    <row r="325" spans="1:31">
      <c r="A325" s="12" t="s">
        <v>246</v>
      </c>
      <c r="B325" s="12"/>
      <c r="C325" s="12" t="s">
        <v>112</v>
      </c>
      <c r="D325" s="12"/>
      <c r="E325" s="32">
        <v>49452</v>
      </c>
      <c r="G325" s="8">
        <v>9847095</v>
      </c>
      <c r="I325" s="8">
        <v>561521</v>
      </c>
      <c r="K325" s="3">
        <f t="shared" si="35"/>
        <v>13048783</v>
      </c>
      <c r="M325" s="8">
        <v>23457399</v>
      </c>
      <c r="O325" s="3">
        <f t="shared" si="36"/>
        <v>13265224</v>
      </c>
      <c r="Q325" s="8">
        <v>1778453</v>
      </c>
      <c r="S325" s="8">
        <v>15043677</v>
      </c>
      <c r="U325" s="8">
        <f>55336+1951927+504329+57192</f>
        <v>2568784</v>
      </c>
      <c r="W325" s="8">
        <v>0</v>
      </c>
      <c r="Y325" s="8">
        <v>5844938</v>
      </c>
      <c r="AA325" s="14">
        <f t="shared" si="37"/>
        <v>8413722</v>
      </c>
      <c r="AB325" s="8"/>
      <c r="AC325" s="8">
        <f t="shared" si="38"/>
        <v>0</v>
      </c>
    </row>
    <row r="326" spans="1:31">
      <c r="A326" s="12" t="s">
        <v>1023</v>
      </c>
      <c r="B326" s="12"/>
      <c r="C326" s="12" t="s">
        <v>505</v>
      </c>
      <c r="D326" s="12"/>
      <c r="E326" s="32"/>
      <c r="G326" s="8">
        <v>7163123</v>
      </c>
      <c r="I326" s="8">
        <v>109928</v>
      </c>
      <c r="K326" s="3">
        <f t="shared" si="35"/>
        <v>5356531</v>
      </c>
      <c r="M326" s="8">
        <v>12629582</v>
      </c>
      <c r="O326" s="3">
        <f t="shared" si="36"/>
        <v>1372183</v>
      </c>
      <c r="Q326" s="8">
        <v>4026916</v>
      </c>
      <c r="S326" s="8">
        <v>5399099</v>
      </c>
      <c r="U326" s="8">
        <f>59585+1327454+109928</f>
        <v>1496967</v>
      </c>
      <c r="W326" s="8">
        <v>540000</v>
      </c>
      <c r="Y326" s="8">
        <v>5193516</v>
      </c>
      <c r="AA326" s="14">
        <f t="shared" si="37"/>
        <v>7230483</v>
      </c>
      <c r="AB326" s="8"/>
      <c r="AC326" s="8">
        <f t="shared" si="38"/>
        <v>0</v>
      </c>
    </row>
    <row r="327" spans="1:31">
      <c r="A327" s="12" t="s">
        <v>819</v>
      </c>
      <c r="B327" s="12"/>
      <c r="C327" s="12" t="s">
        <v>208</v>
      </c>
      <c r="D327" s="12"/>
      <c r="E327" s="32"/>
      <c r="G327" s="8">
        <v>2878993</v>
      </c>
      <c r="I327" s="8">
        <v>0</v>
      </c>
      <c r="K327" s="3">
        <f t="shared" si="35"/>
        <v>6273746</v>
      </c>
      <c r="M327" s="8">
        <v>9152739</v>
      </c>
      <c r="O327" s="3">
        <f t="shared" si="36"/>
        <v>901526</v>
      </c>
      <c r="Q327" s="8">
        <v>6082684</v>
      </c>
      <c r="S327" s="8">
        <v>6984210</v>
      </c>
      <c r="U327" s="8">
        <v>89958</v>
      </c>
      <c r="W327" s="8">
        <v>0</v>
      </c>
      <c r="Y327" s="8">
        <v>2078571</v>
      </c>
      <c r="AA327" s="14">
        <f t="shared" si="37"/>
        <v>2168529</v>
      </c>
      <c r="AB327" s="8"/>
      <c r="AC327" s="8">
        <f t="shared" si="38"/>
        <v>0</v>
      </c>
    </row>
    <row r="328" spans="1:31">
      <c r="A328" s="12" t="s">
        <v>612</v>
      </c>
      <c r="B328" s="12"/>
      <c r="C328" s="12" t="s">
        <v>112</v>
      </c>
      <c r="D328" s="12"/>
      <c r="E328" s="32">
        <v>44297</v>
      </c>
      <c r="G328" s="8">
        <v>148943</v>
      </c>
      <c r="I328" s="8">
        <v>148824</v>
      </c>
      <c r="K328" s="3">
        <f t="shared" si="35"/>
        <v>23108881</v>
      </c>
      <c r="M328" s="8">
        <v>23406648</v>
      </c>
      <c r="O328" s="3">
        <f t="shared" si="36"/>
        <v>18843159</v>
      </c>
      <c r="Q328" s="8">
        <v>5436529</v>
      </c>
      <c r="S328" s="8">
        <v>24279688</v>
      </c>
      <c r="U328" s="8">
        <f>12169+103218+24871+3216086+148824</f>
        <v>3505168</v>
      </c>
      <c r="W328" s="8">
        <v>0</v>
      </c>
      <c r="Y328" s="8">
        <v>-4378208</v>
      </c>
      <c r="AA328" s="14">
        <f t="shared" si="37"/>
        <v>-873040</v>
      </c>
      <c r="AB328" s="8"/>
      <c r="AC328" s="8">
        <f t="shared" si="38"/>
        <v>0</v>
      </c>
    </row>
    <row r="329" spans="1:31">
      <c r="A329" s="12" t="s">
        <v>311</v>
      </c>
      <c r="B329" s="12"/>
      <c r="C329" s="12" t="s">
        <v>20</v>
      </c>
      <c r="D329" s="12"/>
      <c r="E329" s="32">
        <v>44305</v>
      </c>
      <c r="G329" s="8">
        <v>4149088</v>
      </c>
      <c r="I329" s="8">
        <v>0</v>
      </c>
      <c r="K329" s="3">
        <f t="shared" si="35"/>
        <v>16090204</v>
      </c>
      <c r="M329" s="8">
        <v>20239292</v>
      </c>
      <c r="O329" s="3">
        <f t="shared" si="36"/>
        <v>4389562</v>
      </c>
      <c r="Q329" s="8">
        <v>13065347</v>
      </c>
      <c r="S329" s="8">
        <v>17454909</v>
      </c>
      <c r="U329" s="8">
        <v>2797967</v>
      </c>
      <c r="W329" s="8">
        <v>0</v>
      </c>
      <c r="Y329" s="8">
        <v>-13584</v>
      </c>
      <c r="AA329" s="14">
        <f t="shared" si="37"/>
        <v>2784383</v>
      </c>
      <c r="AB329" s="8"/>
      <c r="AC329" s="8">
        <f t="shared" si="38"/>
        <v>0</v>
      </c>
      <c r="AE329" s="15" t="s">
        <v>905</v>
      </c>
    </row>
    <row r="330" spans="1:31">
      <c r="A330" s="12" t="s">
        <v>216</v>
      </c>
      <c r="B330" s="12"/>
      <c r="C330" s="12" t="s">
        <v>11</v>
      </c>
      <c r="D330" s="12"/>
      <c r="E330" s="32">
        <v>45831</v>
      </c>
      <c r="G330" s="8">
        <v>1192533</v>
      </c>
      <c r="I330" s="8">
        <v>32439</v>
      </c>
      <c r="K330" s="3">
        <f t="shared" si="35"/>
        <v>2267579</v>
      </c>
      <c r="M330" s="8">
        <v>3492551</v>
      </c>
      <c r="O330" s="3">
        <f t="shared" si="36"/>
        <v>2135787</v>
      </c>
      <c r="Q330" s="8">
        <v>130750</v>
      </c>
      <c r="S330" s="8">
        <v>2266537</v>
      </c>
      <c r="U330" s="8">
        <f>14298+62036+628820+32439</f>
        <v>737593</v>
      </c>
      <c r="W330" s="8">
        <v>0</v>
      </c>
      <c r="Y330" s="8">
        <v>488421</v>
      </c>
      <c r="AA330" s="14">
        <f t="shared" si="37"/>
        <v>1226014</v>
      </c>
      <c r="AB330" s="8"/>
      <c r="AC330" s="8">
        <f t="shared" si="38"/>
        <v>0</v>
      </c>
    </row>
    <row r="331" spans="1:31">
      <c r="A331" s="12" t="s">
        <v>687</v>
      </c>
      <c r="B331" s="12"/>
      <c r="C331" s="12" t="s">
        <v>64</v>
      </c>
      <c r="D331" s="12"/>
      <c r="E331" s="32">
        <v>50211</v>
      </c>
      <c r="G331" s="8">
        <v>2034255</v>
      </c>
      <c r="I331" s="8">
        <v>482494</v>
      </c>
      <c r="K331" s="3">
        <f t="shared" si="35"/>
        <v>2498342</v>
      </c>
      <c r="M331" s="8">
        <v>5015091</v>
      </c>
      <c r="O331" s="3">
        <f t="shared" si="36"/>
        <v>3329706</v>
      </c>
      <c r="Q331" s="8">
        <v>185604</v>
      </c>
      <c r="S331" s="8">
        <v>3515310</v>
      </c>
      <c r="U331" s="8">
        <f>2562+1184+9791+482494</f>
        <v>496031</v>
      </c>
      <c r="W331" s="8">
        <v>0</v>
      </c>
      <c r="Y331" s="8">
        <v>1003750</v>
      </c>
      <c r="AA331" s="14">
        <f t="shared" si="37"/>
        <v>1499781</v>
      </c>
      <c r="AB331" s="8"/>
      <c r="AC331" s="8">
        <f t="shared" si="38"/>
        <v>0</v>
      </c>
    </row>
    <row r="332" spans="1:31">
      <c r="A332" s="12" t="s">
        <v>339</v>
      </c>
      <c r="B332" s="12"/>
      <c r="C332" s="12" t="s">
        <v>24</v>
      </c>
      <c r="D332" s="12"/>
      <c r="E332" s="32">
        <v>46805</v>
      </c>
      <c r="G332" s="8">
        <v>594429</v>
      </c>
      <c r="I332" s="8">
        <v>0</v>
      </c>
      <c r="K332" s="3">
        <f t="shared" si="35"/>
        <v>6254329</v>
      </c>
      <c r="M332" s="8">
        <v>6848758</v>
      </c>
      <c r="O332" s="3">
        <f t="shared" si="36"/>
        <v>5433496</v>
      </c>
      <c r="Q332" s="8">
        <v>1538568</v>
      </c>
      <c r="S332" s="8">
        <v>6972064</v>
      </c>
      <c r="U332" s="8">
        <f>82552+50000+563673</f>
        <v>696225</v>
      </c>
      <c r="W332" s="8">
        <v>0</v>
      </c>
      <c r="Y332" s="8">
        <v>-819531</v>
      </c>
      <c r="AA332" s="14">
        <f t="shared" si="37"/>
        <v>-123306</v>
      </c>
      <c r="AB332" s="8"/>
      <c r="AC332" s="8">
        <f t="shared" si="38"/>
        <v>0</v>
      </c>
    </row>
    <row r="333" spans="1:31">
      <c r="A333" s="12" t="s">
        <v>399</v>
      </c>
      <c r="B333" s="12"/>
      <c r="C333" s="12" t="s">
        <v>32</v>
      </c>
      <c r="D333" s="12"/>
      <c r="E333" s="32">
        <v>44313</v>
      </c>
      <c r="G333" s="8">
        <v>5326771</v>
      </c>
      <c r="I333" s="8">
        <v>140000</v>
      </c>
      <c r="K333" s="3">
        <f t="shared" si="35"/>
        <v>13938407</v>
      </c>
      <c r="M333" s="8">
        <v>19405178</v>
      </c>
      <c r="O333" s="3">
        <f t="shared" si="36"/>
        <v>2362877</v>
      </c>
      <c r="Q333" s="8">
        <v>8732224</v>
      </c>
      <c r="S333" s="8">
        <v>11095101</v>
      </c>
      <c r="U333" s="8">
        <f>5194000+140000</f>
        <v>5334000</v>
      </c>
      <c r="W333" s="8">
        <v>0</v>
      </c>
      <c r="Y333" s="8">
        <v>2976077</v>
      </c>
      <c r="AA333" s="14">
        <f t="shared" si="37"/>
        <v>8310077</v>
      </c>
      <c r="AB333" s="8"/>
      <c r="AC333" s="8">
        <f t="shared" si="38"/>
        <v>0</v>
      </c>
    </row>
    <row r="334" spans="1:31" hidden="1">
      <c r="A334" s="12" t="s">
        <v>832</v>
      </c>
      <c r="B334" s="12"/>
      <c r="C334" s="12" t="s">
        <v>70</v>
      </c>
      <c r="D334" s="12"/>
      <c r="E334" s="32">
        <v>44321</v>
      </c>
      <c r="G334" s="8">
        <v>2933756</v>
      </c>
      <c r="I334" s="8">
        <v>138543</v>
      </c>
      <c r="K334" s="3">
        <f t="shared" si="35"/>
        <v>0</v>
      </c>
      <c r="M334" s="8">
        <v>3072299</v>
      </c>
      <c r="O334" s="3">
        <f t="shared" si="36"/>
        <v>0</v>
      </c>
      <c r="U334" s="8">
        <f>132711+48801+64324+19752+5666</f>
        <v>271254</v>
      </c>
      <c r="Y334" s="8">
        <v>2801045</v>
      </c>
      <c r="AA334" s="14">
        <f t="shared" si="37"/>
        <v>3072299</v>
      </c>
      <c r="AB334" s="8"/>
      <c r="AC334" s="8">
        <f t="shared" si="38"/>
        <v>0</v>
      </c>
      <c r="AE334" s="8" t="s">
        <v>956</v>
      </c>
    </row>
    <row r="335" spans="1:31">
      <c r="A335" s="12" t="s">
        <v>521</v>
      </c>
      <c r="B335" s="12"/>
      <c r="C335" s="12" t="s">
        <v>46</v>
      </c>
      <c r="D335" s="12"/>
      <c r="E335" s="32">
        <v>44339</v>
      </c>
      <c r="G335" s="8">
        <v>12759213</v>
      </c>
      <c r="I335" s="8">
        <v>1815570</v>
      </c>
      <c r="K335" s="3">
        <f t="shared" si="35"/>
        <v>10300735</v>
      </c>
      <c r="M335" s="8">
        <v>24875518</v>
      </c>
      <c r="O335" s="3">
        <f t="shared" si="36"/>
        <v>4651442</v>
      </c>
      <c r="Q335" s="8">
        <v>6778892</v>
      </c>
      <c r="S335" s="8">
        <v>11430334</v>
      </c>
      <c r="U335" s="8">
        <f>2871538+1815570+739944</f>
        <v>5427052</v>
      </c>
      <c r="W335" s="8">
        <v>0</v>
      </c>
      <c r="Y335" s="8">
        <v>8018132</v>
      </c>
      <c r="AA335" s="14">
        <f t="shared" si="37"/>
        <v>13445184</v>
      </c>
      <c r="AB335" s="8"/>
      <c r="AC335" s="8">
        <f t="shared" si="38"/>
        <v>0</v>
      </c>
    </row>
    <row r="336" spans="1:31" hidden="1">
      <c r="A336" s="12" t="s">
        <v>998</v>
      </c>
      <c r="B336" s="12"/>
      <c r="C336" s="12" t="s">
        <v>534</v>
      </c>
      <c r="D336" s="12"/>
      <c r="E336" s="32"/>
      <c r="G336" s="8">
        <v>1011305</v>
      </c>
      <c r="I336" s="8">
        <v>255653</v>
      </c>
      <c r="K336" s="3">
        <f t="shared" si="35"/>
        <v>0</v>
      </c>
      <c r="M336" s="8">
        <v>1266958</v>
      </c>
      <c r="O336" s="3"/>
      <c r="U336" s="8">
        <f>63881+248502+7151</f>
        <v>319534</v>
      </c>
      <c r="Y336" s="8">
        <v>947424</v>
      </c>
      <c r="AA336" s="14">
        <f t="shared" si="37"/>
        <v>1266958</v>
      </c>
      <c r="AB336" s="8"/>
      <c r="AC336" s="8">
        <f t="shared" si="38"/>
        <v>0</v>
      </c>
    </row>
    <row r="337" spans="1:31">
      <c r="A337" s="12" t="s">
        <v>655</v>
      </c>
      <c r="B337" s="12"/>
      <c r="C337" s="12" t="s">
        <v>62</v>
      </c>
      <c r="D337" s="12"/>
      <c r="E337" s="32">
        <v>49882</v>
      </c>
      <c r="G337" s="8">
        <v>6438393</v>
      </c>
      <c r="I337" s="8">
        <v>120441</v>
      </c>
      <c r="K337" s="3">
        <f t="shared" si="35"/>
        <v>9076478</v>
      </c>
      <c r="M337" s="8">
        <v>15635312</v>
      </c>
      <c r="O337" s="3">
        <f t="shared" si="36"/>
        <v>10299501</v>
      </c>
      <c r="Q337" s="8">
        <v>680372</v>
      </c>
      <c r="S337" s="8">
        <v>10979873</v>
      </c>
      <c r="U337" s="8">
        <f>202358+127638+20989+531810+120441</f>
        <v>1003236</v>
      </c>
      <c r="W337" s="8">
        <v>476349</v>
      </c>
      <c r="Y337" s="8">
        <v>3175854</v>
      </c>
      <c r="AA337" s="14">
        <f t="shared" si="37"/>
        <v>4655439</v>
      </c>
      <c r="AB337" s="8"/>
      <c r="AC337" s="8">
        <f t="shared" si="38"/>
        <v>0</v>
      </c>
    </row>
    <row r="338" spans="1:31">
      <c r="A338" s="12" t="s">
        <v>233</v>
      </c>
      <c r="B338" s="12"/>
      <c r="C338" s="12" t="s">
        <v>15</v>
      </c>
      <c r="D338" s="12"/>
      <c r="E338" s="32">
        <v>44347</v>
      </c>
      <c r="G338" s="8">
        <v>0</v>
      </c>
      <c r="I338" s="8">
        <v>0</v>
      </c>
      <c r="K338" s="3">
        <f t="shared" si="35"/>
        <v>2365342</v>
      </c>
      <c r="M338" s="8">
        <v>2365342</v>
      </c>
      <c r="O338" s="3">
        <f t="shared" si="36"/>
        <v>2297859</v>
      </c>
      <c r="Q338" s="8">
        <v>2213300</v>
      </c>
      <c r="S338" s="8">
        <v>4511159</v>
      </c>
      <c r="U338" s="8">
        <f>22131+144208+23778</f>
        <v>190117</v>
      </c>
      <c r="W338" s="8">
        <v>0</v>
      </c>
      <c r="Y338" s="8">
        <v>-2335934</v>
      </c>
      <c r="AA338" s="14">
        <f t="shared" si="37"/>
        <v>-2145817</v>
      </c>
      <c r="AB338" s="8"/>
      <c r="AC338" s="8">
        <f t="shared" si="38"/>
        <v>0</v>
      </c>
    </row>
    <row r="339" spans="1:31">
      <c r="A339" s="12" t="s">
        <v>703</v>
      </c>
      <c r="B339" s="12"/>
      <c r="C339" s="12" t="s">
        <v>66</v>
      </c>
      <c r="D339" s="12"/>
      <c r="E339" s="32">
        <v>45476</v>
      </c>
      <c r="G339" s="8">
        <v>6788</v>
      </c>
      <c r="I339" s="8">
        <v>0</v>
      </c>
      <c r="K339" s="3">
        <f t="shared" si="35"/>
        <v>30180655</v>
      </c>
      <c r="M339" s="8">
        <v>30187443</v>
      </c>
      <c r="O339" s="3">
        <f t="shared" si="36"/>
        <v>6461083</v>
      </c>
      <c r="Q339" s="8">
        <f>25415112+12733</f>
        <v>25427845</v>
      </c>
      <c r="S339" s="8">
        <v>31888928</v>
      </c>
      <c r="U339" s="8">
        <f>224935+51013+1757422</f>
        <v>2033370</v>
      </c>
      <c r="W339" s="8">
        <v>0</v>
      </c>
      <c r="Y339" s="8">
        <v>-3734855</v>
      </c>
      <c r="AA339" s="14">
        <f t="shared" si="37"/>
        <v>-1701485</v>
      </c>
      <c r="AB339" s="8"/>
      <c r="AC339" s="8">
        <f t="shared" si="38"/>
        <v>0</v>
      </c>
    </row>
    <row r="340" spans="1:31">
      <c r="A340" s="12" t="s">
        <v>712</v>
      </c>
      <c r="B340" s="12"/>
      <c r="C340" s="12" t="s">
        <v>69</v>
      </c>
      <c r="D340" s="12"/>
      <c r="E340" s="32">
        <v>50450</v>
      </c>
      <c r="G340" s="8">
        <v>51076836</v>
      </c>
      <c r="I340" s="8">
        <v>85593</v>
      </c>
      <c r="K340" s="3">
        <f t="shared" si="35"/>
        <v>57197110</v>
      </c>
      <c r="M340" s="8">
        <v>108359539</v>
      </c>
      <c r="O340" s="3">
        <f t="shared" si="36"/>
        <v>12587321</v>
      </c>
      <c r="Q340" s="8">
        <v>50670500</v>
      </c>
      <c r="S340" s="8">
        <v>63257821</v>
      </c>
      <c r="U340" s="8">
        <f>998210+4390950+85593</f>
        <v>5474753</v>
      </c>
      <c r="W340" s="8">
        <v>0</v>
      </c>
      <c r="Y340" s="8">
        <v>39626965</v>
      </c>
      <c r="AA340" s="14">
        <f t="shared" si="37"/>
        <v>45101718</v>
      </c>
      <c r="AB340" s="8"/>
      <c r="AC340" s="8">
        <f t="shared" si="38"/>
        <v>0</v>
      </c>
    </row>
    <row r="341" spans="1:31">
      <c r="A341" s="12" t="s">
        <v>656</v>
      </c>
      <c r="B341" s="12"/>
      <c r="C341" s="12" t="s">
        <v>62</v>
      </c>
      <c r="D341" s="12"/>
      <c r="E341" s="32">
        <v>44354</v>
      </c>
      <c r="G341" s="8">
        <v>9033220</v>
      </c>
      <c r="I341" s="8">
        <v>245262</v>
      </c>
      <c r="K341" s="3">
        <f t="shared" si="35"/>
        <v>14388526</v>
      </c>
      <c r="M341" s="8">
        <v>23667008</v>
      </c>
      <c r="O341" s="3">
        <f t="shared" si="36"/>
        <v>4520381</v>
      </c>
      <c r="Q341" s="8">
        <v>13157371</v>
      </c>
      <c r="S341" s="8">
        <v>17677752</v>
      </c>
      <c r="U341" s="8">
        <f>827228+34901+751970+210361</f>
        <v>1824460</v>
      </c>
      <c r="W341" s="8">
        <v>0</v>
      </c>
      <c r="Y341" s="8">
        <v>4164796</v>
      </c>
      <c r="AA341" s="14">
        <f t="shared" si="37"/>
        <v>5989256</v>
      </c>
      <c r="AB341" s="8"/>
      <c r="AC341" s="8">
        <f t="shared" si="38"/>
        <v>0</v>
      </c>
    </row>
    <row r="342" spans="1:31">
      <c r="A342" s="12" t="s">
        <v>688</v>
      </c>
      <c r="B342" s="12"/>
      <c r="C342" s="12" t="s">
        <v>64</v>
      </c>
      <c r="D342" s="12"/>
      <c r="E342" s="32">
        <v>50153</v>
      </c>
      <c r="G342" s="8">
        <v>1474002</v>
      </c>
      <c r="I342" s="8">
        <v>8740</v>
      </c>
      <c r="K342" s="3">
        <f t="shared" si="35"/>
        <v>4677356</v>
      </c>
      <c r="M342" s="8">
        <v>6160098</v>
      </c>
      <c r="O342" s="3">
        <f t="shared" si="36"/>
        <v>5002628</v>
      </c>
      <c r="Q342" s="8">
        <v>510783</v>
      </c>
      <c r="S342" s="8">
        <v>5513411</v>
      </c>
      <c r="U342" s="8">
        <f>70506+29531+31898+28394+8740</f>
        <v>169069</v>
      </c>
      <c r="W342" s="8">
        <v>0</v>
      </c>
      <c r="Y342" s="8">
        <v>477618</v>
      </c>
      <c r="AA342" s="14">
        <f t="shared" si="37"/>
        <v>646687</v>
      </c>
      <c r="AB342" s="8"/>
      <c r="AC342" s="8">
        <f t="shared" si="38"/>
        <v>0</v>
      </c>
    </row>
    <row r="343" spans="1:31">
      <c r="A343" s="12" t="s">
        <v>497</v>
      </c>
      <c r="B343" s="12"/>
      <c r="C343" s="12" t="s">
        <v>117</v>
      </c>
      <c r="D343" s="12"/>
      <c r="E343" s="32">
        <v>44362</v>
      </c>
      <c r="G343" s="8">
        <v>1730793</v>
      </c>
      <c r="I343" s="8">
        <v>134017</v>
      </c>
      <c r="K343" s="3">
        <f t="shared" si="35"/>
        <v>18428676</v>
      </c>
      <c r="M343" s="8">
        <v>20293486</v>
      </c>
      <c r="O343" s="3">
        <f t="shared" si="36"/>
        <v>20540869</v>
      </c>
      <c r="Q343" s="8">
        <v>1289883</v>
      </c>
      <c r="S343" s="8">
        <v>21830752</v>
      </c>
      <c r="U343" s="8">
        <f>41002+121957+12060+27088+666317+31385</f>
        <v>899809</v>
      </c>
      <c r="W343" s="8">
        <v>0</v>
      </c>
      <c r="Y343" s="8">
        <v>-2437075</v>
      </c>
      <c r="AA343" s="14">
        <f t="shared" si="37"/>
        <v>-1537266</v>
      </c>
      <c r="AB343" s="8"/>
      <c r="AC343" s="8">
        <f t="shared" si="38"/>
        <v>0</v>
      </c>
    </row>
    <row r="344" spans="1:31">
      <c r="A344" s="12" t="s">
        <v>1071</v>
      </c>
      <c r="B344" s="12"/>
      <c r="C344" s="12" t="s">
        <v>20</v>
      </c>
      <c r="D344" s="12"/>
      <c r="E344" s="32">
        <v>44370</v>
      </c>
      <c r="G344" s="8">
        <v>16057088</v>
      </c>
      <c r="I344" s="8">
        <v>0</v>
      </c>
      <c r="K344" s="3">
        <f t="shared" si="35"/>
        <v>48234193</v>
      </c>
      <c r="M344" s="8">
        <v>64291281</v>
      </c>
      <c r="O344" s="3">
        <f t="shared" si="36"/>
        <v>6130354</v>
      </c>
      <c r="Q344" s="8">
        <v>40344056</v>
      </c>
      <c r="S344" s="8">
        <v>46474410</v>
      </c>
      <c r="U344" s="8">
        <f>2121291+6905026</f>
        <v>9026317</v>
      </c>
      <c r="W344" s="8">
        <v>0</v>
      </c>
      <c r="Y344" s="8">
        <v>8790554</v>
      </c>
      <c r="AA344" s="14">
        <f t="shared" si="37"/>
        <v>17816871</v>
      </c>
      <c r="AB344" s="8"/>
      <c r="AC344" s="8">
        <f t="shared" si="38"/>
        <v>0</v>
      </c>
      <c r="AE344" s="15" t="s">
        <v>905</v>
      </c>
    </row>
    <row r="345" spans="1:31">
      <c r="A345" s="12" t="s">
        <v>565</v>
      </c>
      <c r="B345" s="12"/>
      <c r="C345" s="12" t="s">
        <v>51</v>
      </c>
      <c r="D345" s="12"/>
      <c r="E345" s="32">
        <v>48850</v>
      </c>
      <c r="G345" s="8">
        <v>2887492</v>
      </c>
      <c r="I345" s="8">
        <v>43753</v>
      </c>
      <c r="K345" s="3">
        <f t="shared" si="35"/>
        <v>3854925</v>
      </c>
      <c r="M345" s="8">
        <v>6786170</v>
      </c>
      <c r="O345" s="3">
        <f t="shared" si="36"/>
        <v>2619542</v>
      </c>
      <c r="Q345" s="8">
        <v>3514532</v>
      </c>
      <c r="S345" s="8">
        <v>6134074</v>
      </c>
      <c r="U345" s="8">
        <f>94645+43753+106826</f>
        <v>245224</v>
      </c>
      <c r="W345" s="8">
        <v>0</v>
      </c>
      <c r="Y345" s="8">
        <v>406872</v>
      </c>
      <c r="AA345" s="14">
        <f t="shared" si="37"/>
        <v>652096</v>
      </c>
      <c r="AB345" s="8"/>
      <c r="AC345" s="8">
        <f t="shared" si="38"/>
        <v>0</v>
      </c>
    </row>
    <row r="346" spans="1:31" hidden="1">
      <c r="A346" s="12" t="s">
        <v>885</v>
      </c>
      <c r="B346" s="12"/>
      <c r="C346" s="12" t="s">
        <v>33</v>
      </c>
      <c r="D346" s="12"/>
      <c r="E346" s="32">
        <v>47456</v>
      </c>
      <c r="G346" s="35">
        <v>1830123</v>
      </c>
      <c r="H346" s="35"/>
      <c r="I346" s="35"/>
      <c r="J346" s="35"/>
      <c r="K346" s="42">
        <f>+M346-I346-G346</f>
        <v>0</v>
      </c>
      <c r="L346" s="35"/>
      <c r="M346" s="35">
        <v>1830123</v>
      </c>
      <c r="N346" s="35"/>
      <c r="O346" s="42">
        <f>+S346-Q346</f>
        <v>0</v>
      </c>
      <c r="P346" s="35"/>
      <c r="Q346" s="35"/>
      <c r="R346" s="35"/>
      <c r="S346" s="35"/>
      <c r="T346" s="35"/>
      <c r="U346" s="35">
        <v>33444</v>
      </c>
      <c r="V346" s="35"/>
      <c r="W346" s="35"/>
      <c r="X346" s="35"/>
      <c r="Y346" s="35">
        <v>1796679</v>
      </c>
      <c r="Z346" s="35"/>
      <c r="AA346" s="64">
        <f>+Y346+W346++U346</f>
        <v>1830123</v>
      </c>
      <c r="AB346" s="35"/>
      <c r="AC346" s="35">
        <f t="shared" ref="AC346:AC367" si="39">+G346+I346+K346-O346-Q346-Y346-W346-U346</f>
        <v>0</v>
      </c>
    </row>
    <row r="347" spans="1:31" s="35" customFormat="1">
      <c r="A347" s="34" t="s">
        <v>882</v>
      </c>
      <c r="B347" s="34"/>
      <c r="C347" s="34" t="s">
        <v>64</v>
      </c>
      <c r="D347" s="34"/>
      <c r="E347" s="32">
        <v>50229</v>
      </c>
      <c r="G347" s="8">
        <v>0</v>
      </c>
      <c r="H347" s="8"/>
      <c r="I347" s="8">
        <v>0</v>
      </c>
      <c r="J347" s="8"/>
      <c r="K347" s="3">
        <f t="shared" ref="K347:K413" si="40">+M347-I347-G347</f>
        <v>1007757</v>
      </c>
      <c r="L347" s="8"/>
      <c r="M347" s="8">
        <v>1007757</v>
      </c>
      <c r="N347" s="8"/>
      <c r="O347" s="3">
        <f t="shared" ref="O347:O409" si="41">+S347-Q347</f>
        <v>3039126</v>
      </c>
      <c r="P347" s="8"/>
      <c r="Q347" s="8">
        <v>114007</v>
      </c>
      <c r="R347" s="8"/>
      <c r="S347" s="8">
        <v>3153133</v>
      </c>
      <c r="T347" s="8"/>
      <c r="U347" s="8">
        <f>57342+2840+991+9745</f>
        <v>70918</v>
      </c>
      <c r="V347" s="8"/>
      <c r="W347" s="8">
        <v>0</v>
      </c>
      <c r="X347" s="8"/>
      <c r="Y347" s="8">
        <v>-2216294</v>
      </c>
      <c r="Z347" s="8"/>
      <c r="AA347" s="14">
        <f t="shared" ref="AA347:AA413" si="42">+Y347+W347++U347</f>
        <v>-2145376</v>
      </c>
      <c r="AB347" s="8"/>
      <c r="AC347" s="8">
        <f t="shared" si="39"/>
        <v>0</v>
      </c>
      <c r="AE347" s="8"/>
    </row>
    <row r="348" spans="1:31" s="8" customFormat="1">
      <c r="A348" s="13" t="s">
        <v>256</v>
      </c>
      <c r="B348" s="13"/>
      <c r="C348" s="13" t="s">
        <v>255</v>
      </c>
      <c r="D348" s="13"/>
      <c r="E348" s="13">
        <v>45484</v>
      </c>
      <c r="G348" s="8">
        <v>2003815</v>
      </c>
      <c r="I348" s="8">
        <v>41520</v>
      </c>
      <c r="K348" s="3">
        <f t="shared" si="40"/>
        <v>2228475</v>
      </c>
      <c r="M348" s="8">
        <v>4273810</v>
      </c>
      <c r="O348" s="3">
        <f t="shared" si="41"/>
        <v>2252320</v>
      </c>
      <c r="Q348" s="8">
        <v>98702</v>
      </c>
      <c r="S348" s="8">
        <v>2351022</v>
      </c>
      <c r="U348" s="8">
        <f>147437+4287+98105+24392+17128+2000</f>
        <v>293349</v>
      </c>
      <c r="W348" s="8">
        <v>0</v>
      </c>
      <c r="Y348" s="8">
        <v>1629439</v>
      </c>
      <c r="AA348" s="14">
        <f t="shared" si="42"/>
        <v>1922788</v>
      </c>
      <c r="AC348" s="8">
        <f t="shared" si="39"/>
        <v>0</v>
      </c>
    </row>
    <row r="349" spans="1:31">
      <c r="A349" s="12" t="s">
        <v>529</v>
      </c>
      <c r="B349" s="12"/>
      <c r="C349" s="12" t="s">
        <v>47</v>
      </c>
      <c r="D349" s="12"/>
      <c r="E349" s="32">
        <v>44388</v>
      </c>
      <c r="G349" s="8">
        <v>16993061</v>
      </c>
      <c r="I349" s="8">
        <v>0</v>
      </c>
      <c r="K349" s="3">
        <f t="shared" si="40"/>
        <v>46762266</v>
      </c>
      <c r="M349" s="8">
        <v>63755327</v>
      </c>
      <c r="O349" s="3">
        <f t="shared" si="41"/>
        <v>9496158</v>
      </c>
      <c r="Q349" s="8">
        <v>43018150</v>
      </c>
      <c r="S349" s="8">
        <v>52514308</v>
      </c>
      <c r="U349" s="8">
        <f>1446603+3397661</f>
        <v>4844264</v>
      </c>
      <c r="W349" s="8">
        <v>0</v>
      </c>
      <c r="Y349" s="8">
        <v>6396755</v>
      </c>
      <c r="AA349" s="14">
        <f t="shared" si="42"/>
        <v>11241019</v>
      </c>
      <c r="AB349" s="8"/>
      <c r="AC349" s="8">
        <f t="shared" si="39"/>
        <v>0</v>
      </c>
    </row>
    <row r="350" spans="1:31">
      <c r="A350" s="12" t="s">
        <v>532</v>
      </c>
      <c r="B350" s="12"/>
      <c r="C350" s="12" t="s">
        <v>531</v>
      </c>
      <c r="D350" s="12"/>
      <c r="E350" s="32">
        <v>48520</v>
      </c>
      <c r="G350" s="8">
        <v>11022</v>
      </c>
      <c r="I350" s="8">
        <v>68154</v>
      </c>
      <c r="K350" s="3">
        <f t="shared" si="40"/>
        <v>3380241</v>
      </c>
      <c r="M350" s="8">
        <v>3459417</v>
      </c>
      <c r="O350" s="3">
        <f t="shared" si="41"/>
        <v>1982003</v>
      </c>
      <c r="Q350" s="8">
        <v>3212213</v>
      </c>
      <c r="S350" s="8">
        <v>5194216</v>
      </c>
      <c r="U350" s="8">
        <f>32212+44677+68154+64390+15880</f>
        <v>225313</v>
      </c>
      <c r="W350" s="8">
        <v>0</v>
      </c>
      <c r="Y350" s="8">
        <v>-1960112</v>
      </c>
      <c r="AA350" s="14">
        <f t="shared" si="42"/>
        <v>-1734799</v>
      </c>
      <c r="AB350" s="8"/>
      <c r="AC350" s="8">
        <f t="shared" si="39"/>
        <v>0</v>
      </c>
    </row>
    <row r="351" spans="1:31">
      <c r="A351" s="12" t="s">
        <v>460</v>
      </c>
      <c r="B351" s="12"/>
      <c r="C351" s="12" t="s">
        <v>41</v>
      </c>
      <c r="D351" s="12"/>
      <c r="E351" s="32">
        <v>45492</v>
      </c>
      <c r="G351" s="8">
        <v>51015107</v>
      </c>
      <c r="I351" s="8">
        <v>0</v>
      </c>
      <c r="K351" s="3">
        <f t="shared" si="40"/>
        <v>65143310</v>
      </c>
      <c r="M351" s="8">
        <v>116158417</v>
      </c>
      <c r="O351" s="3">
        <f t="shared" si="41"/>
        <v>14277514</v>
      </c>
      <c r="Q351" s="8">
        <v>60315381</v>
      </c>
      <c r="S351" s="8">
        <v>74592895</v>
      </c>
      <c r="U351" s="8">
        <f>1421524+3952974</f>
        <v>5374498</v>
      </c>
      <c r="W351" s="8">
        <v>0</v>
      </c>
      <c r="Y351" s="8">
        <v>36191024</v>
      </c>
      <c r="AA351" s="14">
        <f t="shared" si="42"/>
        <v>41565522</v>
      </c>
      <c r="AB351" s="8"/>
      <c r="AC351" s="8">
        <f t="shared" si="39"/>
        <v>0</v>
      </c>
    </row>
    <row r="352" spans="1:31">
      <c r="A352" s="12" t="s">
        <v>537</v>
      </c>
      <c r="B352" s="12"/>
      <c r="C352" s="12" t="s">
        <v>48</v>
      </c>
      <c r="D352" s="12"/>
      <c r="E352" s="32">
        <v>48629</v>
      </c>
      <c r="G352" s="8">
        <v>475349</v>
      </c>
      <c r="I352" s="8">
        <v>222818</v>
      </c>
      <c r="K352" s="3">
        <f t="shared" si="40"/>
        <v>3818472</v>
      </c>
      <c r="M352" s="8">
        <v>4516639</v>
      </c>
      <c r="O352" s="3">
        <f t="shared" si="41"/>
        <v>1218328</v>
      </c>
      <c r="Q352" s="8">
        <v>3076114</v>
      </c>
      <c r="S352" s="8">
        <v>4294442</v>
      </c>
      <c r="U352" s="8">
        <f>177964+130230+209688+13130</f>
        <v>531012</v>
      </c>
      <c r="W352" s="8">
        <v>0</v>
      </c>
      <c r="Y352" s="8">
        <v>-308815</v>
      </c>
      <c r="AA352" s="14">
        <f t="shared" si="42"/>
        <v>222197</v>
      </c>
      <c r="AB352" s="8"/>
      <c r="AC352" s="8">
        <f t="shared" si="39"/>
        <v>0</v>
      </c>
    </row>
    <row r="353" spans="1:31">
      <c r="A353" s="12" t="s">
        <v>350</v>
      </c>
      <c r="B353" s="12"/>
      <c r="C353" s="12" t="s">
        <v>26</v>
      </c>
      <c r="D353" s="12"/>
      <c r="E353" s="32">
        <v>46920</v>
      </c>
      <c r="G353" s="8">
        <v>3691330</v>
      </c>
      <c r="I353" s="8">
        <v>434361</v>
      </c>
      <c r="K353" s="3">
        <f t="shared" si="40"/>
        <v>10588994</v>
      </c>
      <c r="M353" s="8">
        <v>14714685</v>
      </c>
      <c r="O353" s="3">
        <f t="shared" si="41"/>
        <v>3210011</v>
      </c>
      <c r="Q353" s="8">
        <v>4908279</v>
      </c>
      <c r="S353" s="8">
        <v>8118290</v>
      </c>
      <c r="U353" s="8">
        <f>568903+3120615+434361</f>
        <v>4123879</v>
      </c>
      <c r="W353" s="8">
        <v>0</v>
      </c>
      <c r="Y353" s="8">
        <v>2472516</v>
      </c>
      <c r="AA353" s="14">
        <f t="shared" si="42"/>
        <v>6596395</v>
      </c>
      <c r="AB353" s="8"/>
      <c r="AC353" s="8">
        <f t="shared" si="39"/>
        <v>0</v>
      </c>
    </row>
    <row r="354" spans="1:31">
      <c r="A354" s="12" t="s">
        <v>551</v>
      </c>
      <c r="B354" s="12"/>
      <c r="C354" s="12" t="s">
        <v>50</v>
      </c>
      <c r="D354" s="12"/>
      <c r="E354" s="32">
        <v>44396</v>
      </c>
      <c r="G354" s="8">
        <v>5028723</v>
      </c>
      <c r="I354" s="8">
        <v>0</v>
      </c>
      <c r="K354" s="3">
        <f t="shared" si="40"/>
        <v>23974163</v>
      </c>
      <c r="M354" s="8">
        <v>29002886</v>
      </c>
      <c r="O354" s="3">
        <f t="shared" si="41"/>
        <v>6711997</v>
      </c>
      <c r="Q354" s="8">
        <v>22310072</v>
      </c>
      <c r="S354" s="8">
        <v>29022069</v>
      </c>
      <c r="U354" s="8">
        <f>229064+1188164</f>
        <v>1417228</v>
      </c>
      <c r="W354" s="8">
        <v>0</v>
      </c>
      <c r="Y354" s="8">
        <v>-1436411</v>
      </c>
      <c r="AA354" s="14">
        <f t="shared" si="42"/>
        <v>-19183</v>
      </c>
      <c r="AB354" s="8"/>
      <c r="AC354" s="8">
        <f t="shared" si="39"/>
        <v>0</v>
      </c>
    </row>
    <row r="355" spans="1:31">
      <c r="A355" s="12" t="s">
        <v>247</v>
      </c>
      <c r="B355" s="12"/>
      <c r="C355" s="12" t="s">
        <v>242</v>
      </c>
      <c r="D355" s="12"/>
      <c r="E355" s="32">
        <v>44404</v>
      </c>
      <c r="G355" s="8">
        <v>3347136</v>
      </c>
      <c r="I355" s="8">
        <v>24610</v>
      </c>
      <c r="K355" s="3">
        <f t="shared" si="40"/>
        <v>19622786</v>
      </c>
      <c r="M355" s="8">
        <v>22994532</v>
      </c>
      <c r="O355" s="3">
        <f t="shared" si="41"/>
        <v>21541428</v>
      </c>
      <c r="Q355" s="8">
        <v>1305711</v>
      </c>
      <c r="S355" s="8">
        <v>22847139</v>
      </c>
      <c r="U355" s="8">
        <f>212321+633098+522797+24610</f>
        <v>1392826</v>
      </c>
      <c r="W355" s="8">
        <v>0</v>
      </c>
      <c r="Y355" s="8">
        <v>-1245433</v>
      </c>
      <c r="AA355" s="14">
        <f t="shared" si="42"/>
        <v>147393</v>
      </c>
      <c r="AB355" s="8"/>
      <c r="AC355" s="8">
        <f t="shared" si="39"/>
        <v>0</v>
      </c>
    </row>
    <row r="356" spans="1:31">
      <c r="A356" s="12" t="s">
        <v>491</v>
      </c>
      <c r="B356" s="12"/>
      <c r="C356" s="12" t="s">
        <v>44</v>
      </c>
      <c r="D356" s="12"/>
      <c r="E356" s="32">
        <v>48173</v>
      </c>
      <c r="G356" s="8">
        <v>4740373</v>
      </c>
      <c r="I356" s="8">
        <v>79082</v>
      </c>
      <c r="K356" s="3">
        <f t="shared" si="40"/>
        <v>11134191</v>
      </c>
      <c r="M356" s="8">
        <v>15953646</v>
      </c>
      <c r="O356" s="3">
        <f t="shared" si="41"/>
        <v>3124455</v>
      </c>
      <c r="Q356" s="8">
        <v>10111600</v>
      </c>
      <c r="S356" s="8">
        <v>13236055</v>
      </c>
      <c r="U356" s="8">
        <f>13639+476346+149260+701696+79082</f>
        <v>1420023</v>
      </c>
      <c r="W356" s="8">
        <v>0</v>
      </c>
      <c r="Y356" s="8">
        <v>1297568</v>
      </c>
      <c r="AA356" s="14">
        <f t="shared" si="42"/>
        <v>2717591</v>
      </c>
      <c r="AB356" s="8"/>
      <c r="AC356" s="8">
        <f t="shared" si="39"/>
        <v>0</v>
      </c>
      <c r="AE356" s="8" t="s">
        <v>956</v>
      </c>
    </row>
    <row r="357" spans="1:31">
      <c r="A357" s="12" t="s">
        <v>270</v>
      </c>
      <c r="B357" s="12"/>
      <c r="C357" s="12" t="s">
        <v>115</v>
      </c>
      <c r="D357" s="12"/>
      <c r="E357" s="32">
        <v>45500</v>
      </c>
      <c r="G357" s="8">
        <v>8705029</v>
      </c>
      <c r="I357" s="8">
        <v>0</v>
      </c>
      <c r="K357" s="3">
        <f t="shared" si="40"/>
        <v>34688993</v>
      </c>
      <c r="M357" s="8">
        <v>43394022</v>
      </c>
      <c r="O357" s="3">
        <f t="shared" si="41"/>
        <v>6102679</v>
      </c>
      <c r="Q357" s="8">
        <v>32255232</v>
      </c>
      <c r="S357" s="8">
        <v>38357911</v>
      </c>
      <c r="U357" s="8">
        <f>43953+86382+2231200</f>
        <v>2361535</v>
      </c>
      <c r="W357" s="8">
        <v>0</v>
      </c>
      <c r="Y357" s="8">
        <v>2674576</v>
      </c>
      <c r="AA357" s="14">
        <f t="shared" si="42"/>
        <v>5036111</v>
      </c>
      <c r="AB357" s="8"/>
      <c r="AC357" s="8">
        <f t="shared" si="39"/>
        <v>0</v>
      </c>
    </row>
    <row r="358" spans="1:31" hidden="1">
      <c r="A358" s="12" t="s">
        <v>833</v>
      </c>
      <c r="B358" s="12"/>
      <c r="C358" s="12" t="s">
        <v>727</v>
      </c>
      <c r="D358" s="12"/>
      <c r="E358" s="32">
        <v>50633</v>
      </c>
      <c r="G358" s="8">
        <v>894560</v>
      </c>
      <c r="I358" s="8">
        <v>98368</v>
      </c>
      <c r="K358" s="3">
        <f t="shared" si="40"/>
        <v>0</v>
      </c>
      <c r="M358" s="8">
        <v>992928</v>
      </c>
      <c r="O358" s="3">
        <f t="shared" si="41"/>
        <v>0</v>
      </c>
      <c r="U358" s="8">
        <f>47812+98368</f>
        <v>146180</v>
      </c>
      <c r="Y358" s="8">
        <v>846748</v>
      </c>
      <c r="AA358" s="14">
        <f t="shared" si="42"/>
        <v>992928</v>
      </c>
      <c r="AB358" s="8"/>
      <c r="AC358" s="8">
        <f t="shared" si="39"/>
        <v>0</v>
      </c>
    </row>
    <row r="359" spans="1:31" hidden="1">
      <c r="A359" s="88" t="s">
        <v>1001</v>
      </c>
      <c r="B359" s="12"/>
      <c r="C359" s="12" t="s">
        <v>603</v>
      </c>
      <c r="D359" s="12"/>
      <c r="E359" s="32">
        <v>49361</v>
      </c>
      <c r="K359" s="3">
        <f t="shared" si="40"/>
        <v>0</v>
      </c>
      <c r="O359" s="3">
        <f t="shared" si="41"/>
        <v>0</v>
      </c>
      <c r="AA359" s="14">
        <f t="shared" si="42"/>
        <v>0</v>
      </c>
      <c r="AB359" s="8"/>
      <c r="AC359" s="8">
        <f t="shared" si="39"/>
        <v>0</v>
      </c>
      <c r="AE359" s="8" t="s">
        <v>967</v>
      </c>
    </row>
    <row r="360" spans="1:31">
      <c r="A360" s="12" t="s">
        <v>538</v>
      </c>
      <c r="B360" s="12"/>
      <c r="C360" s="12" t="s">
        <v>48</v>
      </c>
      <c r="D360" s="12"/>
      <c r="E360" s="32">
        <v>45518</v>
      </c>
      <c r="G360" s="8">
        <v>852232</v>
      </c>
      <c r="I360" s="8">
        <v>71713</v>
      </c>
      <c r="K360" s="3">
        <f t="shared" si="40"/>
        <v>9557137</v>
      </c>
      <c r="M360" s="8">
        <v>10481082</v>
      </c>
      <c r="O360" s="3">
        <f t="shared" si="41"/>
        <v>1992399</v>
      </c>
      <c r="Q360" s="8">
        <v>4753947</v>
      </c>
      <c r="S360" s="8">
        <v>6746346</v>
      </c>
      <c r="U360" s="8">
        <f>152984+26229+10484+207735+71713</f>
        <v>469145</v>
      </c>
      <c r="W360" s="8">
        <v>0</v>
      </c>
      <c r="Y360" s="8">
        <v>3265591</v>
      </c>
      <c r="AA360" s="14">
        <f t="shared" si="42"/>
        <v>3734736</v>
      </c>
      <c r="AB360" s="8"/>
      <c r="AC360" s="8">
        <f t="shared" si="39"/>
        <v>0</v>
      </c>
    </row>
    <row r="361" spans="1:31">
      <c r="A361" s="12" t="s">
        <v>657</v>
      </c>
      <c r="B361" s="12"/>
      <c r="C361" s="12" t="s">
        <v>62</v>
      </c>
      <c r="D361" s="12"/>
      <c r="E361" s="32">
        <v>49890</v>
      </c>
      <c r="G361" s="8">
        <v>0</v>
      </c>
      <c r="I361" s="8">
        <v>63134</v>
      </c>
      <c r="K361" s="3">
        <f t="shared" si="40"/>
        <v>5314008</v>
      </c>
      <c r="M361" s="8">
        <v>5377142</v>
      </c>
      <c r="O361" s="3">
        <f t="shared" si="41"/>
        <v>2373961</v>
      </c>
      <c r="Q361" s="8">
        <v>4785702</v>
      </c>
      <c r="S361" s="8">
        <v>7159663</v>
      </c>
      <c r="U361" s="8">
        <f>10909+356948+63134</f>
        <v>430991</v>
      </c>
      <c r="W361" s="8">
        <v>0</v>
      </c>
      <c r="Y361" s="8">
        <v>-2213512</v>
      </c>
      <c r="AA361" s="14">
        <f t="shared" si="42"/>
        <v>-1782521</v>
      </c>
      <c r="AB361" s="8"/>
      <c r="AC361" s="8">
        <f t="shared" si="39"/>
        <v>0</v>
      </c>
    </row>
    <row r="362" spans="1:31">
      <c r="A362" s="12" t="s">
        <v>629</v>
      </c>
      <c r="B362" s="12"/>
      <c r="C362" s="12" t="s">
        <v>59</v>
      </c>
      <c r="D362" s="12"/>
      <c r="E362" s="32">
        <v>49627</v>
      </c>
      <c r="G362" s="8">
        <v>217098</v>
      </c>
      <c r="I362" s="8">
        <v>201584</v>
      </c>
      <c r="K362" s="3">
        <f t="shared" si="40"/>
        <v>1959233</v>
      </c>
      <c r="M362" s="8">
        <v>2377915</v>
      </c>
      <c r="O362" s="3">
        <f t="shared" si="41"/>
        <v>1031249</v>
      </c>
      <c r="Q362" s="8">
        <v>1822443</v>
      </c>
      <c r="S362" s="8">
        <v>2853692</v>
      </c>
      <c r="U362" s="8">
        <f>95486+136790+201584</f>
        <v>433860</v>
      </c>
      <c r="W362" s="8">
        <v>0</v>
      </c>
      <c r="Y362" s="8">
        <v>-909637</v>
      </c>
      <c r="AA362" s="14">
        <f t="shared" si="42"/>
        <v>-475777</v>
      </c>
      <c r="AB362" s="8"/>
      <c r="AC362" s="8">
        <f t="shared" si="39"/>
        <v>0</v>
      </c>
    </row>
    <row r="363" spans="1:31">
      <c r="A363" s="12" t="s">
        <v>226</v>
      </c>
      <c r="B363" s="12"/>
      <c r="C363" s="12" t="s">
        <v>14</v>
      </c>
      <c r="D363" s="12"/>
      <c r="E363" s="32">
        <v>45948</v>
      </c>
      <c r="G363" s="8">
        <v>1102851</v>
      </c>
      <c r="I363" s="8">
        <v>10076</v>
      </c>
      <c r="K363" s="3">
        <f t="shared" si="40"/>
        <v>3382854</v>
      </c>
      <c r="M363" s="8">
        <v>4495781</v>
      </c>
      <c r="O363" s="3">
        <f t="shared" si="41"/>
        <v>1138822</v>
      </c>
      <c r="Q363" s="8">
        <v>2785957</v>
      </c>
      <c r="S363" s="8">
        <v>3924779</v>
      </c>
      <c r="U363" s="8">
        <f>338834+7373+2703+8143</f>
        <v>357053</v>
      </c>
      <c r="W363" s="8">
        <v>0</v>
      </c>
      <c r="Y363" s="8">
        <v>213949</v>
      </c>
      <c r="AA363" s="14">
        <f t="shared" si="42"/>
        <v>571002</v>
      </c>
      <c r="AB363" s="8"/>
      <c r="AC363" s="8">
        <f t="shared" si="39"/>
        <v>0</v>
      </c>
    </row>
    <row r="364" spans="1:31" hidden="1">
      <c r="A364" s="12" t="s">
        <v>884</v>
      </c>
      <c r="B364" s="12"/>
      <c r="C364" s="12" t="s">
        <v>21</v>
      </c>
      <c r="D364" s="12"/>
      <c r="E364" s="32">
        <v>46672</v>
      </c>
      <c r="G364" s="8">
        <v>1671303</v>
      </c>
      <c r="I364" s="8">
        <v>364813</v>
      </c>
      <c r="K364" s="3">
        <f t="shared" si="40"/>
        <v>0</v>
      </c>
      <c r="M364" s="8">
        <v>2036116</v>
      </c>
      <c r="O364" s="3">
        <f t="shared" si="41"/>
        <v>0</v>
      </c>
      <c r="U364" s="8">
        <f>279530+342764+6435+15614</f>
        <v>644343</v>
      </c>
      <c r="Y364" s="8">
        <v>1391773</v>
      </c>
      <c r="AA364" s="14">
        <f t="shared" si="42"/>
        <v>2036116</v>
      </c>
      <c r="AB364" s="8"/>
      <c r="AC364" s="8">
        <f t="shared" si="39"/>
        <v>0</v>
      </c>
    </row>
    <row r="365" spans="1:31">
      <c r="A365" s="12" t="s">
        <v>667</v>
      </c>
      <c r="B365" s="12"/>
      <c r="C365" s="12" t="s">
        <v>63</v>
      </c>
      <c r="D365" s="12"/>
      <c r="E365" s="32">
        <v>50039</v>
      </c>
      <c r="G365" s="8">
        <v>5407148</v>
      </c>
      <c r="I365" s="8">
        <v>31768</v>
      </c>
      <c r="K365" s="3">
        <f t="shared" si="40"/>
        <v>2522760</v>
      </c>
      <c r="M365" s="8">
        <v>7961676</v>
      </c>
      <c r="O365" s="3">
        <f t="shared" si="41"/>
        <v>1071001</v>
      </c>
      <c r="Q365" s="8">
        <v>2149604</v>
      </c>
      <c r="S365" s="8">
        <v>3220605</v>
      </c>
      <c r="U365" s="8">
        <f>96902+365156+31768</f>
        <v>493826</v>
      </c>
      <c r="W365" s="8">
        <v>0</v>
      </c>
      <c r="Y365" s="8">
        <v>4247245</v>
      </c>
      <c r="AA365" s="14">
        <f t="shared" si="42"/>
        <v>4741071</v>
      </c>
      <c r="AB365" s="8"/>
      <c r="AC365" s="8">
        <f t="shared" si="39"/>
        <v>0</v>
      </c>
    </row>
    <row r="366" spans="1:31" hidden="1">
      <c r="A366" s="12" t="s">
        <v>842</v>
      </c>
      <c r="B366" s="12"/>
      <c r="C366" s="12" t="s">
        <v>740</v>
      </c>
      <c r="D366" s="12"/>
      <c r="E366" s="32">
        <v>50740</v>
      </c>
      <c r="G366" s="8">
        <v>627744</v>
      </c>
      <c r="K366" s="3">
        <f t="shared" si="40"/>
        <v>0</v>
      </c>
      <c r="M366" s="8">
        <v>627744</v>
      </c>
      <c r="O366" s="3">
        <f t="shared" si="41"/>
        <v>0</v>
      </c>
      <c r="U366" s="8">
        <v>1007</v>
      </c>
      <c r="Y366" s="8">
        <v>626737</v>
      </c>
      <c r="AA366" s="14">
        <f t="shared" si="42"/>
        <v>627744</v>
      </c>
      <c r="AB366" s="8"/>
      <c r="AC366" s="8">
        <f t="shared" si="39"/>
        <v>0</v>
      </c>
    </row>
    <row r="367" spans="1:31">
      <c r="A367" s="12" t="s">
        <v>248</v>
      </c>
      <c r="B367" s="12"/>
      <c r="C367" s="12" t="s">
        <v>242</v>
      </c>
      <c r="D367" s="12"/>
      <c r="E367" s="32">
        <v>139303</v>
      </c>
      <c r="G367" s="8">
        <v>519114</v>
      </c>
      <c r="I367" s="8">
        <v>0</v>
      </c>
      <c r="K367" s="3">
        <f t="shared" si="40"/>
        <v>7385429</v>
      </c>
      <c r="M367" s="8">
        <v>7904543</v>
      </c>
      <c r="O367" s="3">
        <f t="shared" si="41"/>
        <v>1517284</v>
      </c>
      <c r="Q367" s="8">
        <v>7036556</v>
      </c>
      <c r="S367" s="8">
        <v>8553840</v>
      </c>
      <c r="U367" s="8">
        <f>47997+153184</f>
        <v>201181</v>
      </c>
      <c r="W367" s="8">
        <v>0</v>
      </c>
      <c r="Y367" s="8">
        <v>-850478</v>
      </c>
      <c r="AA367" s="14">
        <f t="shared" si="42"/>
        <v>-649297</v>
      </c>
      <c r="AB367" s="8"/>
      <c r="AC367" s="8">
        <f t="shared" si="39"/>
        <v>0</v>
      </c>
    </row>
    <row r="368" spans="1:31">
      <c r="A368" s="12" t="s">
        <v>444</v>
      </c>
      <c r="B368" s="12"/>
      <c r="C368" s="12" t="s">
        <v>37</v>
      </c>
      <c r="D368" s="12"/>
      <c r="E368" s="32">
        <v>47712</v>
      </c>
      <c r="G368" s="8">
        <v>636928</v>
      </c>
      <c r="I368" s="8">
        <v>62605</v>
      </c>
      <c r="K368" s="3">
        <f t="shared" si="40"/>
        <v>2985180</v>
      </c>
      <c r="M368" s="8">
        <v>3684713</v>
      </c>
      <c r="O368" s="3">
        <f t="shared" si="41"/>
        <v>2648124</v>
      </c>
      <c r="Q368" s="8">
        <v>100001</v>
      </c>
      <c r="S368" s="8">
        <v>2748125</v>
      </c>
      <c r="U368" s="8">
        <f>13380+1933+5235+267233+57370</f>
        <v>345151</v>
      </c>
      <c r="W368" s="8">
        <v>0</v>
      </c>
      <c r="Y368" s="8">
        <v>591437</v>
      </c>
      <c r="AA368" s="14">
        <f t="shared" si="42"/>
        <v>936588</v>
      </c>
      <c r="AB368" s="8"/>
      <c r="AC368" s="8">
        <f t="shared" ref="AC368:AC426" si="43">+G368+I368+K368-O368-Q368-Y368-W368-U368</f>
        <v>0</v>
      </c>
    </row>
    <row r="369" spans="1:31">
      <c r="A369" s="12" t="s">
        <v>731</v>
      </c>
      <c r="B369" s="12"/>
      <c r="C369" s="12" t="s">
        <v>727</v>
      </c>
      <c r="D369" s="12"/>
      <c r="E369" s="32">
        <v>45526</v>
      </c>
      <c r="G369" s="8">
        <v>523777</v>
      </c>
      <c r="I369" s="8">
        <v>0</v>
      </c>
      <c r="K369" s="3">
        <f t="shared" si="40"/>
        <v>3370444</v>
      </c>
      <c r="M369" s="8">
        <v>3894221</v>
      </c>
      <c r="O369" s="3">
        <f t="shared" si="41"/>
        <v>1232272</v>
      </c>
      <c r="Q369" s="8">
        <v>1693139</v>
      </c>
      <c r="S369" s="8">
        <v>2925411</v>
      </c>
      <c r="U369" s="8">
        <f>173843+1589+168030</f>
        <v>343462</v>
      </c>
      <c r="W369" s="8">
        <v>0</v>
      </c>
      <c r="Y369" s="8">
        <v>625348</v>
      </c>
      <c r="AA369" s="14">
        <f t="shared" si="42"/>
        <v>968810</v>
      </c>
      <c r="AB369" s="8"/>
      <c r="AC369" s="8">
        <f t="shared" si="43"/>
        <v>0</v>
      </c>
    </row>
    <row r="370" spans="1:31">
      <c r="A370" s="12" t="s">
        <v>558</v>
      </c>
      <c r="B370" s="12"/>
      <c r="C370" s="12" t="s">
        <v>559</v>
      </c>
      <c r="D370" s="12"/>
      <c r="E370" s="32">
        <v>48777</v>
      </c>
      <c r="G370" s="8">
        <v>3582161</v>
      </c>
      <c r="I370" s="8">
        <v>618666</v>
      </c>
      <c r="K370" s="3">
        <f t="shared" si="40"/>
        <v>4039649</v>
      </c>
      <c r="M370" s="8">
        <v>8240476</v>
      </c>
      <c r="O370" s="3">
        <f t="shared" si="41"/>
        <v>2082324</v>
      </c>
      <c r="Q370" s="8">
        <v>3645061</v>
      </c>
      <c r="S370" s="8">
        <v>5727385</v>
      </c>
      <c r="U370" s="8">
        <f>334684+212560+76683+310151+329423</f>
        <v>1263501</v>
      </c>
      <c r="W370" s="8">
        <v>0</v>
      </c>
      <c r="Y370" s="8">
        <v>1249590</v>
      </c>
      <c r="AA370" s="14">
        <f t="shared" si="42"/>
        <v>2513091</v>
      </c>
      <c r="AB370" s="8"/>
      <c r="AC370" s="8">
        <f t="shared" si="43"/>
        <v>0</v>
      </c>
    </row>
    <row r="371" spans="1:31">
      <c r="A371" s="13" t="s">
        <v>858</v>
      </c>
      <c r="B371" s="12"/>
      <c r="C371" s="12" t="s">
        <v>78</v>
      </c>
      <c r="D371" s="12"/>
      <c r="E371" s="32">
        <v>45534</v>
      </c>
      <c r="G371" s="8">
        <v>3013450</v>
      </c>
      <c r="I371" s="8">
        <v>81828</v>
      </c>
      <c r="K371" s="3">
        <f t="shared" si="40"/>
        <v>4149104</v>
      </c>
      <c r="M371" s="8">
        <v>7244382</v>
      </c>
      <c r="O371" s="3">
        <f t="shared" si="41"/>
        <v>3748421</v>
      </c>
      <c r="Q371" s="8">
        <v>633641</v>
      </c>
      <c r="S371" s="8">
        <v>4382062</v>
      </c>
      <c r="U371" s="8">
        <f>182133+10474+536791+68468+13360</f>
        <v>811226</v>
      </c>
      <c r="W371" s="8">
        <v>0</v>
      </c>
      <c r="Y371" s="8">
        <v>2051094</v>
      </c>
      <c r="AA371" s="14">
        <f t="shared" si="42"/>
        <v>2862320</v>
      </c>
      <c r="AB371" s="8"/>
      <c r="AC371" s="8">
        <f t="shared" si="43"/>
        <v>0</v>
      </c>
      <c r="AE371" s="8"/>
    </row>
    <row r="372" spans="1:31">
      <c r="A372" s="12" t="s">
        <v>457</v>
      </c>
      <c r="B372" s="12"/>
      <c r="C372" s="12" t="s">
        <v>40</v>
      </c>
      <c r="D372" s="12"/>
      <c r="E372" s="32">
        <v>44420</v>
      </c>
      <c r="G372" s="8">
        <v>6236174</v>
      </c>
      <c r="I372" s="8">
        <v>350233</v>
      </c>
      <c r="K372" s="3">
        <f>+M372-I372-G372</f>
        <v>13774846</v>
      </c>
      <c r="M372" s="8">
        <v>20361253</v>
      </c>
      <c r="O372" s="3">
        <f t="shared" si="41"/>
        <v>10355288</v>
      </c>
      <c r="Q372" s="8">
        <v>1248187</v>
      </c>
      <c r="S372" s="8">
        <v>11603475</v>
      </c>
      <c r="U372" s="8">
        <f>527212+30493+5062004+15899+317081+33152</f>
        <v>5985841</v>
      </c>
      <c r="W372" s="8">
        <v>0</v>
      </c>
      <c r="Y372" s="8">
        <v>2771937</v>
      </c>
      <c r="AA372" s="14">
        <f t="shared" si="42"/>
        <v>8757778</v>
      </c>
      <c r="AB372" s="8"/>
      <c r="AC372" s="8">
        <f t="shared" si="43"/>
        <v>0</v>
      </c>
    </row>
    <row r="373" spans="1:31">
      <c r="A373" s="13" t="s">
        <v>1076</v>
      </c>
      <c r="B373" s="12"/>
      <c r="C373" s="12" t="s">
        <v>32</v>
      </c>
      <c r="D373" s="12"/>
      <c r="E373" s="32">
        <v>44412</v>
      </c>
      <c r="G373" s="8">
        <v>828089</v>
      </c>
      <c r="I373" s="8">
        <v>889998</v>
      </c>
      <c r="K373" s="3">
        <f t="shared" si="40"/>
        <v>13038514</v>
      </c>
      <c r="M373" s="8">
        <v>14756601</v>
      </c>
      <c r="O373" s="3">
        <f t="shared" si="41"/>
        <v>4461026</v>
      </c>
      <c r="Q373" s="8">
        <v>7890512</v>
      </c>
      <c r="S373" s="8">
        <v>12351538</v>
      </c>
      <c r="U373" s="8">
        <f>375157+4149000+889998</f>
        <v>5414155</v>
      </c>
      <c r="W373" s="8">
        <v>0</v>
      </c>
      <c r="Y373" s="8">
        <v>-3009092</v>
      </c>
      <c r="AA373" s="14">
        <f t="shared" si="42"/>
        <v>2405063</v>
      </c>
      <c r="AB373" s="8"/>
      <c r="AC373" s="8">
        <f t="shared" si="43"/>
        <v>0</v>
      </c>
      <c r="AE373" s="15" t="s">
        <v>905</v>
      </c>
    </row>
    <row r="374" spans="1:31">
      <c r="A374" s="12" t="s">
        <v>432</v>
      </c>
      <c r="B374" s="12"/>
      <c r="C374" s="12" t="s">
        <v>34</v>
      </c>
      <c r="D374" s="12"/>
      <c r="E374" s="32">
        <v>44438</v>
      </c>
      <c r="G374" s="8">
        <v>8837882</v>
      </c>
      <c r="I374" s="8">
        <v>51337</v>
      </c>
      <c r="K374" s="3">
        <f t="shared" si="40"/>
        <v>13107411</v>
      </c>
      <c r="M374" s="8">
        <v>21996630</v>
      </c>
      <c r="O374" s="3">
        <f t="shared" si="41"/>
        <v>2387063</v>
      </c>
      <c r="Q374" s="8">
        <v>11841138</v>
      </c>
      <c r="S374" s="8">
        <v>14228201</v>
      </c>
      <c r="U374" s="8">
        <f>372294+129944+674139+451931+51337</f>
        <v>1679645</v>
      </c>
      <c r="W374" s="8">
        <v>200815</v>
      </c>
      <c r="Y374" s="8">
        <v>5887969</v>
      </c>
      <c r="AA374" s="14">
        <f t="shared" si="42"/>
        <v>7768429</v>
      </c>
      <c r="AB374" s="8"/>
      <c r="AC374" s="8">
        <f t="shared" si="43"/>
        <v>0</v>
      </c>
    </row>
    <row r="375" spans="1:31">
      <c r="A375" s="12" t="s">
        <v>224</v>
      </c>
      <c r="B375" s="12"/>
      <c r="C375" s="12" t="s">
        <v>13</v>
      </c>
      <c r="D375" s="12"/>
      <c r="E375" s="32">
        <v>44446</v>
      </c>
      <c r="G375" s="8">
        <v>3192696</v>
      </c>
      <c r="I375" s="8">
        <v>154533</v>
      </c>
      <c r="K375" s="3">
        <f t="shared" si="40"/>
        <v>2497010</v>
      </c>
      <c r="M375" s="8">
        <v>5844239</v>
      </c>
      <c r="O375" s="3">
        <f t="shared" si="41"/>
        <v>1065378</v>
      </c>
      <c r="Q375" s="8">
        <v>2338197</v>
      </c>
      <c r="S375" s="8">
        <v>3403575</v>
      </c>
      <c r="U375" s="8">
        <f>70692+157884+64492+20590+40730+28721</f>
        <v>383109</v>
      </c>
      <c r="W375" s="8">
        <v>0</v>
      </c>
      <c r="Y375" s="8">
        <v>2057555</v>
      </c>
      <c r="AA375" s="14">
        <f t="shared" si="42"/>
        <v>2440664</v>
      </c>
      <c r="AB375" s="8"/>
      <c r="AC375" s="8">
        <f t="shared" si="43"/>
        <v>0</v>
      </c>
    </row>
    <row r="376" spans="1:31">
      <c r="A376" s="12" t="s">
        <v>826</v>
      </c>
      <c r="B376" s="12"/>
      <c r="C376" s="12" t="s">
        <v>27</v>
      </c>
      <c r="D376" s="12"/>
      <c r="E376" s="32">
        <v>44461</v>
      </c>
      <c r="G376" s="8">
        <v>17236479</v>
      </c>
      <c r="I376" s="8">
        <v>0</v>
      </c>
      <c r="K376" s="3">
        <f t="shared" si="40"/>
        <v>40999825</v>
      </c>
      <c r="M376" s="8">
        <v>58236304</v>
      </c>
      <c r="O376" s="3">
        <f t="shared" si="41"/>
        <v>5876995</v>
      </c>
      <c r="Q376" s="8">
        <v>27921000</v>
      </c>
      <c r="S376" s="8">
        <v>33797995</v>
      </c>
      <c r="U376" s="8">
        <f>13033000+278123</f>
        <v>13311123</v>
      </c>
      <c r="W376" s="8">
        <v>0</v>
      </c>
      <c r="Y376" s="8">
        <v>11127186</v>
      </c>
      <c r="AA376" s="14">
        <f t="shared" si="42"/>
        <v>24438309</v>
      </c>
      <c r="AB376" s="8"/>
      <c r="AC376" s="8">
        <f t="shared" si="43"/>
        <v>0</v>
      </c>
    </row>
    <row r="377" spans="1:31">
      <c r="A377" s="12" t="s">
        <v>630</v>
      </c>
      <c r="B377" s="12"/>
      <c r="C377" s="12" t="s">
        <v>59</v>
      </c>
      <c r="D377" s="12"/>
      <c r="E377" s="32">
        <v>44461</v>
      </c>
      <c r="G377" s="8">
        <v>1003095</v>
      </c>
      <c r="I377" s="8">
        <v>15790</v>
      </c>
      <c r="K377" s="3">
        <f t="shared" si="40"/>
        <v>1884094</v>
      </c>
      <c r="M377" s="8">
        <v>2902979</v>
      </c>
      <c r="O377" s="3">
        <f t="shared" si="41"/>
        <v>376890</v>
      </c>
      <c r="Q377" s="8">
        <v>1800519</v>
      </c>
      <c r="S377" s="8">
        <v>2177409</v>
      </c>
      <c r="U377" s="8">
        <f>9228+48574+15790</f>
        <v>73592</v>
      </c>
      <c r="W377" s="8">
        <v>0</v>
      </c>
      <c r="Y377" s="8">
        <v>651978</v>
      </c>
      <c r="AA377" s="14">
        <f t="shared" si="42"/>
        <v>725570</v>
      </c>
      <c r="AB377" s="8"/>
      <c r="AC377" s="8">
        <f t="shared" si="43"/>
        <v>0</v>
      </c>
    </row>
    <row r="378" spans="1:31">
      <c r="A378" s="12" t="s">
        <v>227</v>
      </c>
      <c r="B378" s="12"/>
      <c r="C378" s="12" t="s">
        <v>14</v>
      </c>
      <c r="D378" s="12"/>
      <c r="E378" s="32">
        <v>45955</v>
      </c>
      <c r="G378" s="8">
        <f>4644749</f>
        <v>4644749</v>
      </c>
      <c r="I378" s="8">
        <v>51657</v>
      </c>
      <c r="K378" s="3">
        <f t="shared" si="40"/>
        <v>3236866</v>
      </c>
      <c r="M378" s="8">
        <v>7933272</v>
      </c>
      <c r="O378" s="3">
        <f t="shared" si="41"/>
        <v>1059944</v>
      </c>
      <c r="Q378" s="8">
        <v>2374862</v>
      </c>
      <c r="S378" s="8">
        <v>3434806</v>
      </c>
      <c r="U378" s="8">
        <f>218987+46340+5317+1151</f>
        <v>271795</v>
      </c>
      <c r="W378" s="8">
        <v>0</v>
      </c>
      <c r="Y378" s="8">
        <v>4226671</v>
      </c>
      <c r="AA378" s="14">
        <f t="shared" si="42"/>
        <v>4498466</v>
      </c>
      <c r="AB378" s="8"/>
      <c r="AC378" s="8">
        <f t="shared" si="43"/>
        <v>0</v>
      </c>
    </row>
    <row r="379" spans="1:31" hidden="1">
      <c r="A379" s="12" t="s">
        <v>1041</v>
      </c>
      <c r="B379" s="12"/>
      <c r="C379" s="12" t="s">
        <v>14</v>
      </c>
      <c r="D379" s="12"/>
      <c r="E379" s="32">
        <v>45963</v>
      </c>
      <c r="K379" s="3">
        <f t="shared" si="40"/>
        <v>0</v>
      </c>
      <c r="O379" s="3">
        <f t="shared" si="41"/>
        <v>0</v>
      </c>
      <c r="AA379" s="14">
        <f t="shared" si="42"/>
        <v>0</v>
      </c>
      <c r="AB379" s="8"/>
      <c r="AC379" s="8">
        <f t="shared" si="43"/>
        <v>0</v>
      </c>
    </row>
    <row r="380" spans="1:31">
      <c r="A380" s="12"/>
      <c r="B380" s="12"/>
      <c r="C380" s="12"/>
      <c r="D380" s="12"/>
      <c r="E380" s="32"/>
      <c r="K380" s="3"/>
      <c r="O380" s="3"/>
      <c r="AA380" s="14"/>
      <c r="AB380" s="8"/>
    </row>
    <row r="381" spans="1:31">
      <c r="A381" s="12"/>
      <c r="B381" s="12"/>
      <c r="C381" s="12"/>
      <c r="D381" s="12"/>
      <c r="E381" s="32"/>
      <c r="K381" s="3"/>
      <c r="O381" s="3"/>
      <c r="AA381" s="14" t="s">
        <v>805</v>
      </c>
      <c r="AB381" s="8"/>
    </row>
    <row r="382" spans="1:31">
      <c r="A382" s="12"/>
      <c r="B382" s="12"/>
      <c r="C382" s="12"/>
      <c r="D382" s="12"/>
      <c r="E382" s="32"/>
      <c r="K382" s="3"/>
      <c r="O382" s="3"/>
      <c r="AA382" s="14"/>
      <c r="AB382" s="8"/>
    </row>
    <row r="383" spans="1:31">
      <c r="A383" s="12" t="s">
        <v>552</v>
      </c>
      <c r="B383" s="12"/>
      <c r="C383" s="12" t="s">
        <v>50</v>
      </c>
      <c r="D383" s="12"/>
      <c r="E383" s="32">
        <v>48710</v>
      </c>
      <c r="G383" s="35">
        <v>3651146</v>
      </c>
      <c r="H383" s="35"/>
      <c r="I383" s="35">
        <v>119160</v>
      </c>
      <c r="J383" s="35"/>
      <c r="K383" s="42">
        <f t="shared" si="40"/>
        <v>2912888</v>
      </c>
      <c r="L383" s="35"/>
      <c r="M383" s="35">
        <v>6683194</v>
      </c>
      <c r="N383" s="35"/>
      <c r="O383" s="42">
        <f t="shared" si="41"/>
        <v>1375268</v>
      </c>
      <c r="P383" s="35"/>
      <c r="Q383" s="35">
        <f>108741+2028423</f>
        <v>2137164</v>
      </c>
      <c r="R383" s="35"/>
      <c r="S383" s="35">
        <v>3512432</v>
      </c>
      <c r="T383" s="35"/>
      <c r="U383" s="35">
        <f>164923+11426+158876+119160</f>
        <v>454385</v>
      </c>
      <c r="V383" s="35"/>
      <c r="W383" s="35">
        <v>0</v>
      </c>
      <c r="X383" s="35"/>
      <c r="Y383" s="35">
        <v>2716377</v>
      </c>
      <c r="Z383" s="35"/>
      <c r="AA383" s="64">
        <f t="shared" si="42"/>
        <v>3170762</v>
      </c>
      <c r="AB383" s="8"/>
      <c r="AC383" s="8">
        <f t="shared" si="43"/>
        <v>0</v>
      </c>
    </row>
    <row r="384" spans="1:31" hidden="1">
      <c r="A384" s="12" t="s">
        <v>580</v>
      </c>
      <c r="B384" s="12"/>
      <c r="C384" s="12" t="s">
        <v>579</v>
      </c>
      <c r="D384" s="12"/>
      <c r="E384" s="32">
        <v>44479</v>
      </c>
      <c r="G384" s="8">
        <v>0</v>
      </c>
      <c r="I384" s="8">
        <v>0</v>
      </c>
      <c r="K384" s="3">
        <f t="shared" si="40"/>
        <v>0</v>
      </c>
      <c r="O384" s="3">
        <f t="shared" si="41"/>
        <v>0</v>
      </c>
      <c r="AA384" s="14">
        <f t="shared" si="42"/>
        <v>0</v>
      </c>
      <c r="AB384" s="8"/>
      <c r="AC384" s="8">
        <f t="shared" si="43"/>
        <v>0</v>
      </c>
    </row>
    <row r="385" spans="1:29">
      <c r="A385" s="12" t="s">
        <v>445</v>
      </c>
      <c r="B385" s="12"/>
      <c r="C385" s="12" t="s">
        <v>37</v>
      </c>
      <c r="D385" s="12"/>
      <c r="E385" s="32">
        <v>47720</v>
      </c>
      <c r="G385" s="8">
        <v>1912465</v>
      </c>
      <c r="I385" s="8">
        <v>0</v>
      </c>
      <c r="K385" s="3">
        <f t="shared" si="40"/>
        <v>2371587</v>
      </c>
      <c r="M385" s="8">
        <v>4284052</v>
      </c>
      <c r="O385" s="3">
        <f t="shared" si="41"/>
        <v>1029867</v>
      </c>
      <c r="Q385" s="8">
        <f>220316+1606957</f>
        <v>1827273</v>
      </c>
      <c r="S385" s="8">
        <v>2857140</v>
      </c>
      <c r="U385" s="8">
        <f>102125+226227</f>
        <v>328352</v>
      </c>
      <c r="W385" s="8">
        <v>0</v>
      </c>
      <c r="Y385" s="8">
        <v>1098560</v>
      </c>
      <c r="AA385" s="14">
        <f t="shared" si="42"/>
        <v>1426912</v>
      </c>
      <c r="AB385" s="8"/>
      <c r="AC385" s="8">
        <f t="shared" si="43"/>
        <v>0</v>
      </c>
    </row>
    <row r="386" spans="1:29">
      <c r="A386" s="12" t="s">
        <v>249</v>
      </c>
      <c r="B386" s="12"/>
      <c r="C386" s="12" t="s">
        <v>242</v>
      </c>
      <c r="D386" s="12"/>
      <c r="E386" s="32">
        <v>46136</v>
      </c>
      <c r="G386" s="8">
        <v>2279706</v>
      </c>
      <c r="I386" s="8">
        <v>0</v>
      </c>
      <c r="K386" s="3">
        <f t="shared" si="40"/>
        <v>1569280</v>
      </c>
      <c r="M386" s="8">
        <v>3848986</v>
      </c>
      <c r="O386" s="3">
        <f t="shared" si="41"/>
        <v>671782</v>
      </c>
      <c r="Q386" s="8">
        <v>978441</v>
      </c>
      <c r="S386" s="8">
        <v>1650223</v>
      </c>
      <c r="U386" s="8">
        <f>4350+902+45165</f>
        <v>50417</v>
      </c>
      <c r="W386" s="8">
        <v>0</v>
      </c>
      <c r="Y386" s="8">
        <v>2148346</v>
      </c>
      <c r="AA386" s="14">
        <f t="shared" si="42"/>
        <v>2198763</v>
      </c>
      <c r="AB386" s="8"/>
      <c r="AC386" s="8">
        <f t="shared" si="43"/>
        <v>0</v>
      </c>
    </row>
    <row r="387" spans="1:29">
      <c r="A387" s="12" t="s">
        <v>698</v>
      </c>
      <c r="B387" s="12"/>
      <c r="C387" s="12" t="s">
        <v>65</v>
      </c>
      <c r="D387" s="12"/>
      <c r="E387" s="32">
        <v>44487</v>
      </c>
      <c r="G387" s="8">
        <v>7993574</v>
      </c>
      <c r="I387" s="8">
        <v>0</v>
      </c>
      <c r="K387" s="3">
        <f t="shared" si="40"/>
        <v>11913234</v>
      </c>
      <c r="M387" s="8">
        <v>19906808</v>
      </c>
      <c r="O387" s="3">
        <f t="shared" si="41"/>
        <v>2790166</v>
      </c>
      <c r="Q387" s="8">
        <v>11002567</v>
      </c>
      <c r="S387" s="8">
        <v>13792733</v>
      </c>
      <c r="U387" s="8">
        <f>40692+19279+801104</f>
        <v>861075</v>
      </c>
      <c r="W387" s="8">
        <v>0</v>
      </c>
      <c r="Y387" s="8">
        <v>5253000</v>
      </c>
      <c r="AA387" s="14">
        <f t="shared" si="42"/>
        <v>6114075</v>
      </c>
      <c r="AB387" s="8"/>
      <c r="AC387" s="8">
        <f t="shared" si="43"/>
        <v>0</v>
      </c>
    </row>
    <row r="388" spans="1:29">
      <c r="A388" s="12" t="s">
        <v>271</v>
      </c>
      <c r="B388" s="12"/>
      <c r="C388" s="12" t="s">
        <v>115</v>
      </c>
      <c r="D388" s="12"/>
      <c r="E388" s="32">
        <v>45559</v>
      </c>
      <c r="G388" s="8">
        <v>18163405</v>
      </c>
      <c r="I388" s="8">
        <v>0</v>
      </c>
      <c r="K388" s="3">
        <f t="shared" si="40"/>
        <v>12502454</v>
      </c>
      <c r="M388" s="8">
        <v>30665859</v>
      </c>
      <c r="O388" s="3">
        <f t="shared" si="41"/>
        <v>2534283</v>
      </c>
      <c r="Q388" s="8">
        <v>11992868</v>
      </c>
      <c r="S388" s="8">
        <v>14527151</v>
      </c>
      <c r="U388" s="8">
        <f>569319+338700</f>
        <v>908019</v>
      </c>
      <c r="W388" s="8">
        <v>0</v>
      </c>
      <c r="Y388" s="8">
        <v>15230689</v>
      </c>
      <c r="AA388" s="14">
        <f t="shared" si="42"/>
        <v>16138708</v>
      </c>
      <c r="AB388" s="8"/>
      <c r="AC388" s="8">
        <f t="shared" si="43"/>
        <v>0</v>
      </c>
    </row>
    <row r="389" spans="1:29" hidden="1">
      <c r="A389" s="12" t="s">
        <v>637</v>
      </c>
      <c r="B389" s="12"/>
      <c r="C389" s="12" t="s">
        <v>60</v>
      </c>
      <c r="D389" s="12"/>
      <c r="E389" s="32">
        <v>49718</v>
      </c>
      <c r="G389" s="8">
        <v>0</v>
      </c>
      <c r="I389" s="8">
        <v>0</v>
      </c>
      <c r="K389" s="3">
        <f t="shared" si="40"/>
        <v>0</v>
      </c>
      <c r="O389" s="3">
        <f t="shared" si="41"/>
        <v>0</v>
      </c>
      <c r="AA389" s="14">
        <f t="shared" si="42"/>
        <v>0</v>
      </c>
      <c r="AB389" s="8"/>
      <c r="AC389" s="8">
        <f t="shared" si="43"/>
        <v>0</v>
      </c>
    </row>
    <row r="390" spans="1:29">
      <c r="A390" s="12" t="s">
        <v>478</v>
      </c>
      <c r="B390" s="12"/>
      <c r="C390" s="12" t="s">
        <v>42</v>
      </c>
      <c r="D390" s="12"/>
      <c r="E390" s="32">
        <v>44453</v>
      </c>
      <c r="G390" s="8">
        <v>7548487</v>
      </c>
      <c r="I390" s="8">
        <v>282789</v>
      </c>
      <c r="K390" s="3">
        <f t="shared" si="40"/>
        <v>18793298</v>
      </c>
      <c r="M390" s="8">
        <v>26624574</v>
      </c>
      <c r="O390" s="3">
        <f t="shared" si="41"/>
        <v>6963402</v>
      </c>
      <c r="Q390" s="8">
        <v>13332234</v>
      </c>
      <c r="S390" s="8">
        <v>20295636</v>
      </c>
      <c r="U390" s="8">
        <f>778184+264425+18364+855200+50928</f>
        <v>1967101</v>
      </c>
      <c r="W390" s="8">
        <v>669981</v>
      </c>
      <c r="Y390" s="8">
        <v>3691856</v>
      </c>
      <c r="AA390" s="14">
        <f t="shared" si="42"/>
        <v>6328938</v>
      </c>
      <c r="AB390" s="8"/>
      <c r="AC390" s="8">
        <f t="shared" si="43"/>
        <v>0</v>
      </c>
    </row>
    <row r="391" spans="1:29">
      <c r="A391" s="12" t="s">
        <v>382</v>
      </c>
      <c r="B391" s="12"/>
      <c r="C391" s="12" t="s">
        <v>30</v>
      </c>
      <c r="D391" s="12"/>
      <c r="E391" s="32">
        <v>47217</v>
      </c>
      <c r="G391" s="8">
        <v>888348</v>
      </c>
      <c r="I391" s="8">
        <v>31149</v>
      </c>
      <c r="K391" s="3">
        <f t="shared" si="40"/>
        <v>5210791</v>
      </c>
      <c r="M391" s="8">
        <v>6130288</v>
      </c>
      <c r="O391" s="3">
        <f t="shared" si="41"/>
        <v>733057</v>
      </c>
      <c r="Q391" s="8">
        <v>4442731</v>
      </c>
      <c r="S391" s="8">
        <v>5175788</v>
      </c>
      <c r="U391" s="8">
        <f>34456+596300+31149</f>
        <v>661905</v>
      </c>
      <c r="W391" s="8">
        <v>0</v>
      </c>
      <c r="Y391" s="8">
        <v>292595</v>
      </c>
      <c r="AA391" s="14">
        <f t="shared" si="42"/>
        <v>954500</v>
      </c>
      <c r="AB391" s="8"/>
      <c r="AC391" s="8">
        <f t="shared" si="43"/>
        <v>0</v>
      </c>
    </row>
    <row r="392" spans="1:29">
      <c r="A392" s="12" t="s">
        <v>699</v>
      </c>
      <c r="B392" s="12"/>
      <c r="C392" s="12" t="s">
        <v>65</v>
      </c>
      <c r="D392" s="12"/>
      <c r="E392" s="32">
        <v>45542</v>
      </c>
      <c r="G392" s="8">
        <v>410958</v>
      </c>
      <c r="I392" s="8">
        <v>286826</v>
      </c>
      <c r="K392" s="3">
        <f t="shared" si="40"/>
        <v>3061640</v>
      </c>
      <c r="M392" s="8">
        <v>3759424</v>
      </c>
      <c r="O392" s="3">
        <f t="shared" si="41"/>
        <v>1040641</v>
      </c>
      <c r="Q392" s="8">
        <f>264221+2072969</f>
        <v>2337190</v>
      </c>
      <c r="S392" s="8">
        <v>3377831</v>
      </c>
      <c r="U392" s="8">
        <f>99578+343131+189942+86952+9932</f>
        <v>729535</v>
      </c>
      <c r="W392" s="8">
        <v>0</v>
      </c>
      <c r="Y392" s="8">
        <v>-347942</v>
      </c>
      <c r="AA392" s="14">
        <f t="shared" si="42"/>
        <v>381593</v>
      </c>
      <c r="AB392" s="8"/>
      <c r="AC392" s="8">
        <f t="shared" si="43"/>
        <v>0</v>
      </c>
    </row>
    <row r="393" spans="1:29">
      <c r="A393" s="12" t="s">
        <v>690</v>
      </c>
      <c r="B393" s="12"/>
      <c r="C393" s="12" t="s">
        <v>64</v>
      </c>
      <c r="D393" s="12"/>
      <c r="E393" s="32">
        <v>45567</v>
      </c>
      <c r="G393" s="8">
        <v>998973</v>
      </c>
      <c r="I393" s="8">
        <v>29357</v>
      </c>
      <c r="K393" s="3">
        <f t="shared" si="40"/>
        <v>3093115</v>
      </c>
      <c r="M393" s="8">
        <v>4121445</v>
      </c>
      <c r="O393" s="3">
        <f t="shared" si="41"/>
        <v>1113876</v>
      </c>
      <c r="Q393" s="8">
        <v>3074498</v>
      </c>
      <c r="S393" s="8">
        <v>4188374</v>
      </c>
      <c r="U393" s="8">
        <f>109155+11068+17304+12053</f>
        <v>149580</v>
      </c>
      <c r="W393" s="8">
        <v>0</v>
      </c>
      <c r="Y393" s="8">
        <v>-216509</v>
      </c>
      <c r="AA393" s="14">
        <f t="shared" si="42"/>
        <v>-66929</v>
      </c>
      <c r="AB393" s="8"/>
      <c r="AC393" s="8">
        <f t="shared" si="43"/>
        <v>0</v>
      </c>
    </row>
    <row r="394" spans="1:29">
      <c r="A394" s="12" t="s">
        <v>539</v>
      </c>
      <c r="B394" s="12"/>
      <c r="C394" s="12" t="s">
        <v>48</v>
      </c>
      <c r="D394" s="12"/>
      <c r="E394" s="32">
        <v>48637</v>
      </c>
      <c r="G394" s="8">
        <v>1430873</v>
      </c>
      <c r="I394" s="8">
        <v>0</v>
      </c>
      <c r="K394" s="3">
        <f t="shared" si="40"/>
        <v>1640015</v>
      </c>
      <c r="M394" s="8">
        <v>3070888</v>
      </c>
      <c r="O394" s="3">
        <f t="shared" si="41"/>
        <v>728507</v>
      </c>
      <c r="Q394" s="8">
        <v>1067001</v>
      </c>
      <c r="S394" s="8">
        <v>1795508</v>
      </c>
      <c r="U394" s="8">
        <f>29586+5568+17441</f>
        <v>52595</v>
      </c>
      <c r="W394" s="8">
        <v>0</v>
      </c>
      <c r="Y394" s="8">
        <v>1222785</v>
      </c>
      <c r="AA394" s="14">
        <f t="shared" si="42"/>
        <v>1275380</v>
      </c>
      <c r="AB394" s="8"/>
      <c r="AC394" s="8">
        <f t="shared" si="43"/>
        <v>0</v>
      </c>
    </row>
    <row r="395" spans="1:29">
      <c r="A395" s="12" t="s">
        <v>820</v>
      </c>
      <c r="B395" s="12"/>
      <c r="C395" s="12" t="s">
        <v>64</v>
      </c>
      <c r="D395" s="12"/>
      <c r="E395" s="32"/>
      <c r="G395" s="8">
        <v>329346</v>
      </c>
      <c r="I395" s="8">
        <v>1121270</v>
      </c>
      <c r="K395" s="3">
        <f t="shared" si="40"/>
        <v>6882400</v>
      </c>
      <c r="M395" s="8">
        <v>8333016</v>
      </c>
      <c r="O395" s="3">
        <f t="shared" si="41"/>
        <v>3419527</v>
      </c>
      <c r="Q395" s="8">
        <f>881951+5966800</f>
        <v>6848751</v>
      </c>
      <c r="S395" s="8">
        <v>10268278</v>
      </c>
      <c r="U395" s="8">
        <f>21899+1223518+382639+200851+21204</f>
        <v>1850111</v>
      </c>
      <c r="W395" s="8">
        <v>0</v>
      </c>
      <c r="Y395" s="8">
        <v>-3785373</v>
      </c>
      <c r="AA395" s="14">
        <f t="shared" si="42"/>
        <v>-1935262</v>
      </c>
      <c r="AB395" s="8"/>
      <c r="AC395" s="8">
        <f t="shared" si="43"/>
        <v>0</v>
      </c>
    </row>
    <row r="396" spans="1:29">
      <c r="A396" s="12" t="s">
        <v>570</v>
      </c>
      <c r="B396" s="12"/>
      <c r="C396" s="12" t="s">
        <v>52</v>
      </c>
      <c r="D396" s="12"/>
      <c r="E396" s="32">
        <v>48900</v>
      </c>
      <c r="G396" s="8">
        <v>1404965</v>
      </c>
      <c r="I396" s="8">
        <v>92699</v>
      </c>
      <c r="K396" s="3">
        <f t="shared" si="40"/>
        <v>3035853</v>
      </c>
      <c r="M396" s="8">
        <v>4533517</v>
      </c>
      <c r="O396" s="3">
        <f t="shared" si="41"/>
        <v>1052083</v>
      </c>
      <c r="Q396" s="8">
        <v>2617255</v>
      </c>
      <c r="S396" s="8">
        <v>3669338</v>
      </c>
      <c r="U396" s="8">
        <f>141709+359570+69063+23636</f>
        <v>593978</v>
      </c>
      <c r="W396" s="8">
        <v>0</v>
      </c>
      <c r="Y396" s="8">
        <v>270201</v>
      </c>
      <c r="AA396" s="14">
        <f t="shared" si="42"/>
        <v>864179</v>
      </c>
      <c r="AB396" s="8"/>
      <c r="AC396" s="8">
        <f t="shared" si="43"/>
        <v>0</v>
      </c>
    </row>
    <row r="397" spans="1:29">
      <c r="A397" s="12" t="s">
        <v>668</v>
      </c>
      <c r="B397" s="12"/>
      <c r="C397" s="12" t="s">
        <v>63</v>
      </c>
      <c r="D397" s="12"/>
      <c r="E397" s="32">
        <v>50047</v>
      </c>
      <c r="G397" s="8">
        <v>11662491</v>
      </c>
      <c r="I397" s="8">
        <v>269950</v>
      </c>
      <c r="K397" s="3">
        <f t="shared" si="40"/>
        <v>25305002</v>
      </c>
      <c r="M397" s="8">
        <v>37237443</v>
      </c>
      <c r="O397" s="3">
        <f t="shared" si="41"/>
        <v>5144221</v>
      </c>
      <c r="Q397" s="8">
        <v>21531143</v>
      </c>
      <c r="S397" s="8">
        <v>26675364</v>
      </c>
      <c r="U397" s="8">
        <f>544818+269950</f>
        <v>814768</v>
      </c>
      <c r="W397" s="8">
        <v>52345</v>
      </c>
      <c r="Y397" s="8">
        <v>9694966</v>
      </c>
      <c r="AA397" s="14">
        <f t="shared" si="42"/>
        <v>10562079</v>
      </c>
      <c r="AB397" s="8"/>
      <c r="AC397" s="8">
        <f t="shared" si="43"/>
        <v>0</v>
      </c>
    </row>
    <row r="398" spans="1:29" s="35" customFormat="1">
      <c r="A398" s="34" t="s">
        <v>735</v>
      </c>
      <c r="B398" s="34"/>
      <c r="C398" s="34" t="s">
        <v>72</v>
      </c>
      <c r="D398" s="34"/>
      <c r="E398" s="34">
        <v>50708</v>
      </c>
      <c r="G398" s="8">
        <v>1723226</v>
      </c>
      <c r="H398" s="8"/>
      <c r="I398" s="8">
        <v>22287</v>
      </c>
      <c r="J398" s="8"/>
      <c r="K398" s="3">
        <f t="shared" si="40"/>
        <v>3109489</v>
      </c>
      <c r="L398" s="8"/>
      <c r="M398" s="8">
        <v>4855002</v>
      </c>
      <c r="N398" s="8"/>
      <c r="O398" s="3">
        <f t="shared" si="41"/>
        <v>715465</v>
      </c>
      <c r="P398" s="8"/>
      <c r="Q398" s="8">
        <v>2658609</v>
      </c>
      <c r="R398" s="8"/>
      <c r="S398" s="8">
        <v>3374074</v>
      </c>
      <c r="T398" s="8"/>
      <c r="U398" s="8">
        <f>34942+234753</f>
        <v>269695</v>
      </c>
      <c r="V398" s="8"/>
      <c r="W398" s="8">
        <v>22287</v>
      </c>
      <c r="X398" s="8"/>
      <c r="Y398" s="8">
        <v>1188946</v>
      </c>
      <c r="Z398" s="8"/>
      <c r="AA398" s="14">
        <f t="shared" si="42"/>
        <v>1480928</v>
      </c>
      <c r="AC398" s="35">
        <f t="shared" si="43"/>
        <v>0</v>
      </c>
    </row>
    <row r="399" spans="1:29" hidden="1">
      <c r="A399" s="12" t="s">
        <v>574</v>
      </c>
      <c r="B399" s="12"/>
      <c r="C399" s="12" t="s">
        <v>53</v>
      </c>
      <c r="D399" s="12"/>
      <c r="E399" s="32">
        <v>48967</v>
      </c>
      <c r="G399" s="8">
        <v>0</v>
      </c>
      <c r="I399" s="8">
        <v>0</v>
      </c>
      <c r="K399" s="3">
        <f t="shared" si="40"/>
        <v>0</v>
      </c>
      <c r="O399" s="3">
        <f t="shared" si="41"/>
        <v>0</v>
      </c>
      <c r="AA399" s="14">
        <f t="shared" si="42"/>
        <v>0</v>
      </c>
      <c r="AB399" s="8"/>
      <c r="AC399" s="8">
        <f t="shared" si="43"/>
        <v>0</v>
      </c>
    </row>
    <row r="400" spans="1:29">
      <c r="A400" s="12" t="s">
        <v>658</v>
      </c>
      <c r="B400" s="12"/>
      <c r="C400" s="12" t="s">
        <v>62</v>
      </c>
      <c r="D400" s="12"/>
      <c r="E400" s="32">
        <v>44503</v>
      </c>
      <c r="G400" s="8">
        <v>1973767</v>
      </c>
      <c r="I400" s="8">
        <v>125151</v>
      </c>
      <c r="K400" s="3">
        <f t="shared" si="40"/>
        <v>20522622</v>
      </c>
      <c r="M400" s="8">
        <v>22621540</v>
      </c>
      <c r="O400" s="3">
        <f t="shared" si="41"/>
        <v>6723274</v>
      </c>
      <c r="Q400" s="8">
        <f>699365+18692340</f>
        <v>19391705</v>
      </c>
      <c r="S400" s="8">
        <v>26114979</v>
      </c>
      <c r="U400" s="8">
        <f>263421+72643+1057660+42968+82183</f>
        <v>1518875</v>
      </c>
      <c r="W400" s="8">
        <v>0</v>
      </c>
      <c r="Y400" s="8">
        <v>-5012314</v>
      </c>
      <c r="AA400" s="14">
        <f t="shared" si="42"/>
        <v>-3493439</v>
      </c>
      <c r="AB400" s="8"/>
      <c r="AC400" s="8">
        <f t="shared" si="43"/>
        <v>0</v>
      </c>
    </row>
    <row r="401" spans="1:29" hidden="1">
      <c r="A401" s="12" t="s">
        <v>722</v>
      </c>
      <c r="B401" s="12"/>
      <c r="C401" s="12" t="s">
        <v>727</v>
      </c>
      <c r="D401" s="12"/>
      <c r="E401" s="32">
        <v>50641</v>
      </c>
      <c r="G401" s="8">
        <v>0</v>
      </c>
      <c r="I401" s="30">
        <v>0</v>
      </c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AA401" s="14">
        <f t="shared" si="42"/>
        <v>0</v>
      </c>
      <c r="AB401" s="8"/>
      <c r="AC401" s="8">
        <f>+G401+I401+K401-O401-Q401-Y401-W401-U401</f>
        <v>0</v>
      </c>
    </row>
    <row r="402" spans="1:29">
      <c r="A402" s="12" t="s">
        <v>401</v>
      </c>
      <c r="B402" s="12"/>
      <c r="C402" s="12" t="s">
        <v>32</v>
      </c>
      <c r="D402" s="12"/>
      <c r="E402" s="32">
        <v>44511</v>
      </c>
      <c r="G402" s="8">
        <v>-295365</v>
      </c>
      <c r="I402" s="8">
        <v>906858</v>
      </c>
      <c r="K402" s="3">
        <f>+M402-I402-G402</f>
        <v>4291987</v>
      </c>
      <c r="M402" s="8">
        <v>4903480</v>
      </c>
      <c r="O402" s="3">
        <f>+S402-Q402</f>
        <v>2745384</v>
      </c>
      <c r="Q402" s="8">
        <v>2876252</v>
      </c>
      <c r="S402" s="8">
        <v>5621636</v>
      </c>
      <c r="U402" s="8">
        <f>45879+1815+1384638+322187+215795</f>
        <v>1970314</v>
      </c>
      <c r="W402" s="8">
        <v>368876</v>
      </c>
      <c r="Y402" s="8">
        <v>-3057346</v>
      </c>
      <c r="AA402" s="14">
        <f t="shared" si="42"/>
        <v>-718156</v>
      </c>
      <c r="AB402" s="8"/>
      <c r="AC402" s="8">
        <f t="shared" si="43"/>
        <v>0</v>
      </c>
    </row>
    <row r="403" spans="1:29">
      <c r="A403" s="12" t="s">
        <v>479</v>
      </c>
      <c r="B403" s="12"/>
      <c r="C403" s="12" t="s">
        <v>42</v>
      </c>
      <c r="D403" s="12"/>
      <c r="E403" s="32">
        <v>48025</v>
      </c>
      <c r="G403" s="8">
        <v>3792</v>
      </c>
      <c r="I403" s="8">
        <v>328166</v>
      </c>
      <c r="K403" s="3">
        <f t="shared" si="40"/>
        <v>4488155</v>
      </c>
      <c r="M403" s="8">
        <v>4820113</v>
      </c>
      <c r="O403" s="3">
        <f t="shared" si="41"/>
        <v>1850411</v>
      </c>
      <c r="Q403" s="8">
        <v>3821793</v>
      </c>
      <c r="S403" s="8">
        <v>5672204</v>
      </c>
      <c r="U403" s="8">
        <v>68769</v>
      </c>
      <c r="W403" s="8">
        <v>328166</v>
      </c>
      <c r="Y403" s="8">
        <v>-1249026</v>
      </c>
      <c r="AA403" s="14">
        <f t="shared" si="42"/>
        <v>-852091</v>
      </c>
      <c r="AB403" s="8"/>
      <c r="AC403" s="8">
        <f t="shared" si="43"/>
        <v>0</v>
      </c>
    </row>
    <row r="404" spans="1:29">
      <c r="A404" s="12" t="s">
        <v>313</v>
      </c>
      <c r="B404" s="12"/>
      <c r="C404" s="12" t="s">
        <v>20</v>
      </c>
      <c r="D404" s="12"/>
      <c r="E404" s="32">
        <v>44529</v>
      </c>
      <c r="G404" s="8">
        <v>11271574</v>
      </c>
      <c r="I404" s="8">
        <v>223073</v>
      </c>
      <c r="K404" s="3">
        <f t="shared" si="40"/>
        <v>35527644</v>
      </c>
      <c r="M404" s="8">
        <v>47022291</v>
      </c>
      <c r="O404" s="3">
        <f t="shared" si="41"/>
        <v>7732630</v>
      </c>
      <c r="Q404" s="8">
        <f>30195051+48162</f>
        <v>30243213</v>
      </c>
      <c r="S404" s="8">
        <v>37975843</v>
      </c>
      <c r="U404" s="8">
        <f>223073+104465+4528705+252408</f>
        <v>5108651</v>
      </c>
      <c r="W404" s="8">
        <v>432000</v>
      </c>
      <c r="Y404" s="8">
        <v>3505797</v>
      </c>
      <c r="AA404" s="14">
        <f t="shared" si="42"/>
        <v>9046448</v>
      </c>
      <c r="AB404" s="8"/>
      <c r="AC404" s="8">
        <f t="shared" si="43"/>
        <v>0</v>
      </c>
    </row>
    <row r="405" spans="1:29">
      <c r="A405" s="12" t="s">
        <v>492</v>
      </c>
      <c r="B405" s="12"/>
      <c r="C405" s="12" t="s">
        <v>44</v>
      </c>
      <c r="D405" s="12"/>
      <c r="E405" s="32">
        <v>44537</v>
      </c>
      <c r="G405" s="8">
        <v>4421464</v>
      </c>
      <c r="I405" s="8">
        <v>0</v>
      </c>
      <c r="K405" s="3">
        <f t="shared" si="40"/>
        <v>17101895</v>
      </c>
      <c r="M405" s="8">
        <v>21523359</v>
      </c>
      <c r="O405" s="3">
        <f t="shared" si="41"/>
        <v>4969630</v>
      </c>
      <c r="Q405" s="8">
        <v>14797035</v>
      </c>
      <c r="S405" s="8">
        <v>19766665</v>
      </c>
      <c r="U405" s="8">
        <f>904401+252176</f>
        <v>1156577</v>
      </c>
      <c r="W405" s="8">
        <v>0</v>
      </c>
      <c r="Y405" s="8">
        <v>600117</v>
      </c>
      <c r="AA405" s="14">
        <f t="shared" si="42"/>
        <v>1756694</v>
      </c>
      <c r="AB405" s="8"/>
      <c r="AC405" s="8">
        <f t="shared" si="43"/>
        <v>0</v>
      </c>
    </row>
    <row r="406" spans="1:29">
      <c r="A406" s="12" t="s">
        <v>314</v>
      </c>
      <c r="B406" s="12"/>
      <c r="C406" s="12" t="s">
        <v>20</v>
      </c>
      <c r="D406" s="12"/>
      <c r="E406" s="32">
        <v>44545</v>
      </c>
      <c r="G406" s="8">
        <v>5592512</v>
      </c>
      <c r="I406" s="8">
        <v>155729</v>
      </c>
      <c r="K406" s="3">
        <f t="shared" si="40"/>
        <v>33524647</v>
      </c>
      <c r="M406" s="8">
        <v>39272888</v>
      </c>
      <c r="O406" s="3">
        <f t="shared" si="41"/>
        <v>5930904</v>
      </c>
      <c r="Q406" s="8">
        <v>28207051</v>
      </c>
      <c r="S406" s="8">
        <v>34137955</v>
      </c>
      <c r="U406" s="8">
        <f>598255+5128964+155729</f>
        <v>5882948</v>
      </c>
      <c r="W406" s="8">
        <v>0</v>
      </c>
      <c r="Y406" s="8">
        <v>-748015</v>
      </c>
      <c r="AA406" s="14">
        <f t="shared" si="42"/>
        <v>5134933</v>
      </c>
      <c r="AB406" s="8"/>
      <c r="AC406" s="8">
        <f t="shared" si="43"/>
        <v>0</v>
      </c>
    </row>
    <row r="407" spans="1:29">
      <c r="A407" s="12" t="s">
        <v>704</v>
      </c>
      <c r="B407" s="12"/>
      <c r="C407" s="12" t="s">
        <v>66</v>
      </c>
      <c r="D407" s="12"/>
      <c r="E407" s="32">
        <v>50336</v>
      </c>
      <c r="G407" s="8">
        <v>10666247</v>
      </c>
      <c r="I407" s="8">
        <v>0</v>
      </c>
      <c r="K407" s="3">
        <f t="shared" si="40"/>
        <v>4165938</v>
      </c>
      <c r="M407" s="8">
        <v>14832185</v>
      </c>
      <c r="O407" s="3">
        <f t="shared" si="41"/>
        <v>1422917</v>
      </c>
      <c r="Q407" s="8">
        <v>3198523</v>
      </c>
      <c r="S407" s="8">
        <v>4621440</v>
      </c>
      <c r="U407" s="8">
        <f>381833+1180926</f>
        <v>1562759</v>
      </c>
      <c r="W407" s="8">
        <v>0</v>
      </c>
      <c r="Y407" s="8">
        <v>8647986</v>
      </c>
      <c r="AA407" s="14">
        <f t="shared" si="42"/>
        <v>10210745</v>
      </c>
      <c r="AB407" s="8"/>
      <c r="AC407" s="8">
        <f t="shared" si="43"/>
        <v>0</v>
      </c>
    </row>
    <row r="408" spans="1:29">
      <c r="A408" s="12" t="s">
        <v>262</v>
      </c>
      <c r="B408" s="12"/>
      <c r="C408" s="12" t="s">
        <v>17</v>
      </c>
      <c r="D408" s="12"/>
      <c r="E408" s="32">
        <v>46250</v>
      </c>
      <c r="G408" s="8">
        <v>6107725</v>
      </c>
      <c r="I408" s="8">
        <v>0</v>
      </c>
      <c r="K408" s="3">
        <f t="shared" si="40"/>
        <v>10962545</v>
      </c>
      <c r="M408" s="8">
        <v>17070270</v>
      </c>
      <c r="O408" s="3">
        <f t="shared" si="41"/>
        <v>3319518</v>
      </c>
      <c r="Q408" s="8">
        <v>7327819</v>
      </c>
      <c r="S408" s="8">
        <v>10647337</v>
      </c>
      <c r="U408" s="8">
        <f>278255+99642+3448990</f>
        <v>3826887</v>
      </c>
      <c r="W408" s="8">
        <v>0</v>
      </c>
      <c r="Y408" s="8">
        <v>2596046</v>
      </c>
      <c r="AA408" s="14">
        <f t="shared" si="42"/>
        <v>6422933</v>
      </c>
      <c r="AB408" s="8"/>
      <c r="AC408" s="8">
        <f t="shared" si="43"/>
        <v>0</v>
      </c>
    </row>
    <row r="409" spans="1:29" hidden="1">
      <c r="A409" s="12" t="s">
        <v>262</v>
      </c>
      <c r="B409" s="12"/>
      <c r="C409" s="12" t="s">
        <v>22</v>
      </c>
      <c r="D409" s="12"/>
      <c r="E409" s="32">
        <v>46722</v>
      </c>
      <c r="G409" s="8">
        <v>0</v>
      </c>
      <c r="I409" s="8">
        <v>0</v>
      </c>
      <c r="K409" s="3">
        <f t="shared" si="40"/>
        <v>0</v>
      </c>
      <c r="O409" s="3">
        <f t="shared" si="41"/>
        <v>0</v>
      </c>
      <c r="AA409" s="14">
        <f t="shared" si="42"/>
        <v>0</v>
      </c>
      <c r="AB409" s="8"/>
      <c r="AC409" s="8">
        <f t="shared" si="43"/>
        <v>0</v>
      </c>
    </row>
    <row r="410" spans="1:29">
      <c r="A410" s="12" t="s">
        <v>553</v>
      </c>
      <c r="B410" s="12"/>
      <c r="C410" s="12" t="s">
        <v>50</v>
      </c>
      <c r="D410" s="12"/>
      <c r="E410" s="32">
        <v>48728</v>
      </c>
      <c r="G410" s="8">
        <v>8750790</v>
      </c>
      <c r="I410" s="8">
        <v>0</v>
      </c>
      <c r="K410" s="3">
        <f t="shared" si="40"/>
        <v>27462616</v>
      </c>
      <c r="M410" s="8">
        <v>36213406</v>
      </c>
      <c r="O410" s="3">
        <v>6627884</v>
      </c>
      <c r="Q410" s="8">
        <v>25815987</v>
      </c>
      <c r="S410" s="8">
        <v>32443871</v>
      </c>
      <c r="U410" s="8">
        <v>1825018</v>
      </c>
      <c r="W410" s="8">
        <v>0</v>
      </c>
      <c r="Y410" s="8">
        <v>1944517</v>
      </c>
      <c r="AA410" s="14">
        <f t="shared" si="42"/>
        <v>3769535</v>
      </c>
      <c r="AB410" s="8"/>
      <c r="AC410" s="8">
        <f t="shared" si="43"/>
        <v>0</v>
      </c>
    </row>
    <row r="411" spans="1:29">
      <c r="A411" s="12" t="s">
        <v>562</v>
      </c>
      <c r="B411" s="12"/>
      <c r="C411" s="12" t="s">
        <v>78</v>
      </c>
      <c r="D411" s="12"/>
      <c r="E411" s="32">
        <v>48819</v>
      </c>
      <c r="G411" s="8">
        <v>1001099</v>
      </c>
      <c r="I411" s="8">
        <v>14588</v>
      </c>
      <c r="K411" s="3">
        <f t="shared" si="40"/>
        <v>3522705</v>
      </c>
      <c r="M411" s="8">
        <v>4538392</v>
      </c>
      <c r="O411" s="3">
        <f t="shared" ref="O411:O413" si="44">+S411-Q411</f>
        <v>1259922</v>
      </c>
      <c r="Q411" s="8">
        <f>278658+2191374</f>
        <v>2470032</v>
      </c>
      <c r="S411" s="8">
        <v>3729954</v>
      </c>
      <c r="U411" s="8">
        <f>555+2180+15357+568626+12923+1665</f>
        <v>601306</v>
      </c>
      <c r="W411" s="8">
        <v>0</v>
      </c>
      <c r="Y411" s="8">
        <v>207132</v>
      </c>
      <c r="AA411" s="14">
        <f t="shared" si="42"/>
        <v>808438</v>
      </c>
      <c r="AB411" s="8"/>
      <c r="AC411" s="8">
        <f t="shared" si="43"/>
        <v>0</v>
      </c>
    </row>
    <row r="412" spans="1:29">
      <c r="A412" s="12" t="s">
        <v>480</v>
      </c>
      <c r="B412" s="12"/>
      <c r="C412" s="12" t="s">
        <v>50</v>
      </c>
      <c r="D412" s="12"/>
      <c r="E412" s="32">
        <v>48033</v>
      </c>
      <c r="G412" s="8">
        <v>7107418</v>
      </c>
      <c r="I412" s="8">
        <f>1282877+52637</f>
        <v>1335514</v>
      </c>
      <c r="K412" s="3">
        <f t="shared" si="40"/>
        <v>7635050</v>
      </c>
      <c r="M412" s="8">
        <v>16077982</v>
      </c>
      <c r="O412" s="3">
        <f t="shared" si="44"/>
        <v>1562663</v>
      </c>
      <c r="Q412" s="8">
        <v>7113700</v>
      </c>
      <c r="S412" s="8">
        <v>8676363</v>
      </c>
      <c r="U412" s="8">
        <f>228965+500576+1282877+52637</f>
        <v>2065055</v>
      </c>
      <c r="W412" s="8">
        <v>0</v>
      </c>
      <c r="Y412" s="8">
        <v>5336564</v>
      </c>
      <c r="AA412" s="14">
        <f t="shared" si="42"/>
        <v>7401619</v>
      </c>
      <c r="AB412" s="8"/>
      <c r="AC412" s="8">
        <f t="shared" si="43"/>
        <v>0</v>
      </c>
    </row>
    <row r="413" spans="1:29">
      <c r="A413" s="12" t="s">
        <v>480</v>
      </c>
      <c r="B413" s="12"/>
      <c r="C413" s="12" t="s">
        <v>42</v>
      </c>
      <c r="D413" s="12"/>
      <c r="E413" s="32">
        <v>48736</v>
      </c>
      <c r="G413" s="8">
        <v>574587</v>
      </c>
      <c r="I413" s="8">
        <v>0</v>
      </c>
      <c r="K413" s="3">
        <f t="shared" si="40"/>
        <v>5148522</v>
      </c>
      <c r="M413" s="8">
        <v>5723109</v>
      </c>
      <c r="O413" s="3">
        <f t="shared" si="44"/>
        <v>1141958</v>
      </c>
      <c r="Q413" s="8">
        <v>4171841</v>
      </c>
      <c r="S413" s="8">
        <v>5313799</v>
      </c>
      <c r="U413" s="8">
        <f>16351+198029</f>
        <v>214380</v>
      </c>
      <c r="W413" s="8">
        <v>0</v>
      </c>
      <c r="Y413" s="8">
        <v>194930</v>
      </c>
      <c r="AA413" s="14">
        <f t="shared" si="42"/>
        <v>409310</v>
      </c>
      <c r="AB413" s="8"/>
      <c r="AC413" s="8">
        <f t="shared" si="43"/>
        <v>0</v>
      </c>
    </row>
    <row r="414" spans="1:29">
      <c r="A414" s="12" t="s">
        <v>402</v>
      </c>
      <c r="B414" s="12"/>
      <c r="C414" s="12" t="s">
        <v>32</v>
      </c>
      <c r="D414" s="12"/>
      <c r="E414" s="32">
        <v>47365</v>
      </c>
      <c r="G414" s="8">
        <v>15628185</v>
      </c>
      <c r="I414" s="8">
        <v>0</v>
      </c>
      <c r="K414" s="3">
        <f t="shared" ref="K414:K419" si="45">+M414-I414-G414</f>
        <v>48788606</v>
      </c>
      <c r="M414" s="8">
        <v>64416791</v>
      </c>
      <c r="O414" s="3">
        <f t="shared" ref="O414:O419" si="46">+S414-Q414</f>
        <v>10983984</v>
      </c>
      <c r="Q414" s="8">
        <v>31621832</v>
      </c>
      <c r="S414" s="8">
        <v>42605816</v>
      </c>
      <c r="U414" s="8">
        <f>175202+14169000</f>
        <v>14344202</v>
      </c>
      <c r="W414" s="8">
        <v>0</v>
      </c>
      <c r="Y414" s="8">
        <v>7466773</v>
      </c>
      <c r="AA414" s="14">
        <f t="shared" ref="AA414:AA426" si="47">+Y414+W414++U414</f>
        <v>21810975</v>
      </c>
      <c r="AB414" s="8"/>
      <c r="AC414" s="8">
        <f t="shared" si="43"/>
        <v>0</v>
      </c>
    </row>
    <row r="415" spans="1:29" ht="12" customHeight="1">
      <c r="A415" s="12" t="s">
        <v>402</v>
      </c>
      <c r="B415" s="12"/>
      <c r="C415" s="12" t="s">
        <v>59</v>
      </c>
      <c r="D415" s="12"/>
      <c r="E415" s="32">
        <v>49635</v>
      </c>
      <c r="G415" s="8">
        <v>2787035</v>
      </c>
      <c r="I415" s="8">
        <v>87229</v>
      </c>
      <c r="K415" s="3">
        <f t="shared" si="45"/>
        <v>2216718</v>
      </c>
      <c r="M415" s="8">
        <v>5090982</v>
      </c>
      <c r="O415" s="3">
        <f t="shared" si="46"/>
        <v>1756702</v>
      </c>
      <c r="Q415" s="8">
        <v>1795981</v>
      </c>
      <c r="S415" s="8">
        <v>3552683</v>
      </c>
      <c r="U415" s="8">
        <f>14322+147681+87229</f>
        <v>249232</v>
      </c>
      <c r="W415" s="8">
        <v>0</v>
      </c>
      <c r="Y415" s="8">
        <v>1289067</v>
      </c>
      <c r="AA415" s="14">
        <f t="shared" si="47"/>
        <v>1538299</v>
      </c>
      <c r="AB415" s="8"/>
      <c r="AC415" s="8">
        <f t="shared" si="43"/>
        <v>0</v>
      </c>
    </row>
    <row r="416" spans="1:29">
      <c r="A416" s="12" t="s">
        <v>402</v>
      </c>
      <c r="B416" s="12"/>
      <c r="C416" s="12" t="s">
        <v>62</v>
      </c>
      <c r="D416" s="12"/>
      <c r="E416" s="32">
        <v>49908</v>
      </c>
      <c r="G416" s="8">
        <v>0</v>
      </c>
      <c r="I416" s="8">
        <v>105250</v>
      </c>
      <c r="K416" s="3">
        <f t="shared" si="45"/>
        <v>6578614</v>
      </c>
      <c r="M416" s="8">
        <v>6683864</v>
      </c>
      <c r="O416" s="3">
        <f t="shared" si="46"/>
        <v>3821103</v>
      </c>
      <c r="Q416" s="8">
        <f>5852214+312370</f>
        <v>6164584</v>
      </c>
      <c r="S416" s="8">
        <v>9985687</v>
      </c>
      <c r="U416" s="8">
        <f>102372+8650+105250+366046+13441</f>
        <v>595759</v>
      </c>
      <c r="W416" s="8">
        <v>0</v>
      </c>
      <c r="Y416" s="8">
        <v>-3897582</v>
      </c>
      <c r="AA416" s="14">
        <f t="shared" si="47"/>
        <v>-3301823</v>
      </c>
      <c r="AB416" s="8"/>
      <c r="AC416" s="8">
        <f t="shared" si="43"/>
        <v>0</v>
      </c>
    </row>
    <row r="417" spans="1:29">
      <c r="A417" s="12" t="s">
        <v>263</v>
      </c>
      <c r="B417" s="12"/>
      <c r="C417" s="12" t="s">
        <v>17</v>
      </c>
      <c r="D417" s="12"/>
      <c r="E417" s="32">
        <v>46268</v>
      </c>
      <c r="G417" s="8">
        <v>3138576</v>
      </c>
      <c r="I417" s="8">
        <v>39318</v>
      </c>
      <c r="K417" s="3">
        <f t="shared" si="45"/>
        <v>5629249</v>
      </c>
      <c r="M417" s="8">
        <f>8827023-19880</f>
        <v>8807143</v>
      </c>
      <c r="O417" s="3">
        <f t="shared" si="46"/>
        <v>1759842</v>
      </c>
      <c r="Q417" s="8">
        <v>4748135</v>
      </c>
      <c r="S417" s="8">
        <v>6507977</v>
      </c>
      <c r="U417" s="8">
        <f>87822+48959+830770+39318</f>
        <v>1006869</v>
      </c>
      <c r="W417" s="8">
        <v>162113</v>
      </c>
      <c r="Y417" s="8">
        <f>1150064-19880</f>
        <v>1130184</v>
      </c>
      <c r="AA417" s="14">
        <f t="shared" si="47"/>
        <v>2299166</v>
      </c>
      <c r="AB417" s="8"/>
      <c r="AC417" s="8">
        <f t="shared" si="43"/>
        <v>0</v>
      </c>
    </row>
    <row r="418" spans="1:29">
      <c r="A418" s="12" t="s">
        <v>736</v>
      </c>
      <c r="B418" s="12"/>
      <c r="C418" s="12" t="s">
        <v>72</v>
      </c>
      <c r="D418" s="12"/>
      <c r="E418" s="32">
        <v>50716</v>
      </c>
      <c r="G418" s="8">
        <v>2373544</v>
      </c>
      <c r="I418" s="8">
        <v>27496</v>
      </c>
      <c r="K418" s="3">
        <f t="shared" si="45"/>
        <v>6964854</v>
      </c>
      <c r="M418" s="8">
        <v>9365894</v>
      </c>
      <c r="O418" s="3">
        <f t="shared" si="46"/>
        <v>1006961</v>
      </c>
      <c r="Q418" s="8">
        <v>6058833</v>
      </c>
      <c r="S418" s="8">
        <v>7065794</v>
      </c>
      <c r="U418" s="8">
        <f>896934+22244+5252+92392</f>
        <v>1016822</v>
      </c>
      <c r="W418" s="8">
        <v>0</v>
      </c>
      <c r="Y418" s="8">
        <v>1283278</v>
      </c>
      <c r="AA418" s="14">
        <f t="shared" si="47"/>
        <v>2300100</v>
      </c>
      <c r="AB418" s="8"/>
      <c r="AC418" s="8">
        <f t="shared" si="43"/>
        <v>0</v>
      </c>
    </row>
    <row r="419" spans="1:29">
      <c r="A419" s="12" t="s">
        <v>669</v>
      </c>
      <c r="B419" s="12"/>
      <c r="C419" s="12" t="s">
        <v>63</v>
      </c>
      <c r="D419" s="12"/>
      <c r="E419" s="32">
        <v>44552</v>
      </c>
      <c r="G419" s="8">
        <v>4643324</v>
      </c>
      <c r="I419" s="8">
        <v>15229</v>
      </c>
      <c r="K419" s="3">
        <f t="shared" si="45"/>
        <v>8358446</v>
      </c>
      <c r="M419" s="8">
        <v>13016999</v>
      </c>
      <c r="O419" s="3">
        <f t="shared" si="46"/>
        <v>1872367</v>
      </c>
      <c r="Q419" s="8">
        <v>7266534</v>
      </c>
      <c r="S419" s="8">
        <v>9138901</v>
      </c>
      <c r="U419" s="8">
        <f>294712+10223+981587+5941+15229</f>
        <v>1307692</v>
      </c>
      <c r="W419" s="8">
        <v>0</v>
      </c>
      <c r="Y419" s="8">
        <v>2570406</v>
      </c>
      <c r="AA419" s="14">
        <f t="shared" si="47"/>
        <v>3878098</v>
      </c>
      <c r="AB419" s="8"/>
      <c r="AC419" s="8">
        <f t="shared" si="43"/>
        <v>0</v>
      </c>
    </row>
    <row r="420" spans="1:29">
      <c r="A420" s="12" t="s">
        <v>446</v>
      </c>
      <c r="B420" s="12"/>
      <c r="C420" s="12" t="s">
        <v>37</v>
      </c>
      <c r="D420" s="12"/>
      <c r="E420" s="32">
        <v>44560</v>
      </c>
      <c r="G420" s="8">
        <v>10757389</v>
      </c>
      <c r="I420" s="8">
        <v>1734409</v>
      </c>
      <c r="K420" s="3">
        <f t="shared" ref="K420:K426" si="48">+M420-I420-G420</f>
        <v>6874972</v>
      </c>
      <c r="M420" s="8">
        <v>19366770</v>
      </c>
      <c r="O420" s="3">
        <f t="shared" ref="O420:O426" si="49">+S420-Q420</f>
        <v>2834486</v>
      </c>
      <c r="Q420" s="8">
        <v>5477768</v>
      </c>
      <c r="S420" s="8">
        <v>8312254</v>
      </c>
      <c r="U420" s="8">
        <f>694284+742029+914539+177127+642743</f>
        <v>3170722</v>
      </c>
      <c r="W420" s="8">
        <v>0</v>
      </c>
      <c r="Y420" s="8">
        <v>7883794</v>
      </c>
      <c r="AA420" s="14">
        <f t="shared" si="47"/>
        <v>11054516</v>
      </c>
      <c r="AB420" s="8"/>
      <c r="AC420" s="8">
        <f t="shared" si="43"/>
        <v>0</v>
      </c>
    </row>
    <row r="421" spans="1:29">
      <c r="A421" s="12" t="s">
        <v>865</v>
      </c>
      <c r="B421" s="12"/>
      <c r="C421" s="12" t="s">
        <v>32</v>
      </c>
      <c r="D421" s="12"/>
      <c r="E421" s="32">
        <v>44578</v>
      </c>
      <c r="G421" s="8">
        <v>2723832</v>
      </c>
      <c r="I421" s="8">
        <v>0</v>
      </c>
      <c r="K421" s="3">
        <f t="shared" si="48"/>
        <v>13057162</v>
      </c>
      <c r="M421" s="8">
        <v>15780994</v>
      </c>
      <c r="O421" s="3">
        <f t="shared" si="49"/>
        <v>2630924</v>
      </c>
      <c r="Q421" s="8">
        <v>8291110</v>
      </c>
      <c r="S421" s="8">
        <v>10922034</v>
      </c>
      <c r="U421" s="8">
        <f>562167+3985000</f>
        <v>4547167</v>
      </c>
      <c r="W421" s="8">
        <v>0</v>
      </c>
      <c r="Y421" s="8">
        <v>311793</v>
      </c>
      <c r="AA421" s="14">
        <f t="shared" si="47"/>
        <v>4858960</v>
      </c>
      <c r="AB421" s="8"/>
      <c r="AC421" s="8">
        <f t="shared" si="43"/>
        <v>0</v>
      </c>
    </row>
    <row r="422" spans="1:29">
      <c r="A422" s="12" t="s">
        <v>404</v>
      </c>
      <c r="B422" s="12"/>
      <c r="C422" s="12" t="s">
        <v>32</v>
      </c>
      <c r="D422" s="12"/>
      <c r="E422" s="32">
        <v>47373</v>
      </c>
      <c r="G422" s="8">
        <v>24658056</v>
      </c>
      <c r="I422" s="8">
        <v>380716</v>
      </c>
      <c r="K422" s="3">
        <f t="shared" si="48"/>
        <v>23968150</v>
      </c>
      <c r="M422" s="8">
        <v>49006922</v>
      </c>
      <c r="O422" s="3">
        <f t="shared" si="49"/>
        <v>7633460</v>
      </c>
      <c r="Q422" s="8">
        <v>14205445</v>
      </c>
      <c r="S422" s="8">
        <v>21838905</v>
      </c>
      <c r="U422" s="8">
        <f>132529+7964000+380716</f>
        <v>8477245</v>
      </c>
      <c r="W422" s="8">
        <v>0</v>
      </c>
      <c r="Y422" s="8">
        <v>18690772</v>
      </c>
      <c r="AA422" s="14">
        <f t="shared" si="47"/>
        <v>27168017</v>
      </c>
      <c r="AB422" s="8"/>
      <c r="AC422" s="8">
        <f t="shared" si="43"/>
        <v>0</v>
      </c>
    </row>
    <row r="423" spans="1:29">
      <c r="A423" s="12" t="s">
        <v>554</v>
      </c>
      <c r="B423" s="12"/>
      <c r="C423" s="12" t="s">
        <v>50</v>
      </c>
      <c r="D423" s="12"/>
      <c r="E423" s="32">
        <v>44586</v>
      </c>
      <c r="G423" s="8">
        <v>2582080</v>
      </c>
      <c r="I423" s="8">
        <v>0</v>
      </c>
      <c r="K423" s="3">
        <f t="shared" si="48"/>
        <v>14266055</v>
      </c>
      <c r="M423" s="8">
        <v>16848135</v>
      </c>
      <c r="O423" s="3">
        <f t="shared" si="49"/>
        <v>-114393468</v>
      </c>
      <c r="Q423" s="8">
        <v>130292886</v>
      </c>
      <c r="S423" s="8">
        <v>15899418</v>
      </c>
      <c r="U423" s="8">
        <f>334292+1016945</f>
        <v>1351237</v>
      </c>
      <c r="W423" s="8">
        <v>0</v>
      </c>
      <c r="Y423" s="8">
        <v>-402520</v>
      </c>
      <c r="AA423" s="14">
        <f t="shared" si="47"/>
        <v>948717</v>
      </c>
      <c r="AB423" s="8"/>
      <c r="AC423" s="8">
        <f t="shared" si="43"/>
        <v>0</v>
      </c>
    </row>
    <row r="424" spans="1:29" s="35" customFormat="1">
      <c r="A424" s="34" t="s">
        <v>493</v>
      </c>
      <c r="B424" s="34"/>
      <c r="C424" s="34" t="s">
        <v>44</v>
      </c>
      <c r="D424" s="34"/>
      <c r="E424" s="32">
        <v>44594</v>
      </c>
      <c r="G424" s="8">
        <v>226471</v>
      </c>
      <c r="H424" s="8"/>
      <c r="I424" s="8">
        <v>0</v>
      </c>
      <c r="J424" s="8"/>
      <c r="K424" s="3">
        <f t="shared" si="48"/>
        <v>5774735</v>
      </c>
      <c r="L424" s="8"/>
      <c r="M424" s="8">
        <v>6001206</v>
      </c>
      <c r="N424" s="8"/>
      <c r="O424" s="3">
        <f t="shared" si="49"/>
        <v>1961462</v>
      </c>
      <c r="P424" s="8"/>
      <c r="Q424" s="8">
        <v>4056368</v>
      </c>
      <c r="R424" s="8"/>
      <c r="S424" s="8">
        <v>6017830</v>
      </c>
      <c r="T424" s="8"/>
      <c r="U424" s="8">
        <f>218099+19672</f>
        <v>237771</v>
      </c>
      <c r="V424" s="8"/>
      <c r="W424" s="8">
        <v>0</v>
      </c>
      <c r="X424" s="8"/>
      <c r="Y424" s="8">
        <v>-254395</v>
      </c>
      <c r="Z424" s="8"/>
      <c r="AA424" s="14">
        <f t="shared" si="47"/>
        <v>-16624</v>
      </c>
      <c r="AB424" s="8"/>
      <c r="AC424" s="8">
        <f t="shared" si="43"/>
        <v>0</v>
      </c>
    </row>
    <row r="425" spans="1:29" hidden="1">
      <c r="A425" s="13" t="s">
        <v>834</v>
      </c>
      <c r="B425" s="12"/>
      <c r="C425" s="12" t="s">
        <v>60</v>
      </c>
      <c r="D425" s="12"/>
      <c r="E425" s="32">
        <v>49726</v>
      </c>
      <c r="K425" s="3">
        <f t="shared" si="48"/>
        <v>0</v>
      </c>
      <c r="O425" s="3">
        <f t="shared" si="49"/>
        <v>0</v>
      </c>
      <c r="AA425" s="14">
        <f t="shared" si="47"/>
        <v>0</v>
      </c>
      <c r="AB425" s="8"/>
      <c r="AC425" s="8">
        <f t="shared" si="43"/>
        <v>0</v>
      </c>
    </row>
    <row r="426" spans="1:29">
      <c r="A426" s="12" t="s">
        <v>335</v>
      </c>
      <c r="B426" s="12"/>
      <c r="C426" s="12" t="s">
        <v>23</v>
      </c>
      <c r="D426" s="12"/>
      <c r="E426" s="32">
        <v>46763</v>
      </c>
      <c r="G426" s="8">
        <v>24179598</v>
      </c>
      <c r="I426" s="8">
        <v>0</v>
      </c>
      <c r="K426" s="3">
        <f t="shared" si="48"/>
        <v>115004101</v>
      </c>
      <c r="M426" s="8">
        <v>139183699</v>
      </c>
      <c r="O426" s="3">
        <f t="shared" si="49"/>
        <v>15460663</v>
      </c>
      <c r="Q426" s="8">
        <v>101780775</v>
      </c>
      <c r="S426" s="8">
        <v>117241438</v>
      </c>
      <c r="U426" s="8">
        <f>1159660+38343+12285000</f>
        <v>13483003</v>
      </c>
      <c r="W426" s="8">
        <v>0</v>
      </c>
      <c r="Y426" s="8">
        <v>8459258</v>
      </c>
      <c r="AA426" s="14">
        <f t="shared" si="47"/>
        <v>21942261</v>
      </c>
      <c r="AB426" s="8"/>
      <c r="AC426" s="8">
        <f t="shared" si="43"/>
        <v>0</v>
      </c>
    </row>
    <row r="427" spans="1:29" s="8" customFormat="1">
      <c r="A427" s="13" t="s">
        <v>315</v>
      </c>
      <c r="B427" s="13"/>
      <c r="C427" s="13" t="s">
        <v>20</v>
      </c>
      <c r="D427" s="13"/>
      <c r="E427" s="13">
        <v>46573</v>
      </c>
      <c r="G427" s="8">
        <v>5299140</v>
      </c>
      <c r="I427" s="8">
        <v>223918</v>
      </c>
      <c r="K427" s="3">
        <f>+M427-I427-G427</f>
        <v>20211677</v>
      </c>
      <c r="M427" s="8">
        <v>25734735</v>
      </c>
      <c r="O427" s="3">
        <f>+S427-Q427</f>
        <v>4885144</v>
      </c>
      <c r="Q427" s="8">
        <v>17176521</v>
      </c>
      <c r="S427" s="8">
        <v>22061665</v>
      </c>
      <c r="U427" s="8">
        <f>800610+2549848+223918</f>
        <v>3574376</v>
      </c>
      <c r="W427" s="8">
        <v>0</v>
      </c>
      <c r="Y427" s="8">
        <v>98694</v>
      </c>
      <c r="AA427" s="14">
        <f>+Y427+W427++U427</f>
        <v>3673070</v>
      </c>
      <c r="AC427" s="8">
        <f t="shared" ref="AC427:AC494" si="50">+G427+I427+K427-O427-Q427-Y427-W427-U427</f>
        <v>0</v>
      </c>
    </row>
    <row r="428" spans="1:29">
      <c r="A428" s="12" t="s">
        <v>613</v>
      </c>
      <c r="B428" s="12"/>
      <c r="C428" s="12" t="s">
        <v>112</v>
      </c>
      <c r="D428" s="12"/>
      <c r="E428" s="32">
        <v>49478</v>
      </c>
      <c r="G428" s="8">
        <v>6069177</v>
      </c>
      <c r="I428" s="8">
        <v>387</v>
      </c>
      <c r="K428" s="3">
        <f t="shared" ref="K428:K430" si="51">+M428-I428-G428</f>
        <v>8461397</v>
      </c>
      <c r="M428" s="8">
        <v>14530961</v>
      </c>
      <c r="O428" s="3">
        <f t="shared" ref="O428:O430" si="52">+S428-Q428</f>
        <v>8148073</v>
      </c>
      <c r="Q428" s="8">
        <v>438267</v>
      </c>
      <c r="S428" s="8">
        <v>8586340</v>
      </c>
      <c r="U428" s="8">
        <f>9799+219157+7389+1719226+387</f>
        <v>1955958</v>
      </c>
      <c r="W428" s="8">
        <v>0</v>
      </c>
      <c r="Y428" s="8">
        <v>3988663</v>
      </c>
      <c r="AA428" s="14">
        <f t="shared" ref="AA428:AA488" si="53">+Y428+W428++U428</f>
        <v>5944621</v>
      </c>
      <c r="AB428" s="8"/>
      <c r="AC428" s="8">
        <f t="shared" si="50"/>
        <v>0</v>
      </c>
    </row>
    <row r="429" spans="1:29">
      <c r="A429" s="12" t="s">
        <v>316</v>
      </c>
      <c r="B429" s="12"/>
      <c r="C429" s="12" t="s">
        <v>20</v>
      </c>
      <c r="D429" s="12"/>
      <c r="E429" s="32">
        <v>46581</v>
      </c>
      <c r="G429" s="8">
        <v>30991411</v>
      </c>
      <c r="I429" s="8">
        <v>0</v>
      </c>
      <c r="K429" s="3">
        <f t="shared" si="51"/>
        <v>37810466</v>
      </c>
      <c r="M429" s="8">
        <v>68801877</v>
      </c>
      <c r="O429" s="3">
        <f t="shared" si="52"/>
        <v>5828548</v>
      </c>
      <c r="Q429" s="8">
        <f>3170818+28457256</f>
        <v>31628074</v>
      </c>
      <c r="S429" s="8">
        <v>37456622</v>
      </c>
      <c r="U429" s="8">
        <f>512309+5543928</f>
        <v>6056237</v>
      </c>
      <c r="W429" s="8">
        <v>0</v>
      </c>
      <c r="Y429" s="8">
        <v>25289018</v>
      </c>
      <c r="AA429" s="14">
        <f t="shared" si="53"/>
        <v>31345255</v>
      </c>
      <c r="AB429" s="8"/>
      <c r="AC429" s="8">
        <f t="shared" si="50"/>
        <v>0</v>
      </c>
    </row>
    <row r="430" spans="1:29">
      <c r="A430" s="12" t="s">
        <v>498</v>
      </c>
      <c r="B430" s="12"/>
      <c r="C430" s="12" t="s">
        <v>117</v>
      </c>
      <c r="D430" s="12"/>
      <c r="E430" s="32">
        <v>44602</v>
      </c>
      <c r="G430" s="8">
        <v>1498000</v>
      </c>
      <c r="I430" s="8">
        <v>201560</v>
      </c>
      <c r="K430" s="3">
        <f t="shared" si="51"/>
        <v>23404093</v>
      </c>
      <c r="M430" s="8">
        <v>25103653</v>
      </c>
      <c r="O430" s="3">
        <f t="shared" si="52"/>
        <v>4813021</v>
      </c>
      <c r="Q430" s="8">
        <f>2969706+18642655</f>
        <v>21612361</v>
      </c>
      <c r="S430" s="8">
        <v>26425382</v>
      </c>
      <c r="U430" s="8">
        <f>271486+201560+774437+71232</f>
        <v>1318715</v>
      </c>
      <c r="W430" s="8">
        <v>0</v>
      </c>
      <c r="Y430" s="8">
        <v>-2640444</v>
      </c>
      <c r="AA430" s="14">
        <f t="shared" si="53"/>
        <v>-1321729</v>
      </c>
      <c r="AB430" s="8"/>
      <c r="AC430" s="8">
        <f t="shared" si="50"/>
        <v>0</v>
      </c>
    </row>
    <row r="431" spans="1:29">
      <c r="A431" s="12" t="s">
        <v>723</v>
      </c>
      <c r="B431" s="12"/>
      <c r="C431" s="12" t="s">
        <v>71</v>
      </c>
      <c r="D431" s="12"/>
      <c r="E431" s="32">
        <v>44610</v>
      </c>
      <c r="G431" s="8">
        <v>1505088</v>
      </c>
      <c r="I431" s="8">
        <v>0</v>
      </c>
      <c r="K431" s="3">
        <f t="shared" ref="K431:K434" si="54">+M431-I431-G431</f>
        <v>6205185</v>
      </c>
      <c r="M431" s="8">
        <v>7710273</v>
      </c>
      <c r="O431" s="3">
        <f t="shared" ref="O431:O434" si="55">+S431-Q431</f>
        <v>1959780</v>
      </c>
      <c r="Q431" s="8">
        <v>5621512</v>
      </c>
      <c r="S431" s="8">
        <v>7581292</v>
      </c>
      <c r="U431" s="8">
        <f>200149+570000</f>
        <v>770149</v>
      </c>
      <c r="W431" s="8">
        <v>0</v>
      </c>
      <c r="Y431" s="8">
        <v>-641168</v>
      </c>
      <c r="AA431" s="14">
        <f t="shared" si="53"/>
        <v>128981</v>
      </c>
      <c r="AB431" s="8"/>
      <c r="AC431" s="8">
        <f t="shared" si="50"/>
        <v>0</v>
      </c>
    </row>
    <row r="432" spans="1:29">
      <c r="A432" s="12" t="s">
        <v>659</v>
      </c>
      <c r="B432" s="12"/>
      <c r="C432" s="12" t="s">
        <v>62</v>
      </c>
      <c r="D432" s="12"/>
      <c r="E432" s="32">
        <v>49916</v>
      </c>
      <c r="G432" s="8">
        <v>3731081</v>
      </c>
      <c r="I432" s="8">
        <v>28109</v>
      </c>
      <c r="K432" s="3">
        <f t="shared" si="54"/>
        <v>2649339</v>
      </c>
      <c r="M432" s="8">
        <v>6408529</v>
      </c>
      <c r="O432" s="3">
        <f t="shared" si="55"/>
        <v>1140401</v>
      </c>
      <c r="Q432" s="8">
        <f>427072+2042572</f>
        <v>2469644</v>
      </c>
      <c r="S432" s="8">
        <v>3610045</v>
      </c>
      <c r="U432" s="8">
        <f>69812+4145+116600+1153+26956</f>
        <v>218666</v>
      </c>
      <c r="W432" s="8">
        <v>0</v>
      </c>
      <c r="Y432" s="8">
        <v>2579818</v>
      </c>
      <c r="AA432" s="14">
        <f t="shared" si="53"/>
        <v>2798484</v>
      </c>
      <c r="AB432" s="8"/>
      <c r="AC432" s="8">
        <f t="shared" si="50"/>
        <v>0</v>
      </c>
    </row>
    <row r="433" spans="1:31">
      <c r="A433" s="12" t="s">
        <v>737</v>
      </c>
      <c r="B433" s="12"/>
      <c r="C433" s="12" t="s">
        <v>72</v>
      </c>
      <c r="D433" s="12"/>
      <c r="E433" s="32">
        <v>50724</v>
      </c>
      <c r="G433" s="8">
        <v>560042</v>
      </c>
      <c r="I433" s="8">
        <v>50688</v>
      </c>
      <c r="K433" s="3">
        <f t="shared" si="54"/>
        <v>5070141</v>
      </c>
      <c r="M433" s="8">
        <v>5680871</v>
      </c>
      <c r="O433" s="3">
        <f t="shared" si="55"/>
        <v>1357039</v>
      </c>
      <c r="Q433" s="8">
        <v>3567123</v>
      </c>
      <c r="S433" s="8">
        <v>4924162</v>
      </c>
      <c r="U433" s="8">
        <f>689466+50688+89236</f>
        <v>829390</v>
      </c>
      <c r="W433" s="8">
        <v>0</v>
      </c>
      <c r="Y433" s="8">
        <v>-72681</v>
      </c>
      <c r="AA433" s="14">
        <f t="shared" si="53"/>
        <v>756709</v>
      </c>
      <c r="AB433" s="8"/>
      <c r="AC433" s="8">
        <f t="shared" si="50"/>
        <v>0</v>
      </c>
    </row>
    <row r="434" spans="1:31">
      <c r="A434" s="12" t="s">
        <v>499</v>
      </c>
      <c r="B434" s="12"/>
      <c r="C434" s="12" t="s">
        <v>117</v>
      </c>
      <c r="D434" s="12"/>
      <c r="E434" s="32">
        <v>48215</v>
      </c>
      <c r="F434" s="10" t="s">
        <v>855</v>
      </c>
      <c r="G434" s="8">
        <v>2425594</v>
      </c>
      <c r="I434" s="8">
        <v>0</v>
      </c>
      <c r="K434" s="3">
        <f t="shared" si="54"/>
        <v>12507147</v>
      </c>
      <c r="M434" s="8">
        <v>14932741</v>
      </c>
      <c r="O434" s="3">
        <f t="shared" si="55"/>
        <v>1214385</v>
      </c>
      <c r="Q434" s="8">
        <f>8610427+11171</f>
        <v>8621598</v>
      </c>
      <c r="S434" s="8">
        <v>9835983</v>
      </c>
      <c r="U434" s="8">
        <f>18255+96867+392351</f>
        <v>507473</v>
      </c>
      <c r="W434" s="8">
        <v>0</v>
      </c>
      <c r="Y434" s="8">
        <v>4589285</v>
      </c>
      <c r="AA434" s="14">
        <f t="shared" si="53"/>
        <v>5096758</v>
      </c>
      <c r="AB434" s="8"/>
      <c r="AC434" s="8">
        <f t="shared" si="50"/>
        <v>0</v>
      </c>
    </row>
    <row r="435" spans="1:31" hidden="1">
      <c r="A435" s="108" t="s">
        <v>1047</v>
      </c>
      <c r="B435" s="12"/>
      <c r="C435" s="12" t="s">
        <v>603</v>
      </c>
      <c r="D435" s="12"/>
      <c r="E435" s="32">
        <v>49379</v>
      </c>
      <c r="K435" s="3">
        <f t="shared" ref="K435:K488" si="56">+M435-I435-G435</f>
        <v>0</v>
      </c>
      <c r="O435" s="3">
        <f t="shared" ref="O435:O488" si="57">+S435-Q435</f>
        <v>0</v>
      </c>
      <c r="AA435" s="14">
        <f t="shared" si="53"/>
        <v>0</v>
      </c>
      <c r="AB435" s="8"/>
      <c r="AC435" s="8">
        <f t="shared" si="50"/>
        <v>0</v>
      </c>
    </row>
    <row r="436" spans="1:31" hidden="1">
      <c r="A436" s="108" t="s">
        <v>1046</v>
      </c>
      <c r="B436" s="12"/>
      <c r="C436" s="12" t="s">
        <v>603</v>
      </c>
      <c r="D436" s="12"/>
      <c r="E436" s="32">
        <v>49387</v>
      </c>
      <c r="K436" s="3">
        <f t="shared" si="56"/>
        <v>0</v>
      </c>
      <c r="O436" s="3">
        <f t="shared" si="57"/>
        <v>0</v>
      </c>
      <c r="AA436" s="14">
        <f t="shared" si="53"/>
        <v>0</v>
      </c>
      <c r="AB436" s="8"/>
      <c r="AC436" s="8">
        <f t="shared" si="50"/>
        <v>0</v>
      </c>
    </row>
    <row r="437" spans="1:31">
      <c r="A437" s="12" t="s">
        <v>461</v>
      </c>
      <c r="B437" s="12"/>
      <c r="C437" s="12" t="s">
        <v>41</v>
      </c>
      <c r="D437" s="12"/>
      <c r="E437" s="32">
        <v>44628</v>
      </c>
      <c r="G437" s="8">
        <v>2594362</v>
      </c>
      <c r="I437" s="8">
        <v>538690</v>
      </c>
      <c r="K437" s="3">
        <f t="shared" si="56"/>
        <v>9489496</v>
      </c>
      <c r="M437" s="8">
        <v>12622548</v>
      </c>
      <c r="O437" s="3">
        <f t="shared" si="57"/>
        <v>3797926</v>
      </c>
      <c r="Q437" s="8">
        <v>8756402</v>
      </c>
      <c r="S437" s="8">
        <v>12554328</v>
      </c>
      <c r="U437" s="8">
        <f>515632+432165+105468</f>
        <v>1053265</v>
      </c>
      <c r="W437" s="8">
        <v>0</v>
      </c>
      <c r="Y437" s="8">
        <v>-985045</v>
      </c>
      <c r="AA437" s="14">
        <f t="shared" si="53"/>
        <v>68220</v>
      </c>
      <c r="AB437" s="8"/>
      <c r="AC437" s="8">
        <f t="shared" si="50"/>
        <v>0</v>
      </c>
    </row>
    <row r="438" spans="1:31" hidden="1">
      <c r="A438" s="12" t="s">
        <v>1003</v>
      </c>
      <c r="B438" s="12"/>
      <c r="C438" s="12" t="s">
        <v>41</v>
      </c>
      <c r="D438" s="12"/>
      <c r="E438" s="32">
        <v>47894</v>
      </c>
      <c r="K438" s="3">
        <f t="shared" si="56"/>
        <v>0</v>
      </c>
      <c r="O438" s="3">
        <f t="shared" si="57"/>
        <v>0</v>
      </c>
      <c r="AA438" s="14">
        <f t="shared" si="53"/>
        <v>0</v>
      </c>
      <c r="AB438" s="8"/>
      <c r="AC438" s="8">
        <f t="shared" si="50"/>
        <v>0</v>
      </c>
      <c r="AE438" s="8" t="s">
        <v>1029</v>
      </c>
    </row>
    <row r="439" spans="1:31">
      <c r="A439" s="12" t="s">
        <v>619</v>
      </c>
      <c r="B439" s="12"/>
      <c r="C439" s="12" t="s">
        <v>58</v>
      </c>
      <c r="D439" s="12"/>
      <c r="E439" s="32">
        <v>49510</v>
      </c>
      <c r="G439" s="8">
        <v>2408874</v>
      </c>
      <c r="I439" s="8">
        <v>169972</v>
      </c>
      <c r="K439" s="3">
        <f t="shared" si="56"/>
        <v>1507031</v>
      </c>
      <c r="M439" s="8">
        <v>4085877</v>
      </c>
      <c r="O439" s="3">
        <f t="shared" si="57"/>
        <v>950685</v>
      </c>
      <c r="Q439" s="8">
        <v>1332253</v>
      </c>
      <c r="S439" s="8">
        <v>2282938</v>
      </c>
      <c r="U439" s="8">
        <v>513022</v>
      </c>
      <c r="W439" s="8">
        <v>0</v>
      </c>
      <c r="Y439" s="8">
        <v>1289917</v>
      </c>
      <c r="AA439" s="14">
        <f t="shared" si="53"/>
        <v>1802939</v>
      </c>
      <c r="AB439" s="8"/>
      <c r="AC439" s="8">
        <f t="shared" si="50"/>
        <v>0</v>
      </c>
      <c r="AE439" s="8" t="s">
        <v>956</v>
      </c>
    </row>
    <row r="440" spans="1:31" hidden="1">
      <c r="A440" s="91" t="s">
        <v>1004</v>
      </c>
      <c r="B440" s="12"/>
      <c r="C440" s="12" t="s">
        <v>603</v>
      </c>
      <c r="D440" s="12"/>
      <c r="E440" s="32">
        <v>49395</v>
      </c>
      <c r="K440" s="3">
        <f t="shared" si="56"/>
        <v>0</v>
      </c>
      <c r="O440" s="3">
        <f t="shared" si="57"/>
        <v>0</v>
      </c>
      <c r="AA440" s="14">
        <f t="shared" si="53"/>
        <v>0</v>
      </c>
      <c r="AB440" s="8"/>
      <c r="AC440" s="8">
        <f t="shared" si="50"/>
        <v>0</v>
      </c>
    </row>
    <row r="441" spans="1:31" hidden="1">
      <c r="A441" s="12" t="s">
        <v>1005</v>
      </c>
      <c r="B441" s="12"/>
      <c r="C441" s="12" t="s">
        <v>534</v>
      </c>
      <c r="D441" s="12"/>
      <c r="E441" s="32">
        <v>48579</v>
      </c>
      <c r="G441" s="8">
        <v>3473509</v>
      </c>
      <c r="I441" s="8">
        <v>525</v>
      </c>
      <c r="K441" s="3">
        <f t="shared" si="56"/>
        <v>0</v>
      </c>
      <c r="M441" s="8">
        <v>3474034</v>
      </c>
      <c r="O441" s="3">
        <f t="shared" si="57"/>
        <v>0</v>
      </c>
      <c r="U441" s="8">
        <f>30780+525</f>
        <v>31305</v>
      </c>
      <c r="Y441" s="8">
        <v>3442729</v>
      </c>
      <c r="AA441" s="14">
        <f t="shared" si="53"/>
        <v>3474034</v>
      </c>
      <c r="AB441" s="8"/>
      <c r="AC441" s="8">
        <f t="shared" si="50"/>
        <v>0</v>
      </c>
    </row>
    <row r="442" spans="1:31">
      <c r="A442" s="12" t="s">
        <v>317</v>
      </c>
      <c r="B442" s="12"/>
      <c r="C442" s="12" t="s">
        <v>20</v>
      </c>
      <c r="D442" s="12"/>
      <c r="E442" s="32">
        <v>44636</v>
      </c>
      <c r="G442" s="8">
        <v>7761452</v>
      </c>
      <c r="I442" s="8">
        <v>0</v>
      </c>
      <c r="K442" s="3">
        <f t="shared" si="56"/>
        <v>88915730</v>
      </c>
      <c r="M442" s="8">
        <v>96677182</v>
      </c>
      <c r="O442" s="3">
        <f t="shared" si="57"/>
        <v>14699887</v>
      </c>
      <c r="Q442" s="8">
        <v>71030794</v>
      </c>
      <c r="S442" s="8">
        <v>85730681</v>
      </c>
      <c r="U442" s="8">
        <f>1298369+13701808</f>
        <v>15000177</v>
      </c>
      <c r="W442" s="8">
        <v>0</v>
      </c>
      <c r="Y442" s="8">
        <v>-4053676</v>
      </c>
      <c r="AA442" s="14">
        <f t="shared" si="53"/>
        <v>10946501</v>
      </c>
      <c r="AB442" s="8"/>
      <c r="AC442" s="8">
        <f t="shared" si="50"/>
        <v>0</v>
      </c>
    </row>
    <row r="443" spans="1:31">
      <c r="A443" s="12" t="s">
        <v>433</v>
      </c>
      <c r="B443" s="12"/>
      <c r="C443" s="12" t="s">
        <v>34</v>
      </c>
      <c r="D443" s="12"/>
      <c r="E443" s="32">
        <v>47597</v>
      </c>
      <c r="G443" s="8">
        <v>1501285</v>
      </c>
      <c r="I443" s="8">
        <v>23745</v>
      </c>
      <c r="K443" s="3">
        <f t="shared" si="56"/>
        <v>5291321</v>
      </c>
      <c r="M443" s="8">
        <v>6816351</v>
      </c>
      <c r="O443" s="3">
        <f t="shared" si="57"/>
        <v>955217</v>
      </c>
      <c r="Q443" s="8">
        <v>4251455</v>
      </c>
      <c r="S443" s="8">
        <v>5206672</v>
      </c>
      <c r="U443" s="8">
        <f>648358+456527+23745</f>
        <v>1128630</v>
      </c>
      <c r="W443" s="8">
        <v>0</v>
      </c>
      <c r="Y443" s="8">
        <v>481049</v>
      </c>
      <c r="AA443" s="14">
        <f t="shared" si="53"/>
        <v>1609679</v>
      </c>
      <c r="AB443" s="8"/>
      <c r="AC443" s="8">
        <f t="shared" si="50"/>
        <v>0</v>
      </c>
    </row>
    <row r="444" spans="1:31" hidden="1">
      <c r="A444" s="12" t="s">
        <v>1007</v>
      </c>
      <c r="B444" s="12"/>
      <c r="C444" s="12" t="s">
        <v>576</v>
      </c>
      <c r="D444" s="12"/>
      <c r="E444" s="32">
        <v>45575</v>
      </c>
      <c r="G444" s="8">
        <v>1957723</v>
      </c>
      <c r="K444" s="3">
        <f t="shared" si="56"/>
        <v>0</v>
      </c>
      <c r="M444" s="8">
        <v>1957723</v>
      </c>
      <c r="O444" s="3">
        <f t="shared" si="57"/>
        <v>0</v>
      </c>
      <c r="U444" s="8">
        <v>82990</v>
      </c>
      <c r="Y444" s="8">
        <v>1874733</v>
      </c>
      <c r="AA444" s="14">
        <f t="shared" si="53"/>
        <v>1957723</v>
      </c>
      <c r="AB444" s="8"/>
      <c r="AC444" s="8">
        <f t="shared" si="50"/>
        <v>0</v>
      </c>
    </row>
    <row r="445" spans="1:31">
      <c r="A445" s="12" t="s">
        <v>340</v>
      </c>
      <c r="B445" s="12"/>
      <c r="C445" s="12" t="s">
        <v>24</v>
      </c>
      <c r="D445" s="12"/>
      <c r="E445" s="32">
        <v>46813</v>
      </c>
      <c r="G445" s="8">
        <v>6104387</v>
      </c>
      <c r="I445" s="8">
        <v>0</v>
      </c>
      <c r="K445" s="3">
        <f t="shared" si="56"/>
        <v>13034831</v>
      </c>
      <c r="M445" s="8">
        <v>19139218</v>
      </c>
      <c r="O445" s="3">
        <f t="shared" si="57"/>
        <v>12340770</v>
      </c>
      <c r="Q445" s="8">
        <v>1765763</v>
      </c>
      <c r="S445" s="8">
        <v>14106533</v>
      </c>
      <c r="U445" s="8">
        <f>296026+65125+1631303+32915</f>
        <v>2025369</v>
      </c>
      <c r="W445" s="8">
        <v>0</v>
      </c>
      <c r="Y445" s="8">
        <v>3007316</v>
      </c>
      <c r="AA445" s="14">
        <f t="shared" si="53"/>
        <v>5032685</v>
      </c>
      <c r="AB445" s="8"/>
      <c r="AC445" s="8">
        <f t="shared" si="50"/>
        <v>0</v>
      </c>
    </row>
    <row r="446" spans="1:31" hidden="1">
      <c r="A446" s="12" t="s">
        <v>1008</v>
      </c>
      <c r="B446" s="12"/>
      <c r="C446" s="12" t="s">
        <v>10</v>
      </c>
      <c r="D446" s="12"/>
      <c r="E446" s="32"/>
      <c r="G446" s="8">
        <v>2270963</v>
      </c>
      <c r="I446" s="8">
        <v>27307</v>
      </c>
      <c r="K446" s="3">
        <f t="shared" si="56"/>
        <v>0</v>
      </c>
      <c r="M446" s="8">
        <v>2298270</v>
      </c>
      <c r="O446" s="3"/>
      <c r="U446" s="8">
        <f>123415+27307</f>
        <v>150722</v>
      </c>
      <c r="Y446" s="8">
        <v>2147548</v>
      </c>
      <c r="AA446" s="14">
        <f t="shared" si="53"/>
        <v>2298270</v>
      </c>
      <c r="AB446" s="8"/>
      <c r="AC446" s="8">
        <f t="shared" si="50"/>
        <v>0</v>
      </c>
    </row>
    <row r="447" spans="1:31">
      <c r="A447" s="12" t="s">
        <v>211</v>
      </c>
      <c r="B447" s="12"/>
      <c r="C447" s="12" t="s">
        <v>41</v>
      </c>
      <c r="D447" s="12"/>
      <c r="E447" s="32">
        <v>47902</v>
      </c>
      <c r="G447" s="8">
        <v>15407272</v>
      </c>
      <c r="I447" s="8">
        <v>58165</v>
      </c>
      <c r="K447" s="3">
        <f t="shared" si="56"/>
        <v>25817379</v>
      </c>
      <c r="M447" s="8">
        <v>41282816</v>
      </c>
      <c r="O447" s="3">
        <f t="shared" si="57"/>
        <v>2459145</v>
      </c>
      <c r="Q447" s="8">
        <v>24897588</v>
      </c>
      <c r="S447" s="8">
        <v>27356733</v>
      </c>
      <c r="U447" s="8">
        <f>158688+58165+368081</f>
        <v>584934</v>
      </c>
      <c r="W447" s="8">
        <v>0</v>
      </c>
      <c r="Y447" s="8">
        <v>13341149</v>
      </c>
      <c r="AA447" s="14">
        <f t="shared" si="53"/>
        <v>13926083</v>
      </c>
      <c r="AB447" s="8"/>
      <c r="AC447" s="8">
        <f t="shared" si="50"/>
        <v>0</v>
      </c>
    </row>
    <row r="448" spans="1:31">
      <c r="A448" s="12" t="s">
        <v>211</v>
      </c>
      <c r="B448" s="12"/>
      <c r="C448" s="12" t="s">
        <v>62</v>
      </c>
      <c r="D448" s="12"/>
      <c r="E448" s="32">
        <v>49924</v>
      </c>
      <c r="G448" s="8">
        <v>26066048</v>
      </c>
      <c r="I448" s="8">
        <v>0</v>
      </c>
      <c r="K448" s="3">
        <f t="shared" si="56"/>
        <v>19098261</v>
      </c>
      <c r="M448" s="8">
        <v>45164309</v>
      </c>
      <c r="O448" s="3">
        <f t="shared" si="57"/>
        <v>5502737</v>
      </c>
      <c r="Q448" s="8">
        <v>17986046</v>
      </c>
      <c r="S448" s="8">
        <v>23488783</v>
      </c>
      <c r="U448" s="8">
        <f>151819+764310+102502</f>
        <v>1018631</v>
      </c>
      <c r="W448" s="8">
        <v>0</v>
      </c>
      <c r="Y448" s="8">
        <v>20656895</v>
      </c>
      <c r="AA448" s="14">
        <f t="shared" si="53"/>
        <v>21675526</v>
      </c>
      <c r="AB448" s="8"/>
      <c r="AC448" s="8">
        <f t="shared" si="50"/>
        <v>0</v>
      </c>
    </row>
    <row r="449" spans="1:31">
      <c r="A449" s="12" t="s">
        <v>738</v>
      </c>
      <c r="B449" s="12"/>
      <c r="C449" s="12" t="s">
        <v>72</v>
      </c>
      <c r="D449" s="12"/>
      <c r="E449" s="32">
        <v>45583</v>
      </c>
      <c r="G449" s="8">
        <v>2140744</v>
      </c>
      <c r="I449" s="8">
        <v>137211</v>
      </c>
      <c r="K449" s="3">
        <f t="shared" si="56"/>
        <v>23621324</v>
      </c>
      <c r="M449" s="8">
        <v>25899279</v>
      </c>
      <c r="O449" s="3">
        <f t="shared" si="57"/>
        <v>5585774</v>
      </c>
      <c r="Q449" s="8">
        <v>19082312</v>
      </c>
      <c r="S449" s="8">
        <v>24668086</v>
      </c>
      <c r="U449" s="8">
        <f>264303+137211+2590550+10194</f>
        <v>3002258</v>
      </c>
      <c r="W449" s="8">
        <v>0</v>
      </c>
      <c r="Y449" s="8">
        <v>-1771065</v>
      </c>
      <c r="AA449" s="14">
        <f t="shared" si="53"/>
        <v>1231193</v>
      </c>
      <c r="AB449" s="8"/>
      <c r="AC449" s="8">
        <f t="shared" si="50"/>
        <v>0</v>
      </c>
    </row>
    <row r="450" spans="1:31">
      <c r="A450" s="12" t="s">
        <v>371</v>
      </c>
      <c r="B450" s="12"/>
      <c r="C450" s="12" t="s">
        <v>28</v>
      </c>
      <c r="D450" s="12"/>
      <c r="E450" s="32">
        <v>47076</v>
      </c>
      <c r="G450" s="8">
        <v>943306</v>
      </c>
      <c r="I450" s="8">
        <v>0</v>
      </c>
      <c r="K450" s="3">
        <f t="shared" si="56"/>
        <v>1359608</v>
      </c>
      <c r="M450" s="8">
        <v>2302914</v>
      </c>
      <c r="O450" s="3">
        <f t="shared" si="57"/>
        <v>649003</v>
      </c>
      <c r="Q450" s="8">
        <v>1072573</v>
      </c>
      <c r="S450" s="8">
        <v>1721576</v>
      </c>
      <c r="U450" s="8">
        <f>14331+71861</f>
        <v>86192</v>
      </c>
      <c r="W450" s="8">
        <v>0</v>
      </c>
      <c r="Y450" s="8">
        <v>495146</v>
      </c>
      <c r="AA450" s="14">
        <f t="shared" si="53"/>
        <v>581338</v>
      </c>
      <c r="AB450" s="8"/>
      <c r="AC450" s="8">
        <f t="shared" si="50"/>
        <v>0</v>
      </c>
      <c r="AE450" s="8" t="s">
        <v>956</v>
      </c>
    </row>
    <row r="451" spans="1:31">
      <c r="A451" s="12" t="s">
        <v>349</v>
      </c>
      <c r="B451" s="12"/>
      <c r="C451" s="12" t="s">
        <v>25</v>
      </c>
      <c r="D451" s="12"/>
      <c r="E451" s="32">
        <v>46896</v>
      </c>
      <c r="G451" s="8">
        <v>16805020</v>
      </c>
      <c r="I451" s="8">
        <v>22684</v>
      </c>
      <c r="K451" s="3">
        <f t="shared" si="56"/>
        <v>33538456</v>
      </c>
      <c r="M451" s="8">
        <v>50366160</v>
      </c>
      <c r="O451" s="3">
        <f t="shared" si="57"/>
        <v>35925771</v>
      </c>
      <c r="Q451" s="8">
        <v>1966463</v>
      </c>
      <c r="S451" s="8">
        <v>37892234</v>
      </c>
      <c r="U451" s="8">
        <f>1519442+22684+2842507+97950</f>
        <v>4482583</v>
      </c>
      <c r="W451" s="8">
        <v>2627993</v>
      </c>
      <c r="Y451" s="8">
        <v>5363350</v>
      </c>
      <c r="AA451" s="14">
        <f t="shared" si="53"/>
        <v>12473926</v>
      </c>
      <c r="AB451" s="8"/>
      <c r="AC451" s="8">
        <f t="shared" si="50"/>
        <v>0</v>
      </c>
    </row>
    <row r="452" spans="1:31">
      <c r="A452" s="12" t="s">
        <v>372</v>
      </c>
      <c r="B452" s="12"/>
      <c r="C452" s="12" t="s">
        <v>28</v>
      </c>
      <c r="D452" s="12"/>
      <c r="E452" s="32">
        <v>47084</v>
      </c>
      <c r="G452" s="8">
        <v>4472076</v>
      </c>
      <c r="I452" s="8">
        <v>26007</v>
      </c>
      <c r="K452" s="3">
        <f t="shared" si="56"/>
        <v>3030391</v>
      </c>
      <c r="M452" s="8">
        <v>7528474</v>
      </c>
      <c r="O452" s="3">
        <f t="shared" si="57"/>
        <v>1650348</v>
      </c>
      <c r="Q452" s="8">
        <v>2803855</v>
      </c>
      <c r="S452" s="8">
        <v>4454203</v>
      </c>
      <c r="U452" s="8">
        <f>196071+26007+95775</f>
        <v>317853</v>
      </c>
      <c r="W452" s="8">
        <v>0</v>
      </c>
      <c r="Y452" s="8">
        <v>2756418</v>
      </c>
      <c r="AA452" s="14">
        <f t="shared" si="53"/>
        <v>3074271</v>
      </c>
      <c r="AB452" s="8"/>
      <c r="AC452" s="8">
        <f t="shared" si="50"/>
        <v>0</v>
      </c>
    </row>
    <row r="453" spans="1:31">
      <c r="A453" s="12" t="s">
        <v>540</v>
      </c>
      <c r="B453" s="12"/>
      <c r="C453" s="12" t="s">
        <v>48</v>
      </c>
      <c r="D453" s="12"/>
      <c r="E453" s="32">
        <v>44644</v>
      </c>
      <c r="G453" s="8">
        <v>3029080</v>
      </c>
      <c r="I453" s="8">
        <v>247328</v>
      </c>
      <c r="K453" s="3">
        <f t="shared" si="56"/>
        <v>15668355</v>
      </c>
      <c r="M453" s="8">
        <v>18944763</v>
      </c>
      <c r="O453" s="3">
        <f t="shared" si="57"/>
        <v>3583005</v>
      </c>
      <c r="Q453" s="8">
        <v>10465036</v>
      </c>
      <c r="S453" s="8">
        <v>14048041</v>
      </c>
      <c r="U453" s="8">
        <f>454073+23288+956021+247328</f>
        <v>1680710</v>
      </c>
      <c r="W453" s="8">
        <v>0</v>
      </c>
      <c r="Y453" s="8">
        <v>3216012</v>
      </c>
      <c r="AA453" s="14">
        <f t="shared" si="53"/>
        <v>4896722</v>
      </c>
      <c r="AB453" s="8"/>
      <c r="AC453" s="8">
        <f t="shared" si="50"/>
        <v>0</v>
      </c>
    </row>
    <row r="454" spans="1:31" hidden="1">
      <c r="A454" s="77" t="s">
        <v>1010</v>
      </c>
      <c r="B454" s="12"/>
      <c r="C454" s="12" t="s">
        <v>27</v>
      </c>
      <c r="D454" s="12"/>
      <c r="E454" s="32">
        <v>46995</v>
      </c>
      <c r="K454" s="3">
        <f t="shared" si="56"/>
        <v>0</v>
      </c>
      <c r="O454" s="3">
        <f t="shared" si="57"/>
        <v>0</v>
      </c>
      <c r="AA454" s="14">
        <f t="shared" si="53"/>
        <v>0</v>
      </c>
      <c r="AB454" s="8"/>
      <c r="AC454" s="8">
        <f t="shared" si="50"/>
        <v>0</v>
      </c>
      <c r="AE454" s="8" t="s">
        <v>1011</v>
      </c>
    </row>
    <row r="455" spans="1:31">
      <c r="A455" s="12" t="s">
        <v>361</v>
      </c>
      <c r="B455" s="12"/>
      <c r="C455" s="12" t="s">
        <v>62</v>
      </c>
      <c r="D455" s="12"/>
      <c r="E455" s="32">
        <v>49932</v>
      </c>
      <c r="G455" s="8">
        <v>10465238</v>
      </c>
      <c r="I455" s="8">
        <v>229590</v>
      </c>
      <c r="K455" s="3">
        <f t="shared" si="56"/>
        <v>27172074</v>
      </c>
      <c r="M455" s="8">
        <v>37866902</v>
      </c>
      <c r="O455" s="3">
        <f t="shared" si="57"/>
        <v>6395376</v>
      </c>
      <c r="Q455" s="8">
        <f>1784545+23952185</f>
        <v>25736730</v>
      </c>
      <c r="S455" s="8">
        <v>32132106</v>
      </c>
      <c r="U455" s="8">
        <f>2142890+71640+29245+1093740+203450+26140</f>
        <v>3567105</v>
      </c>
      <c r="W455" s="8">
        <v>1496545</v>
      </c>
      <c r="Y455" s="8">
        <v>671146</v>
      </c>
      <c r="AA455" s="14">
        <f t="shared" si="53"/>
        <v>5734796</v>
      </c>
      <c r="AB455" s="8"/>
      <c r="AC455" s="8">
        <f t="shared" si="50"/>
        <v>0</v>
      </c>
    </row>
    <row r="456" spans="1:31">
      <c r="A456" s="12" t="s">
        <v>522</v>
      </c>
      <c r="B456" s="12"/>
      <c r="C456" s="12" t="s">
        <v>46</v>
      </c>
      <c r="D456" s="12"/>
      <c r="E456" s="32">
        <v>48421</v>
      </c>
      <c r="G456" s="8">
        <v>2338495</v>
      </c>
      <c r="I456" s="8">
        <v>35353</v>
      </c>
      <c r="K456" s="3">
        <f t="shared" si="56"/>
        <v>4103287</v>
      </c>
      <c r="M456" s="8">
        <v>6477135</v>
      </c>
      <c r="O456" s="3">
        <f t="shared" si="57"/>
        <v>1171160</v>
      </c>
      <c r="Q456" s="8">
        <v>2488640</v>
      </c>
      <c r="S456" s="8">
        <v>3659800</v>
      </c>
      <c r="U456" s="8">
        <f>1433264+35353+51088</f>
        <v>1519705</v>
      </c>
      <c r="W456" s="8">
        <v>0</v>
      </c>
      <c r="Y456" s="8">
        <v>1297630</v>
      </c>
      <c r="AA456" s="14">
        <f t="shared" si="53"/>
        <v>2817335</v>
      </c>
      <c r="AB456" s="8"/>
      <c r="AC456" s="8">
        <f t="shared" si="50"/>
        <v>0</v>
      </c>
    </row>
    <row r="457" spans="1:31">
      <c r="A457" s="12" t="s">
        <v>614</v>
      </c>
      <c r="B457" s="12"/>
      <c r="C457" s="12" t="s">
        <v>112</v>
      </c>
      <c r="D457" s="12"/>
      <c r="E457" s="32">
        <v>49460</v>
      </c>
      <c r="G457" s="8">
        <v>2447450</v>
      </c>
      <c r="I457" s="8">
        <v>25818</v>
      </c>
      <c r="K457" s="3">
        <f t="shared" si="56"/>
        <v>2599494</v>
      </c>
      <c r="M457" s="8">
        <v>5072762</v>
      </c>
      <c r="O457" s="3">
        <f t="shared" si="57"/>
        <v>2025225</v>
      </c>
      <c r="Q457" s="8">
        <f>1188545+518689</f>
        <v>1707234</v>
      </c>
      <c r="S457" s="8">
        <v>3732459</v>
      </c>
      <c r="U457" s="8">
        <f>169338+35093+14927+284455+25818</f>
        <v>529631</v>
      </c>
      <c r="W457" s="8">
        <v>0</v>
      </c>
      <c r="Y457" s="8">
        <v>810672</v>
      </c>
      <c r="AA457" s="14">
        <f t="shared" si="53"/>
        <v>1340303</v>
      </c>
      <c r="AB457" s="8"/>
      <c r="AC457" s="8">
        <f t="shared" si="50"/>
        <v>0</v>
      </c>
    </row>
    <row r="458" spans="1:31">
      <c r="A458" s="12"/>
      <c r="B458" s="12"/>
      <c r="C458" s="12"/>
      <c r="D458" s="12"/>
      <c r="E458" s="32"/>
      <c r="K458" s="3"/>
      <c r="O458" s="3"/>
      <c r="AA458" s="14"/>
      <c r="AB458" s="8"/>
    </row>
    <row r="459" spans="1:31">
      <c r="A459" s="12"/>
      <c r="B459" s="12"/>
      <c r="C459" s="12"/>
      <c r="D459" s="12"/>
      <c r="E459" s="32"/>
      <c r="K459" s="3"/>
      <c r="O459" s="3"/>
      <c r="AA459" s="14" t="s">
        <v>805</v>
      </c>
      <c r="AB459" s="8"/>
    </row>
    <row r="460" spans="1:31">
      <c r="A460" s="12"/>
      <c r="B460" s="12"/>
      <c r="C460" s="12"/>
      <c r="D460" s="12"/>
      <c r="E460" s="32"/>
      <c r="K460" s="3"/>
      <c r="O460" s="3"/>
      <c r="AA460" s="14"/>
      <c r="AB460" s="8"/>
    </row>
    <row r="461" spans="1:31">
      <c r="A461" s="12" t="s">
        <v>514</v>
      </c>
      <c r="B461" s="12"/>
      <c r="C461" s="12" t="s">
        <v>45</v>
      </c>
      <c r="D461" s="12"/>
      <c r="E461" s="32">
        <v>48348</v>
      </c>
      <c r="G461" s="35">
        <v>4395994</v>
      </c>
      <c r="H461" s="35"/>
      <c r="I461" s="35">
        <v>91267</v>
      </c>
      <c r="J461" s="35"/>
      <c r="K461" s="42">
        <f t="shared" si="56"/>
        <v>11016314</v>
      </c>
      <c r="L461" s="35"/>
      <c r="M461" s="35">
        <v>15503575</v>
      </c>
      <c r="N461" s="35"/>
      <c r="O461" s="42">
        <f t="shared" si="57"/>
        <v>2874696</v>
      </c>
      <c r="P461" s="35"/>
      <c r="Q461" s="35">
        <v>10205343</v>
      </c>
      <c r="R461" s="35"/>
      <c r="S461" s="35">
        <v>13080039</v>
      </c>
      <c r="T461" s="35"/>
      <c r="U461" s="35">
        <f>121412+14032+77235</f>
        <v>212679</v>
      </c>
      <c r="V461" s="35"/>
      <c r="W461" s="35">
        <v>247765</v>
      </c>
      <c r="X461" s="35"/>
      <c r="Y461" s="35">
        <v>1963092</v>
      </c>
      <c r="Z461" s="35"/>
      <c r="AA461" s="64">
        <f t="shared" si="53"/>
        <v>2423536</v>
      </c>
      <c r="AB461" s="8"/>
      <c r="AC461" s="8">
        <f t="shared" si="50"/>
        <v>0</v>
      </c>
      <c r="AE461" s="15" t="s">
        <v>1012</v>
      </c>
    </row>
    <row r="462" spans="1:31">
      <c r="A462" s="12" t="s">
        <v>575</v>
      </c>
      <c r="B462" s="12"/>
      <c r="C462" s="12" t="s">
        <v>53</v>
      </c>
      <c r="D462" s="12"/>
      <c r="E462" s="32">
        <v>44651</v>
      </c>
      <c r="G462" s="8">
        <v>7436907</v>
      </c>
      <c r="I462" s="8">
        <v>86386</v>
      </c>
      <c r="K462" s="3">
        <f t="shared" si="56"/>
        <v>13478934</v>
      </c>
      <c r="M462" s="8">
        <v>21002227</v>
      </c>
      <c r="O462" s="3">
        <f t="shared" si="57"/>
        <v>1921920</v>
      </c>
      <c r="Q462" s="8">
        <f>765213+11008604</f>
        <v>11773817</v>
      </c>
      <c r="S462" s="8">
        <v>13695737</v>
      </c>
      <c r="U462" s="8">
        <f>244507+1591396+22422+50863+86386</f>
        <v>1995574</v>
      </c>
      <c r="W462" s="8">
        <v>0</v>
      </c>
      <c r="Y462" s="8">
        <v>5310916</v>
      </c>
      <c r="AA462" s="14">
        <f t="shared" si="53"/>
        <v>7306490</v>
      </c>
      <c r="AB462" s="8"/>
      <c r="AC462" s="8">
        <f t="shared" si="50"/>
        <v>0</v>
      </c>
    </row>
    <row r="463" spans="1:31">
      <c r="A463" s="12" t="s">
        <v>631</v>
      </c>
      <c r="B463" s="12"/>
      <c r="C463" s="12" t="s">
        <v>59</v>
      </c>
      <c r="D463" s="12"/>
      <c r="E463" s="32">
        <v>44669</v>
      </c>
      <c r="G463" s="8">
        <v>1833239</v>
      </c>
      <c r="I463" s="8">
        <v>187028</v>
      </c>
      <c r="K463" s="3">
        <f t="shared" si="56"/>
        <v>5523693</v>
      </c>
      <c r="M463" s="8">
        <v>7543960</v>
      </c>
      <c r="O463" s="3">
        <f t="shared" si="57"/>
        <v>1629952</v>
      </c>
      <c r="Q463" s="8">
        <v>5023965</v>
      </c>
      <c r="S463" s="8">
        <v>6653917</v>
      </c>
      <c r="U463" s="8">
        <f>28368+277617+93347+74049+19632</f>
        <v>493013</v>
      </c>
      <c r="W463" s="8">
        <v>17994</v>
      </c>
      <c r="Y463" s="8">
        <v>379036</v>
      </c>
      <c r="AA463" s="14">
        <f t="shared" si="53"/>
        <v>890043</v>
      </c>
      <c r="AB463" s="8"/>
      <c r="AC463" s="8">
        <f t="shared" si="50"/>
        <v>0</v>
      </c>
    </row>
    <row r="464" spans="1:31" hidden="1">
      <c r="A464" s="12" t="s">
        <v>1013</v>
      </c>
      <c r="B464" s="12"/>
      <c r="C464" s="12" t="s">
        <v>57</v>
      </c>
      <c r="D464" s="12"/>
      <c r="E464" s="32">
        <v>49288</v>
      </c>
      <c r="G464" s="8">
        <v>5998985</v>
      </c>
      <c r="I464" s="8">
        <v>164619</v>
      </c>
      <c r="K464" s="3">
        <f t="shared" si="56"/>
        <v>0</v>
      </c>
      <c r="M464" s="8">
        <v>6163604</v>
      </c>
      <c r="O464" s="3">
        <f t="shared" si="57"/>
        <v>0</v>
      </c>
      <c r="U464" s="8">
        <f>193134+99789+64830</f>
        <v>357753</v>
      </c>
      <c r="Y464" s="8">
        <v>5805851</v>
      </c>
      <c r="AA464" s="14">
        <f t="shared" si="53"/>
        <v>6163604</v>
      </c>
      <c r="AB464" s="8"/>
      <c r="AC464" s="8">
        <f t="shared" si="50"/>
        <v>0</v>
      </c>
    </row>
    <row r="465" spans="1:31">
      <c r="A465" s="12" t="s">
        <v>405</v>
      </c>
      <c r="B465" s="12"/>
      <c r="C465" s="12" t="s">
        <v>32</v>
      </c>
      <c r="D465" s="12"/>
      <c r="E465" s="32">
        <v>44677</v>
      </c>
      <c r="G465" s="8">
        <v>21169508</v>
      </c>
      <c r="I465" s="8">
        <v>212907</v>
      </c>
      <c r="K465" s="3">
        <f t="shared" si="56"/>
        <v>67488286</v>
      </c>
      <c r="M465" s="8">
        <v>88870701</v>
      </c>
      <c r="O465" s="3">
        <f t="shared" si="57"/>
        <v>7818098</v>
      </c>
      <c r="Q465" s="8">
        <v>46514038</v>
      </c>
      <c r="S465" s="8">
        <v>54332136</v>
      </c>
      <c r="U465" s="8">
        <f>2278939+212907+14137700+104449</f>
        <v>16733995</v>
      </c>
      <c r="W465" s="8">
        <v>0</v>
      </c>
      <c r="Y465" s="8">
        <v>17804570</v>
      </c>
      <c r="AA465" s="14">
        <f t="shared" si="53"/>
        <v>34538565</v>
      </c>
      <c r="AB465" s="8"/>
      <c r="AC465" s="8">
        <f t="shared" si="50"/>
        <v>0</v>
      </c>
    </row>
    <row r="466" spans="1:31">
      <c r="A466" s="12" t="s">
        <v>222</v>
      </c>
      <c r="B466" s="12"/>
      <c r="C466" s="12" t="s">
        <v>12</v>
      </c>
      <c r="D466" s="12"/>
      <c r="E466" s="32">
        <v>45880</v>
      </c>
      <c r="G466" s="8">
        <v>0</v>
      </c>
      <c r="I466" s="8">
        <v>435063</v>
      </c>
      <c r="K466" s="3">
        <f t="shared" si="56"/>
        <v>3776927</v>
      </c>
      <c r="M466" s="8">
        <v>4211990</v>
      </c>
      <c r="O466" s="3">
        <f t="shared" si="57"/>
        <v>1272867</v>
      </c>
      <c r="Q466" s="8">
        <v>2413880</v>
      </c>
      <c r="S466" s="8">
        <v>3686747</v>
      </c>
      <c r="U466" s="8">
        <f>52231+509584+1312958</f>
        <v>1874773</v>
      </c>
      <c r="W466" s="8">
        <v>0</v>
      </c>
      <c r="Y466" s="8">
        <v>-1349530</v>
      </c>
      <c r="AA466" s="14">
        <f t="shared" si="53"/>
        <v>525243</v>
      </c>
      <c r="AB466" s="8"/>
      <c r="AC466" s="8">
        <f t="shared" si="50"/>
        <v>0</v>
      </c>
    </row>
    <row r="467" spans="1:31">
      <c r="A467" s="12" t="s">
        <v>866</v>
      </c>
      <c r="B467" s="12"/>
      <c r="C467" s="12" t="s">
        <v>56</v>
      </c>
      <c r="D467" s="12"/>
      <c r="E467" s="32"/>
      <c r="G467" s="8">
        <v>225544</v>
      </c>
      <c r="I467" s="8">
        <v>180940</v>
      </c>
      <c r="K467" s="3">
        <f t="shared" si="56"/>
        <v>13343739</v>
      </c>
      <c r="M467" s="8">
        <v>13750223</v>
      </c>
      <c r="O467" s="3">
        <f t="shared" si="57"/>
        <v>3612756</v>
      </c>
      <c r="Q467" s="8">
        <v>9828976</v>
      </c>
      <c r="S467" s="8">
        <v>13441732</v>
      </c>
      <c r="U467" s="8">
        <f>19269+872012+180940</f>
        <v>1072221</v>
      </c>
      <c r="W467" s="8">
        <v>0</v>
      </c>
      <c r="Y467" s="8">
        <v>-763730</v>
      </c>
      <c r="AA467" s="14">
        <f t="shared" si="53"/>
        <v>308491</v>
      </c>
      <c r="AB467" s="8"/>
      <c r="AC467" s="8">
        <f t="shared" si="50"/>
        <v>0</v>
      </c>
    </row>
    <row r="468" spans="1:31">
      <c r="A468" s="12" t="s">
        <v>406</v>
      </c>
      <c r="B468" s="12"/>
      <c r="C468" s="12" t="s">
        <v>32</v>
      </c>
      <c r="D468" s="12"/>
      <c r="E468" s="32">
        <v>44693</v>
      </c>
      <c r="G468" s="8">
        <v>915279</v>
      </c>
      <c r="I468" s="8">
        <v>0</v>
      </c>
      <c r="K468" s="3">
        <f t="shared" si="56"/>
        <v>7618110</v>
      </c>
      <c r="M468" s="8">
        <v>8533389</v>
      </c>
      <c r="O468" s="3">
        <f t="shared" si="57"/>
        <v>1456326</v>
      </c>
      <c r="Q468" s="8">
        <v>5006282</v>
      </c>
      <c r="S468" s="8">
        <v>6462608</v>
      </c>
      <c r="U468" s="8">
        <f>163655+2501630+102663</f>
        <v>2767948</v>
      </c>
      <c r="W468" s="8">
        <v>0</v>
      </c>
      <c r="Y468" s="8">
        <v>-697167</v>
      </c>
      <c r="AA468" s="14">
        <f t="shared" si="53"/>
        <v>2070781</v>
      </c>
      <c r="AB468" s="8"/>
      <c r="AC468" s="8">
        <f t="shared" si="50"/>
        <v>0</v>
      </c>
    </row>
    <row r="469" spans="1:31">
      <c r="A469" s="12" t="s">
        <v>670</v>
      </c>
      <c r="B469" s="12"/>
      <c r="C469" s="12" t="s">
        <v>63</v>
      </c>
      <c r="D469" s="12"/>
      <c r="E469" s="32">
        <v>50054</v>
      </c>
      <c r="G469" s="8">
        <v>14820858</v>
      </c>
      <c r="I469" s="8">
        <v>0</v>
      </c>
      <c r="K469" s="3">
        <f t="shared" si="56"/>
        <v>23216679</v>
      </c>
      <c r="M469" s="8">
        <v>38037537</v>
      </c>
      <c r="O469" s="3">
        <f t="shared" si="57"/>
        <v>3840819</v>
      </c>
      <c r="Q469" s="8">
        <v>20446387</v>
      </c>
      <c r="S469" s="8">
        <v>24287206</v>
      </c>
      <c r="U469" s="8">
        <f>1026173+2515281</f>
        <v>3541454</v>
      </c>
      <c r="W469" s="8">
        <v>0</v>
      </c>
      <c r="Y469" s="8">
        <v>10208877</v>
      </c>
      <c r="AA469" s="14">
        <f t="shared" si="53"/>
        <v>13750331</v>
      </c>
      <c r="AB469" s="8"/>
      <c r="AC469" s="8">
        <f t="shared" si="50"/>
        <v>0</v>
      </c>
    </row>
    <row r="470" spans="1:31">
      <c r="A470" s="12" t="s">
        <v>362</v>
      </c>
      <c r="B470" s="12"/>
      <c r="C470" s="12" t="s">
        <v>27</v>
      </c>
      <c r="D470" s="12"/>
      <c r="E470" s="32">
        <v>47001</v>
      </c>
      <c r="G470" s="8">
        <v>1008089</v>
      </c>
      <c r="I470" s="8">
        <v>172006</v>
      </c>
      <c r="K470" s="3">
        <f t="shared" si="56"/>
        <v>21102120</v>
      </c>
      <c r="M470" s="8">
        <v>22282215</v>
      </c>
      <c r="O470" s="3">
        <f t="shared" si="57"/>
        <v>8167519</v>
      </c>
      <c r="Q470" s="8">
        <f>1028032+12144258</f>
        <v>13172290</v>
      </c>
      <c r="S470" s="8">
        <v>21339809</v>
      </c>
      <c r="U470" s="8">
        <f>243165+170905+158999+5370941+172006</f>
        <v>6116016</v>
      </c>
      <c r="W470" s="8">
        <v>0</v>
      </c>
      <c r="Y470" s="8">
        <v>-5173610</v>
      </c>
      <c r="AA470" s="14">
        <f t="shared" si="53"/>
        <v>942406</v>
      </c>
      <c r="AB470" s="8"/>
      <c r="AC470" s="8">
        <f t="shared" si="50"/>
        <v>0</v>
      </c>
    </row>
    <row r="471" spans="1:31">
      <c r="A471" s="12" t="s">
        <v>318</v>
      </c>
      <c r="B471" s="12"/>
      <c r="C471" s="12" t="s">
        <v>20</v>
      </c>
      <c r="D471" s="12"/>
      <c r="E471" s="32">
        <v>46599</v>
      </c>
      <c r="G471" s="8">
        <v>304374</v>
      </c>
      <c r="I471" s="8">
        <v>294533</v>
      </c>
      <c r="K471" s="3">
        <f t="shared" si="56"/>
        <v>9786464</v>
      </c>
      <c r="M471" s="8">
        <v>10385371</v>
      </c>
      <c r="O471" s="3">
        <f t="shared" si="57"/>
        <v>1294266</v>
      </c>
      <c r="Q471" s="8">
        <v>8555397</v>
      </c>
      <c r="S471" s="8">
        <v>9849663</v>
      </c>
      <c r="U471" s="8">
        <f>185156+955147+24750+269783</f>
        <v>1434836</v>
      </c>
      <c r="W471" s="8">
        <v>0</v>
      </c>
      <c r="Y471" s="8">
        <v>-899128</v>
      </c>
      <c r="AA471" s="14">
        <f t="shared" si="53"/>
        <v>535708</v>
      </c>
      <c r="AB471" s="8"/>
      <c r="AC471" s="8">
        <f t="shared" si="50"/>
        <v>0</v>
      </c>
    </row>
    <row r="472" spans="1:31">
      <c r="A472" s="12" t="s">
        <v>523</v>
      </c>
      <c r="B472" s="12"/>
      <c r="C472" s="12" t="s">
        <v>46</v>
      </c>
      <c r="D472" s="12"/>
      <c r="E472" s="32">
        <v>48439</v>
      </c>
      <c r="G472" s="8">
        <v>2016098</v>
      </c>
      <c r="I472" s="8">
        <v>292808</v>
      </c>
      <c r="K472" s="3">
        <f t="shared" si="56"/>
        <v>2281409</v>
      </c>
      <c r="M472" s="8">
        <v>4590315</v>
      </c>
      <c r="O472" s="3">
        <f t="shared" si="57"/>
        <v>956479</v>
      </c>
      <c r="Q472" s="8">
        <v>1019934</v>
      </c>
      <c r="S472" s="8">
        <v>1976413</v>
      </c>
      <c r="U472" s="8">
        <f>19061+1087198+292808</f>
        <v>1399067</v>
      </c>
      <c r="W472" s="8">
        <v>0</v>
      </c>
      <c r="Y472" s="8">
        <v>1214835</v>
      </c>
      <c r="AA472" s="14">
        <f t="shared" si="53"/>
        <v>2613902</v>
      </c>
      <c r="AB472" s="8"/>
      <c r="AC472" s="8">
        <f t="shared" si="50"/>
        <v>0</v>
      </c>
    </row>
    <row r="473" spans="1:31">
      <c r="A473" s="13" t="s">
        <v>424</v>
      </c>
      <c r="B473" s="12"/>
      <c r="C473" s="12" t="s">
        <v>421</v>
      </c>
      <c r="D473" s="12"/>
      <c r="E473" s="32">
        <v>47506</v>
      </c>
      <c r="G473" s="8">
        <v>1020472</v>
      </c>
      <c r="I473" s="8">
        <v>0</v>
      </c>
      <c r="K473" s="3">
        <f t="shared" si="56"/>
        <v>1260107</v>
      </c>
      <c r="M473" s="8">
        <v>2280579</v>
      </c>
      <c r="O473" s="3">
        <f t="shared" si="57"/>
        <v>457730</v>
      </c>
      <c r="Q473" s="8">
        <v>943778</v>
      </c>
      <c r="S473" s="8">
        <v>1401508</v>
      </c>
      <c r="U473" s="8">
        <f>43285+75025</f>
        <v>118310</v>
      </c>
      <c r="W473" s="8">
        <v>0</v>
      </c>
      <c r="Y473" s="8">
        <v>760761</v>
      </c>
      <c r="AA473" s="14">
        <f t="shared" si="53"/>
        <v>879071</v>
      </c>
      <c r="AB473" s="8"/>
      <c r="AC473" s="8">
        <f t="shared" si="50"/>
        <v>0</v>
      </c>
      <c r="AE473" s="15" t="s">
        <v>905</v>
      </c>
    </row>
    <row r="474" spans="1:31">
      <c r="A474" s="12" t="s">
        <v>288</v>
      </c>
      <c r="B474" s="12"/>
      <c r="C474" s="12" t="s">
        <v>19</v>
      </c>
      <c r="D474" s="12"/>
      <c r="E474" s="32">
        <v>46474</v>
      </c>
      <c r="G474" s="8">
        <v>3906046</v>
      </c>
      <c r="I474" s="8">
        <v>42320</v>
      </c>
      <c r="K474" s="3">
        <f t="shared" si="56"/>
        <v>2365755</v>
      </c>
      <c r="M474" s="8">
        <v>6314121</v>
      </c>
      <c r="O474" s="3">
        <f t="shared" si="57"/>
        <v>1137147</v>
      </c>
      <c r="Q474" s="8">
        <f>133661+2144606</f>
        <v>2278267</v>
      </c>
      <c r="S474" s="8">
        <v>3415414</v>
      </c>
      <c r="U474" s="8">
        <f>47846+17232+65394+42320</f>
        <v>172792</v>
      </c>
      <c r="W474" s="8">
        <v>54777</v>
      </c>
      <c r="Y474" s="8">
        <v>2671138</v>
      </c>
      <c r="AA474" s="14">
        <f t="shared" si="53"/>
        <v>2898707</v>
      </c>
      <c r="AB474" s="8"/>
      <c r="AC474" s="8">
        <f t="shared" si="50"/>
        <v>0</v>
      </c>
      <c r="AE474" s="8" t="s">
        <v>1014</v>
      </c>
    </row>
    <row r="475" spans="1:31">
      <c r="A475" s="12" t="s">
        <v>867</v>
      </c>
      <c r="B475" s="12"/>
      <c r="C475" s="12" t="s">
        <v>77</v>
      </c>
      <c r="D475" s="12"/>
      <c r="E475" s="32">
        <v>46078</v>
      </c>
      <c r="G475" s="8">
        <v>757250</v>
      </c>
      <c r="I475" s="8">
        <v>25894</v>
      </c>
      <c r="K475" s="3">
        <f t="shared" si="56"/>
        <v>2068894</v>
      </c>
      <c r="M475" s="8">
        <v>2852038</v>
      </c>
      <c r="O475" s="3">
        <f t="shared" si="57"/>
        <v>904612</v>
      </c>
      <c r="Q475" s="8">
        <v>1544392</v>
      </c>
      <c r="S475" s="8">
        <v>2449004</v>
      </c>
      <c r="U475" s="8">
        <f>1831467+335275+25894</f>
        <v>2192636</v>
      </c>
      <c r="W475" s="8">
        <v>0</v>
      </c>
      <c r="Y475" s="8">
        <v>-1789602</v>
      </c>
      <c r="AA475" s="14">
        <f t="shared" si="53"/>
        <v>403034</v>
      </c>
      <c r="AB475" s="8"/>
      <c r="AC475" s="8">
        <f t="shared" si="50"/>
        <v>0</v>
      </c>
    </row>
    <row r="476" spans="1:31">
      <c r="A476" s="12" t="s">
        <v>724</v>
      </c>
      <c r="B476" s="12"/>
      <c r="C476" s="12" t="s">
        <v>71</v>
      </c>
      <c r="D476" s="12"/>
      <c r="E476" s="32">
        <v>45591</v>
      </c>
      <c r="G476" s="8">
        <v>3407324</v>
      </c>
      <c r="I476" s="8">
        <v>96299</v>
      </c>
      <c r="K476" s="3">
        <f t="shared" si="56"/>
        <v>2982218</v>
      </c>
      <c r="M476" s="8">
        <v>6485841</v>
      </c>
      <c r="O476" s="3">
        <f t="shared" si="57"/>
        <v>1097846</v>
      </c>
      <c r="Q476" s="8">
        <v>2659355</v>
      </c>
      <c r="S476" s="8">
        <v>3757201</v>
      </c>
      <c r="U476" s="8">
        <f>96387+322287+96299</f>
        <v>514973</v>
      </c>
      <c r="W476" s="8">
        <v>0</v>
      </c>
      <c r="Y476" s="8">
        <v>2213667</v>
      </c>
      <c r="AA476" s="14">
        <f t="shared" si="53"/>
        <v>2728640</v>
      </c>
      <c r="AB476" s="8"/>
      <c r="AC476" s="8">
        <f t="shared" si="50"/>
        <v>0</v>
      </c>
    </row>
    <row r="477" spans="1:31">
      <c r="A477" s="12" t="s">
        <v>524</v>
      </c>
      <c r="B477" s="12"/>
      <c r="C477" s="12" t="s">
        <v>46</v>
      </c>
      <c r="D477" s="12"/>
      <c r="E477" s="32">
        <v>48447</v>
      </c>
      <c r="G477" s="8">
        <v>2347980</v>
      </c>
      <c r="I477" s="8">
        <v>33907</v>
      </c>
      <c r="K477" s="3">
        <f t="shared" si="56"/>
        <v>9238197</v>
      </c>
      <c r="M477" s="8">
        <v>11620084</v>
      </c>
      <c r="O477" s="3">
        <f t="shared" si="57"/>
        <v>2217422</v>
      </c>
      <c r="Q477" s="8">
        <v>7081585</v>
      </c>
      <c r="S477" s="8">
        <v>9299007</v>
      </c>
      <c r="U477" s="8">
        <f>2013335+33907+350059</f>
        <v>2397301</v>
      </c>
      <c r="W477" s="8">
        <v>85600</v>
      </c>
      <c r="Y477" s="8">
        <v>-161824</v>
      </c>
      <c r="AA477" s="14">
        <f t="shared" si="53"/>
        <v>2321077</v>
      </c>
      <c r="AB477" s="8"/>
      <c r="AC477" s="8">
        <f t="shared" si="50"/>
        <v>0</v>
      </c>
    </row>
    <row r="478" spans="1:31">
      <c r="A478" s="12" t="s">
        <v>289</v>
      </c>
      <c r="B478" s="12"/>
      <c r="C478" s="12" t="s">
        <v>19</v>
      </c>
      <c r="D478" s="12"/>
      <c r="E478" s="32">
        <v>46482</v>
      </c>
      <c r="G478" s="8">
        <v>4280587</v>
      </c>
      <c r="I478" s="8">
        <v>0</v>
      </c>
      <c r="K478" s="3">
        <f t="shared" si="56"/>
        <v>7927066</v>
      </c>
      <c r="M478" s="8">
        <v>12207653</v>
      </c>
      <c r="O478" s="3">
        <f t="shared" si="57"/>
        <v>2034526</v>
      </c>
      <c r="Q478" s="8">
        <v>7179811</v>
      </c>
      <c r="S478" s="8">
        <v>9214337</v>
      </c>
      <c r="U478" s="8">
        <f>302532+83076</f>
        <v>385608</v>
      </c>
      <c r="W478" s="8">
        <v>80351</v>
      </c>
      <c r="Y478" s="8">
        <v>2527357</v>
      </c>
      <c r="AA478" s="14">
        <f t="shared" si="53"/>
        <v>2993316</v>
      </c>
      <c r="AB478" s="8"/>
      <c r="AC478" s="8">
        <f t="shared" si="50"/>
        <v>0</v>
      </c>
    </row>
    <row r="479" spans="1:31">
      <c r="A479" s="12" t="s">
        <v>425</v>
      </c>
      <c r="B479" s="12"/>
      <c r="C479" s="12" t="s">
        <v>421</v>
      </c>
      <c r="D479" s="12"/>
      <c r="E479" s="32">
        <v>47514</v>
      </c>
      <c r="G479" s="8">
        <v>479772</v>
      </c>
      <c r="I479" s="8">
        <v>0</v>
      </c>
      <c r="K479" s="3">
        <f t="shared" si="56"/>
        <v>2794314</v>
      </c>
      <c r="M479" s="8">
        <v>3274086</v>
      </c>
      <c r="O479" s="3">
        <f t="shared" si="57"/>
        <v>1201038</v>
      </c>
      <c r="Q479" s="8">
        <v>2204874</v>
      </c>
      <c r="S479" s="8">
        <v>3405912</v>
      </c>
      <c r="U479" s="8">
        <f>51746+129681+120481</f>
        <v>301908</v>
      </c>
      <c r="W479" s="8">
        <v>0</v>
      </c>
      <c r="Y479" s="8">
        <v>-433734</v>
      </c>
      <c r="AA479" s="14">
        <f t="shared" si="53"/>
        <v>-131826</v>
      </c>
      <c r="AB479" s="8"/>
      <c r="AC479" s="8">
        <f t="shared" si="50"/>
        <v>0</v>
      </c>
    </row>
    <row r="480" spans="1:31">
      <c r="A480" s="12" t="s">
        <v>482</v>
      </c>
      <c r="B480" s="12"/>
      <c r="C480" s="12" t="s">
        <v>41</v>
      </c>
      <c r="D480" s="12"/>
      <c r="E480" s="32"/>
      <c r="G480" s="8">
        <v>6537288</v>
      </c>
      <c r="I480" s="8">
        <v>585565</v>
      </c>
      <c r="K480" s="3">
        <f t="shared" si="56"/>
        <v>27794228</v>
      </c>
      <c r="M480" s="8">
        <v>34917081</v>
      </c>
      <c r="O480" s="3">
        <f t="shared" si="57"/>
        <v>4934387</v>
      </c>
      <c r="Q480" s="8">
        <v>26018428</v>
      </c>
      <c r="S480" s="8">
        <v>30952815</v>
      </c>
      <c r="U480" s="8">
        <f>1132049+187758+585565+1571844</f>
        <v>3477216</v>
      </c>
      <c r="W480" s="8">
        <v>0</v>
      </c>
      <c r="Y480" s="8">
        <v>487050</v>
      </c>
      <c r="AA480" s="14">
        <f t="shared" si="53"/>
        <v>3964266</v>
      </c>
      <c r="AB480" s="8"/>
      <c r="AC480" s="8">
        <f t="shared" si="50"/>
        <v>0</v>
      </c>
    </row>
    <row r="481" spans="1:31">
      <c r="A481" s="12" t="s">
        <v>482</v>
      </c>
      <c r="B481" s="12"/>
      <c r="C481" s="12" t="s">
        <v>43</v>
      </c>
      <c r="D481" s="12"/>
      <c r="E481" s="32">
        <v>48090</v>
      </c>
      <c r="G481" s="8">
        <v>181018</v>
      </c>
      <c r="I481" s="8">
        <v>17111</v>
      </c>
      <c r="K481" s="3">
        <f t="shared" si="56"/>
        <v>1370149</v>
      </c>
      <c r="M481" s="8">
        <v>1568278</v>
      </c>
      <c r="O481" s="3">
        <f t="shared" si="57"/>
        <v>907818</v>
      </c>
      <c r="Q481" s="8">
        <f>119958+988795</f>
        <v>1108753</v>
      </c>
      <c r="S481" s="8">
        <v>2016571</v>
      </c>
      <c r="U481" s="8">
        <f>107403+67857+17111</f>
        <v>192371</v>
      </c>
      <c r="W481" s="8">
        <v>0</v>
      </c>
      <c r="Y481" s="8">
        <v>-640664</v>
      </c>
      <c r="AA481" s="14">
        <f t="shared" si="53"/>
        <v>-448293</v>
      </c>
      <c r="AB481" s="8"/>
      <c r="AC481" s="8">
        <f t="shared" si="50"/>
        <v>0</v>
      </c>
    </row>
    <row r="482" spans="1:31">
      <c r="A482" s="12" t="s">
        <v>470</v>
      </c>
      <c r="B482" s="12"/>
      <c r="C482" s="12" t="s">
        <v>466</v>
      </c>
      <c r="D482" s="12"/>
      <c r="E482" s="32">
        <v>47944</v>
      </c>
      <c r="G482" s="8">
        <v>3176460</v>
      </c>
      <c r="I482" s="8">
        <v>439538</v>
      </c>
      <c r="K482" s="3">
        <f t="shared" si="56"/>
        <v>1861664</v>
      </c>
      <c r="M482" s="8">
        <v>5477662</v>
      </c>
      <c r="O482" s="3">
        <f t="shared" si="57"/>
        <v>1900570</v>
      </c>
      <c r="Q482" s="8">
        <v>1482900</v>
      </c>
      <c r="S482" s="8">
        <v>3383470</v>
      </c>
      <c r="U482" s="8">
        <f>428000+124918+314620+260574</f>
        <v>1128112</v>
      </c>
      <c r="W482" s="8">
        <v>0</v>
      </c>
      <c r="Y482" s="8">
        <v>966080</v>
      </c>
      <c r="AA482" s="14">
        <f t="shared" si="53"/>
        <v>2094192</v>
      </c>
      <c r="AB482" s="8"/>
      <c r="AC482" s="8">
        <f t="shared" si="50"/>
        <v>0</v>
      </c>
      <c r="AE482" s="8" t="s">
        <v>956</v>
      </c>
    </row>
    <row r="483" spans="1:31">
      <c r="A483" s="13" t="s">
        <v>1059</v>
      </c>
      <c r="B483" s="12"/>
      <c r="C483" s="12" t="s">
        <v>20</v>
      </c>
      <c r="D483" s="12"/>
      <c r="E483" s="32">
        <v>44701</v>
      </c>
      <c r="G483" s="8">
        <v>643791</v>
      </c>
      <c r="I483" s="8">
        <v>0</v>
      </c>
      <c r="K483" s="3">
        <f t="shared" si="56"/>
        <v>26351233</v>
      </c>
      <c r="M483" s="8">
        <v>26995024</v>
      </c>
      <c r="O483" s="3">
        <f t="shared" si="57"/>
        <v>4862895</v>
      </c>
      <c r="Q483" s="8">
        <f>1167474+21245945</f>
        <v>22413419</v>
      </c>
      <c r="S483" s="8">
        <v>27276314</v>
      </c>
      <c r="U483" s="8">
        <f>267389+3817641+12065</f>
        <v>4097095</v>
      </c>
      <c r="W483" s="8">
        <v>0</v>
      </c>
      <c r="Y483" s="8">
        <v>-4378385</v>
      </c>
      <c r="AA483" s="14">
        <f t="shared" si="53"/>
        <v>-281290</v>
      </c>
      <c r="AB483" s="8"/>
      <c r="AC483" s="8">
        <f t="shared" si="50"/>
        <v>0</v>
      </c>
      <c r="AE483" s="8" t="s">
        <v>905</v>
      </c>
    </row>
    <row r="484" spans="1:31">
      <c r="A484" s="12" t="s">
        <v>391</v>
      </c>
      <c r="B484" s="12"/>
      <c r="C484" s="12" t="s">
        <v>31</v>
      </c>
      <c r="D484" s="12"/>
      <c r="E484" s="32">
        <v>47308</v>
      </c>
      <c r="G484" s="8">
        <v>730445</v>
      </c>
      <c r="I484" s="8">
        <v>727720</v>
      </c>
      <c r="K484" s="3">
        <f t="shared" si="56"/>
        <v>5826677</v>
      </c>
      <c r="M484" s="8">
        <v>7284842</v>
      </c>
      <c r="O484" s="3">
        <f t="shared" si="57"/>
        <v>1808256</v>
      </c>
      <c r="Q484" s="8">
        <v>4296974</v>
      </c>
      <c r="S484" s="8">
        <v>6105230</v>
      </c>
      <c r="U484" s="8">
        <f>245027+534993+153187+1314679+37456+2084</f>
        <v>2287426</v>
      </c>
      <c r="W484" s="8">
        <v>0</v>
      </c>
      <c r="Y484" s="8">
        <v>-1107814</v>
      </c>
      <c r="AA484" s="14">
        <f t="shared" si="53"/>
        <v>1179612</v>
      </c>
      <c r="AB484" s="8"/>
      <c r="AC484" s="8">
        <f t="shared" si="50"/>
        <v>0</v>
      </c>
    </row>
    <row r="485" spans="1:31">
      <c r="A485" s="12" t="s">
        <v>593</v>
      </c>
      <c r="B485" s="12"/>
      <c r="C485" s="12" t="s">
        <v>56</v>
      </c>
      <c r="D485" s="12"/>
      <c r="E485" s="32">
        <v>49213</v>
      </c>
      <c r="G485" s="8">
        <v>380830</v>
      </c>
      <c r="I485" s="8">
        <v>76216</v>
      </c>
      <c r="K485" s="3">
        <f t="shared" si="56"/>
        <v>4936831</v>
      </c>
      <c r="M485" s="8">
        <v>5393877</v>
      </c>
      <c r="O485" s="3">
        <f t="shared" si="57"/>
        <v>1714246</v>
      </c>
      <c r="Q485" s="8">
        <v>4558877</v>
      </c>
      <c r="S485" s="8">
        <v>6273123</v>
      </c>
      <c r="U485" s="8">
        <f>33222+373116+11401+64815</f>
        <v>482554</v>
      </c>
      <c r="W485" s="8">
        <v>0</v>
      </c>
      <c r="Y485" s="8">
        <v>-1361800</v>
      </c>
      <c r="AA485" s="14">
        <f t="shared" si="53"/>
        <v>-879246</v>
      </c>
      <c r="AB485" s="8"/>
      <c r="AC485" s="8">
        <f t="shared" si="50"/>
        <v>0</v>
      </c>
    </row>
    <row r="486" spans="1:31">
      <c r="A486" s="12" t="s">
        <v>1060</v>
      </c>
      <c r="B486" s="12"/>
      <c r="C486" s="12" t="s">
        <v>242</v>
      </c>
      <c r="D486" s="12"/>
      <c r="E486" s="32">
        <v>46144</v>
      </c>
      <c r="G486" s="8">
        <v>3823742</v>
      </c>
      <c r="I486" s="8">
        <v>392800</v>
      </c>
      <c r="K486" s="3">
        <f t="shared" si="56"/>
        <v>11100301</v>
      </c>
      <c r="M486" s="8">
        <v>15316843</v>
      </c>
      <c r="O486" s="3">
        <f t="shared" si="57"/>
        <v>2560362</v>
      </c>
      <c r="Q486" s="8">
        <v>9670016</v>
      </c>
      <c r="S486" s="8">
        <v>12230378</v>
      </c>
      <c r="U486" s="8">
        <f>234477+392800+247180+772</f>
        <v>875229</v>
      </c>
      <c r="W486" s="8">
        <v>0</v>
      </c>
      <c r="Y486" s="8">
        <v>2211236</v>
      </c>
      <c r="AA486" s="14">
        <f t="shared" si="53"/>
        <v>3086465</v>
      </c>
      <c r="AB486" s="8"/>
      <c r="AC486" s="8">
        <f t="shared" si="50"/>
        <v>0</v>
      </c>
      <c r="AE486" s="8" t="s">
        <v>905</v>
      </c>
    </row>
    <row r="487" spans="1:31">
      <c r="A487" s="12" t="s">
        <v>739</v>
      </c>
      <c r="B487" s="12"/>
      <c r="C487" s="12" t="s">
        <v>72</v>
      </c>
      <c r="D487" s="12"/>
      <c r="E487" s="32">
        <v>45609</v>
      </c>
      <c r="G487" s="8">
        <v>12263355</v>
      </c>
      <c r="I487" s="8">
        <v>945596</v>
      </c>
      <c r="K487" s="3">
        <f t="shared" si="56"/>
        <v>16258653</v>
      </c>
      <c r="M487" s="8">
        <v>29467604</v>
      </c>
      <c r="O487" s="3">
        <f t="shared" si="57"/>
        <v>3267246</v>
      </c>
      <c r="Q487" s="8">
        <v>14378102</v>
      </c>
      <c r="S487" s="8">
        <v>17645348</v>
      </c>
      <c r="U487" s="8">
        <f>1807610+922426+23170+263574</f>
        <v>3016780</v>
      </c>
      <c r="W487" s="8">
        <v>0</v>
      </c>
      <c r="Y487" s="8">
        <v>8805476</v>
      </c>
      <c r="AA487" s="14">
        <f t="shared" si="53"/>
        <v>11822256</v>
      </c>
      <c r="AB487" s="8"/>
      <c r="AC487" s="8">
        <f t="shared" si="50"/>
        <v>0</v>
      </c>
    </row>
    <row r="488" spans="1:31">
      <c r="A488" s="12" t="s">
        <v>646</v>
      </c>
      <c r="B488" s="12"/>
      <c r="C488" s="12" t="s">
        <v>61</v>
      </c>
      <c r="D488" s="12"/>
      <c r="E488" s="32">
        <v>49817</v>
      </c>
      <c r="G488" s="8">
        <v>1178580</v>
      </c>
      <c r="I488" s="8">
        <v>6942</v>
      </c>
      <c r="K488" s="3">
        <f t="shared" si="56"/>
        <v>976471</v>
      </c>
      <c r="M488" s="8">
        <v>2161993</v>
      </c>
      <c r="O488" s="3">
        <f t="shared" si="57"/>
        <v>417862</v>
      </c>
      <c r="Q488" s="8">
        <v>783320</v>
      </c>
      <c r="S488" s="8">
        <v>1201182</v>
      </c>
      <c r="U488" s="8">
        <f>39073+74072+6942</f>
        <v>120087</v>
      </c>
      <c r="W488" s="8">
        <v>0</v>
      </c>
      <c r="Y488" s="8">
        <v>840724</v>
      </c>
      <c r="AA488" s="14">
        <f t="shared" si="53"/>
        <v>960811</v>
      </c>
      <c r="AB488" s="8"/>
      <c r="AC488" s="8">
        <f t="shared" si="50"/>
        <v>0</v>
      </c>
    </row>
    <row r="489" spans="1:31">
      <c r="A489" s="12" t="s">
        <v>822</v>
      </c>
      <c r="B489" s="12"/>
      <c r="C489" s="12" t="s">
        <v>114</v>
      </c>
      <c r="D489" s="12"/>
      <c r="E489" s="32"/>
      <c r="G489" s="8">
        <v>2094305</v>
      </c>
      <c r="I489" s="8">
        <v>64171</v>
      </c>
      <c r="K489" s="3">
        <f>+M489-I489-G489</f>
        <v>8711667</v>
      </c>
      <c r="M489" s="8">
        <v>10870143</v>
      </c>
      <c r="O489" s="3">
        <f>+S489-Q489</f>
        <v>2382423</v>
      </c>
      <c r="Q489" s="8">
        <f>443104+8095067</f>
        <v>8538171</v>
      </c>
      <c r="S489" s="8">
        <v>10920594</v>
      </c>
      <c r="U489" s="8">
        <f>14964+11000+143333+11516+3033+64171</f>
        <v>248017</v>
      </c>
      <c r="W489" s="8">
        <v>0</v>
      </c>
      <c r="Y489" s="8">
        <v>-298468</v>
      </c>
      <c r="AA489" s="14">
        <f>+Y489+W489++U489</f>
        <v>-50451</v>
      </c>
      <c r="AB489" s="8"/>
      <c r="AC489" s="8">
        <f t="shared" si="50"/>
        <v>0</v>
      </c>
    </row>
    <row r="490" spans="1:31">
      <c r="A490" s="12" t="s">
        <v>341</v>
      </c>
      <c r="B490" s="12"/>
      <c r="C490" s="12" t="s">
        <v>24</v>
      </c>
      <c r="D490" s="12"/>
      <c r="E490" s="32">
        <v>44743</v>
      </c>
      <c r="G490" s="8">
        <v>5531576</v>
      </c>
      <c r="I490" s="8">
        <v>0</v>
      </c>
      <c r="K490" s="3">
        <f>+M490-I490-G490</f>
        <v>19124614</v>
      </c>
      <c r="M490" s="8">
        <v>24656190</v>
      </c>
      <c r="O490" s="3">
        <f>+S490-Q490</f>
        <v>5673354</v>
      </c>
      <c r="Q490" s="8">
        <f>1914621+14740177</f>
        <v>16654798</v>
      </c>
      <c r="S490" s="8">
        <v>22328152</v>
      </c>
      <c r="U490" s="8">
        <f>145093+263885+6625+2120678</f>
        <v>2536281</v>
      </c>
      <c r="W490" s="8">
        <v>0</v>
      </c>
      <c r="Y490" s="8">
        <v>-208243</v>
      </c>
      <c r="AA490" s="14">
        <f>+Y490+W490++U490</f>
        <v>2328038</v>
      </c>
      <c r="AB490" s="8"/>
      <c r="AC490" s="8">
        <f t="shared" si="50"/>
        <v>0</v>
      </c>
    </row>
    <row r="491" spans="1:31">
      <c r="A491" s="12" t="s">
        <v>660</v>
      </c>
      <c r="B491" s="12"/>
      <c r="C491" s="12" t="s">
        <v>62</v>
      </c>
      <c r="D491" s="12"/>
      <c r="E491" s="32">
        <v>49940</v>
      </c>
      <c r="G491" s="8">
        <v>2544176</v>
      </c>
      <c r="I491" s="8">
        <v>13692</v>
      </c>
      <c r="K491" s="3">
        <f>+M491-I491-G491</f>
        <v>3659693</v>
      </c>
      <c r="M491" s="8">
        <v>6217561</v>
      </c>
      <c r="O491" s="3">
        <f>+S491-Q491</f>
        <v>1704398</v>
      </c>
      <c r="Q491" s="8">
        <f>404604+2946914</f>
        <v>3351518</v>
      </c>
      <c r="S491" s="8">
        <v>5055916</v>
      </c>
      <c r="U491" s="8">
        <f>96933+276083+9527+13692</f>
        <v>396235</v>
      </c>
      <c r="W491" s="8">
        <v>0</v>
      </c>
      <c r="Y491" s="8">
        <v>765410</v>
      </c>
      <c r="AA491" s="14">
        <f>+Y491+W491++U491</f>
        <v>1161645</v>
      </c>
      <c r="AB491" s="8"/>
      <c r="AC491" s="8">
        <f t="shared" si="50"/>
        <v>0</v>
      </c>
    </row>
    <row r="492" spans="1:31">
      <c r="A492" s="12" t="s">
        <v>585</v>
      </c>
      <c r="B492" s="12"/>
      <c r="C492" s="12" t="s">
        <v>55</v>
      </c>
      <c r="D492" s="12"/>
      <c r="E492" s="32"/>
      <c r="G492" s="8">
        <v>6848930</v>
      </c>
      <c r="I492" s="8">
        <v>252717</v>
      </c>
      <c r="K492" s="3">
        <f>+M492-I492-G492</f>
        <v>2287385</v>
      </c>
      <c r="M492" s="8">
        <v>9389032</v>
      </c>
      <c r="O492" s="3">
        <f>+S492-Q492</f>
        <v>1574793</v>
      </c>
      <c r="Q492" s="8">
        <v>1981788</v>
      </c>
      <c r="S492" s="8">
        <v>3556581</v>
      </c>
      <c r="U492" s="8">
        <f>280847+175842+252717</f>
        <v>709406</v>
      </c>
      <c r="W492" s="8">
        <v>0</v>
      </c>
      <c r="Y492" s="8">
        <v>5123045</v>
      </c>
      <c r="AA492" s="14">
        <f>+Y492+W492++U492</f>
        <v>5832451</v>
      </c>
      <c r="AB492" s="8"/>
      <c r="AC492" s="8">
        <f t="shared" si="50"/>
        <v>0</v>
      </c>
    </row>
    <row r="493" spans="1:31">
      <c r="A493" s="12" t="s">
        <v>515</v>
      </c>
      <c r="B493" s="12"/>
      <c r="C493" s="12" t="s">
        <v>45</v>
      </c>
      <c r="D493" s="12"/>
      <c r="E493" s="32">
        <v>48355</v>
      </c>
      <c r="G493" s="8">
        <v>638921</v>
      </c>
      <c r="I493" s="8">
        <v>29468</v>
      </c>
      <c r="K493" s="3">
        <f>+M493-I493-G493</f>
        <v>1535005</v>
      </c>
      <c r="M493" s="8">
        <v>2203394</v>
      </c>
      <c r="O493" s="3">
        <f>+S493-Q493</f>
        <v>678236</v>
      </c>
      <c r="Q493" s="8">
        <v>1303824</v>
      </c>
      <c r="S493" s="8">
        <v>1982060</v>
      </c>
      <c r="U493" s="8">
        <f>33049+5461+24007</f>
        <v>62517</v>
      </c>
      <c r="W493" s="8">
        <v>0</v>
      </c>
      <c r="Y493" s="8">
        <v>158817</v>
      </c>
      <c r="AA493" s="14">
        <f>+Y493+W493++U493</f>
        <v>221334</v>
      </c>
      <c r="AB493" s="8"/>
      <c r="AC493" s="8">
        <f t="shared" si="50"/>
        <v>0</v>
      </c>
    </row>
    <row r="494" spans="1:31" s="35" customFormat="1">
      <c r="A494" s="34" t="s">
        <v>639</v>
      </c>
      <c r="B494" s="34"/>
      <c r="C494" s="34" t="s">
        <v>60</v>
      </c>
      <c r="D494" s="34"/>
      <c r="E494" s="34">
        <v>49684</v>
      </c>
      <c r="G494" s="8">
        <v>1198435</v>
      </c>
      <c r="H494" s="8"/>
      <c r="I494" s="8">
        <v>0</v>
      </c>
      <c r="J494" s="8"/>
      <c r="K494" s="3">
        <f t="shared" ref="K494:K515" si="58">+M494-I494-G494</f>
        <v>2238662</v>
      </c>
      <c r="L494" s="8"/>
      <c r="M494" s="8">
        <v>3437097</v>
      </c>
      <c r="N494" s="8"/>
      <c r="O494" s="3">
        <f t="shared" ref="O494:O515" si="59">+S494-Q494</f>
        <v>728272</v>
      </c>
      <c r="P494" s="8"/>
      <c r="Q494" s="8">
        <f>107606+1561692</f>
        <v>1669298</v>
      </c>
      <c r="R494" s="8"/>
      <c r="S494" s="8">
        <v>2397570</v>
      </c>
      <c r="T494" s="8"/>
      <c r="U494" s="8">
        <f>28779+40466+216926</f>
        <v>286171</v>
      </c>
      <c r="V494" s="8"/>
      <c r="W494" s="8">
        <v>0</v>
      </c>
      <c r="X494" s="8"/>
      <c r="Y494" s="8">
        <v>753356</v>
      </c>
      <c r="Z494" s="8"/>
      <c r="AA494" s="14">
        <f t="shared" ref="AA494:AA515" si="60">+Y494+W494++U494</f>
        <v>1039527</v>
      </c>
      <c r="AC494" s="35">
        <f t="shared" si="50"/>
        <v>0</v>
      </c>
    </row>
    <row r="495" spans="1:31">
      <c r="A495" s="12" t="s">
        <v>234</v>
      </c>
      <c r="B495" s="12"/>
      <c r="C495" s="12" t="s">
        <v>15</v>
      </c>
      <c r="D495" s="12"/>
      <c r="E495" s="32">
        <v>46003</v>
      </c>
      <c r="G495" s="8">
        <v>1691757</v>
      </c>
      <c r="I495" s="8">
        <v>2126</v>
      </c>
      <c r="K495" s="3">
        <f t="shared" si="58"/>
        <v>2317095</v>
      </c>
      <c r="M495" s="8">
        <v>4010978</v>
      </c>
      <c r="O495" s="3">
        <f t="shared" si="59"/>
        <v>823648</v>
      </c>
      <c r="Q495" s="8">
        <v>2195124</v>
      </c>
      <c r="S495" s="8">
        <v>3018772</v>
      </c>
      <c r="U495" s="8">
        <f>28531+86666+2126</f>
        <v>117323</v>
      </c>
      <c r="W495" s="8">
        <v>0</v>
      </c>
      <c r="Y495" s="8">
        <v>874883</v>
      </c>
      <c r="AA495" s="14">
        <f t="shared" si="60"/>
        <v>992206</v>
      </c>
      <c r="AB495" s="8"/>
      <c r="AC495" s="8">
        <f t="shared" ref="AC495:AC506" si="61">+G495+I495+K495-O495-Q495-Y495-W495-U495</f>
        <v>0</v>
      </c>
    </row>
    <row r="496" spans="1:31">
      <c r="A496" s="12" t="s">
        <v>1061</v>
      </c>
      <c r="B496" s="12"/>
      <c r="C496" s="12" t="s">
        <v>20</v>
      </c>
      <c r="D496" s="12"/>
      <c r="E496" s="32">
        <v>44750</v>
      </c>
      <c r="G496" s="8">
        <v>23516019</v>
      </c>
      <c r="I496" s="8">
        <v>353070</v>
      </c>
      <c r="K496" s="3">
        <f t="shared" si="58"/>
        <v>66029262</v>
      </c>
      <c r="M496" s="8">
        <v>89898351</v>
      </c>
      <c r="O496" s="3">
        <f t="shared" si="59"/>
        <v>12189765</v>
      </c>
      <c r="Q496" s="8">
        <v>57518739</v>
      </c>
      <c r="S496" s="8">
        <v>69708504</v>
      </c>
      <c r="U496" s="8">
        <f>3883957+8123904+353070</f>
        <v>12360931</v>
      </c>
      <c r="W496" s="8">
        <v>0</v>
      </c>
      <c r="Y496" s="8">
        <v>7828916</v>
      </c>
      <c r="AA496" s="14">
        <f t="shared" si="60"/>
        <v>20189847</v>
      </c>
      <c r="AB496" s="8"/>
      <c r="AC496" s="8">
        <f t="shared" si="61"/>
        <v>0</v>
      </c>
      <c r="AE496" s="15" t="s">
        <v>905</v>
      </c>
    </row>
    <row r="497" spans="1:31" hidden="1">
      <c r="A497" s="12" t="s">
        <v>1034</v>
      </c>
      <c r="B497" s="12"/>
      <c r="C497" s="12" t="s">
        <v>10</v>
      </c>
      <c r="D497" s="12"/>
      <c r="E497" s="32"/>
      <c r="G497" s="8">
        <v>16556893</v>
      </c>
      <c r="I497" s="8">
        <v>548043</v>
      </c>
      <c r="K497" s="3">
        <f t="shared" si="58"/>
        <v>0</v>
      </c>
      <c r="M497" s="8">
        <v>17104936</v>
      </c>
      <c r="O497" s="3"/>
      <c r="U497" s="8">
        <f>136333+490091+57952</f>
        <v>684376</v>
      </c>
      <c r="W497" s="15"/>
      <c r="Y497" s="8">
        <v>16420560</v>
      </c>
      <c r="AA497" s="14">
        <f t="shared" si="60"/>
        <v>17104936</v>
      </c>
      <c r="AB497" s="8"/>
      <c r="AC497" s="8">
        <f t="shared" si="61"/>
        <v>0</v>
      </c>
      <c r="AE497" s="15"/>
    </row>
    <row r="498" spans="1:31">
      <c r="A498" s="12" t="s">
        <v>494</v>
      </c>
      <c r="B498" s="12"/>
      <c r="C498" s="12" t="s">
        <v>44</v>
      </c>
      <c r="D498" s="12"/>
      <c r="E498" s="32">
        <v>44768</v>
      </c>
      <c r="G498" s="8">
        <v>10014531</v>
      </c>
      <c r="I498" s="8">
        <v>0</v>
      </c>
      <c r="K498" s="3">
        <f t="shared" si="58"/>
        <v>12024195</v>
      </c>
      <c r="M498" s="8">
        <v>22038726</v>
      </c>
      <c r="O498" s="3">
        <f t="shared" si="59"/>
        <v>2242536</v>
      </c>
      <c r="Q498" s="8">
        <v>11143362</v>
      </c>
      <c r="S498" s="8">
        <v>13385898</v>
      </c>
      <c r="U498" s="8">
        <f>60581+634752+282639</f>
        <v>977972</v>
      </c>
      <c r="W498" s="8">
        <v>0</v>
      </c>
      <c r="Y498" s="8">
        <v>7674856</v>
      </c>
      <c r="AA498" s="14">
        <f t="shared" si="60"/>
        <v>8652828</v>
      </c>
      <c r="AB498" s="8"/>
      <c r="AC498" s="8">
        <f t="shared" si="61"/>
        <v>0</v>
      </c>
    </row>
    <row r="499" spans="1:31">
      <c r="A499" s="12" t="s">
        <v>615</v>
      </c>
      <c r="B499" s="12"/>
      <c r="C499" s="12" t="s">
        <v>112</v>
      </c>
      <c r="D499" s="12"/>
      <c r="E499" s="32">
        <v>44776</v>
      </c>
      <c r="G499" s="8">
        <v>3890357</v>
      </c>
      <c r="I499" s="8">
        <v>46426</v>
      </c>
      <c r="K499" s="3">
        <f t="shared" si="58"/>
        <v>7427354</v>
      </c>
      <c r="M499" s="8">
        <v>11364137</v>
      </c>
      <c r="O499" s="3">
        <f t="shared" si="59"/>
        <v>2456761</v>
      </c>
      <c r="Q499" s="8">
        <f>1083665+3835314</f>
        <v>4918979</v>
      </c>
      <c r="S499" s="8">
        <v>7375740</v>
      </c>
      <c r="U499" s="8">
        <f>67603+67881+939686+89387+46426</f>
        <v>1210983</v>
      </c>
      <c r="W499" s="8">
        <v>0</v>
      </c>
      <c r="Y499" s="8">
        <v>2777414</v>
      </c>
      <c r="AA499" s="14">
        <f t="shared" si="60"/>
        <v>3988397</v>
      </c>
      <c r="AB499" s="8"/>
      <c r="AC499" s="8">
        <f t="shared" si="61"/>
        <v>0</v>
      </c>
    </row>
    <row r="500" spans="1:31">
      <c r="A500" s="12" t="s">
        <v>647</v>
      </c>
      <c r="B500" s="12"/>
      <c r="C500" s="12" t="s">
        <v>61</v>
      </c>
      <c r="D500" s="12"/>
      <c r="E500" s="32">
        <v>44784</v>
      </c>
      <c r="G500" s="8">
        <v>1835575</v>
      </c>
      <c r="I500" s="8">
        <v>26314</v>
      </c>
      <c r="K500" s="3">
        <f t="shared" si="58"/>
        <v>12151411</v>
      </c>
      <c r="M500" s="8">
        <v>14013300</v>
      </c>
      <c r="O500" s="3">
        <f t="shared" si="59"/>
        <v>4534942</v>
      </c>
      <c r="Q500" s="8">
        <v>11115453</v>
      </c>
      <c r="S500" s="8">
        <v>15650395</v>
      </c>
      <c r="U500" s="8">
        <f>801079+24516+1798+142360</f>
        <v>969753</v>
      </c>
      <c r="W500" s="8">
        <v>0</v>
      </c>
      <c r="Y500" s="8">
        <v>-2606848</v>
      </c>
      <c r="AA500" s="14">
        <f t="shared" si="60"/>
        <v>-1637095</v>
      </c>
      <c r="AB500" s="8"/>
      <c r="AC500" s="8">
        <f t="shared" si="61"/>
        <v>0</v>
      </c>
    </row>
    <row r="501" spans="1:31">
      <c r="A501" s="12" t="s">
        <v>321</v>
      </c>
      <c r="B501" s="12"/>
      <c r="C501" s="12" t="s">
        <v>20</v>
      </c>
      <c r="D501" s="12"/>
      <c r="E501" s="32">
        <v>46607</v>
      </c>
      <c r="G501" s="8">
        <v>10917779</v>
      </c>
      <c r="I501" s="8">
        <v>0</v>
      </c>
      <c r="K501" s="3">
        <f t="shared" si="58"/>
        <v>44419647</v>
      </c>
      <c r="M501" s="8">
        <v>55337426</v>
      </c>
      <c r="O501" s="3">
        <f t="shared" si="59"/>
        <v>8567323</v>
      </c>
      <c r="Q501" s="8">
        <f>2202472+35522227</f>
        <v>37724699</v>
      </c>
      <c r="S501" s="8">
        <v>46292022</v>
      </c>
      <c r="U501" s="8">
        <f>303724+64780+6435908+27674</f>
        <v>6832086</v>
      </c>
      <c r="W501" s="8">
        <v>0</v>
      </c>
      <c r="Y501" s="8">
        <v>2213318</v>
      </c>
      <c r="AA501" s="14">
        <f t="shared" si="60"/>
        <v>9045404</v>
      </c>
      <c r="AB501" s="8"/>
      <c r="AC501" s="8">
        <f t="shared" si="61"/>
        <v>0</v>
      </c>
    </row>
    <row r="502" spans="1:31">
      <c r="A502" s="12" t="s">
        <v>868</v>
      </c>
      <c r="B502" s="12"/>
      <c r="C502" s="12" t="s">
        <v>37</v>
      </c>
      <c r="D502" s="12"/>
      <c r="E502" s="32"/>
      <c r="G502" s="8">
        <v>2901250</v>
      </c>
      <c r="I502" s="8">
        <v>436678</v>
      </c>
      <c r="K502" s="3">
        <f t="shared" si="58"/>
        <v>1767878</v>
      </c>
      <c r="M502" s="8">
        <v>5105806</v>
      </c>
      <c r="O502" s="3">
        <f t="shared" si="59"/>
        <v>700965</v>
      </c>
      <c r="Q502" s="8">
        <f>95938+938072</f>
        <v>1034010</v>
      </c>
      <c r="S502" s="8">
        <v>1734975</v>
      </c>
      <c r="U502" s="8">
        <f>193976+25086+19088+163477+89547+168961+32743+234974</f>
        <v>927852</v>
      </c>
      <c r="W502" s="8">
        <v>484783</v>
      </c>
      <c r="Y502" s="8">
        <v>1958196</v>
      </c>
      <c r="AA502" s="14">
        <f t="shared" si="60"/>
        <v>3370831</v>
      </c>
      <c r="AB502" s="8"/>
      <c r="AC502" s="8">
        <f t="shared" si="61"/>
        <v>0</v>
      </c>
    </row>
    <row r="503" spans="1:31" s="35" customFormat="1">
      <c r="A503" s="34" t="s">
        <v>322</v>
      </c>
      <c r="B503" s="34"/>
      <c r="C503" s="34" t="s">
        <v>20</v>
      </c>
      <c r="D503" s="34"/>
      <c r="E503" s="32">
        <v>44792</v>
      </c>
      <c r="G503" s="8">
        <v>6565856</v>
      </c>
      <c r="H503" s="8"/>
      <c r="I503" s="8">
        <v>25828</v>
      </c>
      <c r="J503" s="8"/>
      <c r="K503" s="3">
        <f t="shared" si="58"/>
        <v>49592265</v>
      </c>
      <c r="L503" s="8"/>
      <c r="M503" s="8">
        <v>56183949</v>
      </c>
      <c r="N503" s="8"/>
      <c r="O503" s="3">
        <f t="shared" si="59"/>
        <v>5825013</v>
      </c>
      <c r="P503" s="8"/>
      <c r="Q503" s="8">
        <v>41639959</v>
      </c>
      <c r="R503" s="8"/>
      <c r="S503" s="8">
        <v>47464972</v>
      </c>
      <c r="T503" s="8"/>
      <c r="U503" s="8">
        <f>573885+6616332+25828</f>
        <v>7216045</v>
      </c>
      <c r="V503" s="8"/>
      <c r="W503" s="8">
        <v>0</v>
      </c>
      <c r="X503" s="8"/>
      <c r="Y503" s="8">
        <v>1502932</v>
      </c>
      <c r="Z503" s="8"/>
      <c r="AA503" s="14">
        <f t="shared" si="60"/>
        <v>8718977</v>
      </c>
      <c r="AB503" s="8"/>
      <c r="AC503" s="8">
        <f t="shared" si="61"/>
        <v>0</v>
      </c>
    </row>
    <row r="504" spans="1:31">
      <c r="A504" s="12" t="s">
        <v>471</v>
      </c>
      <c r="B504" s="12"/>
      <c r="C504" s="12" t="s">
        <v>466</v>
      </c>
      <c r="D504" s="12"/>
      <c r="E504" s="32">
        <v>47951</v>
      </c>
      <c r="G504" s="8">
        <v>4502783</v>
      </c>
      <c r="I504" s="8">
        <v>438274</v>
      </c>
      <c r="K504" s="3">
        <f t="shared" si="58"/>
        <v>3153717</v>
      </c>
      <c r="M504" s="8">
        <v>8094774</v>
      </c>
      <c r="O504" s="3">
        <f t="shared" si="59"/>
        <v>1728754</v>
      </c>
      <c r="Q504" s="8">
        <v>2655343</v>
      </c>
      <c r="S504" s="8">
        <v>4384097</v>
      </c>
      <c r="U504" s="8">
        <f>115837+471886+306929+67581+63764</f>
        <v>1025997</v>
      </c>
      <c r="W504" s="8">
        <v>0</v>
      </c>
      <c r="Y504" s="8">
        <v>2684680</v>
      </c>
      <c r="AA504" s="14">
        <f t="shared" si="60"/>
        <v>3710677</v>
      </c>
      <c r="AB504" s="8"/>
      <c r="AC504" s="8">
        <f t="shared" si="61"/>
        <v>0</v>
      </c>
    </row>
    <row r="505" spans="1:31">
      <c r="A505" s="12" t="s">
        <v>516</v>
      </c>
      <c r="B505" s="12"/>
      <c r="C505" s="12" t="s">
        <v>45</v>
      </c>
      <c r="D505" s="12"/>
      <c r="E505" s="32">
        <v>48363</v>
      </c>
      <c r="G505" s="8">
        <v>3059095</v>
      </c>
      <c r="I505" s="8">
        <v>107439</v>
      </c>
      <c r="K505" s="3">
        <f t="shared" si="58"/>
        <v>5472346</v>
      </c>
      <c r="M505" s="8">
        <v>8638880</v>
      </c>
      <c r="O505" s="3">
        <f t="shared" si="59"/>
        <v>1532496</v>
      </c>
      <c r="Q505" s="8">
        <f>371878+4774705</f>
        <v>5146583</v>
      </c>
      <c r="S505" s="8">
        <v>6679079</v>
      </c>
      <c r="U505" s="8">
        <f>98144+5127+33000+74439</f>
        <v>210710</v>
      </c>
      <c r="W505" s="8">
        <v>0</v>
      </c>
      <c r="Y505" s="8">
        <v>1749091</v>
      </c>
      <c r="AA505" s="14">
        <f t="shared" si="60"/>
        <v>1959801</v>
      </c>
      <c r="AB505" s="8"/>
      <c r="AC505" s="8">
        <f t="shared" si="61"/>
        <v>0</v>
      </c>
    </row>
    <row r="506" spans="1:31">
      <c r="A506" s="12" t="s">
        <v>594</v>
      </c>
      <c r="B506" s="12"/>
      <c r="C506" s="12" t="s">
        <v>56</v>
      </c>
      <c r="D506" s="12"/>
      <c r="E506" s="32">
        <v>49221</v>
      </c>
      <c r="G506" s="8">
        <v>4902289</v>
      </c>
      <c r="I506" s="8">
        <v>68784</v>
      </c>
      <c r="K506" s="3">
        <f t="shared" si="58"/>
        <v>6273531</v>
      </c>
      <c r="M506" s="8">
        <v>11244604</v>
      </c>
      <c r="O506" s="3">
        <f t="shared" si="59"/>
        <v>2153819</v>
      </c>
      <c r="Q506" s="8">
        <v>5731024</v>
      </c>
      <c r="S506" s="8">
        <v>7884843</v>
      </c>
      <c r="U506" s="8">
        <f>45091+526837+68784</f>
        <v>640712</v>
      </c>
      <c r="W506" s="8">
        <v>0</v>
      </c>
      <c r="Y506" s="8">
        <v>2719049</v>
      </c>
      <c r="AA506" s="14">
        <f t="shared" si="60"/>
        <v>3359761</v>
      </c>
      <c r="AB506" s="8"/>
      <c r="AC506" s="8">
        <f t="shared" si="61"/>
        <v>0</v>
      </c>
    </row>
    <row r="507" spans="1:31">
      <c r="A507" s="12" t="s">
        <v>594</v>
      </c>
      <c r="B507" s="12"/>
      <c r="C507" s="12" t="s">
        <v>71</v>
      </c>
      <c r="D507" s="12"/>
      <c r="E507" s="32">
        <v>50583</v>
      </c>
      <c r="G507" s="8">
        <v>1937497</v>
      </c>
      <c r="I507" s="8">
        <v>0</v>
      </c>
      <c r="K507" s="3">
        <f t="shared" si="58"/>
        <v>5987503</v>
      </c>
      <c r="M507" s="8">
        <v>7925000</v>
      </c>
      <c r="O507" s="3">
        <f t="shared" si="59"/>
        <v>1882538</v>
      </c>
      <c r="Q507" s="8">
        <v>5360502</v>
      </c>
      <c r="S507" s="8">
        <v>7243040</v>
      </c>
      <c r="U507" s="8">
        <f>8807+174286+433025</f>
        <v>616118</v>
      </c>
      <c r="W507" s="8">
        <v>0</v>
      </c>
      <c r="Y507" s="8">
        <v>65842</v>
      </c>
      <c r="AA507" s="14">
        <f t="shared" si="60"/>
        <v>681960</v>
      </c>
      <c r="AB507" s="8"/>
      <c r="AC507" s="8">
        <f t="shared" ref="AC507:AC514" si="62">+G507+I507+K507-O507-Q507-Y507-W507-U507</f>
        <v>0</v>
      </c>
    </row>
    <row r="508" spans="1:31">
      <c r="A508" s="12" t="s">
        <v>264</v>
      </c>
      <c r="B508" s="12"/>
      <c r="C508" s="12" t="s">
        <v>17</v>
      </c>
      <c r="D508" s="12"/>
      <c r="E508" s="32">
        <v>46276</v>
      </c>
      <c r="G508" s="8">
        <v>4733395</v>
      </c>
      <c r="I508" s="8">
        <v>149644</v>
      </c>
      <c r="K508" s="3">
        <f t="shared" si="58"/>
        <v>2453004</v>
      </c>
      <c r="M508" s="8">
        <v>7336043</v>
      </c>
      <c r="O508" s="3">
        <f t="shared" si="59"/>
        <v>756606</v>
      </c>
      <c r="Q508" s="8">
        <v>1631499</v>
      </c>
      <c r="S508" s="8">
        <v>2388105</v>
      </c>
      <c r="U508" s="8">
        <f>5016+374454+123971+6621+19052</f>
        <v>529114</v>
      </c>
      <c r="W508" s="8">
        <v>83786</v>
      </c>
      <c r="Y508" s="8">
        <v>4335038</v>
      </c>
      <c r="AA508" s="14">
        <f t="shared" si="60"/>
        <v>4947938</v>
      </c>
      <c r="AB508" s="8"/>
      <c r="AC508" s="8">
        <f t="shared" si="62"/>
        <v>0</v>
      </c>
    </row>
    <row r="509" spans="1:31">
      <c r="A509" s="12" t="s">
        <v>264</v>
      </c>
      <c r="B509" s="12"/>
      <c r="C509" s="12" t="s">
        <v>58</v>
      </c>
      <c r="D509" s="12"/>
      <c r="E509" s="32">
        <v>49528</v>
      </c>
      <c r="G509" s="8">
        <v>5168347</v>
      </c>
      <c r="I509" s="8">
        <v>0</v>
      </c>
      <c r="K509" s="3">
        <f t="shared" si="58"/>
        <v>1710912</v>
      </c>
      <c r="M509" s="8">
        <v>6879259</v>
      </c>
      <c r="O509" s="3">
        <f t="shared" si="59"/>
        <v>870489</v>
      </c>
      <c r="Q509" s="8">
        <v>1400727</v>
      </c>
      <c r="S509" s="8">
        <v>2271216</v>
      </c>
      <c r="U509" s="8">
        <f>337994+127296</f>
        <v>465290</v>
      </c>
      <c r="W509" s="8">
        <v>0</v>
      </c>
      <c r="Y509" s="8">
        <v>4142753</v>
      </c>
      <c r="AA509" s="14">
        <f t="shared" si="60"/>
        <v>4608043</v>
      </c>
      <c r="AB509" s="8"/>
      <c r="AC509" s="8">
        <f t="shared" si="62"/>
        <v>0</v>
      </c>
    </row>
    <row r="510" spans="1:31">
      <c r="A510" s="12" t="s">
        <v>284</v>
      </c>
      <c r="B510" s="12"/>
      <c r="C510" s="12" t="s">
        <v>114</v>
      </c>
      <c r="D510" s="12"/>
      <c r="E510" s="32">
        <v>46441</v>
      </c>
      <c r="G510" s="8">
        <v>676423</v>
      </c>
      <c r="I510" s="8">
        <v>24797</v>
      </c>
      <c r="K510" s="3">
        <f t="shared" si="58"/>
        <v>1874218</v>
      </c>
      <c r="M510" s="8">
        <v>2575438</v>
      </c>
      <c r="O510" s="3">
        <f t="shared" si="59"/>
        <v>797443</v>
      </c>
      <c r="Q510" s="8">
        <f>177456+1371314</f>
        <v>1548770</v>
      </c>
      <c r="S510" s="8">
        <v>2346213</v>
      </c>
      <c r="U510" s="8">
        <f>14805+572+73366+24797</f>
        <v>113540</v>
      </c>
      <c r="W510" s="8">
        <v>0</v>
      </c>
      <c r="Y510" s="8">
        <v>115685</v>
      </c>
      <c r="AA510" s="14">
        <f t="shared" si="60"/>
        <v>229225</v>
      </c>
      <c r="AB510" s="8"/>
      <c r="AC510" s="8">
        <f t="shared" si="62"/>
        <v>0</v>
      </c>
    </row>
    <row r="511" spans="1:31">
      <c r="A511" s="12" t="s">
        <v>284</v>
      </c>
      <c r="B511" s="12"/>
      <c r="C511" s="12" t="s">
        <v>531</v>
      </c>
      <c r="D511" s="12"/>
      <c r="E511" s="32">
        <v>46441</v>
      </c>
      <c r="G511" s="8">
        <v>1662309</v>
      </c>
      <c r="I511" s="8">
        <v>441</v>
      </c>
      <c r="K511" s="3">
        <f t="shared" si="58"/>
        <v>2036302</v>
      </c>
      <c r="M511" s="8">
        <v>3699052</v>
      </c>
      <c r="O511" s="3">
        <f t="shared" si="59"/>
        <v>517528</v>
      </c>
      <c r="Q511" s="8">
        <v>1874911</v>
      </c>
      <c r="S511" s="8">
        <v>2392439</v>
      </c>
      <c r="U511" s="8">
        <f>138+441+94041</f>
        <v>94620</v>
      </c>
      <c r="W511" s="8">
        <v>0</v>
      </c>
      <c r="Y511" s="8">
        <v>1211993</v>
      </c>
      <c r="AA511" s="14">
        <f t="shared" si="60"/>
        <v>1306613</v>
      </c>
      <c r="AB511" s="8"/>
      <c r="AC511" s="8">
        <f t="shared" si="62"/>
        <v>0</v>
      </c>
    </row>
    <row r="512" spans="1:31" hidden="1">
      <c r="A512" s="13" t="s">
        <v>1035</v>
      </c>
      <c r="B512" s="13"/>
      <c r="C512" s="13" t="s">
        <v>579</v>
      </c>
      <c r="D512" s="12"/>
      <c r="E512" s="32"/>
      <c r="G512" s="8">
        <v>30231</v>
      </c>
      <c r="I512" s="8">
        <v>394987</v>
      </c>
      <c r="K512" s="3">
        <f t="shared" si="58"/>
        <v>0</v>
      </c>
      <c r="M512" s="8">
        <v>425218</v>
      </c>
      <c r="O512" s="3"/>
      <c r="U512" s="8">
        <f>88810+146236+248751</f>
        <v>483797</v>
      </c>
      <c r="Y512" s="8">
        <v>-58579</v>
      </c>
      <c r="AA512" s="14">
        <f t="shared" si="60"/>
        <v>425218</v>
      </c>
      <c r="AB512" s="8"/>
      <c r="AC512" s="8">
        <f t="shared" si="62"/>
        <v>0</v>
      </c>
    </row>
    <row r="513" spans="1:31">
      <c r="A513" s="12" t="s">
        <v>691</v>
      </c>
      <c r="B513" s="12"/>
      <c r="C513" s="12" t="s">
        <v>64</v>
      </c>
      <c r="D513" s="12"/>
      <c r="E513" s="32">
        <v>50237</v>
      </c>
      <c r="G513" s="8">
        <v>902125</v>
      </c>
      <c r="I513" s="8">
        <v>248914</v>
      </c>
      <c r="K513" s="3">
        <f t="shared" si="58"/>
        <v>1697770</v>
      </c>
      <c r="M513" s="8">
        <v>2848809</v>
      </c>
      <c r="O513" s="3">
        <f t="shared" si="59"/>
        <v>486124</v>
      </c>
      <c r="Q513" s="8">
        <v>1690739</v>
      </c>
      <c r="S513" s="8">
        <v>2176863</v>
      </c>
      <c r="U513" s="8">
        <f>45226+213772+4092+19406+15736</f>
        <v>298232</v>
      </c>
      <c r="W513" s="8">
        <v>0</v>
      </c>
      <c r="Y513" s="8">
        <v>373714</v>
      </c>
      <c r="AA513" s="14">
        <f t="shared" si="60"/>
        <v>671946</v>
      </c>
      <c r="AB513" s="8"/>
      <c r="AC513" s="8">
        <f t="shared" si="62"/>
        <v>0</v>
      </c>
    </row>
    <row r="514" spans="1:31">
      <c r="A514" s="12" t="s">
        <v>481</v>
      </c>
      <c r="B514" s="12"/>
      <c r="C514" s="12" t="s">
        <v>42</v>
      </c>
      <c r="D514" s="12"/>
      <c r="E514" s="32">
        <v>48041</v>
      </c>
      <c r="G514" s="8">
        <v>5867027</v>
      </c>
      <c r="I514" s="8">
        <v>4180</v>
      </c>
      <c r="K514" s="3">
        <f t="shared" si="58"/>
        <v>16459320</v>
      </c>
      <c r="M514" s="8">
        <v>22330527</v>
      </c>
      <c r="O514" s="3">
        <f t="shared" si="59"/>
        <v>3641485</v>
      </c>
      <c r="Q514" s="8">
        <v>13387535</v>
      </c>
      <c r="S514" s="8">
        <v>17029020</v>
      </c>
      <c r="U514" s="8">
        <f>80088+36845+4180+25534+491510+62491</f>
        <v>700648</v>
      </c>
      <c r="W514" s="8">
        <v>203263</v>
      </c>
      <c r="Y514" s="8">
        <v>4397596</v>
      </c>
      <c r="AA514" s="14">
        <f t="shared" si="60"/>
        <v>5301507</v>
      </c>
      <c r="AB514" s="8"/>
      <c r="AC514" s="8">
        <f t="shared" si="62"/>
        <v>0</v>
      </c>
    </row>
    <row r="515" spans="1:31">
      <c r="A515" s="12" t="s">
        <v>407</v>
      </c>
      <c r="B515" s="12"/>
      <c r="C515" s="12" t="s">
        <v>32</v>
      </c>
      <c r="D515" s="12"/>
      <c r="E515" s="32">
        <v>47381</v>
      </c>
      <c r="G515" s="8">
        <v>246630</v>
      </c>
      <c r="I515" s="8">
        <v>0</v>
      </c>
      <c r="K515" s="3">
        <f t="shared" si="58"/>
        <v>12826947</v>
      </c>
      <c r="M515" s="8">
        <v>13073577</v>
      </c>
      <c r="O515" s="3">
        <f t="shared" si="59"/>
        <v>4794148</v>
      </c>
      <c r="Q515" s="8">
        <v>8981883</v>
      </c>
      <c r="S515" s="8">
        <v>13776031</v>
      </c>
      <c r="U515" s="8">
        <f>82500+2307000</f>
        <v>2389500</v>
      </c>
      <c r="W515" s="8">
        <v>0</v>
      </c>
      <c r="Y515" s="8">
        <v>-3091954</v>
      </c>
      <c r="AA515" s="14">
        <f t="shared" si="60"/>
        <v>-702454</v>
      </c>
      <c r="AB515" s="8"/>
      <c r="AC515" s="8">
        <f>+G515+I515+K515-O515-Q515-Y515-W515-U515</f>
        <v>0</v>
      </c>
    </row>
    <row r="516" spans="1:31" s="8" customFormat="1">
      <c r="A516" s="13" t="s">
        <v>363</v>
      </c>
      <c r="B516" s="13"/>
      <c r="C516" s="13" t="s">
        <v>27</v>
      </c>
      <c r="D516" s="13"/>
      <c r="E516" s="13">
        <v>44800</v>
      </c>
      <c r="G516" s="8">
        <v>19237206</v>
      </c>
      <c r="I516" s="8">
        <v>0</v>
      </c>
      <c r="K516" s="3">
        <f t="shared" ref="K516:K542" si="63">+M516-I516-G516</f>
        <v>87838405</v>
      </c>
      <c r="M516" s="8">
        <v>107075611</v>
      </c>
      <c r="O516" s="3">
        <f t="shared" ref="O516:O542" si="64">+S516-Q516</f>
        <v>20502858</v>
      </c>
      <c r="Q516" s="8">
        <v>53345300</v>
      </c>
      <c r="S516" s="8">
        <v>73848158</v>
      </c>
      <c r="U516" s="8">
        <f>1165472+33536967</f>
        <v>34702439</v>
      </c>
      <c r="W516" s="8">
        <v>0</v>
      </c>
      <c r="Y516" s="8">
        <v>-1474986</v>
      </c>
      <c r="AA516" s="14">
        <f t="shared" ref="AA516:AA542" si="65">+Y516+W516++U516</f>
        <v>33227453</v>
      </c>
      <c r="AC516" s="8">
        <f t="shared" ref="AC516:AC580" si="66">+G516+I516+K516-O516-Q516-Y516-W516-U516</f>
        <v>0</v>
      </c>
    </row>
    <row r="517" spans="1:31" hidden="1">
      <c r="A517" s="12" t="s">
        <v>1037</v>
      </c>
      <c r="B517" s="12"/>
      <c r="C517" s="12" t="s">
        <v>10</v>
      </c>
      <c r="D517" s="12"/>
      <c r="E517" s="32">
        <v>45807</v>
      </c>
      <c r="G517" s="8">
        <v>2064713</v>
      </c>
      <c r="I517" s="8">
        <v>299594</v>
      </c>
      <c r="K517" s="3">
        <f t="shared" si="63"/>
        <v>0</v>
      </c>
      <c r="M517" s="8">
        <v>2364307</v>
      </c>
      <c r="O517" s="3">
        <f t="shared" si="64"/>
        <v>0</v>
      </c>
      <c r="U517" s="8">
        <f>297144+291695+7899</f>
        <v>596738</v>
      </c>
      <c r="Y517" s="8">
        <v>1767569</v>
      </c>
      <c r="AA517" s="14">
        <f t="shared" si="65"/>
        <v>2364307</v>
      </c>
      <c r="AB517" s="8"/>
      <c r="AC517" s="8">
        <f t="shared" si="66"/>
        <v>0</v>
      </c>
    </row>
    <row r="518" spans="1:31" hidden="1">
      <c r="A518" s="12" t="s">
        <v>1036</v>
      </c>
      <c r="B518" s="12"/>
      <c r="C518" s="12" t="s">
        <v>69</v>
      </c>
      <c r="D518" s="12"/>
      <c r="E518" s="32">
        <v>50427</v>
      </c>
      <c r="G518" s="8">
        <v>4309593</v>
      </c>
      <c r="I518" s="8">
        <v>96355</v>
      </c>
      <c r="K518" s="3">
        <f t="shared" si="63"/>
        <v>0</v>
      </c>
      <c r="M518" s="8">
        <v>4405948</v>
      </c>
      <c r="O518" s="3">
        <f t="shared" si="64"/>
        <v>0</v>
      </c>
      <c r="U518" s="8">
        <f>481294+96355</f>
        <v>577649</v>
      </c>
      <c r="Y518" s="8">
        <v>3828299</v>
      </c>
      <c r="AA518" s="14">
        <f t="shared" si="65"/>
        <v>4405948</v>
      </c>
      <c r="AB518" s="8"/>
      <c r="AC518" s="8">
        <f t="shared" si="66"/>
        <v>0</v>
      </c>
    </row>
    <row r="519" spans="1:31">
      <c r="A519" s="12" t="s">
        <v>862</v>
      </c>
      <c r="B519" s="12"/>
      <c r="C519" s="12" t="s">
        <v>17</v>
      </c>
      <c r="D519" s="12"/>
      <c r="E519" s="32"/>
      <c r="G519" s="8">
        <v>15952635</v>
      </c>
      <c r="I519" s="8">
        <v>699074</v>
      </c>
      <c r="K519" s="3">
        <f t="shared" si="63"/>
        <v>28273456</v>
      </c>
      <c r="M519" s="8">
        <v>44925165</v>
      </c>
      <c r="O519" s="3">
        <f t="shared" si="64"/>
        <v>12250606</v>
      </c>
      <c r="Q519" s="8">
        <v>21553505</v>
      </c>
      <c r="S519" s="8">
        <v>33804111</v>
      </c>
      <c r="U519" s="8">
        <f>634746+5406553+652961+46113</f>
        <v>6740373</v>
      </c>
      <c r="W519" s="8">
        <v>0</v>
      </c>
      <c r="Y519" s="8">
        <v>4380681</v>
      </c>
      <c r="AA519" s="14">
        <f t="shared" si="65"/>
        <v>11121054</v>
      </c>
      <c r="AB519" s="8"/>
      <c r="AC519" s="8">
        <f t="shared" si="66"/>
        <v>0</v>
      </c>
    </row>
    <row r="520" spans="1:31">
      <c r="A520" s="12" t="s">
        <v>1062</v>
      </c>
      <c r="B520" s="12"/>
      <c r="C520" s="12" t="s">
        <v>117</v>
      </c>
      <c r="D520" s="12"/>
      <c r="E520" s="32">
        <v>48223</v>
      </c>
      <c r="G520" s="8">
        <v>1373230</v>
      </c>
      <c r="I520" s="8">
        <v>127901</v>
      </c>
      <c r="K520" s="3">
        <f t="shared" si="63"/>
        <v>22518975</v>
      </c>
      <c r="M520" s="8">
        <v>24020106</v>
      </c>
      <c r="O520" s="3">
        <f t="shared" si="64"/>
        <v>5207016</v>
      </c>
      <c r="Q520" s="8">
        <v>20705276</v>
      </c>
      <c r="S520" s="8">
        <v>25912292</v>
      </c>
      <c r="U520" s="8">
        <f>830127+127901</f>
        <v>958028</v>
      </c>
      <c r="W520" s="8">
        <v>0</v>
      </c>
      <c r="Y520" s="8">
        <v>-2850214</v>
      </c>
      <c r="AA520" s="14">
        <f t="shared" si="65"/>
        <v>-1892186</v>
      </c>
      <c r="AB520" s="8"/>
      <c r="AC520" s="8">
        <f t="shared" si="66"/>
        <v>0</v>
      </c>
      <c r="AE520" s="15" t="s">
        <v>905</v>
      </c>
    </row>
    <row r="521" spans="1:31">
      <c r="A521" s="12" t="s">
        <v>500</v>
      </c>
      <c r="B521" s="12"/>
      <c r="C521" s="12" t="s">
        <v>45</v>
      </c>
      <c r="D521" s="12"/>
      <c r="E521" s="32">
        <v>48371</v>
      </c>
      <c r="G521" s="8">
        <v>1917617</v>
      </c>
      <c r="I521" s="8">
        <v>71996</v>
      </c>
      <c r="K521" s="3">
        <f t="shared" si="63"/>
        <v>4005961</v>
      </c>
      <c r="M521" s="8">
        <v>5995574</v>
      </c>
      <c r="O521" s="3">
        <f t="shared" si="64"/>
        <v>969087</v>
      </c>
      <c r="Q521" s="8">
        <f>121023+3221478</f>
        <v>3342501</v>
      </c>
      <c r="S521" s="8">
        <v>4311588</v>
      </c>
      <c r="U521" s="8">
        <f>763898+57162+14834</f>
        <v>835894</v>
      </c>
      <c r="W521" s="8">
        <v>0</v>
      </c>
      <c r="Y521" s="8">
        <v>848092</v>
      </c>
      <c r="AA521" s="14">
        <f t="shared" si="65"/>
        <v>1683986</v>
      </c>
      <c r="AB521" s="8"/>
      <c r="AC521" s="8">
        <f t="shared" si="66"/>
        <v>0</v>
      </c>
    </row>
    <row r="522" spans="1:31">
      <c r="A522" s="12" t="s">
        <v>500</v>
      </c>
      <c r="B522" s="12"/>
      <c r="C522" s="12" t="s">
        <v>63</v>
      </c>
      <c r="D522" s="12"/>
      <c r="E522" s="32">
        <v>50062</v>
      </c>
      <c r="G522" s="8">
        <v>2351923</v>
      </c>
      <c r="I522" s="8">
        <v>0</v>
      </c>
      <c r="K522" s="3">
        <f t="shared" si="63"/>
        <v>11593462</v>
      </c>
      <c r="M522" s="8">
        <v>13945385</v>
      </c>
      <c r="O522" s="3">
        <f t="shared" si="64"/>
        <v>5606024</v>
      </c>
      <c r="Q522" s="8">
        <v>10160177</v>
      </c>
      <c r="S522" s="8">
        <v>15766201</v>
      </c>
      <c r="U522" s="8">
        <f>43569+1148143</f>
        <v>1191712</v>
      </c>
      <c r="W522" s="8">
        <v>0</v>
      </c>
      <c r="Y522" s="8">
        <v>-3012528</v>
      </c>
      <c r="AA522" s="14">
        <f t="shared" si="65"/>
        <v>-1820816</v>
      </c>
      <c r="AB522" s="8"/>
      <c r="AC522" s="8">
        <f t="shared" si="66"/>
        <v>0</v>
      </c>
    </row>
    <row r="523" spans="1:31">
      <c r="A523" s="12" t="s">
        <v>871</v>
      </c>
      <c r="B523" s="12"/>
      <c r="C523" s="12" t="s">
        <v>32</v>
      </c>
      <c r="D523" s="12"/>
      <c r="E523" s="32">
        <v>44719</v>
      </c>
      <c r="G523" s="8">
        <v>2433852</v>
      </c>
      <c r="I523" s="8">
        <v>0</v>
      </c>
      <c r="K523" s="3">
        <f t="shared" si="63"/>
        <v>9876933</v>
      </c>
      <c r="M523" s="8">
        <v>12310785</v>
      </c>
      <c r="O523" s="3">
        <f t="shared" si="64"/>
        <v>1425440</v>
      </c>
      <c r="Q523" s="8">
        <v>7702700</v>
      </c>
      <c r="S523" s="8">
        <v>9128140</v>
      </c>
      <c r="U523" s="8">
        <v>1638000</v>
      </c>
      <c r="W523" s="8">
        <v>0</v>
      </c>
      <c r="Y523" s="8">
        <v>1544645</v>
      </c>
      <c r="AA523" s="14">
        <f t="shared" si="65"/>
        <v>3182645</v>
      </c>
      <c r="AB523" s="8"/>
      <c r="AC523" s="8">
        <f t="shared" si="66"/>
        <v>0</v>
      </c>
    </row>
    <row r="524" spans="1:31">
      <c r="A524" s="12" t="s">
        <v>870</v>
      </c>
      <c r="B524" s="12"/>
      <c r="C524" s="12" t="s">
        <v>15</v>
      </c>
      <c r="D524" s="12"/>
      <c r="E524" s="32">
        <v>45997</v>
      </c>
      <c r="G524" s="8">
        <v>3487917</v>
      </c>
      <c r="I524" s="8">
        <v>30788</v>
      </c>
      <c r="K524" s="3">
        <f t="shared" si="63"/>
        <v>7009580</v>
      </c>
      <c r="M524" s="8">
        <v>10528285</v>
      </c>
      <c r="O524" s="3">
        <f t="shared" si="64"/>
        <v>1658769</v>
      </c>
      <c r="Q524" s="8">
        <v>6347828</v>
      </c>
      <c r="S524" s="8">
        <v>8006597</v>
      </c>
      <c r="U524" s="8">
        <f>419539+346294+11425+8363+11000</f>
        <v>796621</v>
      </c>
      <c r="W524" s="8">
        <v>0</v>
      </c>
      <c r="Y524" s="8">
        <v>1725067</v>
      </c>
      <c r="AA524" s="14">
        <f t="shared" si="65"/>
        <v>2521688</v>
      </c>
      <c r="AB524" s="8"/>
      <c r="AC524" s="8">
        <f t="shared" si="66"/>
        <v>0</v>
      </c>
    </row>
    <row r="525" spans="1:31" hidden="1">
      <c r="A525" s="12" t="s">
        <v>1038</v>
      </c>
      <c r="B525" s="12"/>
      <c r="C525" s="12" t="s">
        <v>534</v>
      </c>
      <c r="D525" s="12"/>
      <c r="E525" s="32">
        <v>48587</v>
      </c>
      <c r="G525" s="8">
        <v>3031265</v>
      </c>
      <c r="I525" s="8">
        <v>32263</v>
      </c>
      <c r="K525" s="3">
        <f t="shared" si="63"/>
        <v>0</v>
      </c>
      <c r="M525" s="8">
        <v>3063528</v>
      </c>
      <c r="O525" s="3">
        <f t="shared" si="64"/>
        <v>0</v>
      </c>
      <c r="U525" s="8">
        <f>28362+12508+19755</f>
        <v>60625</v>
      </c>
      <c r="W525" s="8">
        <v>90006</v>
      </c>
      <c r="Y525" s="8">
        <v>2912897</v>
      </c>
      <c r="AA525" s="14">
        <f t="shared" si="65"/>
        <v>3063528</v>
      </c>
      <c r="AB525" s="8"/>
      <c r="AC525" s="8">
        <f t="shared" si="66"/>
        <v>0</v>
      </c>
    </row>
    <row r="526" spans="1:31" hidden="1">
      <c r="A526" s="12" t="s">
        <v>1039</v>
      </c>
      <c r="B526" s="12"/>
      <c r="C526" s="12" t="s">
        <v>14</v>
      </c>
      <c r="D526" s="12"/>
      <c r="E526" s="32">
        <v>44727</v>
      </c>
      <c r="G526" s="8">
        <v>6201260</v>
      </c>
      <c r="I526" s="8">
        <v>28187</v>
      </c>
      <c r="K526" s="3">
        <f t="shared" si="63"/>
        <v>0</v>
      </c>
      <c r="M526" s="8">
        <v>6229447</v>
      </c>
      <c r="O526" s="3">
        <f t="shared" si="64"/>
        <v>0</v>
      </c>
      <c r="U526" s="8">
        <f>14931+13256+580892</f>
        <v>609079</v>
      </c>
      <c r="Y526" s="8">
        <v>5620368</v>
      </c>
      <c r="AA526" s="14">
        <f t="shared" si="65"/>
        <v>6229447</v>
      </c>
      <c r="AB526" s="8"/>
      <c r="AC526" s="8">
        <f t="shared" si="66"/>
        <v>0</v>
      </c>
    </row>
    <row r="527" spans="1:31">
      <c r="A527" s="12" t="s">
        <v>452</v>
      </c>
      <c r="B527" s="12"/>
      <c r="C527" s="12" t="s">
        <v>39</v>
      </c>
      <c r="D527" s="12"/>
      <c r="E527" s="32">
        <v>44826</v>
      </c>
      <c r="G527" s="8">
        <v>3455434</v>
      </c>
      <c r="I527" s="8">
        <v>174933</v>
      </c>
      <c r="K527" s="3">
        <f t="shared" si="63"/>
        <v>4773840</v>
      </c>
      <c r="M527" s="8">
        <v>8404207</v>
      </c>
      <c r="O527" s="3">
        <f t="shared" si="64"/>
        <v>2115161</v>
      </c>
      <c r="Q527" s="8">
        <v>4479923</v>
      </c>
      <c r="S527" s="8">
        <v>6595084</v>
      </c>
      <c r="U527" s="8">
        <f>359582+277442+85496+89437</f>
        <v>811957</v>
      </c>
      <c r="W527" s="8">
        <f>256710+684609+55847</f>
        <v>997166</v>
      </c>
      <c r="Y527" s="8">
        <v>0</v>
      </c>
      <c r="AA527" s="14">
        <f t="shared" si="65"/>
        <v>1809123</v>
      </c>
      <c r="AB527" s="8"/>
      <c r="AC527" s="8">
        <f t="shared" si="66"/>
        <v>0</v>
      </c>
    </row>
    <row r="528" spans="1:31">
      <c r="A528" s="12" t="s">
        <v>671</v>
      </c>
      <c r="B528" s="12"/>
      <c r="C528" s="12" t="s">
        <v>63</v>
      </c>
      <c r="D528" s="12"/>
      <c r="E528" s="32">
        <v>44834</v>
      </c>
      <c r="G528" s="8">
        <v>10580330</v>
      </c>
      <c r="I528" s="8">
        <v>510498</v>
      </c>
      <c r="K528" s="3">
        <f t="shared" si="63"/>
        <v>30143118</v>
      </c>
      <c r="M528" s="8">
        <v>41233946</v>
      </c>
      <c r="O528" s="3">
        <f t="shared" si="64"/>
        <v>6192561</v>
      </c>
      <c r="Q528" s="8">
        <f>620247+25315911</f>
        <v>25936158</v>
      </c>
      <c r="S528" s="8">
        <v>32128719</v>
      </c>
      <c r="U528" s="8">
        <f>386686+42444+510498+12128+2996084</f>
        <v>3947840</v>
      </c>
      <c r="W528" s="8">
        <v>0</v>
      </c>
      <c r="Y528" s="8">
        <v>5157387</v>
      </c>
      <c r="AA528" s="14">
        <f t="shared" si="65"/>
        <v>9105227</v>
      </c>
      <c r="AB528" s="8"/>
      <c r="AC528" s="8">
        <f t="shared" si="66"/>
        <v>0</v>
      </c>
    </row>
    <row r="529" spans="1:31" hidden="1">
      <c r="A529" s="13" t="s">
        <v>1040</v>
      </c>
      <c r="B529" s="12"/>
      <c r="C529" s="12" t="s">
        <v>65</v>
      </c>
      <c r="D529" s="12"/>
      <c r="E529" s="32">
        <v>50294</v>
      </c>
      <c r="K529" s="3">
        <f t="shared" si="63"/>
        <v>0</v>
      </c>
      <c r="O529" s="3">
        <f t="shared" si="64"/>
        <v>0</v>
      </c>
      <c r="AA529" s="14">
        <f t="shared" si="65"/>
        <v>0</v>
      </c>
      <c r="AB529" s="8"/>
      <c r="AC529" s="8">
        <f t="shared" si="66"/>
        <v>0</v>
      </c>
      <c r="AE529" s="8" t="s">
        <v>967</v>
      </c>
    </row>
    <row r="530" spans="1:31">
      <c r="A530" s="13"/>
      <c r="B530" s="12"/>
      <c r="C530" s="12"/>
      <c r="D530" s="12"/>
      <c r="E530" s="32"/>
      <c r="K530" s="3"/>
      <c r="O530" s="3"/>
      <c r="AA530" s="14"/>
      <c r="AB530" s="8"/>
      <c r="AE530" s="8"/>
    </row>
    <row r="531" spans="1:31">
      <c r="A531" s="13"/>
      <c r="B531" s="12"/>
      <c r="C531" s="12"/>
      <c r="D531" s="12"/>
      <c r="E531" s="32"/>
      <c r="K531" s="3"/>
      <c r="O531" s="3"/>
      <c r="AA531" s="14" t="s">
        <v>805</v>
      </c>
      <c r="AB531" s="8"/>
      <c r="AE531" s="8"/>
    </row>
    <row r="532" spans="1:31">
      <c r="A532" s="13"/>
      <c r="B532" s="12"/>
      <c r="C532" s="12"/>
      <c r="D532" s="12"/>
      <c r="E532" s="32"/>
      <c r="K532" s="3"/>
      <c r="O532" s="3"/>
      <c r="AA532" s="14"/>
      <c r="AB532" s="8"/>
      <c r="AE532" s="8"/>
    </row>
    <row r="533" spans="1:31">
      <c r="A533" s="12" t="s">
        <v>595</v>
      </c>
      <c r="B533" s="12"/>
      <c r="C533" s="12" t="s">
        <v>56</v>
      </c>
      <c r="D533" s="12"/>
      <c r="E533" s="32">
        <v>49239</v>
      </c>
      <c r="G533" s="35">
        <v>734988</v>
      </c>
      <c r="H533" s="35"/>
      <c r="I533" s="35">
        <v>0</v>
      </c>
      <c r="J533" s="35"/>
      <c r="K533" s="42">
        <f t="shared" si="63"/>
        <v>11844887</v>
      </c>
      <c r="L533" s="35"/>
      <c r="M533" s="35">
        <v>12579875</v>
      </c>
      <c r="N533" s="35"/>
      <c r="O533" s="42">
        <f t="shared" si="64"/>
        <v>2725793</v>
      </c>
      <c r="P533" s="35"/>
      <c r="Q533" s="35">
        <v>10107649</v>
      </c>
      <c r="R533" s="35"/>
      <c r="S533" s="35">
        <v>12833442</v>
      </c>
      <c r="T533" s="35"/>
      <c r="U533" s="35">
        <f>91740+1350830</f>
        <v>1442570</v>
      </c>
      <c r="V533" s="35"/>
      <c r="W533" s="35">
        <v>0</v>
      </c>
      <c r="X533" s="35"/>
      <c r="Y533" s="35">
        <v>-1696137</v>
      </c>
      <c r="Z533" s="35"/>
      <c r="AA533" s="64">
        <f t="shared" si="65"/>
        <v>-253567</v>
      </c>
      <c r="AB533" s="8"/>
      <c r="AC533" s="8">
        <f t="shared" si="66"/>
        <v>0</v>
      </c>
    </row>
    <row r="534" spans="1:31">
      <c r="A534" s="12" t="s">
        <v>323</v>
      </c>
      <c r="B534" s="12"/>
      <c r="C534" s="12" t="s">
        <v>20</v>
      </c>
      <c r="D534" s="12"/>
      <c r="E534" s="32">
        <v>44842</v>
      </c>
      <c r="G534" s="8">
        <v>1250</v>
      </c>
      <c r="I534" s="8">
        <v>997421</v>
      </c>
      <c r="K534" s="3">
        <f t="shared" si="63"/>
        <v>49615853</v>
      </c>
      <c r="M534" s="8">
        <v>50614524</v>
      </c>
      <c r="O534" s="3">
        <f t="shared" si="64"/>
        <v>9538080</v>
      </c>
      <c r="Q534" s="8">
        <v>44092375</v>
      </c>
      <c r="S534" s="8">
        <v>53630455</v>
      </c>
      <c r="U534" s="8">
        <f>5518959+2987188+16030</f>
        <v>8522177</v>
      </c>
      <c r="W534" s="8">
        <v>0</v>
      </c>
      <c r="Y534" s="8">
        <v>-11538108</v>
      </c>
      <c r="AA534" s="14">
        <f t="shared" si="65"/>
        <v>-3015931</v>
      </c>
      <c r="AB534" s="8"/>
      <c r="AC534" s="8">
        <f t="shared" si="66"/>
        <v>0</v>
      </c>
    </row>
    <row r="535" spans="1:31">
      <c r="A535" s="12" t="s">
        <v>517</v>
      </c>
      <c r="B535" s="12"/>
      <c r="C535" s="12" t="s">
        <v>45</v>
      </c>
      <c r="D535" s="12"/>
      <c r="E535" s="32">
        <v>44859</v>
      </c>
      <c r="G535" s="8">
        <v>4215109</v>
      </c>
      <c r="I535" s="8">
        <v>8127</v>
      </c>
      <c r="K535" s="3">
        <f t="shared" si="63"/>
        <v>5080206</v>
      </c>
      <c r="M535" s="8">
        <v>9303442</v>
      </c>
      <c r="O535" s="3">
        <f t="shared" si="64"/>
        <v>1777956</v>
      </c>
      <c r="Q535" s="3">
        <v>4679980</v>
      </c>
      <c r="S535" s="8">
        <v>6457936</v>
      </c>
      <c r="U535" s="8">
        <f>1103095+8127</f>
        <v>1111222</v>
      </c>
      <c r="W535" s="8">
        <v>0</v>
      </c>
      <c r="Y535" s="8">
        <v>1734284</v>
      </c>
      <c r="AA535" s="14">
        <f t="shared" si="65"/>
        <v>2845506</v>
      </c>
      <c r="AB535" s="8"/>
      <c r="AC535" s="8">
        <f t="shared" si="66"/>
        <v>0</v>
      </c>
    </row>
    <row r="536" spans="1:31">
      <c r="A536" s="12" t="s">
        <v>732</v>
      </c>
      <c r="B536" s="12"/>
      <c r="C536" s="12" t="s">
        <v>727</v>
      </c>
      <c r="D536" s="12"/>
      <c r="E536" s="32">
        <v>50658</v>
      </c>
      <c r="G536" s="8">
        <v>776518</v>
      </c>
      <c r="I536" s="8">
        <v>2414</v>
      </c>
      <c r="K536" s="3">
        <f t="shared" si="63"/>
        <v>1348734</v>
      </c>
      <c r="M536" s="8">
        <v>2127666</v>
      </c>
      <c r="O536" s="3">
        <f t="shared" si="64"/>
        <v>442052</v>
      </c>
      <c r="Q536" s="8">
        <v>1004070</v>
      </c>
      <c r="S536" s="8">
        <v>1446122</v>
      </c>
      <c r="U536" s="8">
        <f>86687+811+81037+2414</f>
        <v>170949</v>
      </c>
      <c r="W536" s="8">
        <v>0</v>
      </c>
      <c r="Y536" s="8">
        <v>510595</v>
      </c>
      <c r="AA536" s="14">
        <f t="shared" si="65"/>
        <v>681544</v>
      </c>
      <c r="AB536" s="8"/>
      <c r="AC536" s="8">
        <f t="shared" si="66"/>
        <v>0</v>
      </c>
    </row>
    <row r="537" spans="1:31">
      <c r="A537" s="12" t="s">
        <v>387</v>
      </c>
      <c r="B537" s="12"/>
      <c r="C537" s="12" t="s">
        <v>116</v>
      </c>
      <c r="D537" s="12"/>
      <c r="E537" s="32">
        <v>47274</v>
      </c>
      <c r="G537" s="8">
        <v>0</v>
      </c>
      <c r="I537" s="8">
        <v>0</v>
      </c>
      <c r="K537" s="3">
        <f t="shared" si="63"/>
        <v>14335579</v>
      </c>
      <c r="M537" s="8">
        <v>14335579</v>
      </c>
      <c r="O537" s="3">
        <f t="shared" si="64"/>
        <v>3225040</v>
      </c>
      <c r="Q537" s="8">
        <v>14054291</v>
      </c>
      <c r="S537" s="8">
        <v>17279331</v>
      </c>
      <c r="U537" s="8">
        <f>163574+222444</f>
        <v>386018</v>
      </c>
      <c r="W537" s="8">
        <v>0</v>
      </c>
      <c r="Y537" s="8">
        <v>-3329770</v>
      </c>
      <c r="AA537" s="14">
        <f t="shared" si="65"/>
        <v>-2943752</v>
      </c>
      <c r="AB537" s="8"/>
      <c r="AC537" s="8">
        <f t="shared" si="66"/>
        <v>0</v>
      </c>
    </row>
    <row r="538" spans="1:31">
      <c r="A538" s="12" t="s">
        <v>373</v>
      </c>
      <c r="B538" s="12"/>
      <c r="C538" s="12" t="s">
        <v>28</v>
      </c>
      <c r="D538" s="12"/>
      <c r="E538" s="32">
        <v>47092</v>
      </c>
      <c r="G538" s="8">
        <v>7882992</v>
      </c>
      <c r="I538" s="8">
        <v>39569</v>
      </c>
      <c r="K538" s="3">
        <f t="shared" si="63"/>
        <v>8093974</v>
      </c>
      <c r="M538" s="8">
        <v>16016535</v>
      </c>
      <c r="O538" s="3">
        <f t="shared" si="64"/>
        <v>1362922</v>
      </c>
      <c r="Q538" s="8">
        <v>4879165</v>
      </c>
      <c r="S538" s="8">
        <v>6242087</v>
      </c>
      <c r="U538" s="8">
        <f>311725+39569+364981</f>
        <v>716275</v>
      </c>
      <c r="W538" s="8">
        <v>0</v>
      </c>
      <c r="Y538" s="8">
        <v>9058173</v>
      </c>
      <c r="AA538" s="14">
        <f t="shared" si="65"/>
        <v>9774448</v>
      </c>
      <c r="AB538" s="8"/>
      <c r="AC538" s="8">
        <f t="shared" si="66"/>
        <v>0</v>
      </c>
    </row>
    <row r="539" spans="1:31">
      <c r="A539" s="12" t="s">
        <v>861</v>
      </c>
      <c r="B539" s="12"/>
      <c r="C539" s="12" t="s">
        <v>49</v>
      </c>
      <c r="D539" s="12"/>
      <c r="E539" s="32">
        <v>48652</v>
      </c>
      <c r="G539" s="8">
        <v>244775</v>
      </c>
      <c r="I539" s="8">
        <v>65916</v>
      </c>
      <c r="K539" s="3">
        <f t="shared" si="63"/>
        <v>6965108</v>
      </c>
      <c r="M539" s="8">
        <v>7275799</v>
      </c>
      <c r="O539" s="3">
        <f t="shared" si="64"/>
        <v>2718639</v>
      </c>
      <c r="Q539" s="8">
        <v>6471397</v>
      </c>
      <c r="S539" s="8">
        <v>9190036</v>
      </c>
      <c r="U539" s="8">
        <f>45286+5982+59934+111665</f>
        <v>222867</v>
      </c>
      <c r="W539" s="8">
        <v>0</v>
      </c>
      <c r="Y539" s="8">
        <v>-2137104</v>
      </c>
      <c r="AA539" s="14">
        <f t="shared" si="65"/>
        <v>-1914237</v>
      </c>
      <c r="AB539" s="8"/>
      <c r="AC539" s="8">
        <f t="shared" si="66"/>
        <v>0</v>
      </c>
    </row>
    <row r="540" spans="1:31">
      <c r="A540" s="12" t="s">
        <v>409</v>
      </c>
      <c r="B540" s="12"/>
      <c r="C540" s="12" t="s">
        <v>32</v>
      </c>
      <c r="D540" s="12"/>
      <c r="E540" s="32">
        <v>44867</v>
      </c>
      <c r="G540" s="8">
        <v>40068125</v>
      </c>
      <c r="I540" s="8">
        <v>468958</v>
      </c>
      <c r="K540" s="3">
        <f t="shared" si="63"/>
        <v>57499251</v>
      </c>
      <c r="M540" s="8">
        <v>98036334</v>
      </c>
      <c r="O540" s="3">
        <f t="shared" si="64"/>
        <v>10118083</v>
      </c>
      <c r="Q540" s="8">
        <v>33722399</v>
      </c>
      <c r="S540" s="8">
        <v>43840482</v>
      </c>
      <c r="U540" s="8">
        <f>534602+24274+20526000+1060741+468958</f>
        <v>22614575</v>
      </c>
      <c r="W540" s="8">
        <v>0</v>
      </c>
      <c r="Y540" s="8">
        <v>31581277</v>
      </c>
      <c r="AA540" s="14">
        <f t="shared" si="65"/>
        <v>54195852</v>
      </c>
      <c r="AB540" s="8"/>
      <c r="AC540" s="8">
        <f t="shared" si="66"/>
        <v>0</v>
      </c>
    </row>
    <row r="541" spans="1:31">
      <c r="A541" s="12" t="s">
        <v>501</v>
      </c>
      <c r="B541" s="12"/>
      <c r="C541" s="12" t="s">
        <v>117</v>
      </c>
      <c r="D541" s="12"/>
      <c r="E541" s="32">
        <v>44875</v>
      </c>
      <c r="G541" s="8">
        <v>15047287</v>
      </c>
      <c r="I541" s="8">
        <v>79049</v>
      </c>
      <c r="K541" s="3">
        <f t="shared" si="63"/>
        <v>55063955</v>
      </c>
      <c r="M541" s="8">
        <v>70190291</v>
      </c>
      <c r="O541" s="3">
        <f t="shared" si="64"/>
        <v>12019652</v>
      </c>
      <c r="Q541" s="8">
        <f>754357+52491232</f>
        <v>53245589</v>
      </c>
      <c r="S541" s="8">
        <v>65265241</v>
      </c>
      <c r="U541" s="8">
        <f>436050+1633238+79049</f>
        <v>2148337</v>
      </c>
      <c r="W541" s="8">
        <v>0</v>
      </c>
      <c r="Y541" s="8">
        <v>2776713</v>
      </c>
      <c r="AA541" s="14">
        <f t="shared" si="65"/>
        <v>4925050</v>
      </c>
      <c r="AB541" s="8"/>
      <c r="AC541" s="8">
        <f t="shared" si="66"/>
        <v>0</v>
      </c>
    </row>
    <row r="542" spans="1:31">
      <c r="A542" s="12" t="s">
        <v>472</v>
      </c>
      <c r="B542" s="12"/>
      <c r="C542" s="12" t="s">
        <v>466</v>
      </c>
      <c r="D542" s="12"/>
      <c r="E542" s="32">
        <v>47969</v>
      </c>
      <c r="G542" s="8">
        <v>4225832</v>
      </c>
      <c r="I542" s="8">
        <v>279286</v>
      </c>
      <c r="K542" s="3">
        <f t="shared" si="63"/>
        <v>909610</v>
      </c>
      <c r="M542" s="8">
        <v>5414728</v>
      </c>
      <c r="O542" s="3">
        <f t="shared" si="64"/>
        <v>913182</v>
      </c>
      <c r="Q542" s="8">
        <v>742166</v>
      </c>
      <c r="S542" s="8">
        <v>1655348</v>
      </c>
      <c r="U542" s="8">
        <f>32422+135199+205753+30592+42941</f>
        <v>446907</v>
      </c>
      <c r="W542" s="8">
        <v>0</v>
      </c>
      <c r="Y542" s="8">
        <v>3312473</v>
      </c>
      <c r="AA542" s="14">
        <f t="shared" si="65"/>
        <v>3759380</v>
      </c>
      <c r="AB542" s="8"/>
      <c r="AC542" s="8">
        <f t="shared" si="66"/>
        <v>0</v>
      </c>
      <c r="AE542" s="8" t="s">
        <v>956</v>
      </c>
    </row>
    <row r="543" spans="1:31">
      <c r="A543" s="12" t="s">
        <v>1063</v>
      </c>
      <c r="B543" s="12"/>
      <c r="C543" s="12" t="s">
        <v>242</v>
      </c>
      <c r="D543" s="12"/>
      <c r="E543" s="32">
        <v>46151</v>
      </c>
      <c r="G543" s="8">
        <v>13889811</v>
      </c>
      <c r="I543" s="8">
        <v>202876</v>
      </c>
      <c r="K543" s="3">
        <f t="shared" ref="K543:K584" si="67">+M543-I543-G543</f>
        <v>17880002</v>
      </c>
      <c r="M543" s="8">
        <v>31972689</v>
      </c>
      <c r="O543" s="3">
        <f t="shared" ref="O543:O584" si="68">+S543-Q543</f>
        <v>3902989</v>
      </c>
      <c r="Q543" s="8">
        <v>15532541</v>
      </c>
      <c r="S543" s="8">
        <v>19435530</v>
      </c>
      <c r="U543" s="8">
        <f>95744+202876+375318</f>
        <v>673938</v>
      </c>
      <c r="W543" s="8">
        <v>0</v>
      </c>
      <c r="Y543" s="8">
        <v>11863221</v>
      </c>
      <c r="AA543" s="14">
        <f t="shared" ref="AA543:AA580" si="69">+Y543+W543++U543</f>
        <v>12537159</v>
      </c>
      <c r="AB543" s="8"/>
      <c r="AC543" s="8">
        <f t="shared" si="66"/>
        <v>0</v>
      </c>
      <c r="AE543" s="8" t="s">
        <v>905</v>
      </c>
    </row>
    <row r="544" spans="1:31">
      <c r="A544" s="12" t="s">
        <v>672</v>
      </c>
      <c r="B544" s="12"/>
      <c r="C544" s="12" t="s">
        <v>63</v>
      </c>
      <c r="D544" s="12"/>
      <c r="E544" s="32">
        <v>44883</v>
      </c>
      <c r="G544" s="8">
        <v>2039288</v>
      </c>
      <c r="I544" s="8">
        <v>72474</v>
      </c>
      <c r="K544" s="3">
        <f t="shared" si="67"/>
        <v>14279489</v>
      </c>
      <c r="M544" s="8">
        <v>16391251</v>
      </c>
      <c r="O544" s="3">
        <f t="shared" si="68"/>
        <v>3049303</v>
      </c>
      <c r="Q544" s="8">
        <v>12541751</v>
      </c>
      <c r="S544" s="8">
        <v>15591054</v>
      </c>
      <c r="U544" s="8">
        <f>202738+1408182+72474</f>
        <v>1683394</v>
      </c>
      <c r="W544" s="8">
        <v>0</v>
      </c>
      <c r="Y544" s="8">
        <v>-883197</v>
      </c>
      <c r="AA544" s="14">
        <f t="shared" si="69"/>
        <v>800197</v>
      </c>
      <c r="AB544" s="8"/>
      <c r="AC544" s="8">
        <f t="shared" si="66"/>
        <v>0</v>
      </c>
    </row>
    <row r="545" spans="1:31">
      <c r="A545" s="12" t="s">
        <v>583</v>
      </c>
      <c r="B545" s="12"/>
      <c r="C545" s="12" t="s">
        <v>54</v>
      </c>
      <c r="D545" s="12"/>
      <c r="E545" s="32">
        <v>49098</v>
      </c>
      <c r="G545" s="8">
        <v>7120873</v>
      </c>
      <c r="I545" s="8">
        <v>0</v>
      </c>
      <c r="K545" s="3">
        <f t="shared" si="67"/>
        <v>8767207</v>
      </c>
      <c r="M545" s="8">
        <v>15888080</v>
      </c>
      <c r="O545" s="3">
        <f t="shared" si="68"/>
        <v>3494848</v>
      </c>
      <c r="Q545" s="8">
        <f>494631+5868002</f>
        <v>6362633</v>
      </c>
      <c r="S545" s="8">
        <v>9857481</v>
      </c>
      <c r="U545" s="8">
        <f>539013+5972+87232+1167158</f>
        <v>1799375</v>
      </c>
      <c r="W545" s="8">
        <v>0</v>
      </c>
      <c r="Y545" s="8">
        <v>4231224</v>
      </c>
      <c r="AA545" s="14">
        <f t="shared" si="69"/>
        <v>6030599</v>
      </c>
      <c r="AB545" s="8"/>
      <c r="AC545" s="8">
        <f t="shared" si="66"/>
        <v>0</v>
      </c>
    </row>
    <row r="546" spans="1:31">
      <c r="A546" s="12" t="s">
        <v>265</v>
      </c>
      <c r="B546" s="12"/>
      <c r="C546" s="12" t="s">
        <v>17</v>
      </c>
      <c r="D546" s="12"/>
      <c r="E546" s="32">
        <v>46243</v>
      </c>
      <c r="G546" s="8">
        <v>3249516</v>
      </c>
      <c r="I546" s="8">
        <v>80264</v>
      </c>
      <c r="K546" s="3">
        <f t="shared" si="67"/>
        <v>8362490</v>
      </c>
      <c r="M546" s="8">
        <v>11692270</v>
      </c>
      <c r="O546" s="3">
        <f t="shared" si="68"/>
        <v>3533000</v>
      </c>
      <c r="Q546" s="8">
        <v>6179353</v>
      </c>
      <c r="S546" s="8">
        <v>9712353</v>
      </c>
      <c r="U546" s="8">
        <f>368339+1972963+80264</f>
        <v>2421566</v>
      </c>
      <c r="W546" s="8">
        <v>0</v>
      </c>
      <c r="Y546" s="8">
        <v>-441649</v>
      </c>
      <c r="AA546" s="14">
        <f t="shared" si="69"/>
        <v>1979917</v>
      </c>
      <c r="AB546" s="8"/>
      <c r="AC546" s="8">
        <f t="shared" si="66"/>
        <v>0</v>
      </c>
    </row>
    <row r="547" spans="1:31">
      <c r="A547" s="13" t="s">
        <v>1073</v>
      </c>
      <c r="B547" s="12"/>
      <c r="C547" s="12" t="s">
        <v>32</v>
      </c>
      <c r="D547" s="12"/>
      <c r="E547" s="32">
        <v>47399</v>
      </c>
      <c r="G547" s="8">
        <v>5931106</v>
      </c>
      <c r="I547" s="8">
        <v>362839</v>
      </c>
      <c r="K547" s="3">
        <f t="shared" si="67"/>
        <v>14157115</v>
      </c>
      <c r="M547" s="8">
        <v>20451060</v>
      </c>
      <c r="O547" s="3">
        <f t="shared" si="68"/>
        <v>2690918</v>
      </c>
      <c r="Q547" s="8">
        <v>9326518</v>
      </c>
      <c r="S547" s="8">
        <v>12017436</v>
      </c>
      <c r="U547" s="8">
        <f>853101+3368000+362839</f>
        <v>4583940</v>
      </c>
      <c r="W547" s="8">
        <v>0</v>
      </c>
      <c r="Y547" s="8">
        <v>3849684</v>
      </c>
      <c r="AA547" s="14">
        <f t="shared" si="69"/>
        <v>8433624</v>
      </c>
      <c r="AB547" s="8"/>
      <c r="AC547" s="8">
        <f t="shared" si="66"/>
        <v>0</v>
      </c>
      <c r="AE547" s="8" t="s">
        <v>905</v>
      </c>
    </row>
    <row r="548" spans="1:31">
      <c r="A548" s="12" t="s">
        <v>640</v>
      </c>
      <c r="B548" s="12"/>
      <c r="C548" s="12" t="s">
        <v>60</v>
      </c>
      <c r="D548" s="12"/>
      <c r="E548" s="32">
        <v>44891</v>
      </c>
      <c r="G548" s="8">
        <v>427343</v>
      </c>
      <c r="I548" s="8">
        <v>291202</v>
      </c>
      <c r="K548" s="3">
        <f t="shared" si="67"/>
        <v>13844343</v>
      </c>
      <c r="M548" s="8">
        <v>14562888</v>
      </c>
      <c r="O548" s="3">
        <f t="shared" si="68"/>
        <v>3040353</v>
      </c>
      <c r="Q548" s="8">
        <f>498110+8055800</f>
        <v>8553910</v>
      </c>
      <c r="S548" s="8">
        <v>11594263</v>
      </c>
      <c r="U548" s="8">
        <f>260099+291202+254328+1018125+94083</f>
        <v>1917837</v>
      </c>
      <c r="W548" s="8">
        <v>0</v>
      </c>
      <c r="Y548" s="8">
        <v>1050788</v>
      </c>
      <c r="AA548" s="14">
        <f t="shared" si="69"/>
        <v>2968625</v>
      </c>
      <c r="AB548" s="8"/>
      <c r="AC548" s="8">
        <f t="shared" si="66"/>
        <v>0</v>
      </c>
    </row>
    <row r="549" spans="1:31">
      <c r="A549" s="12" t="s">
        <v>541</v>
      </c>
      <c r="B549" s="12"/>
      <c r="C549" s="12" t="s">
        <v>48</v>
      </c>
      <c r="D549" s="12"/>
      <c r="E549" s="32">
        <v>45617</v>
      </c>
      <c r="G549" s="8">
        <v>1246238</v>
      </c>
      <c r="I549" s="8">
        <v>0</v>
      </c>
      <c r="K549" s="3">
        <f t="shared" si="67"/>
        <v>6994202</v>
      </c>
      <c r="M549" s="8">
        <v>8240440</v>
      </c>
      <c r="O549" s="3">
        <f t="shared" si="68"/>
        <v>2561755</v>
      </c>
      <c r="Q549" s="8">
        <v>6265064</v>
      </c>
      <c r="S549" s="8">
        <v>8826819</v>
      </c>
      <c r="U549" s="8">
        <f>33452+55489+646156</f>
        <v>735097</v>
      </c>
      <c r="W549" s="8">
        <v>0</v>
      </c>
      <c r="Y549" s="8">
        <v>-1321476</v>
      </c>
      <c r="AA549" s="14">
        <f t="shared" si="69"/>
        <v>-586379</v>
      </c>
      <c r="AB549" s="8"/>
      <c r="AC549" s="8">
        <f t="shared" si="66"/>
        <v>0</v>
      </c>
    </row>
    <row r="550" spans="1:31">
      <c r="A550" s="12" t="s">
        <v>502</v>
      </c>
      <c r="B550" s="12"/>
      <c r="C550" s="12" t="s">
        <v>117</v>
      </c>
      <c r="D550" s="12"/>
      <c r="E550" s="32">
        <v>44909</v>
      </c>
      <c r="G550" s="8">
        <v>17014637</v>
      </c>
      <c r="I550" s="8">
        <v>3700671</v>
      </c>
      <c r="K550" s="3">
        <f t="shared" si="67"/>
        <v>101635953</v>
      </c>
      <c r="M550" s="8">
        <v>122351261</v>
      </c>
      <c r="O550" s="3">
        <f t="shared" si="68"/>
        <v>34630333</v>
      </c>
      <c r="Q550" s="8">
        <v>91907746</v>
      </c>
      <c r="S550" s="8">
        <v>126538079</v>
      </c>
      <c r="U550" s="8">
        <f>4380515+400643+4527089+3700671</f>
        <v>13008918</v>
      </c>
      <c r="W550" s="8">
        <v>0</v>
      </c>
      <c r="Y550" s="8">
        <v>-17195736</v>
      </c>
      <c r="AA550" s="14">
        <f t="shared" si="69"/>
        <v>-4186818</v>
      </c>
      <c r="AB550" s="8"/>
      <c r="AC550" s="8">
        <f t="shared" si="66"/>
        <v>0</v>
      </c>
    </row>
    <row r="551" spans="1:31">
      <c r="A551" s="13" t="s">
        <v>1024</v>
      </c>
      <c r="B551" s="13"/>
      <c r="C551" s="13" t="s">
        <v>117</v>
      </c>
      <c r="D551" s="12"/>
      <c r="E551" s="32"/>
      <c r="G551" s="8">
        <v>28752</v>
      </c>
      <c r="I551" s="8">
        <f>18052+376770</f>
        <v>394822</v>
      </c>
      <c r="K551" s="3">
        <f t="shared" si="67"/>
        <v>4710550</v>
      </c>
      <c r="M551" s="8">
        <v>5134124</v>
      </c>
      <c r="O551" s="3">
        <f t="shared" si="68"/>
        <v>632617</v>
      </c>
      <c r="Q551" s="8">
        <v>3943774</v>
      </c>
      <c r="S551" s="8">
        <v>4576391</v>
      </c>
      <c r="U551" s="8">
        <f>18052+376770</f>
        <v>394822</v>
      </c>
      <c r="W551" s="8">
        <v>718278</v>
      </c>
      <c r="Y551" s="8">
        <v>-555367</v>
      </c>
      <c r="AA551" s="14">
        <f t="shared" si="69"/>
        <v>557733</v>
      </c>
      <c r="AB551" s="8"/>
      <c r="AC551" s="8">
        <f t="shared" si="66"/>
        <v>0</v>
      </c>
    </row>
    <row r="552" spans="1:31">
      <c r="A552" s="13" t="s">
        <v>1074</v>
      </c>
      <c r="B552" s="12"/>
      <c r="C552" s="12" t="s">
        <v>39</v>
      </c>
      <c r="D552" s="12"/>
      <c r="E552" s="32">
        <v>44917</v>
      </c>
      <c r="G552" s="8">
        <v>1935705</v>
      </c>
      <c r="I552" s="8">
        <v>130477</v>
      </c>
      <c r="K552" s="3">
        <f t="shared" si="67"/>
        <v>2710885</v>
      </c>
      <c r="M552" s="8">
        <v>4777067</v>
      </c>
      <c r="O552" s="3">
        <f t="shared" si="68"/>
        <v>757381</v>
      </c>
      <c r="Q552" s="8">
        <v>1427837</v>
      </c>
      <c r="S552" s="8">
        <v>2185218</v>
      </c>
      <c r="U552" s="8">
        <f>167608+6038+113872+130477</f>
        <v>417995</v>
      </c>
      <c r="W552" s="8">
        <v>0</v>
      </c>
      <c r="Y552" s="8">
        <v>2173854</v>
      </c>
      <c r="AA552" s="14">
        <f t="shared" si="69"/>
        <v>2591849</v>
      </c>
      <c r="AB552" s="8"/>
      <c r="AC552" s="8">
        <f t="shared" si="66"/>
        <v>0</v>
      </c>
      <c r="AE552" s="8" t="s">
        <v>905</v>
      </c>
    </row>
    <row r="553" spans="1:31">
      <c r="A553" s="12" t="s">
        <v>257</v>
      </c>
      <c r="B553" s="12"/>
      <c r="C553" s="12" t="s">
        <v>255</v>
      </c>
      <c r="D553" s="12"/>
      <c r="E553" s="32">
        <v>46201</v>
      </c>
      <c r="G553" s="8">
        <v>1471998</v>
      </c>
      <c r="I553" s="8">
        <v>2500</v>
      </c>
      <c r="K553" s="3">
        <f t="shared" si="67"/>
        <v>2495006</v>
      </c>
      <c r="M553" s="8">
        <v>3969504</v>
      </c>
      <c r="O553" s="3">
        <f t="shared" si="68"/>
        <v>951866</v>
      </c>
      <c r="Q553" s="8">
        <f>197828+1435948</f>
        <v>1633776</v>
      </c>
      <c r="S553" s="8">
        <v>2585642</v>
      </c>
      <c r="U553" s="8">
        <f>43554+244052+2500</f>
        <v>290106</v>
      </c>
      <c r="W553" s="8">
        <v>0</v>
      </c>
      <c r="Y553" s="8">
        <v>1093756</v>
      </c>
      <c r="AA553" s="14">
        <f t="shared" si="69"/>
        <v>1383862</v>
      </c>
      <c r="AB553" s="8"/>
      <c r="AC553" s="8">
        <f t="shared" si="66"/>
        <v>0</v>
      </c>
    </row>
    <row r="554" spans="1:31">
      <c r="A554" s="12" t="s">
        <v>600</v>
      </c>
      <c r="B554" s="12"/>
      <c r="C554" s="12" t="s">
        <v>57</v>
      </c>
      <c r="D554" s="12"/>
      <c r="E554" s="32">
        <v>91397</v>
      </c>
      <c r="G554" s="8">
        <v>3765746</v>
      </c>
      <c r="I554" s="8">
        <v>223597</v>
      </c>
      <c r="K554" s="3">
        <f t="shared" si="67"/>
        <v>4385688</v>
      </c>
      <c r="M554" s="8">
        <v>8375031</v>
      </c>
      <c r="O554" s="3">
        <f t="shared" si="68"/>
        <v>1074214</v>
      </c>
      <c r="Q554" s="8">
        <v>4069695</v>
      </c>
      <c r="S554" s="8">
        <v>5143909</v>
      </c>
      <c r="U554" s="8">
        <f>118714+267313+181218+36010+6369</f>
        <v>609624</v>
      </c>
      <c r="W554" s="8">
        <v>0</v>
      </c>
      <c r="Y554" s="8">
        <v>2621498</v>
      </c>
      <c r="AA554" s="14">
        <f t="shared" si="69"/>
        <v>3231122</v>
      </c>
      <c r="AB554" s="8"/>
      <c r="AC554" s="8">
        <f t="shared" si="66"/>
        <v>0</v>
      </c>
    </row>
    <row r="555" spans="1:31">
      <c r="A555" s="12" t="s">
        <v>225</v>
      </c>
      <c r="B555" s="12"/>
      <c r="C555" s="12" t="s">
        <v>13</v>
      </c>
      <c r="D555" s="12"/>
      <c r="E555" s="32">
        <v>45922</v>
      </c>
      <c r="G555" s="8">
        <v>414122</v>
      </c>
      <c r="I555" s="8">
        <v>0</v>
      </c>
      <c r="K555" s="3">
        <f t="shared" si="67"/>
        <v>1115500</v>
      </c>
      <c r="M555" s="8">
        <v>1529622</v>
      </c>
      <c r="O555" s="3">
        <f t="shared" si="68"/>
        <v>857358</v>
      </c>
      <c r="Q555" s="8">
        <v>1005223</v>
      </c>
      <c r="S555" s="8">
        <v>1862581</v>
      </c>
      <c r="U555" s="8">
        <f>3675+89497+1476</f>
        <v>94648</v>
      </c>
      <c r="W555" s="8">
        <v>1959</v>
      </c>
      <c r="Y555" s="8">
        <v>-429566</v>
      </c>
      <c r="AA555" s="14">
        <f t="shared" si="69"/>
        <v>-332959</v>
      </c>
      <c r="AB555" s="8"/>
      <c r="AC555" s="8">
        <f t="shared" si="66"/>
        <v>0</v>
      </c>
    </row>
    <row r="556" spans="1:31">
      <c r="A556" s="12" t="s">
        <v>566</v>
      </c>
      <c r="B556" s="12"/>
      <c r="C556" s="12" t="s">
        <v>51</v>
      </c>
      <c r="D556" s="12"/>
      <c r="E556" s="32">
        <v>48876</v>
      </c>
      <c r="G556" s="8">
        <v>1179421</v>
      </c>
      <c r="I556" s="8">
        <v>0</v>
      </c>
      <c r="K556" s="3">
        <f t="shared" si="67"/>
        <v>6955466</v>
      </c>
      <c r="M556" s="8">
        <v>8134887</v>
      </c>
      <c r="O556" s="3">
        <f t="shared" si="68"/>
        <v>3474414</v>
      </c>
      <c r="Q556" s="8">
        <v>6610184</v>
      </c>
      <c r="S556" s="8">
        <v>10084598</v>
      </c>
      <c r="U556" s="8">
        <f>115333+191292</f>
        <v>306625</v>
      </c>
      <c r="W556" s="8">
        <v>0</v>
      </c>
      <c r="Y556" s="8">
        <v>-2256336</v>
      </c>
      <c r="AA556" s="14">
        <f t="shared" si="69"/>
        <v>-1949711</v>
      </c>
      <c r="AB556" s="8"/>
      <c r="AC556" s="8">
        <f t="shared" si="66"/>
        <v>0</v>
      </c>
    </row>
    <row r="557" spans="1:31" hidden="1">
      <c r="A557" s="12" t="s">
        <v>1018</v>
      </c>
      <c r="B557" s="12"/>
      <c r="C557" s="12" t="s">
        <v>21</v>
      </c>
      <c r="D557" s="12"/>
      <c r="E557" s="32">
        <v>46680</v>
      </c>
      <c r="G557" s="8">
        <v>1478802</v>
      </c>
      <c r="I557" s="8">
        <v>34065</v>
      </c>
      <c r="K557" s="3">
        <f t="shared" si="67"/>
        <v>0</v>
      </c>
      <c r="M557" s="8">
        <v>1512867</v>
      </c>
      <c r="O557" s="3">
        <f t="shared" si="68"/>
        <v>0</v>
      </c>
      <c r="U557" s="8">
        <f>28011+13052+21013</f>
        <v>62076</v>
      </c>
      <c r="W557" s="8">
        <v>14662</v>
      </c>
      <c r="Y557" s="8">
        <v>1436129</v>
      </c>
      <c r="AA557" s="14">
        <f t="shared" si="69"/>
        <v>1512867</v>
      </c>
      <c r="AB557" s="8"/>
      <c r="AC557" s="8">
        <f t="shared" si="66"/>
        <v>0</v>
      </c>
    </row>
    <row r="558" spans="1:31">
      <c r="A558" s="12" t="s">
        <v>725</v>
      </c>
      <c r="B558" s="12"/>
      <c r="C558" s="12" t="s">
        <v>71</v>
      </c>
      <c r="D558" s="12"/>
      <c r="E558" s="32">
        <v>50591</v>
      </c>
      <c r="G558" s="8">
        <v>2254417</v>
      </c>
      <c r="I558" s="8">
        <v>699</v>
      </c>
      <c r="K558" s="3">
        <f t="shared" si="67"/>
        <v>5820292</v>
      </c>
      <c r="M558" s="8">
        <v>8075408</v>
      </c>
      <c r="O558" s="3">
        <f t="shared" si="68"/>
        <v>2111762</v>
      </c>
      <c r="Q558" s="8">
        <f>239994+4785653</f>
        <v>5025647</v>
      </c>
      <c r="S558" s="8">
        <v>7137409</v>
      </c>
      <c r="U558" s="8">
        <f>19451+5505+788109+1031+699</f>
        <v>814795</v>
      </c>
      <c r="W558" s="8">
        <v>0</v>
      </c>
      <c r="Y558" s="8">
        <v>123204</v>
      </c>
      <c r="AA558" s="14">
        <f t="shared" si="69"/>
        <v>937999</v>
      </c>
      <c r="AB558" s="8"/>
      <c r="AC558" s="8">
        <f t="shared" si="66"/>
        <v>0</v>
      </c>
    </row>
    <row r="559" spans="1:31">
      <c r="A559" s="12" t="s">
        <v>555</v>
      </c>
      <c r="B559" s="12"/>
      <c r="C559" s="12" t="s">
        <v>50</v>
      </c>
      <c r="D559" s="12"/>
      <c r="E559" s="32">
        <v>48694</v>
      </c>
      <c r="G559" s="8">
        <v>9478181</v>
      </c>
      <c r="I559" s="8">
        <v>81076</v>
      </c>
      <c r="K559" s="3">
        <f t="shared" si="67"/>
        <v>10668326</v>
      </c>
      <c r="M559" s="8">
        <v>20227583</v>
      </c>
      <c r="O559" s="3">
        <f t="shared" si="68"/>
        <v>2496369</v>
      </c>
      <c r="Q559" s="8">
        <v>9999210</v>
      </c>
      <c r="S559" s="8">
        <v>12495579</v>
      </c>
      <c r="U559" s="8">
        <f>196171+346117+81076</f>
        <v>623364</v>
      </c>
      <c r="W559" s="8">
        <v>0</v>
      </c>
      <c r="Y559" s="8">
        <v>7108640</v>
      </c>
      <c r="AA559" s="14">
        <f t="shared" si="69"/>
        <v>7732004</v>
      </c>
      <c r="AB559" s="8"/>
      <c r="AC559" s="8">
        <f t="shared" si="66"/>
        <v>0</v>
      </c>
    </row>
    <row r="560" spans="1:31">
      <c r="A560" s="12" t="s">
        <v>542</v>
      </c>
      <c r="B560" s="12"/>
      <c r="C560" s="12" t="s">
        <v>48</v>
      </c>
      <c r="D560" s="12"/>
      <c r="E560" s="32">
        <v>44925</v>
      </c>
      <c r="G560" s="8">
        <v>10121283</v>
      </c>
      <c r="I560" s="8">
        <v>0</v>
      </c>
      <c r="K560" s="3">
        <f t="shared" si="67"/>
        <v>17363219</v>
      </c>
      <c r="M560" s="8">
        <v>27484502</v>
      </c>
      <c r="O560" s="3">
        <f t="shared" si="68"/>
        <v>4207247</v>
      </c>
      <c r="Q560" s="8">
        <v>12278867</v>
      </c>
      <c r="S560" s="8">
        <v>16486114</v>
      </c>
      <c r="U560" s="8">
        <f>272020+101807+22738+1281057</f>
        <v>1677622</v>
      </c>
      <c r="W560" s="8">
        <v>0</v>
      </c>
      <c r="Y560" s="8">
        <v>9320766</v>
      </c>
      <c r="AA560" s="14">
        <f t="shared" si="69"/>
        <v>10998388</v>
      </c>
      <c r="AB560" s="8"/>
      <c r="AC560" s="8">
        <f t="shared" si="66"/>
        <v>0</v>
      </c>
    </row>
    <row r="561" spans="1:29">
      <c r="A561" s="12" t="s">
        <v>701</v>
      </c>
      <c r="B561" s="12"/>
      <c r="C561" s="12" t="s">
        <v>65</v>
      </c>
      <c r="D561" s="12"/>
      <c r="E561" s="32">
        <v>50302</v>
      </c>
      <c r="G561" s="8">
        <v>2432620</v>
      </c>
      <c r="I561" s="8">
        <v>0</v>
      </c>
      <c r="K561" s="3">
        <f t="shared" si="67"/>
        <v>5434339</v>
      </c>
      <c r="M561" s="8">
        <v>7866959</v>
      </c>
      <c r="O561" s="3">
        <f t="shared" si="68"/>
        <v>1388234</v>
      </c>
      <c r="Q561" s="8">
        <f>616411+4282911</f>
        <v>4899322</v>
      </c>
      <c r="S561" s="8">
        <v>6287556</v>
      </c>
      <c r="U561" s="8">
        <f>35707+41616+19173+379033</f>
        <v>475529</v>
      </c>
      <c r="W561" s="8">
        <v>0</v>
      </c>
      <c r="Y561" s="8">
        <v>1103874</v>
      </c>
      <c r="AA561" s="14">
        <f t="shared" si="69"/>
        <v>1579403</v>
      </c>
      <c r="AB561" s="8"/>
      <c r="AC561" s="8">
        <f t="shared" si="66"/>
        <v>0</v>
      </c>
    </row>
    <row r="562" spans="1:29">
      <c r="A562" s="12" t="s">
        <v>661</v>
      </c>
      <c r="B562" s="12"/>
      <c r="C562" s="12" t="s">
        <v>62</v>
      </c>
      <c r="D562" s="12"/>
      <c r="E562" s="32">
        <v>49957</v>
      </c>
      <c r="G562" s="8">
        <v>873067</v>
      </c>
      <c r="I562" s="8">
        <v>0</v>
      </c>
      <c r="K562" s="3">
        <f t="shared" si="67"/>
        <v>3982026</v>
      </c>
      <c r="M562" s="8">
        <v>4855093</v>
      </c>
      <c r="O562" s="3">
        <f t="shared" si="68"/>
        <v>1149132</v>
      </c>
      <c r="Q562" s="8">
        <v>3702861</v>
      </c>
      <c r="S562" s="8">
        <v>4851993</v>
      </c>
      <c r="U562" s="8">
        <f>85134+185930+18752</f>
        <v>289816</v>
      </c>
      <c r="W562" s="8">
        <v>0</v>
      </c>
      <c r="Y562" s="8">
        <v>-286716</v>
      </c>
      <c r="AA562" s="14">
        <f t="shared" si="69"/>
        <v>3100</v>
      </c>
      <c r="AB562" s="8"/>
      <c r="AC562" s="8">
        <f t="shared" si="66"/>
        <v>0</v>
      </c>
    </row>
    <row r="563" spans="1:29" hidden="1">
      <c r="A563" s="12" t="s">
        <v>1025</v>
      </c>
      <c r="B563" s="12"/>
      <c r="C563" s="12" t="s">
        <v>57</v>
      </c>
      <c r="D563" s="12"/>
      <c r="E563" s="32">
        <v>49296</v>
      </c>
      <c r="G563" s="8">
        <v>1262079</v>
      </c>
      <c r="I563" s="8">
        <v>245234</v>
      </c>
      <c r="K563" s="3">
        <f t="shared" si="67"/>
        <v>0</v>
      </c>
      <c r="M563" s="8">
        <v>1507313</v>
      </c>
      <c r="O563" s="3">
        <f t="shared" si="68"/>
        <v>0</v>
      </c>
      <c r="U563" s="8">
        <f>18670+245234</f>
        <v>263904</v>
      </c>
      <c r="Y563" s="8">
        <v>1243409</v>
      </c>
      <c r="AA563" s="14">
        <f t="shared" si="69"/>
        <v>1507313</v>
      </c>
      <c r="AB563" s="8"/>
      <c r="AC563" s="8">
        <f t="shared" si="66"/>
        <v>0</v>
      </c>
    </row>
    <row r="564" spans="1:29">
      <c r="A564" s="12" t="s">
        <v>673</v>
      </c>
      <c r="B564" s="12"/>
      <c r="C564" s="12" t="s">
        <v>63</v>
      </c>
      <c r="D564" s="12"/>
      <c r="E564" s="32">
        <v>50070</v>
      </c>
      <c r="G564" s="8">
        <v>25118613</v>
      </c>
      <c r="I564" s="8">
        <v>0</v>
      </c>
      <c r="K564" s="3">
        <f t="shared" si="67"/>
        <v>24540222</v>
      </c>
      <c r="M564" s="8">
        <v>49658835</v>
      </c>
      <c r="O564" s="3">
        <f t="shared" si="68"/>
        <v>5681962</v>
      </c>
      <c r="Q564" s="8">
        <v>15252936</v>
      </c>
      <c r="S564" s="8">
        <v>20934898</v>
      </c>
      <c r="U564" s="8">
        <v>389987</v>
      </c>
      <c r="W564" s="8">
        <v>0</v>
      </c>
      <c r="Y564" s="8">
        <v>28333950</v>
      </c>
      <c r="AA564" s="14">
        <f t="shared" si="69"/>
        <v>28723937</v>
      </c>
      <c r="AB564" s="8"/>
      <c r="AC564" s="8">
        <f t="shared" si="66"/>
        <v>0</v>
      </c>
    </row>
    <row r="565" spans="1:29">
      <c r="A565" s="12" t="s">
        <v>236</v>
      </c>
      <c r="B565" s="12"/>
      <c r="C565" s="12" t="s">
        <v>15</v>
      </c>
      <c r="D565" s="12"/>
      <c r="E565" s="32">
        <v>46011</v>
      </c>
      <c r="G565" s="8">
        <v>0</v>
      </c>
      <c r="I565" s="8">
        <v>165244</v>
      </c>
      <c r="K565" s="3">
        <f t="shared" si="67"/>
        <v>2583577</v>
      </c>
      <c r="M565" s="8">
        <v>2748821</v>
      </c>
      <c r="O565" s="3">
        <f t="shared" si="68"/>
        <v>1617662</v>
      </c>
      <c r="Q565" s="8">
        <v>1980239</v>
      </c>
      <c r="S565" s="8">
        <v>3597901</v>
      </c>
      <c r="U565" s="8">
        <f>22253+337323+66057+137089+250000</f>
        <v>812722</v>
      </c>
      <c r="W565" s="8">
        <v>0</v>
      </c>
      <c r="Y565" s="8">
        <v>-1661802</v>
      </c>
      <c r="AA565" s="14">
        <f t="shared" si="69"/>
        <v>-849080</v>
      </c>
      <c r="AB565" s="8"/>
      <c r="AC565" s="8">
        <f t="shared" si="66"/>
        <v>0</v>
      </c>
    </row>
    <row r="566" spans="1:29">
      <c r="A566" s="12" t="s">
        <v>620</v>
      </c>
      <c r="B566" s="12"/>
      <c r="C566" s="12" t="s">
        <v>58</v>
      </c>
      <c r="D566" s="12"/>
      <c r="E566" s="32">
        <v>49536</v>
      </c>
      <c r="G566" s="8">
        <v>8768575</v>
      </c>
      <c r="I566" s="8">
        <v>221783</v>
      </c>
      <c r="K566" s="3">
        <f t="shared" si="67"/>
        <v>3271628</v>
      </c>
      <c r="M566" s="8">
        <v>12261986</v>
      </c>
      <c r="O566" s="3">
        <f t="shared" si="68"/>
        <v>1797935</v>
      </c>
      <c r="Q566" s="8">
        <v>2551451</v>
      </c>
      <c r="S566" s="8">
        <v>4349386</v>
      </c>
      <c r="U566" s="8">
        <f>1555326+300501+191156+26621+4006</f>
        <v>2077610</v>
      </c>
      <c r="W566" s="8">
        <v>0</v>
      </c>
      <c r="Y566" s="8">
        <v>5834990</v>
      </c>
      <c r="AA566" s="14">
        <f t="shared" si="69"/>
        <v>7912600</v>
      </c>
      <c r="AB566" s="8"/>
      <c r="AC566" s="8">
        <f t="shared" si="66"/>
        <v>0</v>
      </c>
    </row>
    <row r="567" spans="1:29">
      <c r="A567" s="12" t="s">
        <v>285</v>
      </c>
      <c r="B567" s="12"/>
      <c r="C567" s="12" t="s">
        <v>114</v>
      </c>
      <c r="D567" s="12"/>
      <c r="E567" s="32">
        <v>46458</v>
      </c>
      <c r="G567" s="8">
        <v>4034719</v>
      </c>
      <c r="I567" s="8">
        <v>62146</v>
      </c>
      <c r="K567" s="3">
        <f t="shared" si="67"/>
        <v>2716676</v>
      </c>
      <c r="M567" s="8">
        <v>6813541</v>
      </c>
      <c r="O567" s="3">
        <f t="shared" si="68"/>
        <v>1514013</v>
      </c>
      <c r="Q567" s="8">
        <f>157419+2225085</f>
        <v>2382504</v>
      </c>
      <c r="S567" s="8">
        <v>3896517</v>
      </c>
      <c r="U567" s="8">
        <f>44234+723+55641+62146</f>
        <v>162744</v>
      </c>
      <c r="W567" s="8">
        <f>11000+97257</f>
        <v>108257</v>
      </c>
      <c r="Y567" s="8">
        <v>2646023</v>
      </c>
      <c r="AA567" s="14">
        <f t="shared" si="69"/>
        <v>2917024</v>
      </c>
      <c r="AB567" s="8"/>
      <c r="AC567" s="8">
        <f t="shared" si="66"/>
        <v>0</v>
      </c>
    </row>
    <row r="568" spans="1:29">
      <c r="A568" s="12" t="s">
        <v>364</v>
      </c>
      <c r="B568" s="12"/>
      <c r="C568" s="12" t="s">
        <v>27</v>
      </c>
      <c r="D568" s="12"/>
      <c r="E568" s="32">
        <v>44933</v>
      </c>
      <c r="G568" s="8">
        <v>39868079</v>
      </c>
      <c r="I568" s="8">
        <v>285453</v>
      </c>
      <c r="K568" s="3">
        <f t="shared" si="67"/>
        <v>56738655</v>
      </c>
      <c r="M568" s="8">
        <v>96892187</v>
      </c>
      <c r="O568" s="3">
        <f t="shared" si="68"/>
        <v>9782508</v>
      </c>
      <c r="Q568" s="8">
        <v>38574500</v>
      </c>
      <c r="S568" s="8">
        <v>48357008</v>
      </c>
      <c r="U568" s="8">
        <f>671030+35509+24117800+285453</f>
        <v>25109792</v>
      </c>
      <c r="W568" s="8">
        <v>926016</v>
      </c>
      <c r="Y568" s="8">
        <v>22499371</v>
      </c>
      <c r="AA568" s="14">
        <f t="shared" si="69"/>
        <v>48535179</v>
      </c>
      <c r="AB568" s="8"/>
      <c r="AC568" s="8">
        <f t="shared" si="66"/>
        <v>0</v>
      </c>
    </row>
    <row r="569" spans="1:29" hidden="1">
      <c r="A569" s="12" t="s">
        <v>1026</v>
      </c>
      <c r="B569" s="12"/>
      <c r="C569" s="12" t="s">
        <v>740</v>
      </c>
      <c r="D569" s="12"/>
      <c r="E569" s="32">
        <v>45625</v>
      </c>
      <c r="G569" s="8">
        <v>4301094</v>
      </c>
      <c r="K569" s="3">
        <f t="shared" si="67"/>
        <v>0</v>
      </c>
      <c r="M569" s="8">
        <v>4301094</v>
      </c>
      <c r="O569" s="3">
        <f t="shared" si="68"/>
        <v>0</v>
      </c>
      <c r="U569" s="8">
        <f>7109+151993</f>
        <v>159102</v>
      </c>
      <c r="W569" s="8">
        <v>4141992</v>
      </c>
      <c r="AA569" s="14">
        <f t="shared" si="69"/>
        <v>4301094</v>
      </c>
      <c r="AB569" s="8"/>
      <c r="AC569" s="8">
        <f t="shared" si="66"/>
        <v>0</v>
      </c>
    </row>
    <row r="570" spans="1:29" hidden="1">
      <c r="A570" s="12" t="s">
        <v>1027</v>
      </c>
      <c r="B570" s="12"/>
      <c r="C570" s="12" t="s">
        <v>421</v>
      </c>
      <c r="D570" s="12"/>
      <c r="E570" s="32">
        <v>47522</v>
      </c>
      <c r="G570" s="8">
        <v>2919812</v>
      </c>
      <c r="I570" s="8">
        <v>13431</v>
      </c>
      <c r="K570" s="3">
        <f t="shared" si="67"/>
        <v>0</v>
      </c>
      <c r="M570" s="8">
        <v>2933243</v>
      </c>
      <c r="O570" s="3">
        <f t="shared" si="68"/>
        <v>0</v>
      </c>
      <c r="U570" s="8">
        <f>249852+13431</f>
        <v>263283</v>
      </c>
      <c r="Y570" s="8">
        <v>2669960</v>
      </c>
      <c r="AA570" s="14">
        <f t="shared" si="69"/>
        <v>2933243</v>
      </c>
      <c r="AB570" s="8"/>
      <c r="AC570" s="8">
        <f t="shared" si="66"/>
        <v>0</v>
      </c>
    </row>
    <row r="571" spans="1:29">
      <c r="A571" s="12" t="s">
        <v>258</v>
      </c>
      <c r="B571" s="12"/>
      <c r="C571" s="12" t="s">
        <v>255</v>
      </c>
      <c r="D571" s="12"/>
      <c r="E571" s="32">
        <v>44941</v>
      </c>
      <c r="G571" s="8">
        <v>4378330</v>
      </c>
      <c r="I571" s="8">
        <v>478425</v>
      </c>
      <c r="K571" s="3">
        <f t="shared" si="67"/>
        <v>8900697</v>
      </c>
      <c r="M571" s="8">
        <v>13757452</v>
      </c>
      <c r="O571" s="3">
        <f t="shared" si="68"/>
        <v>3850558</v>
      </c>
      <c r="Q571" s="8">
        <f>509790+5137717</f>
        <v>5647507</v>
      </c>
      <c r="S571" s="8">
        <v>9498065</v>
      </c>
      <c r="U571" s="8">
        <f>436517+6533+2993918+58854+113449+364228+748</f>
        <v>3974247</v>
      </c>
      <c r="W571" s="8">
        <v>253159</v>
      </c>
      <c r="Y571" s="8">
        <v>31981</v>
      </c>
      <c r="AA571" s="14">
        <f t="shared" si="69"/>
        <v>4259387</v>
      </c>
      <c r="AB571" s="8"/>
      <c r="AC571" s="8">
        <f t="shared" si="66"/>
        <v>0</v>
      </c>
    </row>
    <row r="572" spans="1:29" hidden="1">
      <c r="A572" s="12" t="s">
        <v>1028</v>
      </c>
      <c r="B572" s="12"/>
      <c r="C572" s="12" t="s">
        <v>59</v>
      </c>
      <c r="D572" s="12"/>
      <c r="E572" s="32">
        <v>49643</v>
      </c>
      <c r="G572" s="8">
        <v>1347864</v>
      </c>
      <c r="I572" s="8">
        <v>36052</v>
      </c>
      <c r="K572" s="3">
        <f t="shared" si="67"/>
        <v>45024</v>
      </c>
      <c r="M572" s="8">
        <v>1428940</v>
      </c>
      <c r="O572" s="3">
        <f t="shared" si="68"/>
        <v>0</v>
      </c>
      <c r="U572" s="8">
        <f>378786+36052</f>
        <v>414838</v>
      </c>
      <c r="Y572" s="8">
        <v>1014102</v>
      </c>
      <c r="AA572" s="14">
        <f t="shared" si="69"/>
        <v>1428940</v>
      </c>
      <c r="AB572" s="8"/>
      <c r="AC572" s="8">
        <f t="shared" si="66"/>
        <v>0</v>
      </c>
    </row>
    <row r="573" spans="1:29">
      <c r="A573" s="12" t="s">
        <v>556</v>
      </c>
      <c r="B573" s="12"/>
      <c r="C573" s="12" t="s">
        <v>50</v>
      </c>
      <c r="D573" s="12"/>
      <c r="E573" s="32">
        <v>48744</v>
      </c>
      <c r="G573" s="8">
        <v>7357387</v>
      </c>
      <c r="I573" s="8">
        <v>613</v>
      </c>
      <c r="K573" s="3">
        <f t="shared" si="67"/>
        <v>5910376</v>
      </c>
      <c r="M573" s="8">
        <v>13268376</v>
      </c>
      <c r="O573" s="3">
        <f t="shared" si="68"/>
        <v>2621057</v>
      </c>
      <c r="Q573" s="8">
        <f>197256+4279944</f>
        <v>4477200</v>
      </c>
      <c r="S573" s="8">
        <v>7098257</v>
      </c>
      <c r="U573" s="8">
        <f>56441+320056+613+8212</f>
        <v>385322</v>
      </c>
      <c r="W573" s="8">
        <v>0</v>
      </c>
      <c r="Y573" s="8">
        <v>5784797</v>
      </c>
      <c r="AA573" s="14">
        <f t="shared" si="69"/>
        <v>6170119</v>
      </c>
      <c r="AB573" s="8"/>
      <c r="AC573" s="8">
        <f t="shared" si="66"/>
        <v>0</v>
      </c>
    </row>
    <row r="574" spans="1:29">
      <c r="A574" s="12" t="s">
        <v>419</v>
      </c>
      <c r="B574" s="12"/>
      <c r="C574" s="12" t="s">
        <v>33</v>
      </c>
      <c r="D574" s="12"/>
      <c r="E574" s="32">
        <v>47464</v>
      </c>
      <c r="G574" s="8">
        <v>5896714</v>
      </c>
      <c r="I574" s="8">
        <v>453204</v>
      </c>
      <c r="K574" s="3">
        <f t="shared" si="67"/>
        <v>7709006</v>
      </c>
      <c r="M574" s="8">
        <v>14058924</v>
      </c>
      <c r="O574" s="3">
        <f t="shared" si="68"/>
        <v>943290</v>
      </c>
      <c r="Q574" s="8">
        <v>7109320</v>
      </c>
      <c r="S574" s="8">
        <v>8052610</v>
      </c>
      <c r="U574" s="8">
        <f>506000+446730+6474+121729</f>
        <v>1080933</v>
      </c>
      <c r="W574" s="8">
        <v>0</v>
      </c>
      <c r="Y574" s="8">
        <v>4925381</v>
      </c>
      <c r="AA574" s="14">
        <f t="shared" si="69"/>
        <v>6006314</v>
      </c>
      <c r="AB574" s="8"/>
      <c r="AC574" s="8">
        <f t="shared" si="66"/>
        <v>0</v>
      </c>
    </row>
    <row r="575" spans="1:29">
      <c r="A575" s="12" t="s">
        <v>706</v>
      </c>
      <c r="B575" s="12"/>
      <c r="C575" s="12" t="s">
        <v>67</v>
      </c>
      <c r="D575" s="12"/>
      <c r="E575" s="32">
        <v>44966</v>
      </c>
      <c r="G575" s="8">
        <v>6214392</v>
      </c>
      <c r="I575" s="8">
        <v>59390</v>
      </c>
      <c r="K575" s="3">
        <f t="shared" si="67"/>
        <v>7862735</v>
      </c>
      <c r="M575" s="8">
        <v>14136517</v>
      </c>
      <c r="O575" s="3">
        <f t="shared" si="68"/>
        <v>2094946</v>
      </c>
      <c r="Q575" s="8">
        <v>6238748</v>
      </c>
      <c r="S575" s="8">
        <v>8333694</v>
      </c>
      <c r="U575" s="8">
        <f>200000+52993+6397+444329+169225</f>
        <v>872944</v>
      </c>
      <c r="W575" s="8">
        <v>0</v>
      </c>
      <c r="Y575" s="8">
        <v>4929879</v>
      </c>
      <c r="AA575" s="14">
        <f t="shared" si="69"/>
        <v>5802823</v>
      </c>
      <c r="AB575" s="8"/>
      <c r="AC575" s="8">
        <f t="shared" si="66"/>
        <v>0</v>
      </c>
    </row>
    <row r="576" spans="1:29">
      <c r="A576" s="12" t="s">
        <v>557</v>
      </c>
      <c r="B576" s="12"/>
      <c r="C576" s="12" t="s">
        <v>50</v>
      </c>
      <c r="D576" s="12"/>
      <c r="E576" s="32">
        <v>44958</v>
      </c>
      <c r="G576" s="8">
        <v>16642827</v>
      </c>
      <c r="I576" s="8">
        <v>0</v>
      </c>
      <c r="K576" s="3">
        <f t="shared" si="67"/>
        <v>22419478</v>
      </c>
      <c r="M576" s="8">
        <v>39062305</v>
      </c>
      <c r="O576" s="3">
        <f t="shared" si="68"/>
        <v>4233480</v>
      </c>
      <c r="Q576" s="8">
        <v>20903763</v>
      </c>
      <c r="S576" s="8">
        <v>25137243</v>
      </c>
      <c r="U576" s="8">
        <f>881660+1047258</f>
        <v>1928918</v>
      </c>
      <c r="W576" s="8">
        <v>0</v>
      </c>
      <c r="Y576" s="8">
        <v>11996144</v>
      </c>
      <c r="AA576" s="14">
        <f t="shared" si="69"/>
        <v>13925062</v>
      </c>
      <c r="AB576" s="8"/>
      <c r="AC576" s="8">
        <f t="shared" si="66"/>
        <v>0</v>
      </c>
    </row>
    <row r="577" spans="1:31" hidden="1">
      <c r="A577" s="12" t="s">
        <v>1031</v>
      </c>
      <c r="B577" s="12"/>
      <c r="C577" s="12" t="s">
        <v>33</v>
      </c>
      <c r="D577" s="12"/>
      <c r="E577" s="32">
        <v>47472</v>
      </c>
      <c r="G577" s="8">
        <v>1568621</v>
      </c>
      <c r="K577" s="3">
        <f t="shared" si="67"/>
        <v>0</v>
      </c>
      <c r="M577" s="8">
        <v>1568621</v>
      </c>
      <c r="O577" s="3">
        <f t="shared" si="68"/>
        <v>0</v>
      </c>
      <c r="U577" s="8">
        <f>81721+21083+74826</f>
        <v>177630</v>
      </c>
      <c r="Y577" s="8">
        <v>1390991</v>
      </c>
      <c r="AA577" s="14">
        <f t="shared" si="69"/>
        <v>1568621</v>
      </c>
      <c r="AB577" s="8"/>
      <c r="AC577" s="8">
        <f t="shared" si="66"/>
        <v>0</v>
      </c>
    </row>
    <row r="578" spans="1:31">
      <c r="A578" s="12" t="s">
        <v>342</v>
      </c>
      <c r="B578" s="12"/>
      <c r="C578" s="12" t="s">
        <v>24</v>
      </c>
      <c r="D578" s="12"/>
      <c r="E578" s="32">
        <v>46821</v>
      </c>
      <c r="G578" s="8">
        <v>10636235</v>
      </c>
      <c r="I578" s="8">
        <v>24778</v>
      </c>
      <c r="K578" s="3">
        <f t="shared" si="67"/>
        <v>17093154</v>
      </c>
      <c r="M578" s="8">
        <v>27754167</v>
      </c>
      <c r="O578" s="3">
        <f t="shared" si="68"/>
        <v>2614333</v>
      </c>
      <c r="Q578" s="8">
        <f>13407005+1692499</f>
        <v>15099504</v>
      </c>
      <c r="S578" s="8">
        <v>17713837</v>
      </c>
      <c r="U578" s="8">
        <f>1262705+54172+1505023+24778</f>
        <v>2846678</v>
      </c>
      <c r="W578" s="8">
        <v>0</v>
      </c>
      <c r="Y578" s="8">
        <v>7193652</v>
      </c>
      <c r="AA578" s="14">
        <f t="shared" si="69"/>
        <v>10040330</v>
      </c>
      <c r="AB578" s="8"/>
      <c r="AC578" s="8">
        <f t="shared" si="66"/>
        <v>0</v>
      </c>
    </row>
    <row r="579" spans="1:31" hidden="1">
      <c r="A579" s="91" t="s">
        <v>1032</v>
      </c>
      <c r="B579" s="12"/>
      <c r="C579" s="12" t="s">
        <v>21</v>
      </c>
      <c r="D579" s="12"/>
      <c r="E579" s="32"/>
      <c r="K579" s="3"/>
      <c r="O579" s="3"/>
      <c r="AA579" s="14"/>
      <c r="AB579" s="8"/>
      <c r="AE579" s="8" t="s">
        <v>967</v>
      </c>
    </row>
    <row r="580" spans="1:31">
      <c r="A580" s="12" t="s">
        <v>707</v>
      </c>
      <c r="B580" s="12"/>
      <c r="C580" s="12" t="s">
        <v>68</v>
      </c>
      <c r="D580" s="12"/>
      <c r="E580" s="32">
        <v>50393</v>
      </c>
      <c r="G580" s="8">
        <v>11778663</v>
      </c>
      <c r="I580" s="8">
        <v>1157064</v>
      </c>
      <c r="K580" s="3">
        <f t="shared" si="67"/>
        <v>4897990</v>
      </c>
      <c r="M580" s="8">
        <v>17833717</v>
      </c>
      <c r="O580" s="3">
        <f t="shared" si="68"/>
        <v>2564665</v>
      </c>
      <c r="Q580" s="8">
        <v>4375026</v>
      </c>
      <c r="S580" s="8">
        <v>6939691</v>
      </c>
      <c r="U580" s="8">
        <f>777658+129031+34381+932799+224265</f>
        <v>2098134</v>
      </c>
      <c r="W580" s="8">
        <v>0</v>
      </c>
      <c r="Y580" s="8">
        <v>8795892</v>
      </c>
      <c r="AA580" s="14">
        <f t="shared" si="69"/>
        <v>10894026</v>
      </c>
      <c r="AB580" s="8"/>
      <c r="AC580" s="8">
        <f t="shared" si="66"/>
        <v>0</v>
      </c>
    </row>
    <row r="581" spans="1:31">
      <c r="A581" s="12" t="s">
        <v>530</v>
      </c>
      <c r="B581" s="12"/>
      <c r="C581" s="12" t="s">
        <v>47</v>
      </c>
      <c r="D581" s="12"/>
      <c r="E581" s="32">
        <v>44974</v>
      </c>
      <c r="G581" s="8">
        <v>10112611</v>
      </c>
      <c r="I581" s="8">
        <v>0</v>
      </c>
      <c r="K581" s="3">
        <f t="shared" si="67"/>
        <v>15912420</v>
      </c>
      <c r="M581" s="8">
        <v>26025031</v>
      </c>
      <c r="O581" s="3">
        <f t="shared" si="68"/>
        <v>4895207</v>
      </c>
      <c r="Q581" s="8">
        <v>14481961</v>
      </c>
      <c r="S581" s="8">
        <v>19377168</v>
      </c>
      <c r="U581" s="8">
        <f>535976+1390300</f>
        <v>1926276</v>
      </c>
      <c r="W581" s="8">
        <v>0</v>
      </c>
      <c r="Y581" s="8">
        <v>4721587</v>
      </c>
      <c r="AA581" s="14">
        <f>+Y581+W581++U581</f>
        <v>6647863</v>
      </c>
      <c r="AB581" s="8"/>
      <c r="AC581" s="8">
        <f>+G581+I581+K581-O581-Q581-Y581-W581-U581</f>
        <v>0</v>
      </c>
    </row>
    <row r="582" spans="1:31">
      <c r="A582" s="12" t="s">
        <v>692</v>
      </c>
      <c r="B582" s="12"/>
      <c r="C582" s="12" t="s">
        <v>64</v>
      </c>
      <c r="D582" s="12"/>
      <c r="E582" s="32">
        <v>44990</v>
      </c>
      <c r="G582" s="8">
        <v>19517288</v>
      </c>
      <c r="I582" s="8">
        <v>323647</v>
      </c>
      <c r="K582" s="3">
        <f t="shared" si="67"/>
        <v>14290354</v>
      </c>
      <c r="M582" s="8">
        <v>34131289</v>
      </c>
      <c r="O582" s="3">
        <f t="shared" si="68"/>
        <v>6684030</v>
      </c>
      <c r="Q582" s="8">
        <f>3191465+10894614</f>
        <v>14086079</v>
      </c>
      <c r="S582" s="8">
        <v>20770109</v>
      </c>
      <c r="U582" s="8">
        <f>604456+119946+323647</f>
        <v>1048049</v>
      </c>
      <c r="W582" s="8">
        <v>0</v>
      </c>
      <c r="Y582" s="8">
        <v>12313131</v>
      </c>
      <c r="AA582" s="14">
        <f t="shared" ref="AA582:AA600" si="70">+Y582+W582++U582</f>
        <v>13361180</v>
      </c>
      <c r="AB582" s="8"/>
      <c r="AC582" s="8">
        <f t="shared" ref="AC582:AC600" si="71">+G582+I582+K582-O582-Q582-Y582-W582-U582</f>
        <v>0</v>
      </c>
    </row>
    <row r="583" spans="1:31">
      <c r="A583" s="12" t="s">
        <v>719</v>
      </c>
      <c r="B583" s="12"/>
      <c r="C583" s="12" t="s">
        <v>70</v>
      </c>
      <c r="D583" s="12"/>
      <c r="E583" s="32">
        <v>50500</v>
      </c>
      <c r="G583" s="8">
        <v>2350158</v>
      </c>
      <c r="I583" s="8">
        <v>331753</v>
      </c>
      <c r="K583" s="3">
        <f t="shared" si="67"/>
        <v>6544271</v>
      </c>
      <c r="M583" s="8">
        <v>9226182</v>
      </c>
      <c r="O583" s="3">
        <f t="shared" si="68"/>
        <v>2310390</v>
      </c>
      <c r="Q583" s="8">
        <v>6212538</v>
      </c>
      <c r="S583" s="8">
        <v>8522928</v>
      </c>
      <c r="U583" s="8">
        <f>132700+200886+178183+123627+28351+1592</f>
        <v>665339</v>
      </c>
      <c r="W583" s="8">
        <v>0</v>
      </c>
      <c r="Y583" s="8">
        <v>37915</v>
      </c>
      <c r="AA583" s="14">
        <f t="shared" si="70"/>
        <v>703254</v>
      </c>
      <c r="AB583" s="8"/>
      <c r="AC583" s="8">
        <f t="shared" si="71"/>
        <v>0</v>
      </c>
    </row>
    <row r="584" spans="1:31">
      <c r="A584" s="12" t="s">
        <v>324</v>
      </c>
      <c r="B584" s="12"/>
      <c r="C584" s="12" t="s">
        <v>20</v>
      </c>
      <c r="D584" s="12"/>
      <c r="E584" s="32">
        <v>45005</v>
      </c>
      <c r="G584" s="8">
        <v>2243455</v>
      </c>
      <c r="I584" s="8">
        <v>323166</v>
      </c>
      <c r="K584" s="3">
        <f t="shared" si="67"/>
        <v>26310559</v>
      </c>
      <c r="M584" s="8">
        <v>28877180</v>
      </c>
      <c r="O584" s="3">
        <f t="shared" si="68"/>
        <v>3671669</v>
      </c>
      <c r="Q584" s="8">
        <v>23765169</v>
      </c>
      <c r="S584" s="8">
        <v>27436838</v>
      </c>
      <c r="U584" s="8">
        <f>1161355+2167697+313915+9251</f>
        <v>3652218</v>
      </c>
      <c r="W584" s="8">
        <v>0</v>
      </c>
      <c r="Y584" s="8">
        <v>-2211876</v>
      </c>
      <c r="AA584" s="14">
        <f t="shared" si="70"/>
        <v>1440342</v>
      </c>
      <c r="AB584" s="8"/>
      <c r="AC584" s="8">
        <f t="shared" si="71"/>
        <v>0</v>
      </c>
    </row>
    <row r="585" spans="1:31">
      <c r="A585" s="12" t="s">
        <v>351</v>
      </c>
      <c r="B585" s="12"/>
      <c r="C585" s="12" t="s">
        <v>26</v>
      </c>
      <c r="D585" s="12"/>
      <c r="E585" s="32">
        <v>45013</v>
      </c>
      <c r="G585" s="8">
        <v>1679299</v>
      </c>
      <c r="I585" s="8">
        <v>42756</v>
      </c>
      <c r="K585" s="3">
        <f t="shared" ref="K585:K590" si="72">+M585-I585-G585</f>
        <v>5826294</v>
      </c>
      <c r="M585" s="8">
        <v>7548349</v>
      </c>
      <c r="O585" s="3">
        <f t="shared" ref="O585:O590" si="73">+S585-Q585</f>
        <v>2497626</v>
      </c>
      <c r="Q585" s="8">
        <v>2794393</v>
      </c>
      <c r="S585" s="8">
        <v>5292019</v>
      </c>
      <c r="U585" s="8">
        <f>35930+1714584+42756</f>
        <v>1793270</v>
      </c>
      <c r="W585" s="8">
        <v>0</v>
      </c>
      <c r="Y585" s="8">
        <v>463060</v>
      </c>
      <c r="AA585" s="14">
        <f t="shared" si="70"/>
        <v>2256330</v>
      </c>
      <c r="AB585" s="8"/>
      <c r="AC585" s="8">
        <f t="shared" si="71"/>
        <v>0</v>
      </c>
    </row>
    <row r="586" spans="1:31">
      <c r="A586" s="12" t="s">
        <v>503</v>
      </c>
      <c r="B586" s="12"/>
      <c r="C586" s="12" t="s">
        <v>117</v>
      </c>
      <c r="D586" s="12"/>
      <c r="E586" s="32">
        <v>48231</v>
      </c>
      <c r="G586" s="8">
        <v>36197296</v>
      </c>
      <c r="I586" s="8">
        <v>0</v>
      </c>
      <c r="K586" s="3">
        <f t="shared" si="72"/>
        <v>35186720</v>
      </c>
      <c r="M586" s="8">
        <v>71384016</v>
      </c>
      <c r="O586" s="3">
        <f t="shared" si="73"/>
        <v>9942981</v>
      </c>
      <c r="Q586" s="8">
        <f>3168596+29561552</f>
        <v>32730148</v>
      </c>
      <c r="S586" s="8">
        <v>42673129</v>
      </c>
      <c r="U586" s="8">
        <f>1136990+137088+1490433+149201</f>
        <v>2913712</v>
      </c>
      <c r="W586" s="8">
        <v>1800000</v>
      </c>
      <c r="Y586" s="8">
        <v>23997175</v>
      </c>
      <c r="AA586" s="14">
        <f t="shared" si="70"/>
        <v>28710887</v>
      </c>
      <c r="AB586" s="8"/>
      <c r="AC586" s="8">
        <f t="shared" si="71"/>
        <v>0</v>
      </c>
    </row>
    <row r="587" spans="1:31" s="35" customFormat="1">
      <c r="A587" s="34" t="s">
        <v>633</v>
      </c>
      <c r="B587" s="34"/>
      <c r="C587" s="34" t="s">
        <v>59</v>
      </c>
      <c r="D587" s="34"/>
      <c r="E587" s="32">
        <v>49650</v>
      </c>
      <c r="G587" s="8">
        <v>2788924</v>
      </c>
      <c r="H587" s="8"/>
      <c r="I587" s="8">
        <v>143293</v>
      </c>
      <c r="J587" s="8"/>
      <c r="K587" s="3">
        <f t="shared" si="72"/>
        <v>1675638</v>
      </c>
      <c r="L587" s="8"/>
      <c r="M587" s="8">
        <v>4607855</v>
      </c>
      <c r="N587" s="8"/>
      <c r="O587" s="3">
        <f t="shared" si="73"/>
        <v>1267031</v>
      </c>
      <c r="P587" s="8"/>
      <c r="Q587" s="8">
        <v>1514190</v>
      </c>
      <c r="R587" s="8"/>
      <c r="S587" s="8">
        <v>2781221</v>
      </c>
      <c r="T587" s="8"/>
      <c r="U587" s="8">
        <f>348336+104177+121834+21459</f>
        <v>595806</v>
      </c>
      <c r="V587" s="8"/>
      <c r="W587" s="8">
        <v>213191</v>
      </c>
      <c r="X587" s="8"/>
      <c r="Y587" s="8">
        <v>1017637</v>
      </c>
      <c r="Z587" s="8"/>
      <c r="AA587" s="14">
        <f t="shared" si="70"/>
        <v>1826634</v>
      </c>
      <c r="AB587" s="8"/>
      <c r="AC587" s="8">
        <f t="shared" si="71"/>
        <v>0</v>
      </c>
    </row>
    <row r="588" spans="1:31">
      <c r="A588" s="12" t="s">
        <v>596</v>
      </c>
      <c r="B588" s="12"/>
      <c r="C588" s="12" t="s">
        <v>56</v>
      </c>
      <c r="D588" s="12"/>
      <c r="E588" s="32">
        <v>49247</v>
      </c>
      <c r="G588" s="8">
        <v>2001175</v>
      </c>
      <c r="I588" s="8">
        <v>15528</v>
      </c>
      <c r="K588" s="3">
        <f t="shared" si="72"/>
        <v>3120850</v>
      </c>
      <c r="M588" s="8">
        <v>5137553</v>
      </c>
      <c r="O588" s="3">
        <f t="shared" si="73"/>
        <v>1314490</v>
      </c>
      <c r="Q588" s="8">
        <f>124424+2669730</f>
        <v>2794154</v>
      </c>
      <c r="S588" s="8">
        <v>4108644</v>
      </c>
      <c r="U588" s="8">
        <f>549190+16708+301782+15528</f>
        <v>883208</v>
      </c>
      <c r="W588" s="8">
        <v>0</v>
      </c>
      <c r="Y588" s="8">
        <v>145701</v>
      </c>
      <c r="AA588" s="14">
        <f t="shared" si="70"/>
        <v>1028909</v>
      </c>
      <c r="AB588" s="8"/>
      <c r="AC588" s="8">
        <f t="shared" si="71"/>
        <v>0</v>
      </c>
    </row>
    <row r="589" spans="1:31">
      <c r="A589" s="12" t="s">
        <v>374</v>
      </c>
      <c r="B589" s="12"/>
      <c r="C589" s="12" t="s">
        <v>28</v>
      </c>
      <c r="D589" s="12"/>
      <c r="E589" s="32">
        <v>45641</v>
      </c>
      <c r="G589" s="8">
        <v>4866629</v>
      </c>
      <c r="I589" s="8">
        <v>32026</v>
      </c>
      <c r="K589" s="3">
        <f t="shared" si="72"/>
        <v>4590585</v>
      </c>
      <c r="M589" s="8">
        <v>9489240</v>
      </c>
      <c r="O589" s="3">
        <f t="shared" si="73"/>
        <v>2098488</v>
      </c>
      <c r="Q589" s="8">
        <f>92116+4091104</f>
        <v>4183220</v>
      </c>
      <c r="S589" s="8">
        <v>6281708</v>
      </c>
      <c r="U589" s="8">
        <f>9857+24433+54507+311672+32026</f>
        <v>432495</v>
      </c>
      <c r="W589" s="8">
        <v>0</v>
      </c>
      <c r="Y589" s="8">
        <v>2775037</v>
      </c>
      <c r="AA589" s="14">
        <f t="shared" si="70"/>
        <v>3207532</v>
      </c>
      <c r="AB589" s="8"/>
      <c r="AC589" s="8">
        <f t="shared" si="71"/>
        <v>0</v>
      </c>
    </row>
    <row r="590" spans="1:31">
      <c r="A590" s="12" t="s">
        <v>586</v>
      </c>
      <c r="B590" s="12"/>
      <c r="C590" s="12" t="s">
        <v>55</v>
      </c>
      <c r="D590" s="12"/>
      <c r="E590" s="32">
        <v>49148</v>
      </c>
      <c r="G590" s="8">
        <v>2641320</v>
      </c>
      <c r="I590" s="8">
        <v>57076</v>
      </c>
      <c r="K590" s="3">
        <f t="shared" si="72"/>
        <v>3639823</v>
      </c>
      <c r="M590" s="8">
        <v>6338219</v>
      </c>
      <c r="O590" s="3">
        <f t="shared" si="73"/>
        <v>1720193</v>
      </c>
      <c r="Q590" s="8">
        <v>3276741</v>
      </c>
      <c r="S590" s="8">
        <v>4996934</v>
      </c>
      <c r="U590" s="8">
        <f>340643+344061+57076</f>
        <v>741780</v>
      </c>
      <c r="W590" s="8">
        <v>0</v>
      </c>
      <c r="Y590" s="8">
        <v>599505</v>
      </c>
      <c r="AA590" s="14">
        <f t="shared" si="70"/>
        <v>1341285</v>
      </c>
      <c r="AB590" s="8"/>
      <c r="AC590" s="8">
        <f t="shared" si="71"/>
        <v>0</v>
      </c>
    </row>
    <row r="591" spans="1:31" hidden="1">
      <c r="A591" s="12" t="s">
        <v>1043</v>
      </c>
      <c r="B591" s="12"/>
      <c r="C591" s="12" t="s">
        <v>69</v>
      </c>
      <c r="D591" s="12"/>
      <c r="E591" s="32">
        <v>50468</v>
      </c>
      <c r="K591" s="3">
        <f>+M591-I591-G591</f>
        <v>0</v>
      </c>
      <c r="O591" s="3">
        <f>+S591-Q591</f>
        <v>0</v>
      </c>
      <c r="AA591" s="14">
        <f t="shared" si="70"/>
        <v>0</v>
      </c>
      <c r="AB591" s="8"/>
      <c r="AC591" s="8">
        <f t="shared" si="71"/>
        <v>0</v>
      </c>
    </row>
    <row r="592" spans="1:31" hidden="1">
      <c r="A592" s="12" t="s">
        <v>846</v>
      </c>
      <c r="B592" s="12"/>
      <c r="C592" s="12" t="s">
        <v>576</v>
      </c>
      <c r="D592" s="12"/>
      <c r="E592" s="32">
        <v>49031</v>
      </c>
      <c r="K592" s="3">
        <f>+M592-I592-G592</f>
        <v>0</v>
      </c>
      <c r="O592" s="3">
        <f>+S592-Q592</f>
        <v>0</v>
      </c>
      <c r="AA592" s="14">
        <f t="shared" si="70"/>
        <v>0</v>
      </c>
      <c r="AB592" s="8"/>
      <c r="AC592" s="8">
        <f t="shared" si="71"/>
        <v>0</v>
      </c>
    </row>
    <row r="593" spans="1:29" s="35" customFormat="1" hidden="1">
      <c r="A593" s="12" t="s">
        <v>891</v>
      </c>
      <c r="B593" s="34"/>
      <c r="C593" s="34" t="s">
        <v>14</v>
      </c>
      <c r="D593" s="34"/>
      <c r="E593" s="34">
        <v>45971</v>
      </c>
      <c r="K593" s="42">
        <f t="shared" ref="K593:K601" si="74">+M593-I593-G593</f>
        <v>0</v>
      </c>
      <c r="O593" s="42">
        <f t="shared" ref="O593:O601" si="75">+S593-Q593</f>
        <v>0</v>
      </c>
      <c r="AA593" s="64">
        <f t="shared" si="70"/>
        <v>0</v>
      </c>
      <c r="AC593" s="35">
        <f t="shared" si="71"/>
        <v>0</v>
      </c>
    </row>
    <row r="594" spans="1:29">
      <c r="A594" s="12" t="s">
        <v>693</v>
      </c>
      <c r="B594" s="12"/>
      <c r="C594" s="12" t="s">
        <v>64</v>
      </c>
      <c r="D594" s="12"/>
      <c r="E594" s="32">
        <v>50252</v>
      </c>
      <c r="G594" s="8">
        <v>1904334</v>
      </c>
      <c r="I594" s="8">
        <v>0</v>
      </c>
      <c r="K594" s="3">
        <f t="shared" si="74"/>
        <v>3566347</v>
      </c>
      <c r="M594" s="8">
        <v>5470681</v>
      </c>
      <c r="O594" s="3">
        <f t="shared" si="75"/>
        <v>961601</v>
      </c>
      <c r="Q594" s="8">
        <f>361332+3154021</f>
        <v>3515353</v>
      </c>
      <c r="S594" s="8">
        <v>4476954</v>
      </c>
      <c r="U594" s="8">
        <f>106179+32774+5412</f>
        <v>144365</v>
      </c>
      <c r="W594" s="8">
        <v>0</v>
      </c>
      <c r="Y594" s="8">
        <v>849362</v>
      </c>
      <c r="AA594" s="14">
        <f t="shared" si="70"/>
        <v>993727</v>
      </c>
      <c r="AB594" s="8"/>
      <c r="AC594" s="8">
        <f t="shared" si="71"/>
        <v>0</v>
      </c>
    </row>
    <row r="595" spans="1:29">
      <c r="A595" s="12" t="s">
        <v>495</v>
      </c>
      <c r="B595" s="12"/>
      <c r="C595" s="12" t="s">
        <v>44</v>
      </c>
      <c r="D595" s="12"/>
      <c r="E595" s="32">
        <v>45658</v>
      </c>
      <c r="G595" s="8">
        <v>4619209</v>
      </c>
      <c r="I595" s="8">
        <v>0</v>
      </c>
      <c r="K595" s="3">
        <f t="shared" si="74"/>
        <v>4322366</v>
      </c>
      <c r="M595" s="8">
        <v>8941575</v>
      </c>
      <c r="O595" s="3">
        <f t="shared" si="75"/>
        <v>1647190</v>
      </c>
      <c r="Q595" s="8">
        <v>3439596</v>
      </c>
      <c r="S595" s="8">
        <v>5086786</v>
      </c>
      <c r="U595" s="8">
        <f>88168+215833</f>
        <v>304001</v>
      </c>
      <c r="W595" s="8">
        <v>0</v>
      </c>
      <c r="Y595" s="8">
        <v>3550788</v>
      </c>
      <c r="AA595" s="14">
        <f t="shared" si="70"/>
        <v>3854789</v>
      </c>
      <c r="AB595" s="8"/>
      <c r="AC595" s="8">
        <f t="shared" si="71"/>
        <v>0</v>
      </c>
    </row>
    <row r="596" spans="1:29">
      <c r="A596" s="12" t="s">
        <v>449</v>
      </c>
      <c r="B596" s="12"/>
      <c r="C596" s="12" t="s">
        <v>38</v>
      </c>
      <c r="D596" s="12"/>
      <c r="E596" s="32">
        <v>45021</v>
      </c>
      <c r="G596" s="8">
        <v>7142806</v>
      </c>
      <c r="I596" s="8">
        <v>74339</v>
      </c>
      <c r="K596" s="3">
        <f t="shared" si="74"/>
        <v>3211057</v>
      </c>
      <c r="M596" s="8">
        <v>10428202</v>
      </c>
      <c r="O596" s="3">
        <f t="shared" si="75"/>
        <v>1531474</v>
      </c>
      <c r="Q596" s="8">
        <v>2744852</v>
      </c>
      <c r="S596" s="8">
        <v>4276326</v>
      </c>
      <c r="U596" s="8">
        <f>28792+56688+17651+162185</f>
        <v>265316</v>
      </c>
      <c r="W596" s="8">
        <v>0</v>
      </c>
      <c r="Y596" s="8">
        <v>5886560</v>
      </c>
      <c r="AA596" s="14">
        <f t="shared" si="70"/>
        <v>6151876</v>
      </c>
      <c r="AB596" s="8"/>
      <c r="AC596" s="8">
        <f t="shared" si="71"/>
        <v>0</v>
      </c>
    </row>
    <row r="597" spans="1:29">
      <c r="A597" s="12" t="s">
        <v>286</v>
      </c>
      <c r="B597" s="12"/>
      <c r="C597" s="12" t="s">
        <v>114</v>
      </c>
      <c r="D597" s="12"/>
      <c r="E597" s="32">
        <v>45039</v>
      </c>
      <c r="G597" s="8">
        <v>1830662</v>
      </c>
      <c r="I597" s="8">
        <v>736160</v>
      </c>
      <c r="K597" s="3">
        <f t="shared" si="74"/>
        <v>1045137</v>
      </c>
      <c r="M597" s="8">
        <v>3611959</v>
      </c>
      <c r="O597" s="3">
        <f t="shared" si="75"/>
        <v>840175</v>
      </c>
      <c r="Q597" s="8">
        <f>154691+840453</f>
        <v>995144</v>
      </c>
      <c r="S597" s="8">
        <v>1835319</v>
      </c>
      <c r="U597" s="8">
        <f>80853+13957+24747+70567+415957+249636</f>
        <v>855717</v>
      </c>
      <c r="W597" s="8">
        <v>0</v>
      </c>
      <c r="Y597" s="8">
        <v>920923</v>
      </c>
      <c r="AA597" s="14">
        <f t="shared" si="70"/>
        <v>1776640</v>
      </c>
      <c r="AB597" s="8"/>
      <c r="AC597" s="8">
        <f t="shared" si="71"/>
        <v>0</v>
      </c>
    </row>
    <row r="598" spans="1:29">
      <c r="A598" s="12" t="s">
        <v>518</v>
      </c>
      <c r="B598" s="12"/>
      <c r="C598" s="12" t="s">
        <v>45</v>
      </c>
      <c r="D598" s="12"/>
      <c r="E598" s="32">
        <v>48389</v>
      </c>
      <c r="G598" s="8">
        <v>3861064</v>
      </c>
      <c r="I598" s="8">
        <v>0</v>
      </c>
      <c r="K598" s="3">
        <f t="shared" si="74"/>
        <v>4928629</v>
      </c>
      <c r="M598" s="8">
        <v>8789693</v>
      </c>
      <c r="O598" s="3">
        <f t="shared" si="75"/>
        <v>2507430</v>
      </c>
      <c r="Q598" s="8">
        <f>649718+3993724</f>
        <v>4643442</v>
      </c>
      <c r="S598" s="8">
        <v>7150872</v>
      </c>
      <c r="U598" s="8">
        <f>177475+22300+51255</f>
        <v>251030</v>
      </c>
      <c r="W598" s="8">
        <v>0</v>
      </c>
      <c r="Y598" s="8">
        <v>1387791</v>
      </c>
      <c r="AA598" s="14">
        <f t="shared" si="70"/>
        <v>1638821</v>
      </c>
      <c r="AB598" s="8"/>
      <c r="AC598" s="8">
        <f t="shared" si="71"/>
        <v>0</v>
      </c>
    </row>
    <row r="599" spans="1:29">
      <c r="A599" s="12" t="s">
        <v>1042</v>
      </c>
      <c r="B599" s="12"/>
      <c r="C599" s="12" t="s">
        <v>50</v>
      </c>
      <c r="D599" s="12"/>
      <c r="E599" s="32"/>
      <c r="G599" s="8">
        <v>15221355</v>
      </c>
      <c r="I599" s="8">
        <v>0</v>
      </c>
      <c r="K599" s="3">
        <f t="shared" si="74"/>
        <v>17173606</v>
      </c>
      <c r="M599" s="8">
        <v>32394961</v>
      </c>
      <c r="O599" s="3">
        <f t="shared" si="75"/>
        <v>4425135</v>
      </c>
      <c r="Q599" s="8">
        <f>772663+14819540</f>
        <v>15592203</v>
      </c>
      <c r="S599" s="8">
        <v>20017338</v>
      </c>
      <c r="U599" s="8">
        <f>387742+252912+1064460</f>
        <v>1705114</v>
      </c>
      <c r="W599" s="8">
        <v>0</v>
      </c>
      <c r="Y599" s="8">
        <v>10672509</v>
      </c>
      <c r="AA599" s="14">
        <f t="shared" si="70"/>
        <v>12377623</v>
      </c>
      <c r="AB599" s="8"/>
      <c r="AC599" s="8">
        <f t="shared" si="71"/>
        <v>0</v>
      </c>
    </row>
    <row r="600" spans="1:29">
      <c r="A600" s="12" t="s">
        <v>272</v>
      </c>
      <c r="B600" s="12"/>
      <c r="C600" s="12" t="s">
        <v>115</v>
      </c>
      <c r="D600" s="12"/>
      <c r="E600" s="32">
        <v>46359</v>
      </c>
      <c r="G600" s="8">
        <v>3686558</v>
      </c>
      <c r="I600" s="8">
        <v>0</v>
      </c>
      <c r="K600" s="3">
        <f t="shared" si="74"/>
        <v>34374748</v>
      </c>
      <c r="M600" s="8">
        <v>38061306</v>
      </c>
      <c r="O600" s="3">
        <f t="shared" si="75"/>
        <v>8967617</v>
      </c>
      <c r="Q600" s="8">
        <v>31559975</v>
      </c>
      <c r="S600" s="8">
        <v>40527592</v>
      </c>
      <c r="U600" s="8">
        <f>276369+2800500</f>
        <v>3076869</v>
      </c>
      <c r="W600" s="8">
        <v>0</v>
      </c>
      <c r="Y600" s="8">
        <v>-5543155</v>
      </c>
      <c r="AA600" s="14">
        <f t="shared" si="70"/>
        <v>-2466286</v>
      </c>
      <c r="AB600" s="8"/>
      <c r="AC600" s="8">
        <f t="shared" si="71"/>
        <v>0</v>
      </c>
    </row>
    <row r="601" spans="1:29" s="8" customFormat="1">
      <c r="A601" s="13" t="s">
        <v>383</v>
      </c>
      <c r="B601" s="13"/>
      <c r="C601" s="13" t="s">
        <v>30</v>
      </c>
      <c r="D601" s="13"/>
      <c r="E601" s="13">
        <v>47225</v>
      </c>
      <c r="G601" s="8">
        <v>5061071</v>
      </c>
      <c r="I601" s="8">
        <v>333558</v>
      </c>
      <c r="K601" s="3">
        <f t="shared" si="74"/>
        <v>16998529</v>
      </c>
      <c r="M601" s="8">
        <v>22393158</v>
      </c>
      <c r="O601" s="3">
        <f t="shared" si="75"/>
        <v>2622461</v>
      </c>
      <c r="Q601" s="8">
        <v>14936599</v>
      </c>
      <c r="S601" s="8">
        <v>17559060</v>
      </c>
      <c r="U601" s="8">
        <f>556631+1974000+333558</f>
        <v>2864189</v>
      </c>
      <c r="W601" s="8">
        <v>0</v>
      </c>
      <c r="Y601" s="8">
        <v>1969909</v>
      </c>
      <c r="AA601" s="14">
        <f>+Y601+W601++U601</f>
        <v>4834098</v>
      </c>
      <c r="AC601" s="8">
        <f>+G601+I601+K601-O601-Q601-Y601-W601-U601</f>
        <v>0</v>
      </c>
    </row>
    <row r="602" spans="1:29">
      <c r="A602" s="12" t="s">
        <v>442</v>
      </c>
      <c r="B602" s="12"/>
      <c r="C602" s="12" t="s">
        <v>36</v>
      </c>
      <c r="D602" s="12"/>
      <c r="E602" s="32">
        <v>47696</v>
      </c>
      <c r="G602" s="8">
        <v>9081770</v>
      </c>
      <c r="I602" s="8">
        <v>0</v>
      </c>
      <c r="K602" s="3">
        <f t="shared" ref="K602:K634" si="76">+M602-I602-G602</f>
        <v>8280642</v>
      </c>
      <c r="M602" s="8">
        <v>17362412</v>
      </c>
      <c r="O602" s="3">
        <f t="shared" ref="O602:O634" si="77">+S602-Q602</f>
        <v>9531948</v>
      </c>
      <c r="Q602" s="8">
        <v>496981</v>
      </c>
      <c r="S602" s="8">
        <v>10028929</v>
      </c>
      <c r="U602" s="8">
        <f>291075+466875+250000</f>
        <v>1007950</v>
      </c>
      <c r="W602" s="8">
        <v>0</v>
      </c>
      <c r="Y602" s="8">
        <v>6325533</v>
      </c>
      <c r="AA602" s="14">
        <f t="shared" ref="AA602:AA634" si="78">+Y602+W602++U602</f>
        <v>7333483</v>
      </c>
      <c r="AB602" s="8"/>
      <c r="AC602" s="8">
        <f t="shared" ref="AC602:AC634" si="79">+G602+I602+K602-O602-Q602-Y602-W602-U602</f>
        <v>0</v>
      </c>
    </row>
    <row r="603" spans="1:29">
      <c r="A603" s="12" t="s">
        <v>259</v>
      </c>
      <c r="B603" s="12"/>
      <c r="C603" s="12" t="s">
        <v>255</v>
      </c>
      <c r="D603" s="12"/>
      <c r="E603" s="32">
        <v>46219</v>
      </c>
      <c r="G603" s="8">
        <v>1707105</v>
      </c>
      <c r="I603" s="8">
        <v>47429</v>
      </c>
      <c r="K603" s="3">
        <f t="shared" si="76"/>
        <v>3871111</v>
      </c>
      <c r="M603" s="8">
        <v>5625645</v>
      </c>
      <c r="O603" s="3">
        <f t="shared" si="77"/>
        <v>1426303</v>
      </c>
      <c r="Q603" s="8">
        <f>297751+1477421</f>
        <v>1775172</v>
      </c>
      <c r="S603" s="8">
        <v>3201475</v>
      </c>
      <c r="U603" s="8">
        <f>92349+12833+3416+569879+47429</f>
        <v>725906</v>
      </c>
      <c r="W603" s="8">
        <v>175700</v>
      </c>
      <c r="Y603" s="8">
        <v>1522564</v>
      </c>
      <c r="AA603" s="14">
        <f t="shared" si="78"/>
        <v>2424170</v>
      </c>
      <c r="AB603" s="8"/>
      <c r="AC603" s="8">
        <f t="shared" si="79"/>
        <v>0</v>
      </c>
    </row>
    <row r="604" spans="1:29">
      <c r="A604" s="12"/>
      <c r="B604" s="12"/>
      <c r="C604" s="12"/>
      <c r="D604" s="12"/>
      <c r="E604" s="32"/>
      <c r="K604" s="3"/>
      <c r="O604" s="3"/>
      <c r="AA604" s="14"/>
      <c r="AB604" s="8"/>
    </row>
    <row r="605" spans="1:29">
      <c r="A605" s="12"/>
      <c r="B605" s="12"/>
      <c r="C605" s="12"/>
      <c r="D605" s="12"/>
      <c r="E605" s="32"/>
      <c r="K605" s="3"/>
      <c r="O605" s="3"/>
      <c r="AA605" s="14" t="s">
        <v>805</v>
      </c>
      <c r="AB605" s="8"/>
    </row>
    <row r="606" spans="1:29">
      <c r="A606" s="12"/>
      <c r="B606" s="12"/>
      <c r="C606" s="12"/>
      <c r="D606" s="12"/>
      <c r="E606" s="32"/>
      <c r="K606" s="3"/>
      <c r="O606" s="3"/>
      <c r="AA606" s="14"/>
      <c r="AB606" s="8"/>
    </row>
    <row r="607" spans="1:29">
      <c r="A607" s="12" t="s">
        <v>567</v>
      </c>
      <c r="B607" s="12"/>
      <c r="C607" s="12" t="s">
        <v>51</v>
      </c>
      <c r="D607" s="12"/>
      <c r="E607" s="32">
        <v>48884</v>
      </c>
      <c r="G607" s="35">
        <v>413189</v>
      </c>
      <c r="H607" s="35"/>
      <c r="I607" s="35">
        <v>0</v>
      </c>
      <c r="J607" s="35"/>
      <c r="K607" s="42">
        <f t="shared" si="76"/>
        <v>5354455</v>
      </c>
      <c r="L607" s="35"/>
      <c r="M607" s="35">
        <v>5767644</v>
      </c>
      <c r="N607" s="35"/>
      <c r="O607" s="42">
        <f t="shared" si="77"/>
        <v>1388807</v>
      </c>
      <c r="P607" s="35"/>
      <c r="Q607" s="35">
        <v>4904411</v>
      </c>
      <c r="R607" s="35"/>
      <c r="S607" s="35">
        <v>6293218</v>
      </c>
      <c r="T607" s="35"/>
      <c r="U607" s="35">
        <f>244254+288455</f>
        <v>532709</v>
      </c>
      <c r="V607" s="35"/>
      <c r="W607" s="35">
        <v>0</v>
      </c>
      <c r="X607" s="35"/>
      <c r="Y607" s="35">
        <v>-1058283</v>
      </c>
      <c r="Z607" s="35"/>
      <c r="AA607" s="64">
        <f t="shared" si="78"/>
        <v>-525574</v>
      </c>
      <c r="AB607" s="8"/>
      <c r="AC607" s="8">
        <f t="shared" si="79"/>
        <v>0</v>
      </c>
    </row>
    <row r="608" spans="1:29">
      <c r="A608" s="12" t="s">
        <v>240</v>
      </c>
      <c r="B608" s="12"/>
      <c r="C608" s="12" t="s">
        <v>77</v>
      </c>
      <c r="D608" s="12"/>
      <c r="E608" s="32">
        <v>46060</v>
      </c>
      <c r="G608" s="8">
        <v>1621047</v>
      </c>
      <c r="I608" s="8">
        <v>829827</v>
      </c>
      <c r="K608" s="3">
        <f t="shared" si="76"/>
        <v>5708736</v>
      </c>
      <c r="M608" s="8">
        <v>8159610</v>
      </c>
      <c r="O608" s="3">
        <f t="shared" si="77"/>
        <v>2885797</v>
      </c>
      <c r="Q608" s="8">
        <v>4658234</v>
      </c>
      <c r="S608" s="8">
        <v>7544031</v>
      </c>
      <c r="U608" s="8">
        <f>313489+1020031+774357+55470</f>
        <v>2163347</v>
      </c>
      <c r="W608" s="8">
        <v>0</v>
      </c>
      <c r="Y608" s="8">
        <v>-1547768</v>
      </c>
      <c r="AA608" s="14">
        <f t="shared" si="78"/>
        <v>615579</v>
      </c>
      <c r="AB608" s="8"/>
      <c r="AC608" s="8">
        <f t="shared" si="79"/>
        <v>0</v>
      </c>
    </row>
    <row r="609" spans="1:29">
      <c r="A609" s="12" t="s">
        <v>587</v>
      </c>
      <c r="B609" s="12"/>
      <c r="C609" s="12" t="s">
        <v>55</v>
      </c>
      <c r="D609" s="12"/>
      <c r="E609" s="32">
        <v>49155</v>
      </c>
      <c r="G609" s="8">
        <v>4731694</v>
      </c>
      <c r="I609" s="8">
        <v>0</v>
      </c>
      <c r="K609" s="3">
        <f t="shared" si="76"/>
        <v>1290439</v>
      </c>
      <c r="M609" s="8">
        <v>6022133</v>
      </c>
      <c r="O609" s="3">
        <f t="shared" si="77"/>
        <v>634392</v>
      </c>
      <c r="Q609" s="8">
        <v>1168646</v>
      </c>
      <c r="S609" s="8">
        <v>1803038</v>
      </c>
      <c r="U609" s="8">
        <f>273136+63255</f>
        <v>336391</v>
      </c>
      <c r="W609" s="8">
        <v>0</v>
      </c>
      <c r="Y609" s="8">
        <v>3882704</v>
      </c>
      <c r="AA609" s="14">
        <f t="shared" si="78"/>
        <v>4219095</v>
      </c>
      <c r="AB609" s="8"/>
      <c r="AC609" s="8">
        <f t="shared" si="79"/>
        <v>0</v>
      </c>
    </row>
    <row r="610" spans="1:29">
      <c r="A610" s="12" t="s">
        <v>447</v>
      </c>
      <c r="B610" s="12"/>
      <c r="C610" s="12" t="s">
        <v>37</v>
      </c>
      <c r="D610" s="12"/>
      <c r="E610" s="32">
        <v>47746</v>
      </c>
      <c r="G610" s="8">
        <v>1324446</v>
      </c>
      <c r="I610" s="8">
        <v>4878</v>
      </c>
      <c r="K610" s="3">
        <f t="shared" si="76"/>
        <v>2994503</v>
      </c>
      <c r="M610" s="8">
        <v>4323827</v>
      </c>
      <c r="O610" s="3">
        <f t="shared" si="77"/>
        <v>1287154</v>
      </c>
      <c r="Q610" s="8">
        <f>168095+1942396</f>
        <v>2110491</v>
      </c>
      <c r="S610" s="8">
        <v>3397645</v>
      </c>
      <c r="U610" s="8">
        <f>4931+21218+254604+4878</f>
        <v>285631</v>
      </c>
      <c r="W610" s="8">
        <v>200000</v>
      </c>
      <c r="Y610" s="8">
        <v>440551</v>
      </c>
      <c r="AA610" s="14">
        <f t="shared" si="78"/>
        <v>926182</v>
      </c>
      <c r="AB610" s="8"/>
      <c r="AC610" s="8">
        <f t="shared" si="79"/>
        <v>0</v>
      </c>
    </row>
    <row r="611" spans="1:29">
      <c r="A611" s="12" t="s">
        <v>447</v>
      </c>
      <c r="B611" s="12"/>
      <c r="C611" s="12" t="s">
        <v>45</v>
      </c>
      <c r="D611" s="12"/>
      <c r="E611" s="32">
        <v>48397</v>
      </c>
      <c r="G611" s="8">
        <v>1759974</v>
      </c>
      <c r="I611" s="8">
        <v>217575</v>
      </c>
      <c r="K611" s="3">
        <f t="shared" si="76"/>
        <v>2876027</v>
      </c>
      <c r="M611" s="8">
        <v>4853576</v>
      </c>
      <c r="O611" s="3">
        <f t="shared" si="77"/>
        <v>753919</v>
      </c>
      <c r="Q611" s="8">
        <v>2607314</v>
      </c>
      <c r="S611" s="8">
        <v>3361233</v>
      </c>
      <c r="U611" s="8">
        <f>13489+130369+19893+67313</f>
        <v>231064</v>
      </c>
      <c r="W611" s="8">
        <v>0</v>
      </c>
      <c r="Y611" s="8">
        <v>1261279</v>
      </c>
      <c r="AA611" s="14">
        <f t="shared" si="78"/>
        <v>1492343</v>
      </c>
      <c r="AB611" s="8"/>
      <c r="AC611" s="8">
        <f t="shared" si="79"/>
        <v>0</v>
      </c>
    </row>
    <row r="612" spans="1:29">
      <c r="A612" s="12" t="s">
        <v>365</v>
      </c>
      <c r="B612" s="12"/>
      <c r="C612" s="12" t="s">
        <v>27</v>
      </c>
      <c r="D612" s="12"/>
      <c r="E612" s="32">
        <v>45047</v>
      </c>
      <c r="G612" s="8">
        <v>4282937</v>
      </c>
      <c r="I612" s="8">
        <v>536933</v>
      </c>
      <c r="K612" s="3">
        <f t="shared" si="76"/>
        <v>92361901</v>
      </c>
      <c r="M612" s="8">
        <v>97181771</v>
      </c>
      <c r="O612" s="3">
        <f t="shared" si="77"/>
        <v>19390101</v>
      </c>
      <c r="Q612" s="8">
        <v>67129836</v>
      </c>
      <c r="S612" s="8">
        <v>86519937</v>
      </c>
      <c r="U612" s="8">
        <f>24608135+462405+536933+416457+57969</f>
        <v>26081899</v>
      </c>
      <c r="W612" s="8">
        <v>0</v>
      </c>
      <c r="Y612" s="8">
        <v>-15420065</v>
      </c>
      <c r="AA612" s="14">
        <f t="shared" si="78"/>
        <v>10661834</v>
      </c>
      <c r="AB612" s="8"/>
      <c r="AC612" s="8">
        <f t="shared" si="79"/>
        <v>0</v>
      </c>
    </row>
    <row r="613" spans="1:29">
      <c r="A613" s="12" t="s">
        <v>584</v>
      </c>
      <c r="B613" s="12"/>
      <c r="C613" s="12" t="s">
        <v>54</v>
      </c>
      <c r="D613" s="12"/>
      <c r="E613" s="32">
        <v>49106</v>
      </c>
      <c r="G613" s="8">
        <v>502889</v>
      </c>
      <c r="I613" s="8">
        <v>262557</v>
      </c>
      <c r="K613" s="3">
        <f t="shared" si="76"/>
        <v>3712879</v>
      </c>
      <c r="M613" s="8">
        <v>4478325</v>
      </c>
      <c r="O613" s="3">
        <f t="shared" si="77"/>
        <v>1477812</v>
      </c>
      <c r="Q613" s="8">
        <v>2323987</v>
      </c>
      <c r="S613" s="8">
        <v>3801799</v>
      </c>
      <c r="U613" s="8">
        <f>22765+1068648+135273+127284</f>
        <v>1353970</v>
      </c>
      <c r="W613" s="8">
        <v>0</v>
      </c>
      <c r="Y613" s="8">
        <v>-677444</v>
      </c>
      <c r="AA613" s="14">
        <f t="shared" si="78"/>
        <v>676526</v>
      </c>
      <c r="AB613" s="8"/>
      <c r="AC613" s="8">
        <f t="shared" si="79"/>
        <v>0</v>
      </c>
    </row>
    <row r="614" spans="1:29">
      <c r="A614" s="12" t="s">
        <v>325</v>
      </c>
      <c r="B614" s="12"/>
      <c r="C614" s="12" t="s">
        <v>20</v>
      </c>
      <c r="D614" s="12"/>
      <c r="E614" s="32">
        <v>45062</v>
      </c>
      <c r="G614" s="8">
        <v>20207324</v>
      </c>
      <c r="I614" s="8">
        <v>0</v>
      </c>
      <c r="K614" s="3">
        <f t="shared" si="76"/>
        <v>39807566</v>
      </c>
      <c r="M614" s="8">
        <v>60014890</v>
      </c>
      <c r="O614" s="3">
        <f t="shared" si="77"/>
        <v>7122363</v>
      </c>
      <c r="Q614" s="8">
        <f>1674850+32295963</f>
        <v>33970813</v>
      </c>
      <c r="S614" s="8">
        <v>41093176</v>
      </c>
      <c r="U614" s="8">
        <f>2447638+5616831</f>
        <v>8064469</v>
      </c>
      <c r="W614" s="8">
        <v>0</v>
      </c>
      <c r="Y614" s="8">
        <v>10857245</v>
      </c>
      <c r="AA614" s="14">
        <f t="shared" si="78"/>
        <v>18921714</v>
      </c>
      <c r="AB614" s="8"/>
      <c r="AC614" s="8">
        <f t="shared" si="79"/>
        <v>0</v>
      </c>
    </row>
    <row r="615" spans="1:29">
      <c r="A615" s="12" t="s">
        <v>634</v>
      </c>
      <c r="B615" s="12"/>
      <c r="C615" s="12" t="s">
        <v>59</v>
      </c>
      <c r="D615" s="12"/>
      <c r="E615" s="32">
        <v>49668</v>
      </c>
      <c r="G615" s="8">
        <v>1872070</v>
      </c>
      <c r="I615" s="8">
        <v>16294</v>
      </c>
      <c r="K615" s="3">
        <f t="shared" si="76"/>
        <v>2976247</v>
      </c>
      <c r="M615" s="8">
        <v>4864611</v>
      </c>
      <c r="O615" s="3">
        <f t="shared" si="77"/>
        <v>1254676</v>
      </c>
      <c r="Q615" s="8">
        <v>2327293</v>
      </c>
      <c r="S615" s="8">
        <v>3581969</v>
      </c>
      <c r="U615" s="8">
        <f>142921+227369+16294</f>
        <v>386584</v>
      </c>
      <c r="W615" s="8">
        <v>203363</v>
      </c>
      <c r="Y615" s="8">
        <v>692695</v>
      </c>
      <c r="AA615" s="14">
        <f t="shared" si="78"/>
        <v>1282642</v>
      </c>
      <c r="AB615" s="8"/>
      <c r="AC615" s="8">
        <f t="shared" si="79"/>
        <v>0</v>
      </c>
    </row>
    <row r="616" spans="1:29">
      <c r="A616" s="12" t="s">
        <v>366</v>
      </c>
      <c r="B616" s="12"/>
      <c r="C616" s="12" t="s">
        <v>27</v>
      </c>
      <c r="D616" s="12"/>
      <c r="E616" s="32">
        <v>45070</v>
      </c>
      <c r="G616" s="8">
        <v>14322999</v>
      </c>
      <c r="I616" s="8">
        <v>158536</v>
      </c>
      <c r="K616" s="3">
        <f t="shared" si="76"/>
        <v>10678330</v>
      </c>
      <c r="M616" s="8">
        <v>25159865</v>
      </c>
      <c r="O616" s="3">
        <f t="shared" si="77"/>
        <v>2731610</v>
      </c>
      <c r="Q616" s="8">
        <v>7315489</v>
      </c>
      <c r="S616" s="8">
        <v>10047099</v>
      </c>
      <c r="U616" s="8">
        <f>64458+2966470+158536</f>
        <v>3189464</v>
      </c>
      <c r="W616" s="8">
        <v>339359</v>
      </c>
      <c r="Y616" s="8">
        <v>11583943</v>
      </c>
      <c r="AA616" s="14">
        <f t="shared" si="78"/>
        <v>15112766</v>
      </c>
      <c r="AB616" s="8"/>
      <c r="AC616" s="8">
        <f t="shared" si="79"/>
        <v>0</v>
      </c>
    </row>
    <row r="617" spans="1:29" hidden="1">
      <c r="A617" s="12" t="s">
        <v>844</v>
      </c>
      <c r="B617" s="12"/>
      <c r="C617" s="12" t="s">
        <v>41</v>
      </c>
      <c r="D617" s="12"/>
      <c r="E617" s="32">
        <v>45088</v>
      </c>
      <c r="K617" s="3">
        <f t="shared" si="76"/>
        <v>0</v>
      </c>
      <c r="O617" s="3">
        <f t="shared" si="77"/>
        <v>0</v>
      </c>
      <c r="AA617" s="14">
        <f t="shared" si="78"/>
        <v>0</v>
      </c>
      <c r="AB617" s="8"/>
      <c r="AC617" s="8">
        <f t="shared" si="79"/>
        <v>0</v>
      </c>
    </row>
    <row r="618" spans="1:29">
      <c r="A618" s="12" t="s">
        <v>448</v>
      </c>
      <c r="B618" s="12"/>
      <c r="C618" s="12" t="s">
        <v>37</v>
      </c>
      <c r="D618" s="12"/>
      <c r="E618" s="32">
        <v>45096</v>
      </c>
      <c r="G618" s="8">
        <v>3007603</v>
      </c>
      <c r="I618" s="8">
        <v>0</v>
      </c>
      <c r="K618" s="3">
        <f t="shared" si="76"/>
        <v>5232704</v>
      </c>
      <c r="M618" s="8">
        <v>8240307</v>
      </c>
      <c r="O618" s="3">
        <f t="shared" si="77"/>
        <v>5995119</v>
      </c>
      <c r="Q618" s="8">
        <v>416518</v>
      </c>
      <c r="S618" s="8">
        <v>6411637</v>
      </c>
      <c r="U618" s="8">
        <f>1007875+61560+683490+49358</f>
        <v>1802283</v>
      </c>
      <c r="W618" s="8">
        <v>0</v>
      </c>
      <c r="Y618" s="8">
        <v>26387</v>
      </c>
      <c r="AA618" s="14">
        <f t="shared" si="78"/>
        <v>1828670</v>
      </c>
      <c r="AB618" s="8"/>
      <c r="AC618" s="8">
        <f t="shared" si="79"/>
        <v>0</v>
      </c>
    </row>
    <row r="619" spans="1:29">
      <c r="A619" s="12" t="s">
        <v>273</v>
      </c>
      <c r="B619" s="12"/>
      <c r="C619" s="12" t="s">
        <v>115</v>
      </c>
      <c r="D619" s="12"/>
      <c r="E619" s="32">
        <v>46367</v>
      </c>
      <c r="G619" s="8">
        <v>2933686</v>
      </c>
      <c r="I619" s="8">
        <v>239089</v>
      </c>
      <c r="K619" s="3">
        <f t="shared" si="76"/>
        <v>3689594</v>
      </c>
      <c r="M619" s="8">
        <v>6862369</v>
      </c>
      <c r="O619" s="3">
        <f t="shared" si="77"/>
        <v>969087</v>
      </c>
      <c r="Q619" s="8">
        <v>3464931</v>
      </c>
      <c r="S619" s="8">
        <v>4434018</v>
      </c>
      <c r="U619" s="8">
        <f>60436+183600+225918+13171</f>
        <v>483125</v>
      </c>
      <c r="W619" s="8">
        <v>0</v>
      </c>
      <c r="Y619" s="8">
        <v>1945226</v>
      </c>
      <c r="AA619" s="14">
        <f t="shared" si="78"/>
        <v>2428351</v>
      </c>
      <c r="AB619" s="8"/>
      <c r="AC619" s="8">
        <f t="shared" si="79"/>
        <v>0</v>
      </c>
    </row>
    <row r="620" spans="1:29">
      <c r="A620" s="12" t="s">
        <v>464</v>
      </c>
      <c r="B620" s="12"/>
      <c r="C620" s="12" t="s">
        <v>41</v>
      </c>
      <c r="D620" s="12"/>
      <c r="E620" s="32">
        <v>45104</v>
      </c>
      <c r="G620" s="8">
        <v>18324366</v>
      </c>
      <c r="I620" s="8">
        <v>1073233</v>
      </c>
      <c r="K620" s="3">
        <f t="shared" si="76"/>
        <v>52068241</v>
      </c>
      <c r="M620" s="8">
        <v>71465840</v>
      </c>
      <c r="O620" s="3">
        <f t="shared" si="77"/>
        <v>11447138</v>
      </c>
      <c r="Q620" s="8">
        <v>47897888</v>
      </c>
      <c r="S620" s="8">
        <v>59345026</v>
      </c>
      <c r="U620" s="8">
        <f>609590+3654398+1073233</f>
        <v>5337221</v>
      </c>
      <c r="W620" s="8">
        <v>0</v>
      </c>
      <c r="Y620" s="8">
        <v>6783593</v>
      </c>
      <c r="AA620" s="14">
        <f t="shared" si="78"/>
        <v>12120814</v>
      </c>
      <c r="AB620" s="8"/>
      <c r="AC620" s="8">
        <f t="shared" si="79"/>
        <v>0</v>
      </c>
    </row>
    <row r="621" spans="1:29">
      <c r="A621" s="12" t="s">
        <v>277</v>
      </c>
      <c r="B621" s="12"/>
      <c r="C621" s="12" t="s">
        <v>18</v>
      </c>
      <c r="D621" s="12"/>
      <c r="E621" s="32">
        <v>45112</v>
      </c>
      <c r="G621" s="8">
        <v>4889685</v>
      </c>
      <c r="I621" s="8">
        <v>57982</v>
      </c>
      <c r="K621" s="3">
        <f t="shared" si="76"/>
        <v>18045291</v>
      </c>
      <c r="M621" s="8">
        <v>22992958</v>
      </c>
      <c r="O621" s="3">
        <f t="shared" si="77"/>
        <v>2618207</v>
      </c>
      <c r="Q621" s="8">
        <v>15409874</v>
      </c>
      <c r="S621" s="8">
        <v>18028081</v>
      </c>
      <c r="U621" s="8">
        <f>327251+679845+57982+442918</f>
        <v>1507996</v>
      </c>
      <c r="W621" s="8">
        <v>0</v>
      </c>
      <c r="Y621" s="8">
        <v>3456881</v>
      </c>
      <c r="AA621" s="14">
        <f t="shared" si="78"/>
        <v>4964877</v>
      </c>
      <c r="AB621" s="8"/>
      <c r="AC621" s="8">
        <f t="shared" si="79"/>
        <v>0</v>
      </c>
    </row>
    <row r="622" spans="1:29">
      <c r="A622" s="12" t="s">
        <v>597</v>
      </c>
      <c r="B622" s="12"/>
      <c r="C622" s="12" t="s">
        <v>56</v>
      </c>
      <c r="D622" s="12"/>
      <c r="E622" s="32">
        <v>45666</v>
      </c>
      <c r="G622" s="8">
        <v>1170349</v>
      </c>
      <c r="I622" s="8">
        <v>2966</v>
      </c>
      <c r="K622" s="3">
        <f t="shared" si="76"/>
        <v>1594791</v>
      </c>
      <c r="M622" s="8">
        <v>2768106</v>
      </c>
      <c r="O622" s="3">
        <f t="shared" si="77"/>
        <v>898954</v>
      </c>
      <c r="Q622" s="8">
        <f>132399+1266132</f>
        <v>1398531</v>
      </c>
      <c r="S622" s="8">
        <v>2297485</v>
      </c>
      <c r="U622" s="8">
        <f>11308+2966+16002+133944</f>
        <v>164220</v>
      </c>
      <c r="W622" s="8">
        <v>0</v>
      </c>
      <c r="Y622" s="8">
        <v>306401</v>
      </c>
      <c r="AA622" s="14">
        <f t="shared" si="78"/>
        <v>470621</v>
      </c>
      <c r="AB622" s="8"/>
      <c r="AC622" s="8">
        <f t="shared" si="79"/>
        <v>0</v>
      </c>
    </row>
    <row r="623" spans="1:29">
      <c r="A623" s="12" t="s">
        <v>411</v>
      </c>
      <c r="B623" s="12"/>
      <c r="C623" s="12" t="s">
        <v>32</v>
      </c>
      <c r="D623" s="12"/>
      <c r="E623" s="32">
        <v>44081</v>
      </c>
      <c r="G623" s="8">
        <v>1658272</v>
      </c>
      <c r="I623" s="8">
        <v>0</v>
      </c>
      <c r="K623" s="3">
        <f t="shared" si="76"/>
        <v>21054204</v>
      </c>
      <c r="M623" s="8">
        <v>22712476</v>
      </c>
      <c r="O623" s="3">
        <f t="shared" si="77"/>
        <v>4879253</v>
      </c>
      <c r="Q623" s="8">
        <v>12937528</v>
      </c>
      <c r="S623" s="8">
        <v>17816781</v>
      </c>
      <c r="U623" s="8">
        <f>202476+6977000</f>
        <v>7179476</v>
      </c>
      <c r="W623" s="8">
        <v>0</v>
      </c>
      <c r="Y623" s="8">
        <v>-2283781</v>
      </c>
      <c r="AA623" s="14">
        <f t="shared" si="78"/>
        <v>4895695</v>
      </c>
      <c r="AB623" s="8"/>
      <c r="AC623" s="8">
        <f t="shared" si="79"/>
        <v>0</v>
      </c>
    </row>
    <row r="624" spans="1:29">
      <c r="A624" s="12" t="s">
        <v>720</v>
      </c>
      <c r="B624" s="12"/>
      <c r="C624" s="12" t="s">
        <v>70</v>
      </c>
      <c r="D624" s="12"/>
      <c r="E624" s="32">
        <v>50518</v>
      </c>
      <c r="G624" s="8">
        <v>5246144</v>
      </c>
      <c r="I624" s="8">
        <v>122697</v>
      </c>
      <c r="K624" s="3">
        <f t="shared" si="76"/>
        <v>4425592</v>
      </c>
      <c r="M624" s="8">
        <v>9794433</v>
      </c>
      <c r="O624" s="3">
        <f t="shared" si="77"/>
        <v>535345</v>
      </c>
      <c r="Q624" s="8">
        <v>4356489</v>
      </c>
      <c r="S624" s="8">
        <v>4891834</v>
      </c>
      <c r="U624" s="8">
        <f>53122+400+31911+7409+114888</f>
        <v>207730</v>
      </c>
      <c r="W624" s="8">
        <v>0</v>
      </c>
      <c r="Y624" s="8">
        <v>4694869</v>
      </c>
      <c r="AA624" s="14">
        <f t="shared" si="78"/>
        <v>4902599</v>
      </c>
      <c r="AB624" s="8"/>
      <c r="AC624" s="8">
        <f t="shared" si="79"/>
        <v>0</v>
      </c>
    </row>
    <row r="625" spans="1:29">
      <c r="A625" s="12" t="s">
        <v>625</v>
      </c>
      <c r="B625" s="12"/>
      <c r="C625" s="12" t="s">
        <v>79</v>
      </c>
      <c r="D625" s="12"/>
      <c r="E625" s="32">
        <v>49577</v>
      </c>
      <c r="G625" s="8">
        <v>1005012</v>
      </c>
      <c r="I625" s="8">
        <v>430</v>
      </c>
      <c r="K625" s="3">
        <f t="shared" si="76"/>
        <v>3397135</v>
      </c>
      <c r="M625" s="8">
        <v>4402577</v>
      </c>
      <c r="O625" s="3">
        <f t="shared" si="77"/>
        <v>1043867</v>
      </c>
      <c r="Q625" s="8">
        <f>134113+2939579</f>
        <v>3073692</v>
      </c>
      <c r="S625" s="8">
        <v>4117559</v>
      </c>
      <c r="U625" s="8">
        <f>44428+14190+13562+258154+1462+430</f>
        <v>332226</v>
      </c>
      <c r="W625" s="8">
        <v>0</v>
      </c>
      <c r="Y625" s="8">
        <v>-47208</v>
      </c>
      <c r="AA625" s="14">
        <f t="shared" si="78"/>
        <v>285018</v>
      </c>
      <c r="AB625" s="8"/>
      <c r="AC625" s="8">
        <f t="shared" si="79"/>
        <v>0</v>
      </c>
    </row>
    <row r="626" spans="1:29">
      <c r="A626" s="12" t="s">
        <v>674</v>
      </c>
      <c r="B626" s="12"/>
      <c r="C626" s="12" t="s">
        <v>63</v>
      </c>
      <c r="D626" s="12"/>
      <c r="E626" s="32">
        <v>49973</v>
      </c>
      <c r="G626" s="8">
        <v>10000335</v>
      </c>
      <c r="I626" s="8">
        <v>102230</v>
      </c>
      <c r="K626" s="3">
        <f t="shared" si="76"/>
        <v>14957623</v>
      </c>
      <c r="M626" s="8">
        <v>25060188</v>
      </c>
      <c r="O626" s="3">
        <f t="shared" si="77"/>
        <v>2439001</v>
      </c>
      <c r="Q626" s="8">
        <v>13181849</v>
      </c>
      <c r="S626" s="8">
        <v>15620850</v>
      </c>
      <c r="U626" s="8">
        <f>429980+102230</f>
        <v>532210</v>
      </c>
      <c r="W626" s="8">
        <v>0</v>
      </c>
      <c r="Y626" s="8">
        <v>8907128</v>
      </c>
      <c r="AA626" s="14">
        <f t="shared" si="78"/>
        <v>9439338</v>
      </c>
      <c r="AB626" s="8"/>
      <c r="AC626" s="8">
        <f t="shared" si="79"/>
        <v>0</v>
      </c>
    </row>
    <row r="627" spans="1:29">
      <c r="A627" s="12" t="s">
        <v>845</v>
      </c>
      <c r="B627" s="12"/>
      <c r="C627" s="12" t="s">
        <v>71</v>
      </c>
      <c r="D627" s="12"/>
      <c r="E627" s="32">
        <v>45138</v>
      </c>
      <c r="G627" s="8">
        <v>16807090</v>
      </c>
      <c r="I627" s="8">
        <v>0</v>
      </c>
      <c r="K627" s="3">
        <f t="shared" si="76"/>
        <v>23659871</v>
      </c>
      <c r="M627" s="8">
        <v>40466961</v>
      </c>
      <c r="O627" s="3">
        <f t="shared" si="77"/>
        <v>4312134</v>
      </c>
      <c r="Q627" s="8">
        <v>22031889</v>
      </c>
      <c r="S627" s="8">
        <v>26344023</v>
      </c>
      <c r="U627" s="8">
        <f>1279381+1343875</f>
        <v>2623256</v>
      </c>
      <c r="W627" s="8">
        <v>0</v>
      </c>
      <c r="Y627" s="8">
        <v>11499682</v>
      </c>
      <c r="AA627" s="14">
        <f t="shared" si="78"/>
        <v>14122938</v>
      </c>
      <c r="AB627" s="8"/>
      <c r="AC627" s="8">
        <f t="shared" si="79"/>
        <v>0</v>
      </c>
    </row>
    <row r="628" spans="1:29">
      <c r="A628" s="12" t="s">
        <v>367</v>
      </c>
      <c r="B628" s="12"/>
      <c r="C628" s="12" t="s">
        <v>27</v>
      </c>
      <c r="D628" s="12"/>
      <c r="E628" s="32">
        <v>46524</v>
      </c>
      <c r="G628" s="8">
        <v>42819694</v>
      </c>
      <c r="I628" s="8">
        <v>0</v>
      </c>
      <c r="K628" s="3">
        <f t="shared" si="76"/>
        <v>62999597</v>
      </c>
      <c r="M628" s="8">
        <v>105819291</v>
      </c>
      <c r="O628" s="3">
        <f t="shared" si="77"/>
        <v>16678685</v>
      </c>
      <c r="Q628" s="8">
        <v>42694000</v>
      </c>
      <c r="S628" s="8">
        <v>59372685</v>
      </c>
      <c r="U628" s="8">
        <f>978232+142305+27361880</f>
        <v>28482417</v>
      </c>
      <c r="W628" s="8">
        <v>0</v>
      </c>
      <c r="Y628" s="8">
        <v>17964189</v>
      </c>
      <c r="AA628" s="14">
        <f t="shared" si="78"/>
        <v>46446606</v>
      </c>
      <c r="AB628" s="8"/>
      <c r="AC628" s="8">
        <f t="shared" si="79"/>
        <v>0</v>
      </c>
    </row>
    <row r="629" spans="1:29">
      <c r="A629" s="12" t="s">
        <v>295</v>
      </c>
      <c r="B629" s="12"/>
      <c r="C629" s="12" t="s">
        <v>113</v>
      </c>
      <c r="D629" s="12"/>
      <c r="E629" s="32">
        <v>45146</v>
      </c>
      <c r="G629" s="8">
        <v>1650754</v>
      </c>
      <c r="I629" s="8">
        <v>51618</v>
      </c>
      <c r="K629" s="3">
        <f t="shared" si="76"/>
        <v>3612470</v>
      </c>
      <c r="M629" s="8">
        <v>5314842</v>
      </c>
      <c r="O629" s="3">
        <f t="shared" si="77"/>
        <v>1042127</v>
      </c>
      <c r="Q629" s="8">
        <f>352906+2119635</f>
        <v>2472541</v>
      </c>
      <c r="S629" s="8">
        <v>3514668</v>
      </c>
      <c r="U629" s="8">
        <f>84422+20104+1013965+51618</f>
        <v>1170109</v>
      </c>
      <c r="W629" s="8">
        <v>0</v>
      </c>
      <c r="Y629" s="8">
        <v>630065</v>
      </c>
      <c r="AA629" s="14">
        <f t="shared" si="78"/>
        <v>1800174</v>
      </c>
      <c r="AB629" s="8"/>
      <c r="AC629" s="8">
        <f t="shared" si="79"/>
        <v>0</v>
      </c>
    </row>
    <row r="630" spans="1:29">
      <c r="A630" s="12" t="s">
        <v>412</v>
      </c>
      <c r="B630" s="12"/>
      <c r="C630" s="12" t="s">
        <v>32</v>
      </c>
      <c r="D630" s="12"/>
      <c r="E630" s="32">
        <v>45153</v>
      </c>
      <c r="G630" s="8">
        <v>9827366</v>
      </c>
      <c r="I630" s="8">
        <v>0</v>
      </c>
      <c r="K630" s="3">
        <f t="shared" si="76"/>
        <v>11597265</v>
      </c>
      <c r="M630" s="8">
        <v>21424631</v>
      </c>
      <c r="O630" s="3">
        <f t="shared" si="77"/>
        <v>3186247</v>
      </c>
      <c r="Q630" s="8">
        <v>5333088</v>
      </c>
      <c r="S630" s="8">
        <v>8519335</v>
      </c>
      <c r="U630" s="8">
        <f>182872+3226000</f>
        <v>3408872</v>
      </c>
      <c r="W630" s="8">
        <v>0</v>
      </c>
      <c r="Y630" s="8">
        <v>9496424</v>
      </c>
      <c r="AA630" s="14">
        <f t="shared" si="78"/>
        <v>12905296</v>
      </c>
      <c r="AB630" s="8"/>
      <c r="AC630" s="8">
        <f t="shared" si="79"/>
        <v>0</v>
      </c>
    </row>
    <row r="631" spans="1:29">
      <c r="A631" s="12" t="s">
        <v>388</v>
      </c>
      <c r="B631" s="12"/>
      <c r="C631" s="12" t="s">
        <v>116</v>
      </c>
      <c r="D631" s="12"/>
      <c r="E631" s="32">
        <v>45674</v>
      </c>
      <c r="G631" s="8">
        <v>3396158</v>
      </c>
      <c r="I631" s="8">
        <v>0</v>
      </c>
      <c r="K631" s="3">
        <f t="shared" si="76"/>
        <v>2714674</v>
      </c>
      <c r="M631" s="8">
        <v>6110832</v>
      </c>
      <c r="O631" s="3">
        <f t="shared" si="77"/>
        <v>931674</v>
      </c>
      <c r="Q631" s="8">
        <v>2054615</v>
      </c>
      <c r="S631" s="8">
        <v>2986289</v>
      </c>
      <c r="U631" s="8">
        <f>8216+2574+168267</f>
        <v>179057</v>
      </c>
      <c r="W631" s="8">
        <v>0</v>
      </c>
      <c r="Y631" s="8">
        <v>2945486</v>
      </c>
      <c r="AA631" s="14">
        <f t="shared" si="78"/>
        <v>3124543</v>
      </c>
      <c r="AB631" s="8"/>
      <c r="AC631" s="8">
        <f t="shared" si="79"/>
        <v>0</v>
      </c>
    </row>
    <row r="632" spans="1:29">
      <c r="A632" s="12" t="s">
        <v>519</v>
      </c>
      <c r="B632" s="12"/>
      <c r="C632" s="12" t="s">
        <v>45</v>
      </c>
      <c r="D632" s="12"/>
      <c r="E632" s="32">
        <v>45161</v>
      </c>
      <c r="G632" s="8">
        <v>136375</v>
      </c>
      <c r="I632" s="8">
        <v>740962</v>
      </c>
      <c r="K632" s="3">
        <f t="shared" si="76"/>
        <v>19982089</v>
      </c>
      <c r="M632" s="8">
        <v>20859426</v>
      </c>
      <c r="O632" s="3">
        <f t="shared" si="77"/>
        <v>22190704</v>
      </c>
      <c r="Q632" s="8">
        <v>19212747</v>
      </c>
      <c r="S632" s="8">
        <v>41403451</v>
      </c>
      <c r="U632" s="8">
        <f>212669+620797+120165</f>
        <v>953631</v>
      </c>
      <c r="W632" s="8">
        <v>0</v>
      </c>
      <c r="Y632" s="8">
        <v>-21497656</v>
      </c>
      <c r="AA632" s="14">
        <f t="shared" si="78"/>
        <v>-20544025</v>
      </c>
      <c r="AB632" s="8"/>
      <c r="AC632" s="8">
        <f t="shared" si="79"/>
        <v>0</v>
      </c>
    </row>
    <row r="633" spans="1:29">
      <c r="A633" s="12" t="s">
        <v>621</v>
      </c>
      <c r="B633" s="12"/>
      <c r="C633" s="12" t="s">
        <v>58</v>
      </c>
      <c r="D633" s="12"/>
      <c r="E633" s="32">
        <v>49544</v>
      </c>
      <c r="G633" s="8">
        <v>5112028</v>
      </c>
      <c r="I633" s="8">
        <v>712634</v>
      </c>
      <c r="K633" s="3">
        <f t="shared" si="76"/>
        <v>4119246</v>
      </c>
      <c r="M633" s="8">
        <v>9943908</v>
      </c>
      <c r="O633" s="3">
        <f t="shared" si="77"/>
        <v>1473963</v>
      </c>
      <c r="Q633" s="8">
        <v>3713743</v>
      </c>
      <c r="S633" s="8">
        <v>5187706</v>
      </c>
      <c r="U633" s="8">
        <f>407576+37106+343433+226738+268759+217137</f>
        <v>1500749</v>
      </c>
      <c r="W633" s="8">
        <v>0</v>
      </c>
      <c r="Y633" s="8">
        <v>3255453</v>
      </c>
      <c r="AA633" s="14">
        <f t="shared" si="78"/>
        <v>4756202</v>
      </c>
      <c r="AB633" s="8"/>
      <c r="AC633" s="8">
        <f t="shared" si="79"/>
        <v>0</v>
      </c>
    </row>
    <row r="634" spans="1:29">
      <c r="A634" s="12" t="s">
        <v>568</v>
      </c>
      <c r="B634" s="12"/>
      <c r="C634" s="12" t="s">
        <v>51</v>
      </c>
      <c r="D634" s="12"/>
      <c r="E634" s="32">
        <v>45179</v>
      </c>
      <c r="G634" s="8">
        <v>3435529</v>
      </c>
      <c r="I634" s="8">
        <v>108529</v>
      </c>
      <c r="K634" s="3">
        <f t="shared" si="76"/>
        <v>10343556</v>
      </c>
      <c r="M634" s="8">
        <v>13887614</v>
      </c>
      <c r="O634" s="3">
        <f t="shared" si="77"/>
        <v>3251397</v>
      </c>
      <c r="Q634" s="8">
        <v>9841578</v>
      </c>
      <c r="S634" s="8">
        <v>13092975</v>
      </c>
      <c r="U634" s="8">
        <f>47191+7472+53463+47594+354903</f>
        <v>510623</v>
      </c>
      <c r="W634" s="8">
        <v>0</v>
      </c>
      <c r="Y634" s="8">
        <v>284016</v>
      </c>
      <c r="AA634" s="14">
        <f t="shared" si="78"/>
        <v>794639</v>
      </c>
      <c r="AB634" s="8"/>
      <c r="AC634" s="8">
        <f t="shared" si="79"/>
        <v>0</v>
      </c>
    </row>
    <row r="635" spans="1:29">
      <c r="A635" s="12"/>
      <c r="B635" s="12"/>
      <c r="C635" s="12"/>
      <c r="D635" s="12"/>
    </row>
  </sheetData>
  <phoneticPr fontId="3" type="noConversion"/>
  <pageMargins left="0.75" right="0.75" top="0.5" bottom="0.75" header="0.25" footer="0.25"/>
  <pageSetup scale="80" firstPageNumber="78" pageOrder="overThenDown" orientation="portrait" useFirstPageNumber="1" r:id="rId1"/>
  <headerFooter alignWithMargins="0">
    <oddFooter>&amp;C&amp;"Times New Roman,Regular"&amp;12&amp;P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AN634"/>
  <sheetViews>
    <sheetView zoomScaleNormal="100" zoomScaleSheetLayoutView="100" workbookViewId="0">
      <pane xSplit="5" ySplit="9" topLeftCell="F10" activePane="bottomRight" state="frozen"/>
      <selection sqref="A1:IV65536"/>
      <selection pane="topRight" sqref="A1:IV65536"/>
      <selection pane="bottomLeft" sqref="A1:IV65536"/>
      <selection pane="bottomRight" activeCell="K30" sqref="K30"/>
    </sheetView>
  </sheetViews>
  <sheetFormatPr defaultColWidth="9.140625" defaultRowHeight="12"/>
  <cols>
    <col min="1" max="1" width="32" style="8" customWidth="1"/>
    <col min="2" max="2" width="1.7109375" style="8" customWidth="1"/>
    <col min="3" max="3" width="11.7109375" style="8" customWidth="1"/>
    <col min="4" max="4" width="1.7109375" style="8" hidden="1" customWidth="1"/>
    <col min="5" max="5" width="11.7109375" style="30" hidden="1" customWidth="1"/>
    <col min="6" max="6" width="1.7109375" style="8" customWidth="1"/>
    <col min="7" max="7" width="11.7109375" style="8" customWidth="1"/>
    <col min="8" max="8" width="1.7109375" style="8" customWidth="1"/>
    <col min="9" max="9" width="11.7109375" style="8" customWidth="1"/>
    <col min="10" max="10" width="1.7109375" style="8" customWidth="1"/>
    <col min="11" max="11" width="11.7109375" style="8" customWidth="1"/>
    <col min="12" max="12" width="1.7109375" style="8" customWidth="1"/>
    <col min="13" max="13" width="11.7109375" style="8" customWidth="1"/>
    <col min="14" max="14" width="1.7109375" style="8" customWidth="1"/>
    <col min="15" max="15" width="11.7109375" style="8" customWidth="1"/>
    <col min="16" max="16" width="1.7109375" style="8" customWidth="1"/>
    <col min="17" max="17" width="11.7109375" style="8" customWidth="1"/>
    <col min="18" max="18" width="1.7109375" style="8" customWidth="1"/>
    <col min="19" max="19" width="11.7109375" style="8" customWidth="1"/>
    <col min="20" max="20" width="1.7109375" style="8" customWidth="1"/>
    <col min="21" max="21" width="11.7109375" style="8" customWidth="1"/>
    <col min="22" max="22" width="1.7109375" style="8" customWidth="1"/>
    <col min="23" max="23" width="11.7109375" style="8" customWidth="1"/>
    <col min="24" max="24" width="1.7109375" style="8" customWidth="1"/>
    <col min="25" max="25" width="12" style="8" customWidth="1"/>
    <col min="26" max="26" width="1.7109375" style="8" customWidth="1"/>
    <col min="27" max="27" width="11.7109375" style="8" customWidth="1"/>
    <col min="28" max="28" width="1.7109375" style="8" hidden="1" customWidth="1"/>
    <col min="29" max="29" width="11.7109375" style="8" hidden="1" customWidth="1"/>
    <col min="30" max="30" width="1.7109375" style="8" customWidth="1"/>
    <col min="31" max="31" width="11.7109375" style="8" customWidth="1"/>
    <col min="32" max="32" width="1.7109375" style="8" customWidth="1"/>
    <col min="33" max="33" width="11.7109375" style="8" customWidth="1"/>
    <col min="34" max="34" width="1.7109375" style="8" hidden="1" customWidth="1"/>
    <col min="35" max="35" width="11.7109375" style="8" hidden="1" customWidth="1"/>
    <col min="36" max="36" width="1.7109375" style="8" hidden="1" customWidth="1"/>
    <col min="37" max="37" width="11.7109375" style="8" hidden="1" customWidth="1"/>
    <col min="38" max="38" width="1.7109375" style="8" customWidth="1"/>
    <col min="39" max="39" width="12" style="8" customWidth="1"/>
    <col min="40" max="40" width="9.28515625" style="8" bestFit="1" customWidth="1"/>
    <col min="41" max="16384" width="9.140625" style="8"/>
  </cols>
  <sheetData>
    <row r="1" spans="1:40" s="15" customFormat="1">
      <c r="A1" s="27" t="s">
        <v>131</v>
      </c>
      <c r="B1" s="27"/>
      <c r="C1" s="27"/>
      <c r="D1" s="27"/>
      <c r="E1" s="54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7"/>
      <c r="AA1" s="27"/>
    </row>
    <row r="2" spans="1:40" s="15" customFormat="1">
      <c r="A2" s="27" t="s">
        <v>895</v>
      </c>
      <c r="B2" s="27"/>
      <c r="C2" s="27"/>
      <c r="D2" s="27"/>
      <c r="E2" s="54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7"/>
      <c r="AA2" s="27"/>
    </row>
    <row r="3" spans="1:40" s="15" customFormat="1">
      <c r="A3" s="52" t="s">
        <v>805</v>
      </c>
      <c r="B3" s="27"/>
      <c r="C3" s="27"/>
      <c r="D3" s="27"/>
      <c r="E3" s="54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7"/>
      <c r="AA3" s="27"/>
    </row>
    <row r="4" spans="1:40">
      <c r="A4" s="27" t="s">
        <v>175</v>
      </c>
      <c r="B4" s="27"/>
      <c r="C4" s="27"/>
      <c r="D4" s="27"/>
      <c r="E4" s="5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11"/>
      <c r="AA4" s="11"/>
      <c r="AM4" s="16" t="s">
        <v>3</v>
      </c>
    </row>
    <row r="5" spans="1:40">
      <c r="A5" s="15"/>
      <c r="AM5" s="16" t="s">
        <v>807</v>
      </c>
    </row>
    <row r="6" spans="1:40">
      <c r="A6" s="132" t="s">
        <v>778</v>
      </c>
      <c r="B6" s="55"/>
      <c r="C6" s="55"/>
      <c r="D6" s="55"/>
      <c r="E6" s="5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11"/>
      <c r="AA6" s="142" t="s">
        <v>194</v>
      </c>
      <c r="AB6" s="142"/>
      <c r="AC6" s="142"/>
      <c r="AD6" s="142"/>
      <c r="AE6" s="142"/>
      <c r="AF6" s="142"/>
      <c r="AG6" s="142"/>
      <c r="AH6" s="24"/>
      <c r="AI6" s="24"/>
      <c r="AK6" s="16" t="s">
        <v>3</v>
      </c>
      <c r="AL6" s="16"/>
      <c r="AM6" s="16" t="s">
        <v>850</v>
      </c>
    </row>
    <row r="7" spans="1:40">
      <c r="A7" s="132" t="s">
        <v>1080</v>
      </c>
      <c r="B7" s="55"/>
      <c r="C7" s="55"/>
      <c r="D7" s="55"/>
      <c r="E7" s="56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 t="s">
        <v>178</v>
      </c>
      <c r="R7" s="5"/>
      <c r="S7" s="5" t="s">
        <v>180</v>
      </c>
      <c r="T7" s="5"/>
      <c r="U7" s="5" t="s">
        <v>111</v>
      </c>
      <c r="V7" s="5"/>
      <c r="W7" s="5"/>
      <c r="X7" s="5"/>
      <c r="Y7" s="5"/>
      <c r="Z7" s="11"/>
      <c r="AA7" s="16"/>
      <c r="AB7" s="16"/>
      <c r="AC7" s="16"/>
      <c r="AD7" s="16"/>
      <c r="AE7" s="16"/>
      <c r="AF7" s="16"/>
      <c r="AG7" s="16" t="s">
        <v>132</v>
      </c>
      <c r="AH7" s="16"/>
      <c r="AK7" s="16" t="s">
        <v>82</v>
      </c>
      <c r="AL7" s="16"/>
      <c r="AM7" s="16" t="s">
        <v>811</v>
      </c>
    </row>
    <row r="8" spans="1:40">
      <c r="A8" s="5"/>
      <c r="B8" s="5"/>
      <c r="C8" s="5"/>
      <c r="D8" s="5"/>
      <c r="E8" s="57"/>
      <c r="F8" s="5"/>
      <c r="G8" s="5" t="s">
        <v>107</v>
      </c>
      <c r="H8" s="5"/>
      <c r="I8" s="5" t="s">
        <v>757</v>
      </c>
      <c r="J8" s="5"/>
      <c r="K8" s="5" t="s">
        <v>1</v>
      </c>
      <c r="L8" s="5"/>
      <c r="M8" s="5" t="s">
        <v>802</v>
      </c>
      <c r="N8" s="5"/>
      <c r="O8" s="5" t="s">
        <v>176</v>
      </c>
      <c r="P8" s="5"/>
      <c r="Q8" s="5" t="s">
        <v>179</v>
      </c>
      <c r="R8" s="5"/>
      <c r="S8" s="5" t="s">
        <v>181</v>
      </c>
      <c r="T8" s="5"/>
      <c r="U8" s="5" t="s">
        <v>183</v>
      </c>
      <c r="V8" s="5"/>
      <c r="W8" s="5" t="s">
        <v>132</v>
      </c>
      <c r="X8" s="5"/>
      <c r="Y8" s="5" t="s">
        <v>3</v>
      </c>
      <c r="Z8" s="11"/>
      <c r="AA8" s="5"/>
      <c r="AB8" s="16"/>
      <c r="AC8" s="16"/>
      <c r="AD8" s="16"/>
      <c r="AE8" s="16" t="s">
        <v>810</v>
      </c>
      <c r="AF8" s="16"/>
      <c r="AG8" s="16" t="s">
        <v>199</v>
      </c>
      <c r="AH8" s="16"/>
      <c r="AI8" s="16" t="s">
        <v>762</v>
      </c>
      <c r="AK8" s="16" t="s">
        <v>199</v>
      </c>
      <c r="AL8" s="16"/>
      <c r="AM8" s="16" t="s">
        <v>762</v>
      </c>
    </row>
    <row r="9" spans="1:40">
      <c r="A9" s="120" t="s">
        <v>206</v>
      </c>
      <c r="B9" s="16"/>
      <c r="C9" s="120" t="s">
        <v>4</v>
      </c>
      <c r="D9" s="16"/>
      <c r="E9" s="58" t="s">
        <v>205</v>
      </c>
      <c r="F9" s="11"/>
      <c r="G9" s="120" t="s">
        <v>827</v>
      </c>
      <c r="H9" s="11"/>
      <c r="I9" s="120" t="s">
        <v>5</v>
      </c>
      <c r="J9" s="11"/>
      <c r="K9" s="120" t="s">
        <v>7</v>
      </c>
      <c r="L9" s="11"/>
      <c r="M9" s="120" t="s">
        <v>92</v>
      </c>
      <c r="N9" s="11"/>
      <c r="O9" s="120" t="s">
        <v>177</v>
      </c>
      <c r="P9" s="11"/>
      <c r="Q9" s="120" t="s">
        <v>166</v>
      </c>
      <c r="R9" s="11"/>
      <c r="S9" s="120" t="s">
        <v>182</v>
      </c>
      <c r="T9" s="5"/>
      <c r="U9" s="120" t="s">
        <v>184</v>
      </c>
      <c r="V9" s="11"/>
      <c r="W9" s="120" t="s">
        <v>8</v>
      </c>
      <c r="X9" s="11"/>
      <c r="Y9" s="120" t="s">
        <v>9</v>
      </c>
      <c r="Z9" s="11"/>
      <c r="AA9" s="120" t="s">
        <v>195</v>
      </c>
      <c r="AB9" s="16"/>
      <c r="AC9" s="120" t="s">
        <v>196</v>
      </c>
      <c r="AD9" s="16"/>
      <c r="AE9" s="120" t="s">
        <v>812</v>
      </c>
      <c r="AF9" s="16"/>
      <c r="AG9" s="120" t="s">
        <v>200</v>
      </c>
      <c r="AH9" s="16"/>
      <c r="AI9" s="120" t="s">
        <v>782</v>
      </c>
      <c r="AK9" s="120" t="s">
        <v>200</v>
      </c>
      <c r="AL9" s="16"/>
      <c r="AM9" s="120" t="s">
        <v>782</v>
      </c>
    </row>
    <row r="10" spans="1:40">
      <c r="A10" s="13"/>
      <c r="B10" s="13"/>
      <c r="C10" s="13"/>
      <c r="D10" s="13"/>
      <c r="E10" s="32"/>
      <c r="F10" s="1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14"/>
      <c r="X10" s="14"/>
      <c r="Y10" s="3"/>
      <c r="Z10" s="11"/>
      <c r="AA10" s="11"/>
    </row>
    <row r="11" spans="1:40" s="35" customFormat="1">
      <c r="A11" s="34" t="s">
        <v>207</v>
      </c>
      <c r="B11" s="34"/>
      <c r="C11" s="34" t="s">
        <v>208</v>
      </c>
      <c r="D11" s="34"/>
      <c r="E11" s="34">
        <v>61903</v>
      </c>
      <c r="F11" s="47"/>
      <c r="G11" s="35">
        <v>6195563</v>
      </c>
      <c r="I11" s="35">
        <v>0</v>
      </c>
      <c r="K11" s="35">
        <v>26149974</v>
      </c>
      <c r="M11" s="35">
        <v>502692</v>
      </c>
      <c r="O11" s="35">
        <v>1514138</v>
      </c>
      <c r="Q11" s="35">
        <v>5106</v>
      </c>
      <c r="S11" s="35">
        <v>0</v>
      </c>
      <c r="U11" s="35">
        <v>0</v>
      </c>
      <c r="W11" s="35">
        <f>54748+155838</f>
        <v>210586</v>
      </c>
      <c r="Y11" s="42">
        <f>SUM(G11:X11)</f>
        <v>34578059</v>
      </c>
      <c r="AA11" s="35">
        <v>0</v>
      </c>
      <c r="AE11" s="35">
        <v>0</v>
      </c>
      <c r="AG11" s="35">
        <v>20571</v>
      </c>
      <c r="AK11" s="35">
        <f>SUM(AA11:AJ11)</f>
        <v>20571</v>
      </c>
      <c r="AM11" s="35">
        <f>+AK11+Y11</f>
        <v>34598630</v>
      </c>
    </row>
    <row r="12" spans="1:40">
      <c r="A12" s="13" t="s">
        <v>616</v>
      </c>
      <c r="B12" s="13"/>
      <c r="C12" s="13" t="s">
        <v>58</v>
      </c>
      <c r="D12" s="13"/>
      <c r="E12" s="32">
        <v>49494</v>
      </c>
      <c r="G12" s="8">
        <v>2839415</v>
      </c>
      <c r="I12" s="8">
        <v>0</v>
      </c>
      <c r="K12" s="8">
        <v>7164128</v>
      </c>
      <c r="M12" s="8">
        <v>56727</v>
      </c>
      <c r="O12" s="8">
        <v>408902</v>
      </c>
      <c r="Q12" s="8">
        <v>70020</v>
      </c>
      <c r="S12" s="8">
        <v>0</v>
      </c>
      <c r="U12" s="8">
        <v>1711</v>
      </c>
      <c r="W12" s="8">
        <f>3308+63880</f>
        <v>67188</v>
      </c>
      <c r="Y12" s="3">
        <f t="shared" ref="Y12:Y77" si="0">SUM(G12:X12)</f>
        <v>10608091</v>
      </c>
      <c r="AA12" s="8">
        <v>0</v>
      </c>
      <c r="AE12" s="8">
        <v>0</v>
      </c>
      <c r="AG12" s="8">
        <v>0</v>
      </c>
      <c r="AI12" s="8">
        <v>0</v>
      </c>
      <c r="AK12" s="8">
        <f t="shared" ref="AK12:AK77" si="1">SUM(AA12:AJ12)</f>
        <v>0</v>
      </c>
      <c r="AM12" s="8">
        <f t="shared" ref="AM12:AM77" si="2">+AK12+Y12</f>
        <v>10608091</v>
      </c>
    </row>
    <row r="13" spans="1:40">
      <c r="A13" s="13" t="s">
        <v>662</v>
      </c>
      <c r="B13" s="13"/>
      <c r="C13" s="13" t="s">
        <v>63</v>
      </c>
      <c r="D13" s="13"/>
      <c r="E13" s="32">
        <v>43489</v>
      </c>
      <c r="G13" s="8">
        <v>107176342</v>
      </c>
      <c r="I13" s="8">
        <v>0</v>
      </c>
      <c r="K13" s="8">
        <v>153116718</v>
      </c>
      <c r="M13" s="8">
        <v>1094936</v>
      </c>
      <c r="O13" s="8">
        <v>3997562</v>
      </c>
      <c r="Q13" s="8">
        <v>0</v>
      </c>
      <c r="S13" s="8">
        <v>0</v>
      </c>
      <c r="U13" s="8">
        <v>316917</v>
      </c>
      <c r="W13" s="8">
        <f>1875407+4079146+1025962+379431+84730</f>
        <v>7444676</v>
      </c>
      <c r="Y13" s="3">
        <f t="shared" si="0"/>
        <v>273147151</v>
      </c>
      <c r="AA13" s="8">
        <v>12760</v>
      </c>
      <c r="AE13" s="8">
        <v>0</v>
      </c>
      <c r="AG13" s="8">
        <v>0</v>
      </c>
      <c r="AI13" s="8">
        <v>0</v>
      </c>
      <c r="AK13" s="8">
        <f t="shared" si="1"/>
        <v>12760</v>
      </c>
      <c r="AM13" s="8">
        <f t="shared" si="2"/>
        <v>273159911</v>
      </c>
    </row>
    <row r="14" spans="1:40" hidden="1">
      <c r="A14" s="13" t="s">
        <v>837</v>
      </c>
      <c r="B14" s="13"/>
      <c r="C14" s="13" t="s">
        <v>13</v>
      </c>
      <c r="D14" s="13"/>
      <c r="E14" s="32">
        <v>45906</v>
      </c>
      <c r="F14" s="11"/>
      <c r="G14" s="8">
        <v>3669702</v>
      </c>
      <c r="K14" s="8">
        <v>10190713</v>
      </c>
      <c r="M14" s="8">
        <v>89315</v>
      </c>
      <c r="O14" s="8">
        <v>762543</v>
      </c>
      <c r="U14" s="8">
        <v>158</v>
      </c>
      <c r="W14" s="8">
        <v>75444</v>
      </c>
      <c r="Y14" s="3">
        <f t="shared" si="0"/>
        <v>14787875</v>
      </c>
      <c r="AK14" s="8">
        <f t="shared" si="1"/>
        <v>0</v>
      </c>
      <c r="AM14" s="8">
        <f t="shared" si="2"/>
        <v>14787875</v>
      </c>
      <c r="AN14" s="8" t="s">
        <v>956</v>
      </c>
    </row>
    <row r="15" spans="1:40">
      <c r="A15" s="13" t="s">
        <v>648</v>
      </c>
      <c r="B15" s="13"/>
      <c r="C15" s="13" t="s">
        <v>62</v>
      </c>
      <c r="D15" s="13"/>
      <c r="E15" s="32">
        <v>43497</v>
      </c>
      <c r="G15" s="8">
        <v>6708937</v>
      </c>
      <c r="I15" s="8">
        <v>0</v>
      </c>
      <c r="K15" s="8">
        <v>16866845</v>
      </c>
      <c r="M15" s="8">
        <v>138317</v>
      </c>
      <c r="O15" s="8">
        <v>191578</v>
      </c>
      <c r="Q15" s="8">
        <v>0</v>
      </c>
      <c r="S15" s="8">
        <v>0</v>
      </c>
      <c r="U15" s="8">
        <v>200</v>
      </c>
      <c r="W15" s="8">
        <f>19100+40872+8740</f>
        <v>68712</v>
      </c>
      <c r="Y15" s="3">
        <f t="shared" si="0"/>
        <v>23974589</v>
      </c>
      <c r="AA15" s="8">
        <v>0</v>
      </c>
      <c r="AE15" s="8">
        <v>0</v>
      </c>
      <c r="AG15" s="8">
        <v>262655</v>
      </c>
      <c r="AI15" s="8">
        <v>0</v>
      </c>
      <c r="AK15" s="8">
        <f t="shared" si="1"/>
        <v>262655</v>
      </c>
      <c r="AM15" s="8">
        <f t="shared" si="2"/>
        <v>24237244</v>
      </c>
    </row>
    <row r="16" spans="1:40">
      <c r="A16" s="13" t="s">
        <v>343</v>
      </c>
      <c r="B16" s="13"/>
      <c r="C16" s="13" t="s">
        <v>25</v>
      </c>
      <c r="D16" s="13"/>
      <c r="E16" s="32">
        <v>46847</v>
      </c>
      <c r="G16" s="8">
        <v>2608428</v>
      </c>
      <c r="I16" s="8">
        <v>0</v>
      </c>
      <c r="K16" s="8">
        <v>9753650</v>
      </c>
      <c r="M16" s="8">
        <v>87987</v>
      </c>
      <c r="O16" s="8">
        <v>529911</v>
      </c>
      <c r="Q16" s="8">
        <v>0</v>
      </c>
      <c r="S16" s="8">
        <v>0</v>
      </c>
      <c r="U16" s="8">
        <v>0</v>
      </c>
      <c r="W16" s="8">
        <f>2360+602640</f>
        <v>605000</v>
      </c>
      <c r="Y16" s="3">
        <f t="shared" si="0"/>
        <v>13584976</v>
      </c>
      <c r="AA16" s="8">
        <v>0</v>
      </c>
      <c r="AE16" s="8">
        <v>200000</v>
      </c>
      <c r="AG16" s="8">
        <v>0</v>
      </c>
      <c r="AI16" s="8">
        <v>0</v>
      </c>
      <c r="AK16" s="8">
        <f t="shared" si="1"/>
        <v>200000</v>
      </c>
      <c r="AM16" s="8">
        <f t="shared" si="2"/>
        <v>13784976</v>
      </c>
    </row>
    <row r="17" spans="1:40">
      <c r="A17" s="13" t="s">
        <v>775</v>
      </c>
      <c r="B17" s="13"/>
      <c r="C17" s="13" t="s">
        <v>44</v>
      </c>
      <c r="D17" s="13"/>
      <c r="E17" s="13">
        <v>45195</v>
      </c>
      <c r="F17" s="11"/>
      <c r="G17" s="8">
        <v>13245761</v>
      </c>
      <c r="I17" s="8">
        <v>0</v>
      </c>
      <c r="K17" s="8">
        <v>19515253</v>
      </c>
      <c r="M17" s="8">
        <v>190484</v>
      </c>
      <c r="O17" s="8">
        <v>272694</v>
      </c>
      <c r="Q17" s="8">
        <v>0</v>
      </c>
      <c r="S17" s="8">
        <v>349395</v>
      </c>
      <c r="U17" s="8">
        <v>0</v>
      </c>
      <c r="W17" s="8">
        <f>6947+63975</f>
        <v>70922</v>
      </c>
      <c r="Y17" s="3">
        <f>SUM(G17:X17)</f>
        <v>33644509</v>
      </c>
      <c r="AA17" s="8">
        <v>0</v>
      </c>
      <c r="AE17" s="8">
        <v>0</v>
      </c>
      <c r="AG17" s="8">
        <v>0</v>
      </c>
      <c r="AI17" s="8">
        <v>0</v>
      </c>
      <c r="AK17" s="8">
        <f>SUM(AA17:AJ17)</f>
        <v>0</v>
      </c>
      <c r="AM17" s="8">
        <f>+AK17+Y17</f>
        <v>33644509</v>
      </c>
    </row>
    <row r="18" spans="1:40">
      <c r="A18" s="13" t="s">
        <v>641</v>
      </c>
      <c r="B18" s="13"/>
      <c r="C18" s="13" t="s">
        <v>61</v>
      </c>
      <c r="D18" s="13"/>
      <c r="E18" s="32">
        <v>49759</v>
      </c>
      <c r="G18" s="8">
        <v>2998954</v>
      </c>
      <c r="I18" s="8">
        <v>532083</v>
      </c>
      <c r="K18" s="8">
        <v>5416742</v>
      </c>
      <c r="M18" s="8">
        <v>201721</v>
      </c>
      <c r="O18" s="8">
        <v>272411</v>
      </c>
      <c r="Q18" s="8">
        <v>81628</v>
      </c>
      <c r="S18" s="8">
        <v>9529</v>
      </c>
      <c r="U18" s="8">
        <v>10856</v>
      </c>
      <c r="W18" s="8">
        <f>26098+47650+54743</f>
        <v>128491</v>
      </c>
      <c r="Y18" s="3">
        <f t="shared" si="0"/>
        <v>9652415</v>
      </c>
      <c r="AA18" s="8">
        <v>0</v>
      </c>
      <c r="AE18" s="8">
        <v>0</v>
      </c>
      <c r="AG18" s="8">
        <v>0</v>
      </c>
      <c r="AI18" s="8">
        <v>0</v>
      </c>
      <c r="AK18" s="8">
        <f t="shared" si="1"/>
        <v>0</v>
      </c>
      <c r="AM18" s="8">
        <f t="shared" si="2"/>
        <v>9652415</v>
      </c>
    </row>
    <row r="19" spans="1:40" hidden="1">
      <c r="A19" s="13" t="s">
        <v>1019</v>
      </c>
      <c r="B19" s="13"/>
      <c r="C19" s="13" t="s">
        <v>814</v>
      </c>
      <c r="D19" s="13"/>
      <c r="E19" s="32"/>
      <c r="G19" s="8">
        <v>1001747</v>
      </c>
      <c r="I19" s="8">
        <v>428072</v>
      </c>
      <c r="K19" s="8">
        <v>3779443</v>
      </c>
      <c r="M19" s="8">
        <v>26656</v>
      </c>
      <c r="O19" s="8">
        <v>680912</v>
      </c>
      <c r="S19" s="8">
        <v>12276</v>
      </c>
      <c r="W19" s="8">
        <v>23151</v>
      </c>
      <c r="Y19" s="3">
        <f t="shared" si="0"/>
        <v>5952257</v>
      </c>
      <c r="AM19" s="8">
        <f t="shared" si="2"/>
        <v>5952257</v>
      </c>
    </row>
    <row r="20" spans="1:40">
      <c r="A20" s="13" t="s">
        <v>496</v>
      </c>
      <c r="B20" s="13"/>
      <c r="C20" s="13" t="s">
        <v>117</v>
      </c>
      <c r="D20" s="13"/>
      <c r="E20" s="32">
        <v>48207</v>
      </c>
      <c r="G20" s="8">
        <v>20757042</v>
      </c>
      <c r="I20" s="8">
        <v>0</v>
      </c>
      <c r="K20" s="8">
        <f>362955+11684722</f>
        <v>12047677</v>
      </c>
      <c r="M20" s="8">
        <v>134794</v>
      </c>
      <c r="O20" s="8">
        <v>378562</v>
      </c>
      <c r="Q20" s="8">
        <v>0</v>
      </c>
      <c r="S20" s="8">
        <v>0</v>
      </c>
      <c r="U20" s="8">
        <v>0</v>
      </c>
      <c r="W20" s="8">
        <v>20539</v>
      </c>
      <c r="Y20" s="3">
        <f t="shared" si="0"/>
        <v>33338614</v>
      </c>
      <c r="AA20" s="8">
        <v>0</v>
      </c>
      <c r="AE20" s="8">
        <v>0</v>
      </c>
      <c r="AG20" s="8">
        <v>22593</v>
      </c>
      <c r="AI20" s="8">
        <v>0</v>
      </c>
      <c r="AK20" s="8">
        <f t="shared" si="1"/>
        <v>22593</v>
      </c>
      <c r="AM20" s="8">
        <f t="shared" si="2"/>
        <v>33361207</v>
      </c>
    </row>
    <row r="21" spans="1:40">
      <c r="A21" s="13" t="s">
        <v>413</v>
      </c>
      <c r="B21" s="13"/>
      <c r="C21" s="13" t="s">
        <v>33</v>
      </c>
      <c r="D21" s="13"/>
      <c r="E21" s="32">
        <v>47415</v>
      </c>
      <c r="G21" s="8">
        <v>2113450</v>
      </c>
      <c r="I21" s="8">
        <v>631734</v>
      </c>
      <c r="K21" s="8">
        <v>2394899</v>
      </c>
      <c r="M21" s="8">
        <v>42869</v>
      </c>
      <c r="O21" s="8">
        <v>628369</v>
      </c>
      <c r="Q21" s="8">
        <v>0</v>
      </c>
      <c r="S21" s="8">
        <v>0</v>
      </c>
      <c r="U21" s="8">
        <v>20000</v>
      </c>
      <c r="W21" s="8">
        <v>2245</v>
      </c>
      <c r="Y21" s="3">
        <f t="shared" si="0"/>
        <v>5833566</v>
      </c>
      <c r="AA21" s="8">
        <v>0</v>
      </c>
      <c r="AE21" s="8">
        <v>0</v>
      </c>
      <c r="AG21" s="8">
        <v>0</v>
      </c>
      <c r="AI21" s="8">
        <v>0</v>
      </c>
      <c r="AK21" s="8">
        <f t="shared" si="1"/>
        <v>0</v>
      </c>
      <c r="AM21" s="8">
        <f t="shared" si="2"/>
        <v>5833566</v>
      </c>
    </row>
    <row r="22" spans="1:40" hidden="1">
      <c r="A22" s="13" t="s">
        <v>958</v>
      </c>
      <c r="B22" s="13"/>
      <c r="C22" s="13" t="s">
        <v>21</v>
      </c>
      <c r="D22" s="13"/>
      <c r="E22" s="32">
        <v>46631</v>
      </c>
      <c r="G22" s="8">
        <v>1888073</v>
      </c>
      <c r="I22" s="8">
        <v>1712898</v>
      </c>
      <c r="K22" s="8">
        <v>4740763</v>
      </c>
      <c r="M22" s="8">
        <v>52385</v>
      </c>
      <c r="O22" s="8">
        <v>522929</v>
      </c>
      <c r="U22" s="8">
        <v>39000</v>
      </c>
      <c r="W22" s="8">
        <v>26620</v>
      </c>
      <c r="Y22" s="3">
        <f t="shared" si="0"/>
        <v>8982668</v>
      </c>
      <c r="AK22" s="8">
        <f t="shared" si="1"/>
        <v>0</v>
      </c>
      <c r="AM22" s="8">
        <f t="shared" si="2"/>
        <v>8982668</v>
      </c>
      <c r="AN22" s="8" t="s">
        <v>956</v>
      </c>
    </row>
    <row r="23" spans="1:40">
      <c r="A23" s="13" t="s">
        <v>368</v>
      </c>
      <c r="B23" s="13"/>
      <c r="C23" s="13" t="s">
        <v>28</v>
      </c>
      <c r="D23" s="13"/>
      <c r="E23" s="32">
        <v>47043</v>
      </c>
      <c r="G23" s="8">
        <v>5605091</v>
      </c>
      <c r="I23" s="8">
        <v>0</v>
      </c>
      <c r="K23" s="8">
        <v>5599169</v>
      </c>
      <c r="M23" s="8">
        <v>190046</v>
      </c>
      <c r="O23" s="8">
        <v>300436</v>
      </c>
      <c r="Q23" s="8">
        <v>0</v>
      </c>
      <c r="S23" s="8">
        <v>223427</v>
      </c>
      <c r="U23" s="8">
        <v>1338</v>
      </c>
      <c r="W23" s="8">
        <f>134012+7168</f>
        <v>141180</v>
      </c>
      <c r="Y23" s="3">
        <f t="shared" si="0"/>
        <v>12060687</v>
      </c>
      <c r="AA23" s="8">
        <v>0</v>
      </c>
      <c r="AE23" s="8">
        <v>0</v>
      </c>
      <c r="AG23" s="8">
        <v>0</v>
      </c>
      <c r="AI23" s="8">
        <v>0</v>
      </c>
      <c r="AK23" s="8">
        <f t="shared" si="1"/>
        <v>0</v>
      </c>
      <c r="AM23" s="8">
        <f t="shared" si="2"/>
        <v>12060687</v>
      </c>
    </row>
    <row r="24" spans="1:40">
      <c r="A24" s="13" t="s">
        <v>414</v>
      </c>
      <c r="B24" s="13"/>
      <c r="C24" s="13" t="s">
        <v>33</v>
      </c>
      <c r="D24" s="13"/>
      <c r="E24" s="32">
        <v>47423</v>
      </c>
      <c r="G24" s="8">
        <v>1223568</v>
      </c>
      <c r="I24" s="8">
        <v>859117</v>
      </c>
      <c r="K24" s="8">
        <v>3476062</v>
      </c>
      <c r="M24" s="8">
        <v>75871</v>
      </c>
      <c r="O24" s="8">
        <v>198932</v>
      </c>
      <c r="Q24" s="8">
        <v>1693</v>
      </c>
      <c r="S24" s="8">
        <v>0</v>
      </c>
      <c r="U24" s="8">
        <v>14200</v>
      </c>
      <c r="W24" s="8">
        <v>7293</v>
      </c>
      <c r="Y24" s="3">
        <f t="shared" si="0"/>
        <v>5856736</v>
      </c>
      <c r="AA24" s="8">
        <v>0</v>
      </c>
      <c r="AE24" s="8">
        <v>0</v>
      </c>
      <c r="AG24" s="8">
        <v>1452</v>
      </c>
      <c r="AI24" s="8">
        <v>0</v>
      </c>
      <c r="AK24" s="8">
        <f t="shared" si="1"/>
        <v>1452</v>
      </c>
      <c r="AM24" s="8">
        <f t="shared" si="2"/>
        <v>5858188</v>
      </c>
    </row>
    <row r="25" spans="1:40">
      <c r="A25" s="13" t="s">
        <v>213</v>
      </c>
      <c r="B25" s="13"/>
      <c r="C25" s="13" t="s">
        <v>11</v>
      </c>
      <c r="D25" s="13"/>
      <c r="E25" s="32">
        <v>43505</v>
      </c>
      <c r="F25" s="11"/>
      <c r="G25" s="8">
        <v>15767011</v>
      </c>
      <c r="I25" s="8">
        <v>0</v>
      </c>
      <c r="K25" s="8">
        <v>14918422</v>
      </c>
      <c r="M25" s="8">
        <v>230524</v>
      </c>
      <c r="O25" s="8">
        <v>864173</v>
      </c>
      <c r="Q25" s="8">
        <v>63273</v>
      </c>
      <c r="S25" s="8">
        <v>0</v>
      </c>
      <c r="U25" s="8">
        <v>0</v>
      </c>
      <c r="W25" s="8">
        <f>9307+37100+368433</f>
        <v>414840</v>
      </c>
      <c r="Y25" s="3">
        <f t="shared" si="0"/>
        <v>32258243</v>
      </c>
      <c r="AA25" s="8">
        <v>0</v>
      </c>
      <c r="AE25" s="8">
        <v>0</v>
      </c>
      <c r="AG25" s="8">
        <v>312</v>
      </c>
      <c r="AI25" s="8">
        <v>0</v>
      </c>
      <c r="AK25" s="8">
        <f t="shared" si="1"/>
        <v>312</v>
      </c>
      <c r="AM25" s="8">
        <f t="shared" si="2"/>
        <v>32258555</v>
      </c>
    </row>
    <row r="26" spans="1:40">
      <c r="A26" s="13" t="s">
        <v>761</v>
      </c>
      <c r="B26" s="13"/>
      <c r="C26" s="13" t="s">
        <v>12</v>
      </c>
      <c r="D26" s="13"/>
      <c r="E26" s="32">
        <v>43513</v>
      </c>
      <c r="F26" s="11"/>
      <c r="G26" s="8">
        <v>9605226</v>
      </c>
      <c r="I26" s="8">
        <v>0</v>
      </c>
      <c r="K26" s="8">
        <v>23276202</v>
      </c>
      <c r="M26" s="8">
        <v>157457</v>
      </c>
      <c r="O26" s="8">
        <v>414517</v>
      </c>
      <c r="Q26" s="8">
        <v>1146</v>
      </c>
      <c r="S26" s="8">
        <v>0</v>
      </c>
      <c r="U26" s="8">
        <v>0</v>
      </c>
      <c r="W26" s="8">
        <f>258131+7178</f>
        <v>265309</v>
      </c>
      <c r="Y26" s="3">
        <f t="shared" si="0"/>
        <v>33719857</v>
      </c>
      <c r="AA26" s="8">
        <v>0</v>
      </c>
      <c r="AE26" s="8">
        <v>0</v>
      </c>
      <c r="AG26" s="8">
        <v>7134</v>
      </c>
      <c r="AK26" s="8">
        <f t="shared" si="1"/>
        <v>7134</v>
      </c>
      <c r="AM26" s="8">
        <f t="shared" si="2"/>
        <v>33726991</v>
      </c>
      <c r="AN26" s="8" t="s">
        <v>956</v>
      </c>
    </row>
    <row r="27" spans="1:40">
      <c r="A27" s="13" t="s">
        <v>223</v>
      </c>
      <c r="B27" s="13"/>
      <c r="C27" s="13" t="s">
        <v>13</v>
      </c>
      <c r="D27" s="13"/>
      <c r="E27" s="32">
        <v>43521</v>
      </c>
      <c r="F27" s="11"/>
      <c r="G27" s="8">
        <v>13295674</v>
      </c>
      <c r="I27" s="8">
        <v>2983038</v>
      </c>
      <c r="K27" s="8">
        <v>9549077</v>
      </c>
      <c r="M27" s="8">
        <v>343410</v>
      </c>
      <c r="O27" s="8">
        <v>2714559</v>
      </c>
      <c r="Q27" s="8">
        <v>0</v>
      </c>
      <c r="S27" s="8">
        <v>441147</v>
      </c>
      <c r="U27" s="8">
        <v>0</v>
      </c>
      <c r="W27" s="8">
        <f>57176+3621</f>
        <v>60797</v>
      </c>
      <c r="Y27" s="3">
        <f t="shared" si="0"/>
        <v>29387702</v>
      </c>
      <c r="AA27" s="8">
        <v>0</v>
      </c>
      <c r="AE27" s="8">
        <v>0</v>
      </c>
      <c r="AG27" s="8">
        <v>0</v>
      </c>
      <c r="AK27" s="8">
        <f t="shared" si="1"/>
        <v>0</v>
      </c>
      <c r="AM27" s="8">
        <f t="shared" si="2"/>
        <v>29387702</v>
      </c>
      <c r="AN27" s="8" t="s">
        <v>956</v>
      </c>
    </row>
    <row r="28" spans="1:40">
      <c r="A28" s="13" t="s">
        <v>588</v>
      </c>
      <c r="B28" s="13"/>
      <c r="C28" s="13" t="s">
        <v>56</v>
      </c>
      <c r="D28" s="13"/>
      <c r="E28" s="32">
        <v>49171</v>
      </c>
      <c r="G28" s="8">
        <v>18310536</v>
      </c>
      <c r="I28" s="8">
        <v>0</v>
      </c>
      <c r="K28" s="8">
        <v>5760401</v>
      </c>
      <c r="M28" s="8">
        <v>273059</v>
      </c>
      <c r="O28" s="8">
        <v>302469</v>
      </c>
      <c r="Q28" s="8">
        <v>0</v>
      </c>
      <c r="S28" s="8">
        <v>0</v>
      </c>
      <c r="U28" s="8">
        <v>600</v>
      </c>
      <c r="W28" s="8">
        <f>44628+206000</f>
        <v>250628</v>
      </c>
      <c r="Y28" s="3">
        <f t="shared" si="0"/>
        <v>24897693</v>
      </c>
      <c r="AA28" s="8">
        <v>44081</v>
      </c>
      <c r="AE28" s="8">
        <v>0</v>
      </c>
      <c r="AG28" s="8">
        <v>0</v>
      </c>
      <c r="AI28" s="8">
        <v>0</v>
      </c>
      <c r="AK28" s="8">
        <f t="shared" si="1"/>
        <v>44081</v>
      </c>
      <c r="AM28" s="8">
        <f t="shared" si="2"/>
        <v>24941774</v>
      </c>
    </row>
    <row r="29" spans="1:40">
      <c r="A29" s="13" t="s">
        <v>508</v>
      </c>
      <c r="B29" s="13"/>
      <c r="C29" s="13" t="s">
        <v>45</v>
      </c>
      <c r="D29" s="13"/>
      <c r="E29" s="32">
        <v>48298</v>
      </c>
      <c r="G29" s="8">
        <v>16447102</v>
      </c>
      <c r="I29" s="8">
        <v>0</v>
      </c>
      <c r="K29" s="8">
        <v>21867955</v>
      </c>
      <c r="M29" s="8">
        <v>181956</v>
      </c>
      <c r="O29" s="8">
        <v>85745</v>
      </c>
      <c r="Q29" s="8">
        <v>4890</v>
      </c>
      <c r="S29" s="8">
        <v>0</v>
      </c>
      <c r="U29" s="8">
        <v>0</v>
      </c>
      <c r="W29" s="8">
        <f>64752+530+131861</f>
        <v>197143</v>
      </c>
      <c r="Y29" s="3">
        <f t="shared" si="0"/>
        <v>38784791</v>
      </c>
      <c r="AA29" s="8">
        <v>0</v>
      </c>
      <c r="AE29" s="8">
        <v>0</v>
      </c>
      <c r="AG29" s="8">
        <v>582</v>
      </c>
      <c r="AK29" s="8">
        <f t="shared" si="1"/>
        <v>582</v>
      </c>
      <c r="AM29" s="8">
        <f t="shared" si="2"/>
        <v>38785373</v>
      </c>
      <c r="AN29" s="8" t="s">
        <v>956</v>
      </c>
    </row>
    <row r="30" spans="1:40">
      <c r="A30" s="13" t="s">
        <v>483</v>
      </c>
      <c r="B30" s="13"/>
      <c r="C30" s="13" t="s">
        <v>44</v>
      </c>
      <c r="D30" s="13"/>
      <c r="E30" s="32">
        <v>48124</v>
      </c>
      <c r="G30" s="8">
        <v>25536941</v>
      </c>
      <c r="I30" s="8">
        <v>0</v>
      </c>
      <c r="K30" s="8">
        <v>9756950</v>
      </c>
      <c r="M30" s="8">
        <v>615364</v>
      </c>
      <c r="O30" s="8">
        <v>599347</v>
      </c>
      <c r="Q30" s="8">
        <v>0</v>
      </c>
      <c r="S30" s="8">
        <v>0</v>
      </c>
      <c r="U30" s="8">
        <v>0</v>
      </c>
      <c r="W30" s="8">
        <v>83920</v>
      </c>
      <c r="Y30" s="3">
        <f t="shared" si="0"/>
        <v>36592522</v>
      </c>
      <c r="AA30" s="8">
        <v>0</v>
      </c>
      <c r="AE30" s="8">
        <v>452267</v>
      </c>
      <c r="AG30" s="8">
        <v>0</v>
      </c>
      <c r="AK30" s="8">
        <f t="shared" si="1"/>
        <v>452267</v>
      </c>
      <c r="AM30" s="8">
        <f t="shared" si="2"/>
        <v>37044789</v>
      </c>
      <c r="AN30" s="8" t="s">
        <v>956</v>
      </c>
    </row>
    <row r="31" spans="1:40">
      <c r="A31" s="13" t="s">
        <v>484</v>
      </c>
      <c r="B31" s="13"/>
      <c r="C31" s="13" t="s">
        <v>44</v>
      </c>
      <c r="D31" s="13"/>
      <c r="E31" s="32">
        <v>48116</v>
      </c>
      <c r="G31" s="8">
        <v>18587922</v>
      </c>
      <c r="I31" s="8">
        <v>0</v>
      </c>
      <c r="K31" s="8">
        <v>6956844</v>
      </c>
      <c r="M31" s="8">
        <v>187746</v>
      </c>
      <c r="O31" s="8">
        <v>677264</v>
      </c>
      <c r="Q31" s="8">
        <v>166</v>
      </c>
      <c r="S31" s="8">
        <v>0</v>
      </c>
      <c r="U31" s="8">
        <v>0</v>
      </c>
      <c r="W31" s="8">
        <v>88362</v>
      </c>
      <c r="Y31" s="3">
        <f t="shared" si="0"/>
        <v>26498304</v>
      </c>
      <c r="AA31" s="8">
        <v>0</v>
      </c>
      <c r="AE31" s="8">
        <v>0</v>
      </c>
      <c r="AG31" s="8">
        <v>0</v>
      </c>
      <c r="AK31" s="8">
        <f t="shared" si="1"/>
        <v>0</v>
      </c>
      <c r="AM31" s="8">
        <f t="shared" si="2"/>
        <v>26498304</v>
      </c>
      <c r="AN31" s="8" t="s">
        <v>956</v>
      </c>
    </row>
    <row r="32" spans="1:40">
      <c r="A32" s="13" t="s">
        <v>330</v>
      </c>
      <c r="B32" s="13"/>
      <c r="C32" s="13" t="s">
        <v>22</v>
      </c>
      <c r="D32" s="13"/>
      <c r="E32" s="32">
        <v>46706</v>
      </c>
      <c r="G32" s="8">
        <v>3020009</v>
      </c>
      <c r="I32" s="8">
        <v>0</v>
      </c>
      <c r="K32" s="8">
        <f>3212728+1651</f>
        <v>3214379</v>
      </c>
      <c r="M32" s="8">
        <v>46962</v>
      </c>
      <c r="O32" s="8">
        <v>1006258</v>
      </c>
      <c r="Q32" s="8">
        <v>0</v>
      </c>
      <c r="S32" s="8">
        <v>36024</v>
      </c>
      <c r="U32" s="8">
        <v>0</v>
      </c>
      <c r="W32" s="8">
        <f>11858+40593</f>
        <v>52451</v>
      </c>
      <c r="Y32" s="3">
        <f t="shared" si="0"/>
        <v>7376083</v>
      </c>
      <c r="AA32" s="8">
        <v>0</v>
      </c>
      <c r="AE32" s="8">
        <v>0</v>
      </c>
      <c r="AG32" s="8">
        <v>66572</v>
      </c>
      <c r="AK32" s="8">
        <f t="shared" si="1"/>
        <v>66572</v>
      </c>
      <c r="AM32" s="8">
        <f t="shared" si="2"/>
        <v>7442655</v>
      </c>
      <c r="AN32" s="8" t="s">
        <v>956</v>
      </c>
    </row>
    <row r="33" spans="1:40">
      <c r="A33" s="13" t="s">
        <v>663</v>
      </c>
      <c r="B33" s="13"/>
      <c r="C33" s="13" t="s">
        <v>63</v>
      </c>
      <c r="D33" s="13"/>
      <c r="E33" s="32">
        <v>43539</v>
      </c>
      <c r="G33" s="8">
        <v>11686091</v>
      </c>
      <c r="I33" s="8">
        <v>0</v>
      </c>
      <c r="K33" s="8">
        <f>22282559+571461</f>
        <v>22854020</v>
      </c>
      <c r="M33" s="8">
        <v>133606</v>
      </c>
      <c r="O33" s="8">
        <v>675063</v>
      </c>
      <c r="Q33" s="8">
        <v>0</v>
      </c>
      <c r="S33" s="8">
        <v>0</v>
      </c>
      <c r="U33" s="8">
        <v>0</v>
      </c>
      <c r="W33" s="8">
        <v>145548</v>
      </c>
      <c r="Y33" s="3">
        <f t="shared" si="0"/>
        <v>35494328</v>
      </c>
      <c r="AA33" s="8">
        <v>0</v>
      </c>
      <c r="AE33" s="8">
        <v>0</v>
      </c>
      <c r="AG33" s="8">
        <v>0</v>
      </c>
      <c r="AI33" s="8">
        <v>0</v>
      </c>
      <c r="AK33" s="8">
        <f t="shared" si="1"/>
        <v>0</v>
      </c>
      <c r="AM33" s="8">
        <f t="shared" si="2"/>
        <v>35494328</v>
      </c>
    </row>
    <row r="34" spans="1:40">
      <c r="A34" s="13" t="s">
        <v>815</v>
      </c>
      <c r="B34" s="13"/>
      <c r="C34" s="13" t="s">
        <v>15</v>
      </c>
      <c r="D34" s="13"/>
      <c r="E34" s="32"/>
      <c r="G34" s="8">
        <v>1955729</v>
      </c>
      <c r="I34" s="8">
        <v>0</v>
      </c>
      <c r="K34" s="8">
        <v>6019962</v>
      </c>
      <c r="M34" s="8">
        <v>57316</v>
      </c>
      <c r="O34" s="8">
        <v>557766</v>
      </c>
      <c r="Q34" s="8">
        <v>0</v>
      </c>
      <c r="S34" s="8">
        <v>0</v>
      </c>
      <c r="U34" s="8">
        <v>0</v>
      </c>
      <c r="W34" s="8">
        <f>8500+32212</f>
        <v>40712</v>
      </c>
      <c r="Y34" s="3">
        <f t="shared" si="0"/>
        <v>8631485</v>
      </c>
      <c r="AA34" s="8">
        <v>0</v>
      </c>
      <c r="AE34" s="8">
        <v>0</v>
      </c>
      <c r="AG34" s="8">
        <v>81422</v>
      </c>
      <c r="AI34" s="8">
        <v>0</v>
      </c>
      <c r="AK34" s="8">
        <f t="shared" si="1"/>
        <v>81422</v>
      </c>
      <c r="AM34" s="8">
        <f t="shared" si="2"/>
        <v>8712907</v>
      </c>
    </row>
    <row r="35" spans="1:40">
      <c r="A35" s="13" t="s">
        <v>266</v>
      </c>
      <c r="B35" s="13"/>
      <c r="C35" s="13" t="s">
        <v>115</v>
      </c>
      <c r="D35" s="13"/>
      <c r="E35" s="32">
        <v>46300</v>
      </c>
      <c r="F35" s="11"/>
      <c r="G35" s="8">
        <v>6459414</v>
      </c>
      <c r="I35" s="8">
        <v>0</v>
      </c>
      <c r="K35" s="8">
        <v>8815022</v>
      </c>
      <c r="M35" s="8">
        <v>64762</v>
      </c>
      <c r="O35" s="8">
        <v>786034</v>
      </c>
      <c r="Q35" s="8">
        <v>0</v>
      </c>
      <c r="S35" s="8">
        <v>0</v>
      </c>
      <c r="U35" s="8">
        <v>0</v>
      </c>
      <c r="W35" s="8">
        <v>158830</v>
      </c>
      <c r="Y35" s="3">
        <f t="shared" si="0"/>
        <v>16284062</v>
      </c>
      <c r="AA35" s="8">
        <v>0</v>
      </c>
      <c r="AE35" s="8">
        <v>0</v>
      </c>
      <c r="AG35" s="8">
        <v>0</v>
      </c>
      <c r="AI35" s="8">
        <v>0</v>
      </c>
      <c r="AK35" s="8">
        <f t="shared" si="1"/>
        <v>0</v>
      </c>
      <c r="AM35" s="8">
        <f t="shared" si="2"/>
        <v>16284062</v>
      </c>
    </row>
    <row r="36" spans="1:40" hidden="1">
      <c r="A36" s="13" t="s">
        <v>960</v>
      </c>
      <c r="B36" s="13"/>
      <c r="C36" s="13" t="s">
        <v>10</v>
      </c>
      <c r="D36" s="13"/>
      <c r="E36" s="32">
        <v>45765</v>
      </c>
      <c r="F36" s="11"/>
      <c r="G36" s="8">
        <v>7310159</v>
      </c>
      <c r="K36" s="8">
        <v>6858089</v>
      </c>
      <c r="M36" s="8">
        <v>312790</v>
      </c>
      <c r="O36" s="8">
        <v>1071603</v>
      </c>
      <c r="W36" s="8">
        <f>1040+21919</f>
        <v>22959</v>
      </c>
      <c r="Y36" s="3">
        <f t="shared" si="0"/>
        <v>15575600</v>
      </c>
      <c r="AK36" s="8">
        <f t="shared" si="1"/>
        <v>0</v>
      </c>
      <c r="AM36" s="8">
        <f t="shared" si="2"/>
        <v>15575600</v>
      </c>
      <c r="AN36" s="8" t="s">
        <v>956</v>
      </c>
    </row>
    <row r="37" spans="1:40">
      <c r="A37" s="13" t="s">
        <v>296</v>
      </c>
      <c r="B37" s="13"/>
      <c r="C37" s="13" t="s">
        <v>20</v>
      </c>
      <c r="D37" s="13"/>
      <c r="E37" s="32">
        <v>43547</v>
      </c>
      <c r="G37" s="8">
        <v>19790897</v>
      </c>
      <c r="I37" s="8">
        <v>0</v>
      </c>
      <c r="K37" s="8">
        <v>7608876</v>
      </c>
      <c r="M37" s="8">
        <v>219554</v>
      </c>
      <c r="O37" s="8">
        <v>140220</v>
      </c>
      <c r="Q37" s="8">
        <v>0</v>
      </c>
      <c r="S37" s="8">
        <v>0</v>
      </c>
      <c r="U37" s="8">
        <v>0</v>
      </c>
      <c r="W37" s="8">
        <v>155964</v>
      </c>
      <c r="Y37" s="3">
        <f t="shared" si="0"/>
        <v>27915511</v>
      </c>
      <c r="AA37" s="8">
        <v>0</v>
      </c>
      <c r="AE37" s="8">
        <v>0</v>
      </c>
      <c r="AG37" s="8">
        <v>0</v>
      </c>
      <c r="AI37" s="8">
        <v>0</v>
      </c>
      <c r="AK37" s="8">
        <f t="shared" si="1"/>
        <v>0</v>
      </c>
      <c r="AM37" s="8">
        <f t="shared" si="2"/>
        <v>27915511</v>
      </c>
    </row>
    <row r="38" spans="1:40">
      <c r="A38" s="13" t="s">
        <v>297</v>
      </c>
      <c r="B38" s="13"/>
      <c r="C38" s="13" t="s">
        <v>20</v>
      </c>
      <c r="D38" s="13"/>
      <c r="E38" s="32">
        <v>43554</v>
      </c>
      <c r="G38" s="8">
        <v>27671597</v>
      </c>
      <c r="I38" s="8">
        <v>0</v>
      </c>
      <c r="K38" s="8">
        <v>6464996</v>
      </c>
      <c r="M38" s="8">
        <v>459190</v>
      </c>
      <c r="O38" s="8">
        <v>1188112</v>
      </c>
      <c r="Q38" s="8">
        <v>0</v>
      </c>
      <c r="S38" s="8">
        <v>0</v>
      </c>
      <c r="U38" s="8">
        <v>2050</v>
      </c>
      <c r="W38" s="8">
        <f>278055+229562+190973</f>
        <v>698590</v>
      </c>
      <c r="Y38" s="3">
        <f t="shared" si="0"/>
        <v>36484535</v>
      </c>
      <c r="AA38" s="8">
        <v>0</v>
      </c>
      <c r="AE38" s="8">
        <v>0</v>
      </c>
      <c r="AG38" s="8">
        <v>124373</v>
      </c>
      <c r="AI38" s="8">
        <v>0</v>
      </c>
      <c r="AK38" s="8">
        <f t="shared" si="1"/>
        <v>124373</v>
      </c>
      <c r="AM38" s="8">
        <f t="shared" si="2"/>
        <v>36608908</v>
      </c>
    </row>
    <row r="39" spans="1:40">
      <c r="A39" s="13" t="s">
        <v>278</v>
      </c>
      <c r="B39" s="13"/>
      <c r="C39" s="13" t="s">
        <v>114</v>
      </c>
      <c r="D39" s="13"/>
      <c r="E39" s="32">
        <v>46425</v>
      </c>
      <c r="F39" s="11"/>
      <c r="G39" s="8">
        <v>5547202</v>
      </c>
      <c r="I39" s="8">
        <v>0</v>
      </c>
      <c r="K39" s="8">
        <v>10701782</v>
      </c>
      <c r="M39" s="8">
        <v>15269</v>
      </c>
      <c r="O39" s="8">
        <v>1540838</v>
      </c>
      <c r="Q39" s="8">
        <v>38672</v>
      </c>
      <c r="S39" s="8">
        <v>0</v>
      </c>
      <c r="U39" s="8">
        <v>0</v>
      </c>
      <c r="W39" s="8">
        <f>2539+27339</f>
        <v>29878</v>
      </c>
      <c r="Y39" s="3">
        <f t="shared" si="0"/>
        <v>17873641</v>
      </c>
      <c r="AA39" s="8">
        <v>0</v>
      </c>
      <c r="AE39" s="8">
        <v>0</v>
      </c>
      <c r="AG39" s="8">
        <v>17095</v>
      </c>
      <c r="AK39" s="8">
        <f t="shared" si="1"/>
        <v>17095</v>
      </c>
      <c r="AM39" s="8">
        <f t="shared" si="2"/>
        <v>17890736</v>
      </c>
    </row>
    <row r="40" spans="1:40">
      <c r="A40" s="13" t="s">
        <v>384</v>
      </c>
      <c r="B40" s="13"/>
      <c r="C40" s="13" t="s">
        <v>116</v>
      </c>
      <c r="D40" s="13"/>
      <c r="E40" s="32">
        <v>47241</v>
      </c>
      <c r="G40" s="8">
        <v>46190676</v>
      </c>
      <c r="I40" s="8">
        <v>0</v>
      </c>
      <c r="K40" s="8">
        <v>20321279</v>
      </c>
      <c r="M40" s="8">
        <v>566484</v>
      </c>
      <c r="O40" s="8">
        <v>490824</v>
      </c>
      <c r="Q40" s="8">
        <v>0</v>
      </c>
      <c r="S40" s="8">
        <v>0</v>
      </c>
      <c r="U40" s="8">
        <v>0</v>
      </c>
      <c r="W40" s="8">
        <f>11393+500+107634+97355</f>
        <v>216882</v>
      </c>
      <c r="Y40" s="3">
        <f t="shared" si="0"/>
        <v>67786145</v>
      </c>
      <c r="AA40" s="8">
        <v>0</v>
      </c>
      <c r="AE40" s="8">
        <v>0</v>
      </c>
      <c r="AG40" s="8">
        <v>0</v>
      </c>
      <c r="AK40" s="8">
        <f t="shared" si="1"/>
        <v>0</v>
      </c>
      <c r="AM40" s="8">
        <f t="shared" si="2"/>
        <v>67786145</v>
      </c>
    </row>
    <row r="41" spans="1:40">
      <c r="A41" s="13" t="s">
        <v>298</v>
      </c>
      <c r="B41" s="13"/>
      <c r="C41" s="13" t="s">
        <v>20</v>
      </c>
      <c r="D41" s="13"/>
      <c r="E41" s="32">
        <v>43562</v>
      </c>
      <c r="G41" s="8">
        <v>26442596</v>
      </c>
      <c r="I41" s="8">
        <v>0</v>
      </c>
      <c r="K41" s="8">
        <v>15478752</v>
      </c>
      <c r="M41" s="8">
        <v>288540</v>
      </c>
      <c r="O41" s="8">
        <v>1868368</v>
      </c>
      <c r="Q41" s="8">
        <v>0</v>
      </c>
      <c r="S41" s="8">
        <v>0</v>
      </c>
      <c r="U41" s="8">
        <v>0</v>
      </c>
      <c r="W41" s="8">
        <f>12343+530+475694</f>
        <v>488567</v>
      </c>
      <c r="Y41" s="3">
        <f t="shared" si="0"/>
        <v>44566823</v>
      </c>
      <c r="AA41" s="8">
        <v>0</v>
      </c>
      <c r="AE41" s="8">
        <v>0</v>
      </c>
      <c r="AG41" s="8">
        <v>0</v>
      </c>
      <c r="AK41" s="8">
        <f t="shared" si="1"/>
        <v>0</v>
      </c>
      <c r="AM41" s="8">
        <f t="shared" si="2"/>
        <v>44566823</v>
      </c>
    </row>
    <row r="42" spans="1:40">
      <c r="A42" s="13" t="s">
        <v>231</v>
      </c>
      <c r="B42" s="13"/>
      <c r="C42" s="13" t="s">
        <v>15</v>
      </c>
      <c r="D42" s="13"/>
      <c r="E42" s="32">
        <v>43570</v>
      </c>
      <c r="F42" s="11"/>
      <c r="G42" s="8">
        <v>1988736</v>
      </c>
      <c r="I42" s="8">
        <v>0</v>
      </c>
      <c r="K42" s="8">
        <v>8999827</v>
      </c>
      <c r="M42" s="8">
        <v>17812</v>
      </c>
      <c r="O42" s="8">
        <v>825265</v>
      </c>
      <c r="Q42" s="8">
        <v>0</v>
      </c>
      <c r="S42" s="8">
        <v>0</v>
      </c>
      <c r="U42" s="8">
        <v>0</v>
      </c>
      <c r="W42" s="8">
        <f>2250+27513+18463</f>
        <v>48226</v>
      </c>
      <c r="Y42" s="3">
        <f t="shared" si="0"/>
        <v>11879866</v>
      </c>
      <c r="AA42" s="8">
        <v>0</v>
      </c>
      <c r="AE42" s="8">
        <v>0</v>
      </c>
      <c r="AG42" s="8">
        <v>0</v>
      </c>
      <c r="AK42" s="8">
        <f t="shared" si="1"/>
        <v>0</v>
      </c>
      <c r="AM42" s="8">
        <f t="shared" si="2"/>
        <v>11879866</v>
      </c>
    </row>
    <row r="43" spans="1:40">
      <c r="A43" s="13" t="s">
        <v>443</v>
      </c>
      <c r="B43" s="13"/>
      <c r="C43" s="13" t="s">
        <v>37</v>
      </c>
      <c r="D43" s="13"/>
      <c r="E43" s="32">
        <v>43596</v>
      </c>
      <c r="G43" s="8">
        <v>7560618</v>
      </c>
      <c r="I43" s="8">
        <v>0</v>
      </c>
      <c r="K43" s="8">
        <v>10860444</v>
      </c>
      <c r="M43" s="8">
        <v>83365</v>
      </c>
      <c r="O43" s="8">
        <v>268085</v>
      </c>
      <c r="Q43" s="8">
        <v>21579</v>
      </c>
      <c r="S43" s="8">
        <v>0</v>
      </c>
      <c r="U43" s="8">
        <v>0</v>
      </c>
      <c r="W43" s="8">
        <f>71321+608+206793</f>
        <v>278722</v>
      </c>
      <c r="Y43" s="3">
        <f t="shared" si="0"/>
        <v>19072813</v>
      </c>
      <c r="AA43" s="8">
        <v>0</v>
      </c>
      <c r="AE43" s="8">
        <v>0</v>
      </c>
      <c r="AG43" s="8">
        <v>54359</v>
      </c>
      <c r="AK43" s="8">
        <f t="shared" si="1"/>
        <v>54359</v>
      </c>
      <c r="AM43" s="8">
        <f t="shared" si="2"/>
        <v>19127172</v>
      </c>
    </row>
    <row r="44" spans="1:40">
      <c r="A44" s="13" t="s">
        <v>715</v>
      </c>
      <c r="B44" s="13"/>
      <c r="C44" s="13" t="s">
        <v>70</v>
      </c>
      <c r="D44" s="13"/>
      <c r="E44" s="32">
        <v>43604</v>
      </c>
      <c r="G44" s="8">
        <v>3940364</v>
      </c>
      <c r="I44" s="8">
        <v>0</v>
      </c>
      <c r="K44" s="8">
        <v>5105530</v>
      </c>
      <c r="M44" s="8">
        <v>81919</v>
      </c>
      <c r="O44" s="8">
        <v>329395</v>
      </c>
      <c r="Q44" s="8">
        <v>1500</v>
      </c>
      <c r="S44" s="8">
        <v>0</v>
      </c>
      <c r="U44" s="8">
        <v>0</v>
      </c>
      <c r="W44" s="8">
        <v>20090</v>
      </c>
      <c r="Y44" s="3">
        <f t="shared" si="0"/>
        <v>9478798</v>
      </c>
      <c r="AA44" s="8">
        <v>0</v>
      </c>
      <c r="AE44" s="8">
        <v>0</v>
      </c>
      <c r="AG44" s="8">
        <v>0</v>
      </c>
      <c r="AK44" s="8">
        <f t="shared" si="1"/>
        <v>0</v>
      </c>
      <c r="AM44" s="8">
        <f t="shared" si="2"/>
        <v>9478798</v>
      </c>
    </row>
    <row r="45" spans="1:40">
      <c r="A45" s="13" t="s">
        <v>571</v>
      </c>
      <c r="B45" s="13"/>
      <c r="C45" s="13" t="s">
        <v>53</v>
      </c>
      <c r="D45" s="13"/>
      <c r="E45" s="32">
        <v>48926</v>
      </c>
      <c r="G45" s="8">
        <v>7974824</v>
      </c>
      <c r="I45" s="8">
        <v>0</v>
      </c>
      <c r="K45" s="8">
        <f>9716987+16660</f>
        <v>9733647</v>
      </c>
      <c r="M45" s="8">
        <v>329903</v>
      </c>
      <c r="O45" s="8">
        <v>537902</v>
      </c>
      <c r="Q45" s="8">
        <v>18739</v>
      </c>
      <c r="S45" s="8">
        <v>0</v>
      </c>
      <c r="U45" s="8">
        <v>0</v>
      </c>
      <c r="W45" s="8">
        <f>882+2120+9015</f>
        <v>12017</v>
      </c>
      <c r="Y45" s="3">
        <f t="shared" si="0"/>
        <v>18607032</v>
      </c>
      <c r="AA45" s="8">
        <v>0</v>
      </c>
      <c r="AE45" s="8">
        <v>0</v>
      </c>
      <c r="AG45" s="8">
        <v>0</v>
      </c>
      <c r="AK45" s="8">
        <f t="shared" si="1"/>
        <v>0</v>
      </c>
      <c r="AM45" s="8">
        <f t="shared" si="2"/>
        <v>18607032</v>
      </c>
    </row>
    <row r="46" spans="1:40">
      <c r="A46" s="13" t="s">
        <v>299</v>
      </c>
      <c r="B46" s="13"/>
      <c r="C46" s="13" t="s">
        <v>20</v>
      </c>
      <c r="D46" s="13"/>
      <c r="E46" s="32">
        <v>43612</v>
      </c>
      <c r="G46" s="8">
        <v>54503887</v>
      </c>
      <c r="I46" s="8">
        <v>0</v>
      </c>
      <c r="K46" s="8">
        <v>25092244</v>
      </c>
      <c r="M46" s="8">
        <v>682995</v>
      </c>
      <c r="O46" s="8">
        <v>2817393</v>
      </c>
      <c r="Q46" s="8">
        <v>0</v>
      </c>
      <c r="S46" s="8">
        <v>0</v>
      </c>
      <c r="U46" s="8">
        <v>2143</v>
      </c>
      <c r="W46" s="8">
        <f>102356+269641+27601</f>
        <v>399598</v>
      </c>
      <c r="Y46" s="3">
        <f t="shared" si="0"/>
        <v>83498260</v>
      </c>
      <c r="AA46" s="8">
        <v>0</v>
      </c>
      <c r="AE46" s="8">
        <v>0</v>
      </c>
      <c r="AG46" s="8">
        <v>0</v>
      </c>
      <c r="AK46" s="8">
        <f t="shared" si="1"/>
        <v>0</v>
      </c>
      <c r="AM46" s="8">
        <f t="shared" si="2"/>
        <v>83498260</v>
      </c>
    </row>
    <row r="47" spans="1:40">
      <c r="A47" s="13" t="s">
        <v>377</v>
      </c>
      <c r="B47" s="13"/>
      <c r="C47" s="13" t="s">
        <v>30</v>
      </c>
      <c r="D47" s="13"/>
      <c r="E47" s="32">
        <v>47167</v>
      </c>
      <c r="G47" s="8">
        <v>4331957</v>
      </c>
      <c r="I47" s="8">
        <v>1680604</v>
      </c>
      <c r="K47" s="8">
        <v>4565596</v>
      </c>
      <c r="M47" s="8">
        <v>50027</v>
      </c>
      <c r="O47" s="8">
        <v>188433</v>
      </c>
      <c r="Q47" s="8">
        <v>128239</v>
      </c>
      <c r="S47" s="8">
        <v>0</v>
      </c>
      <c r="U47" s="8">
        <v>4999</v>
      </c>
      <c r="W47" s="8">
        <f>106+4178+14978</f>
        <v>19262</v>
      </c>
      <c r="Y47" s="3">
        <f t="shared" si="0"/>
        <v>10969117</v>
      </c>
      <c r="AA47" s="8">
        <v>0</v>
      </c>
      <c r="AE47" s="8">
        <v>0</v>
      </c>
      <c r="AG47" s="8">
        <v>0</v>
      </c>
      <c r="AK47" s="8">
        <f t="shared" si="1"/>
        <v>0</v>
      </c>
      <c r="AM47" s="8">
        <f t="shared" si="2"/>
        <v>10969117</v>
      </c>
    </row>
    <row r="48" spans="1:40">
      <c r="A48" s="13" t="s">
        <v>336</v>
      </c>
      <c r="B48" s="13"/>
      <c r="C48" s="13" t="s">
        <v>24</v>
      </c>
      <c r="D48" s="13"/>
      <c r="E48" s="32">
        <v>46789</v>
      </c>
      <c r="G48" s="8">
        <v>5842537</v>
      </c>
      <c r="I48" s="8">
        <v>0</v>
      </c>
      <c r="K48" s="8">
        <v>7861476</v>
      </c>
      <c r="M48" s="8">
        <v>81973</v>
      </c>
      <c r="O48" s="8">
        <v>323220</v>
      </c>
      <c r="Q48" s="8">
        <v>0</v>
      </c>
      <c r="S48" s="8">
        <v>0</v>
      </c>
      <c r="U48" s="8">
        <v>34</v>
      </c>
      <c r="W48" s="8">
        <f>7319+39253+37433</f>
        <v>84005</v>
      </c>
      <c r="Y48" s="3">
        <f t="shared" si="0"/>
        <v>14193245</v>
      </c>
      <c r="AA48" s="8">
        <v>0</v>
      </c>
      <c r="AE48" s="8">
        <v>0</v>
      </c>
      <c r="AG48" s="8">
        <v>0</v>
      </c>
      <c r="AK48" s="8">
        <f t="shared" si="1"/>
        <v>0</v>
      </c>
      <c r="AM48" s="8">
        <f t="shared" si="2"/>
        <v>14193245</v>
      </c>
    </row>
    <row r="49" spans="1:40">
      <c r="A49" s="13" t="s">
        <v>344</v>
      </c>
      <c r="B49" s="13"/>
      <c r="C49" s="13" t="s">
        <v>25</v>
      </c>
      <c r="D49" s="13"/>
      <c r="E49" s="32">
        <v>46854</v>
      </c>
      <c r="G49" s="8">
        <v>2394806</v>
      </c>
      <c r="I49" s="8">
        <v>967079</v>
      </c>
      <c r="K49" s="8">
        <v>3794164</v>
      </c>
      <c r="M49" s="8">
        <v>45192</v>
      </c>
      <c r="O49" s="8">
        <v>694762</v>
      </c>
      <c r="Q49" s="8">
        <v>20895</v>
      </c>
      <c r="S49" s="8">
        <v>0</v>
      </c>
      <c r="U49" s="8">
        <v>0</v>
      </c>
      <c r="W49" s="8">
        <f>16291</f>
        <v>16291</v>
      </c>
      <c r="Y49" s="3">
        <f t="shared" si="0"/>
        <v>7933189</v>
      </c>
      <c r="AA49" s="8">
        <v>0</v>
      </c>
      <c r="AE49" s="8">
        <v>0</v>
      </c>
      <c r="AG49" s="8">
        <v>0</v>
      </c>
      <c r="AK49" s="8">
        <f t="shared" si="1"/>
        <v>0</v>
      </c>
      <c r="AM49" s="8">
        <f t="shared" si="2"/>
        <v>7933189</v>
      </c>
    </row>
    <row r="50" spans="1:40">
      <c r="A50" s="13" t="s">
        <v>536</v>
      </c>
      <c r="B50" s="13"/>
      <c r="C50" s="13" t="s">
        <v>48</v>
      </c>
      <c r="D50" s="13"/>
      <c r="E50" s="32">
        <v>48611</v>
      </c>
      <c r="G50" s="8">
        <v>3471641</v>
      </c>
      <c r="I50" s="8">
        <v>0</v>
      </c>
      <c r="K50" s="8">
        <v>3418659</v>
      </c>
      <c r="M50" s="8">
        <v>39622</v>
      </c>
      <c r="O50" s="8">
        <v>348583</v>
      </c>
      <c r="Q50" s="8">
        <v>0</v>
      </c>
      <c r="S50" s="8">
        <v>0</v>
      </c>
      <c r="U50" s="8">
        <v>0</v>
      </c>
      <c r="W50" s="8">
        <v>33998</v>
      </c>
      <c r="Y50" s="3">
        <f t="shared" si="0"/>
        <v>7312503</v>
      </c>
      <c r="AA50" s="8">
        <v>67745</v>
      </c>
      <c r="AE50" s="8">
        <v>0</v>
      </c>
      <c r="AG50" s="8">
        <v>0</v>
      </c>
      <c r="AK50" s="8">
        <f t="shared" si="1"/>
        <v>67745</v>
      </c>
      <c r="AM50" s="8">
        <f t="shared" si="2"/>
        <v>7380248</v>
      </c>
    </row>
    <row r="51" spans="1:40">
      <c r="A51" s="13" t="s">
        <v>267</v>
      </c>
      <c r="B51" s="13"/>
      <c r="C51" s="13" t="s">
        <v>115</v>
      </c>
      <c r="D51" s="13"/>
      <c r="E51" s="32">
        <v>46318</v>
      </c>
      <c r="F51" s="11"/>
      <c r="G51" s="8">
        <v>2849394</v>
      </c>
      <c r="I51" s="8">
        <v>0</v>
      </c>
      <c r="K51" s="8">
        <v>10261245</v>
      </c>
      <c r="M51" s="8">
        <v>53289</v>
      </c>
      <c r="O51" s="8">
        <v>1156373</v>
      </c>
      <c r="Q51" s="8">
        <v>0</v>
      </c>
      <c r="S51" s="8">
        <v>0</v>
      </c>
      <c r="U51" s="8">
        <v>0</v>
      </c>
      <c r="W51" s="8">
        <f>6000+46359</f>
        <v>52359</v>
      </c>
      <c r="Y51" s="3">
        <f t="shared" si="0"/>
        <v>14372660</v>
      </c>
      <c r="AA51" s="8">
        <v>0</v>
      </c>
      <c r="AE51" s="8">
        <v>0</v>
      </c>
      <c r="AG51" s="8">
        <v>0</v>
      </c>
      <c r="AK51" s="8">
        <f t="shared" si="1"/>
        <v>0</v>
      </c>
      <c r="AM51" s="8">
        <f t="shared" si="2"/>
        <v>14372660</v>
      </c>
    </row>
    <row r="52" spans="1:40" hidden="1">
      <c r="A52" s="13" t="s">
        <v>962</v>
      </c>
      <c r="B52" s="13"/>
      <c r="C52" s="13" t="s">
        <v>60</v>
      </c>
      <c r="D52" s="13"/>
      <c r="E52" s="32">
        <v>49692</v>
      </c>
      <c r="G52" s="8">
        <v>399056</v>
      </c>
      <c r="I52" s="8">
        <v>224991</v>
      </c>
      <c r="K52" s="8">
        <v>1219534</v>
      </c>
      <c r="M52" s="8">
        <v>21185</v>
      </c>
      <c r="O52" s="8">
        <v>235398</v>
      </c>
      <c r="U52" s="8">
        <v>8676</v>
      </c>
      <c r="W52" s="8">
        <f>15274+63+36000</f>
        <v>51337</v>
      </c>
      <c r="Y52" s="3">
        <f t="shared" si="0"/>
        <v>2160177</v>
      </c>
      <c r="AK52" s="8">
        <f t="shared" si="1"/>
        <v>0</v>
      </c>
      <c r="AM52" s="8">
        <f t="shared" si="2"/>
        <v>2160177</v>
      </c>
      <c r="AN52" s="8" t="s">
        <v>956</v>
      </c>
    </row>
    <row r="53" spans="1:40">
      <c r="A53" s="13" t="s">
        <v>352</v>
      </c>
      <c r="B53" s="13"/>
      <c r="C53" s="13" t="s">
        <v>27</v>
      </c>
      <c r="D53" s="13"/>
      <c r="E53" s="32">
        <v>43620</v>
      </c>
      <c r="G53" s="8">
        <v>17938976</v>
      </c>
      <c r="I53" s="8">
        <v>5070708</v>
      </c>
      <c r="K53" s="8">
        <f>2723+8237023+11615</f>
        <v>8251361</v>
      </c>
      <c r="M53" s="8">
        <v>652300</v>
      </c>
      <c r="O53" s="8">
        <v>90680</v>
      </c>
      <c r="Q53" s="8">
        <v>0</v>
      </c>
      <c r="S53" s="8">
        <v>0</v>
      </c>
      <c r="U53" s="8">
        <v>0</v>
      </c>
      <c r="W53" s="8">
        <v>92632</v>
      </c>
      <c r="Y53" s="3">
        <f t="shared" si="0"/>
        <v>32096657</v>
      </c>
      <c r="AA53" s="8">
        <v>0</v>
      </c>
      <c r="AE53" s="8">
        <v>0</v>
      </c>
      <c r="AG53" s="8">
        <v>43992</v>
      </c>
      <c r="AK53" s="8">
        <f t="shared" si="1"/>
        <v>43992</v>
      </c>
      <c r="AM53" s="8">
        <f t="shared" si="2"/>
        <v>32140649</v>
      </c>
    </row>
    <row r="54" spans="1:40">
      <c r="A54" s="13" t="s">
        <v>333</v>
      </c>
      <c r="B54" s="13"/>
      <c r="C54" s="13" t="s">
        <v>23</v>
      </c>
      <c r="D54" s="13"/>
      <c r="E54" s="32">
        <v>46748</v>
      </c>
      <c r="G54" s="8">
        <v>11379621</v>
      </c>
      <c r="I54" s="8">
        <v>4367830</v>
      </c>
      <c r="K54" s="8">
        <v>7215929</v>
      </c>
      <c r="M54" s="8">
        <v>185428</v>
      </c>
      <c r="O54" s="8">
        <v>327724</v>
      </c>
      <c r="Q54" s="8">
        <v>1420</v>
      </c>
      <c r="S54" s="8">
        <v>0</v>
      </c>
      <c r="U54" s="8">
        <v>23651</v>
      </c>
      <c r="W54" s="8">
        <f>5805+101835</f>
        <v>107640</v>
      </c>
      <c r="Y54" s="3">
        <f t="shared" si="0"/>
        <v>23609243</v>
      </c>
      <c r="AA54" s="8">
        <v>90000</v>
      </c>
      <c r="AE54" s="8">
        <v>0</v>
      </c>
      <c r="AG54" s="8">
        <v>0</v>
      </c>
      <c r="AK54" s="8">
        <f t="shared" si="1"/>
        <v>90000</v>
      </c>
      <c r="AM54" s="8">
        <f t="shared" si="2"/>
        <v>23699243</v>
      </c>
    </row>
    <row r="55" spans="1:40">
      <c r="A55" s="13" t="s">
        <v>525</v>
      </c>
      <c r="B55" s="13"/>
      <c r="C55" s="13" t="s">
        <v>47</v>
      </c>
      <c r="D55" s="13"/>
      <c r="E55" s="32">
        <v>48462</v>
      </c>
      <c r="G55" s="8">
        <v>3741717</v>
      </c>
      <c r="I55" s="8">
        <v>0</v>
      </c>
      <c r="K55" s="8">
        <v>8413440</v>
      </c>
      <c r="M55" s="8">
        <v>107166</v>
      </c>
      <c r="O55" s="8">
        <v>210646</v>
      </c>
      <c r="Q55" s="8">
        <v>0</v>
      </c>
      <c r="S55" s="8">
        <v>0</v>
      </c>
      <c r="U55" s="8">
        <v>3200</v>
      </c>
      <c r="W55" s="8">
        <f>8816+2000+42238</f>
        <v>53054</v>
      </c>
      <c r="Y55" s="3">
        <f t="shared" si="0"/>
        <v>12529223</v>
      </c>
      <c r="AA55" s="8">
        <v>750000</v>
      </c>
      <c r="AE55" s="8">
        <v>0</v>
      </c>
      <c r="AG55" s="8">
        <v>2094</v>
      </c>
      <c r="AK55" s="8">
        <f t="shared" si="1"/>
        <v>752094</v>
      </c>
      <c r="AM55" s="8">
        <f t="shared" si="2"/>
        <v>13281317</v>
      </c>
    </row>
    <row r="56" spans="1:40">
      <c r="A56" s="13" t="s">
        <v>274</v>
      </c>
      <c r="B56" s="13"/>
      <c r="C56" s="13" t="s">
        <v>18</v>
      </c>
      <c r="D56" s="13"/>
      <c r="E56" s="32">
        <v>46383</v>
      </c>
      <c r="F56" s="11"/>
      <c r="G56" s="8">
        <v>2561539</v>
      </c>
      <c r="I56" s="8">
        <v>0</v>
      </c>
      <c r="K56" s="8">
        <v>9657124</v>
      </c>
      <c r="M56" s="8">
        <v>98432</v>
      </c>
      <c r="O56" s="8">
        <v>914007</v>
      </c>
      <c r="Q56" s="8">
        <v>75</v>
      </c>
      <c r="S56" s="8">
        <v>0</v>
      </c>
      <c r="U56" s="8">
        <v>0</v>
      </c>
      <c r="W56" s="8">
        <v>51426</v>
      </c>
      <c r="Y56" s="3">
        <f t="shared" si="0"/>
        <v>13282603</v>
      </c>
      <c r="AA56" s="8">
        <v>0</v>
      </c>
      <c r="AE56" s="8">
        <v>0</v>
      </c>
      <c r="AG56" s="8">
        <v>0</v>
      </c>
      <c r="AK56" s="8">
        <f t="shared" si="1"/>
        <v>0</v>
      </c>
      <c r="AM56" s="8">
        <f t="shared" si="2"/>
        <v>13282603</v>
      </c>
    </row>
    <row r="57" spans="1:40">
      <c r="A57" s="13" t="s">
        <v>345</v>
      </c>
      <c r="B57" s="13"/>
      <c r="C57" s="13" t="s">
        <v>25</v>
      </c>
      <c r="D57" s="13"/>
      <c r="E57" s="32">
        <v>46862</v>
      </c>
      <c r="G57" s="8">
        <v>5306821</v>
      </c>
      <c r="I57" s="8">
        <v>3387407</v>
      </c>
      <c r="K57" s="8">
        <v>4360009</v>
      </c>
      <c r="M57" s="8">
        <v>65862</v>
      </c>
      <c r="O57" s="8">
        <v>759515</v>
      </c>
      <c r="Q57" s="8">
        <v>0</v>
      </c>
      <c r="S57" s="8">
        <v>0</v>
      </c>
      <c r="U57" s="8">
        <v>0</v>
      </c>
      <c r="W57" s="8">
        <f>4260+46736</f>
        <v>50996</v>
      </c>
      <c r="Y57" s="3">
        <f t="shared" si="0"/>
        <v>13930610</v>
      </c>
      <c r="AA57" s="8">
        <v>0</v>
      </c>
      <c r="AE57" s="8">
        <v>0</v>
      </c>
      <c r="AG57" s="8">
        <v>2050</v>
      </c>
      <c r="AK57" s="8">
        <f t="shared" si="1"/>
        <v>2050</v>
      </c>
      <c r="AM57" s="8">
        <f t="shared" si="2"/>
        <v>13932660</v>
      </c>
    </row>
    <row r="58" spans="1:40">
      <c r="A58" s="13" t="s">
        <v>675</v>
      </c>
      <c r="B58" s="13"/>
      <c r="C58" s="13" t="s">
        <v>64</v>
      </c>
      <c r="D58" s="13"/>
      <c r="E58" s="32">
        <v>50096</v>
      </c>
      <c r="G58" s="8">
        <v>950024</v>
      </c>
      <c r="I58" s="8">
        <v>0</v>
      </c>
      <c r="K58" s="8">
        <v>1651675</v>
      </c>
      <c r="M58" s="8">
        <v>12291</v>
      </c>
      <c r="O58" s="8">
        <v>184090</v>
      </c>
      <c r="Q58" s="8">
        <v>0</v>
      </c>
      <c r="S58" s="8">
        <v>0</v>
      </c>
      <c r="U58" s="8">
        <v>0</v>
      </c>
      <c r="W58" s="8">
        <f>41+5341+37868</f>
        <v>43250</v>
      </c>
      <c r="Y58" s="3">
        <f t="shared" si="0"/>
        <v>2841330</v>
      </c>
      <c r="AA58" s="8">
        <v>0</v>
      </c>
      <c r="AE58" s="8">
        <v>0</v>
      </c>
      <c r="AG58" s="8">
        <v>0</v>
      </c>
      <c r="AK58" s="8">
        <f t="shared" si="1"/>
        <v>0</v>
      </c>
      <c r="AM58" s="8">
        <f t="shared" si="2"/>
        <v>2841330</v>
      </c>
    </row>
    <row r="59" spans="1:40" hidden="1">
      <c r="A59" s="13" t="s">
        <v>898</v>
      </c>
      <c r="B59" s="12"/>
      <c r="C59" s="12" t="s">
        <v>10</v>
      </c>
      <c r="D59" s="13"/>
      <c r="E59" s="32">
        <v>49593</v>
      </c>
      <c r="G59" s="8">
        <v>2713599</v>
      </c>
      <c r="K59" s="8">
        <v>4845165</v>
      </c>
      <c r="M59" s="8">
        <v>36219</v>
      </c>
      <c r="O59" s="8">
        <v>570993</v>
      </c>
      <c r="S59" s="8">
        <v>8822</v>
      </c>
      <c r="W59" s="8">
        <f>19379+63219</f>
        <v>82598</v>
      </c>
      <c r="Y59" s="3">
        <f>SUM(G59:X59)</f>
        <v>8257396</v>
      </c>
      <c r="AK59" s="8">
        <f>SUM(AA59:AJ59)</f>
        <v>0</v>
      </c>
      <c r="AM59" s="8">
        <f>+AK59+Y59</f>
        <v>8257396</v>
      </c>
      <c r="AN59" s="8" t="s">
        <v>956</v>
      </c>
    </row>
    <row r="60" spans="1:40">
      <c r="A60" s="13" t="s">
        <v>626</v>
      </c>
      <c r="B60" s="13"/>
      <c r="C60" s="13" t="s">
        <v>59</v>
      </c>
      <c r="D60" s="13"/>
      <c r="E60" s="32">
        <v>49593</v>
      </c>
      <c r="G60" s="8">
        <v>1039654</v>
      </c>
      <c r="I60" s="8">
        <v>0</v>
      </c>
      <c r="K60" s="8">
        <v>5729313</v>
      </c>
      <c r="M60" s="8">
        <v>13394</v>
      </c>
      <c r="O60" s="8">
        <v>766927</v>
      </c>
      <c r="Q60" s="8">
        <v>0</v>
      </c>
      <c r="S60" s="8">
        <v>0</v>
      </c>
      <c r="U60" s="8">
        <v>47</v>
      </c>
      <c r="W60" s="8">
        <f>100+194188</f>
        <v>194288</v>
      </c>
      <c r="Y60" s="3">
        <f t="shared" si="0"/>
        <v>7743623</v>
      </c>
      <c r="AA60" s="8">
        <v>102753</v>
      </c>
      <c r="AE60" s="8">
        <v>0</v>
      </c>
      <c r="AG60" s="8">
        <v>1502</v>
      </c>
      <c r="AK60" s="8">
        <f t="shared" si="1"/>
        <v>104255</v>
      </c>
      <c r="AM60" s="8">
        <f t="shared" si="2"/>
        <v>7847878</v>
      </c>
    </row>
    <row r="61" spans="1:40">
      <c r="A61" s="13" t="s">
        <v>509</v>
      </c>
      <c r="B61" s="13"/>
      <c r="C61" s="13" t="s">
        <v>45</v>
      </c>
      <c r="D61" s="13"/>
      <c r="E61" s="32">
        <v>48306</v>
      </c>
      <c r="G61" s="8">
        <v>26431500</v>
      </c>
      <c r="I61" s="8">
        <v>0</v>
      </c>
      <c r="K61" s="8">
        <v>11716561</v>
      </c>
      <c r="M61" s="8">
        <v>315168</v>
      </c>
      <c r="O61" s="8">
        <v>461478</v>
      </c>
      <c r="Q61" s="8">
        <v>36024</v>
      </c>
      <c r="S61" s="8">
        <v>0</v>
      </c>
      <c r="U61" s="8">
        <v>0</v>
      </c>
      <c r="W61" s="8">
        <f>26637+155067</f>
        <v>181704</v>
      </c>
      <c r="Y61" s="3">
        <f t="shared" si="0"/>
        <v>39142435</v>
      </c>
      <c r="AA61" s="8">
        <v>0</v>
      </c>
      <c r="AE61" s="8">
        <v>0</v>
      </c>
      <c r="AG61" s="8">
        <v>0</v>
      </c>
      <c r="AK61" s="8">
        <f t="shared" si="1"/>
        <v>0</v>
      </c>
      <c r="AM61" s="8">
        <f t="shared" si="2"/>
        <v>39142435</v>
      </c>
    </row>
    <row r="62" spans="1:40">
      <c r="A62" s="13" t="s">
        <v>642</v>
      </c>
      <c r="B62" s="13"/>
      <c r="C62" s="13" t="s">
        <v>61</v>
      </c>
      <c r="D62" s="13"/>
      <c r="E62" s="32">
        <v>49767</v>
      </c>
      <c r="G62" s="8">
        <v>903543</v>
      </c>
      <c r="I62" s="8">
        <v>136486</v>
      </c>
      <c r="K62" s="8">
        <v>2509128</v>
      </c>
      <c r="M62" s="8">
        <v>17063</v>
      </c>
      <c r="O62" s="8">
        <v>706304</v>
      </c>
      <c r="Q62" s="8">
        <v>0</v>
      </c>
      <c r="S62" s="8">
        <v>0</v>
      </c>
      <c r="U62" s="8">
        <v>2724</v>
      </c>
      <c r="W62" s="8">
        <f>24772+4028</f>
        <v>28800</v>
      </c>
      <c r="Y62" s="3">
        <f t="shared" si="0"/>
        <v>4304048</v>
      </c>
      <c r="AA62" s="8">
        <v>127040</v>
      </c>
      <c r="AE62" s="8">
        <v>0</v>
      </c>
      <c r="AG62" s="8">
        <v>3500</v>
      </c>
      <c r="AK62" s="8">
        <f>SUM(AA62:AJ62)</f>
        <v>130540</v>
      </c>
      <c r="AM62" s="8">
        <f>+AK62+Y62</f>
        <v>4434588</v>
      </c>
    </row>
    <row r="63" spans="1:40">
      <c r="A63" s="13" t="s">
        <v>733</v>
      </c>
      <c r="B63" s="13"/>
      <c r="C63" s="13" t="s">
        <v>72</v>
      </c>
      <c r="D63" s="13"/>
      <c r="E63" s="32">
        <v>43638</v>
      </c>
      <c r="G63" s="8">
        <v>14921210</v>
      </c>
      <c r="I63" s="8">
        <v>2883846</v>
      </c>
      <c r="K63" s="8">
        <v>10877995</v>
      </c>
      <c r="M63" s="8">
        <v>383631</v>
      </c>
      <c r="O63" s="8">
        <v>545425</v>
      </c>
      <c r="Q63" s="8">
        <v>0</v>
      </c>
      <c r="S63" s="8">
        <v>0</v>
      </c>
      <c r="U63" s="8">
        <v>0</v>
      </c>
      <c r="W63" s="8">
        <v>172199</v>
      </c>
      <c r="Y63" s="3">
        <f t="shared" si="0"/>
        <v>29784306</v>
      </c>
      <c r="AA63" s="8">
        <v>0</v>
      </c>
      <c r="AE63" s="8">
        <v>0</v>
      </c>
      <c r="AG63" s="8">
        <v>38106</v>
      </c>
      <c r="AK63" s="8">
        <f t="shared" si="1"/>
        <v>38106</v>
      </c>
      <c r="AM63" s="8">
        <f t="shared" si="2"/>
        <v>29822412</v>
      </c>
    </row>
    <row r="64" spans="1:40" hidden="1">
      <c r="A64" s="88" t="s">
        <v>961</v>
      </c>
      <c r="B64" s="13"/>
      <c r="C64" s="13" t="s">
        <v>48</v>
      </c>
      <c r="D64" s="13"/>
      <c r="E64" s="32">
        <v>43646</v>
      </c>
      <c r="Y64" s="3">
        <f>SUM(G64:X64)</f>
        <v>0</v>
      </c>
      <c r="AK64" s="8">
        <f>SUM(AA64:AJ64)</f>
        <v>0</v>
      </c>
      <c r="AM64" s="8">
        <f>+AK64+Y64</f>
        <v>0</v>
      </c>
    </row>
    <row r="65" spans="1:40">
      <c r="A65" s="13" t="s">
        <v>873</v>
      </c>
      <c r="B65" s="13"/>
      <c r="C65" s="13" t="s">
        <v>20</v>
      </c>
      <c r="D65" s="13"/>
      <c r="E65" s="32">
        <v>43646</v>
      </c>
      <c r="G65" s="8">
        <v>30874550</v>
      </c>
      <c r="I65" s="8">
        <v>0</v>
      </c>
      <c r="K65" s="8">
        <v>12707531</v>
      </c>
      <c r="M65" s="8">
        <v>392878</v>
      </c>
      <c r="O65" s="8">
        <v>203651</v>
      </c>
      <c r="Q65" s="8">
        <v>392848</v>
      </c>
      <c r="S65" s="8">
        <v>83857</v>
      </c>
      <c r="U65" s="8">
        <v>9603</v>
      </c>
      <c r="W65" s="8">
        <f>37367+11178+48154</f>
        <v>96699</v>
      </c>
      <c r="Y65" s="3">
        <f t="shared" si="0"/>
        <v>44761617</v>
      </c>
      <c r="AA65" s="8">
        <v>0</v>
      </c>
      <c r="AE65" s="8">
        <v>0</v>
      </c>
      <c r="AG65" s="8">
        <v>0</v>
      </c>
      <c r="AK65" s="8">
        <f t="shared" si="1"/>
        <v>0</v>
      </c>
      <c r="AM65" s="8">
        <f t="shared" si="2"/>
        <v>44761617</v>
      </c>
    </row>
    <row r="66" spans="1:40">
      <c r="A66" s="12" t="s">
        <v>232</v>
      </c>
      <c r="B66" s="13"/>
      <c r="C66" s="13" t="s">
        <v>15</v>
      </c>
      <c r="D66" s="13"/>
      <c r="E66" s="32">
        <v>45237</v>
      </c>
      <c r="F66" s="11"/>
      <c r="G66" s="8">
        <v>1220512</v>
      </c>
      <c r="I66" s="8">
        <v>0</v>
      </c>
      <c r="K66" s="8">
        <f>4488116+20886</f>
        <v>4509002</v>
      </c>
      <c r="M66" s="8">
        <v>14580</v>
      </c>
      <c r="O66" s="8">
        <v>269142</v>
      </c>
      <c r="Q66" s="8">
        <v>0</v>
      </c>
      <c r="S66" s="8">
        <v>0</v>
      </c>
      <c r="U66" s="8">
        <v>0</v>
      </c>
      <c r="W66" s="8">
        <f>9585+14937</f>
        <v>24522</v>
      </c>
      <c r="Y66" s="3">
        <f t="shared" si="0"/>
        <v>6037758</v>
      </c>
      <c r="AA66" s="8">
        <v>0</v>
      </c>
      <c r="AE66" s="8">
        <v>0</v>
      </c>
      <c r="AG66" s="8">
        <v>0</v>
      </c>
      <c r="AK66" s="8">
        <f t="shared" si="1"/>
        <v>0</v>
      </c>
      <c r="AM66" s="8">
        <f t="shared" si="2"/>
        <v>6037758</v>
      </c>
      <c r="AN66" s="8" t="s">
        <v>956</v>
      </c>
    </row>
    <row r="67" spans="1:40">
      <c r="A67" s="13" t="s">
        <v>434</v>
      </c>
      <c r="B67" s="13"/>
      <c r="C67" s="13" t="s">
        <v>435</v>
      </c>
      <c r="D67" s="13"/>
      <c r="E67" s="32">
        <v>47613</v>
      </c>
      <c r="G67" s="8">
        <v>1348207</v>
      </c>
      <c r="I67" s="8">
        <v>0</v>
      </c>
      <c r="K67" s="8">
        <v>5076635</v>
      </c>
      <c r="M67" s="8">
        <v>23713</v>
      </c>
      <c r="O67" s="8">
        <v>436089</v>
      </c>
      <c r="Q67" s="8">
        <v>0</v>
      </c>
      <c r="S67" s="8">
        <v>0</v>
      </c>
      <c r="U67" s="8">
        <v>200</v>
      </c>
      <c r="W67" s="8">
        <f>8384+6547</f>
        <v>14931</v>
      </c>
      <c r="Y67" s="3">
        <f t="shared" si="0"/>
        <v>6899775</v>
      </c>
      <c r="AA67" s="8">
        <v>0</v>
      </c>
      <c r="AE67" s="8">
        <v>0</v>
      </c>
      <c r="AG67" s="8">
        <v>0</v>
      </c>
      <c r="AK67" s="8">
        <f t="shared" si="1"/>
        <v>0</v>
      </c>
      <c r="AM67" s="8">
        <f t="shared" si="2"/>
        <v>6899775</v>
      </c>
    </row>
    <row r="68" spans="1:40">
      <c r="A68" s="13" t="s">
        <v>676</v>
      </c>
      <c r="B68" s="13"/>
      <c r="C68" s="13" t="s">
        <v>64</v>
      </c>
      <c r="D68" s="13"/>
      <c r="E68" s="32">
        <v>50112</v>
      </c>
      <c r="G68" s="8">
        <v>1560153</v>
      </c>
      <c r="I68" s="8">
        <v>0</v>
      </c>
      <c r="K68" s="8">
        <v>3849307</v>
      </c>
      <c r="M68" s="8">
        <v>29708</v>
      </c>
      <c r="O68" s="8">
        <v>250868</v>
      </c>
      <c r="Q68" s="8">
        <v>0</v>
      </c>
      <c r="S68" s="8">
        <v>0</v>
      </c>
      <c r="U68" s="8">
        <v>0</v>
      </c>
      <c r="W68" s="8">
        <v>494026</v>
      </c>
      <c r="Y68" s="3">
        <f t="shared" si="0"/>
        <v>6184062</v>
      </c>
      <c r="AA68" s="8">
        <v>0</v>
      </c>
      <c r="AE68" s="8">
        <v>0</v>
      </c>
      <c r="AG68" s="8">
        <v>0</v>
      </c>
      <c r="AK68" s="8">
        <f t="shared" si="1"/>
        <v>0</v>
      </c>
      <c r="AM68" s="8">
        <f t="shared" si="2"/>
        <v>6184062</v>
      </c>
    </row>
    <row r="69" spans="1:40">
      <c r="A69" s="13" t="s">
        <v>964</v>
      </c>
      <c r="B69" s="13"/>
      <c r="C69" s="13" t="s">
        <v>64</v>
      </c>
      <c r="D69" s="13"/>
      <c r="E69" s="32">
        <v>50120</v>
      </c>
      <c r="G69" s="8">
        <v>2768617</v>
      </c>
      <c r="I69" s="8">
        <v>0</v>
      </c>
      <c r="K69" s="8">
        <f>6640214+26085</f>
        <v>6666299</v>
      </c>
      <c r="M69" s="8">
        <v>17456</v>
      </c>
      <c r="O69" s="8">
        <v>232005</v>
      </c>
      <c r="Q69" s="8">
        <v>0</v>
      </c>
      <c r="S69" s="8">
        <v>0</v>
      </c>
      <c r="U69" s="8">
        <v>0</v>
      </c>
      <c r="W69" s="8">
        <f>103519+7332+1950</f>
        <v>112801</v>
      </c>
      <c r="Y69" s="3">
        <f t="shared" si="0"/>
        <v>9797178</v>
      </c>
      <c r="AA69" s="8">
        <v>0</v>
      </c>
      <c r="AE69" s="8">
        <v>97959</v>
      </c>
      <c r="AG69" s="8">
        <v>0</v>
      </c>
      <c r="AK69" s="8">
        <f t="shared" si="1"/>
        <v>97959</v>
      </c>
      <c r="AM69" s="8">
        <f t="shared" si="2"/>
        <v>9895137</v>
      </c>
      <c r="AN69" s="8" t="s">
        <v>956</v>
      </c>
    </row>
    <row r="70" spans="1:40">
      <c r="A70" s="13" t="s">
        <v>301</v>
      </c>
      <c r="B70" s="13"/>
      <c r="C70" s="13" t="s">
        <v>20</v>
      </c>
      <c r="D70" s="13"/>
      <c r="E70" s="32">
        <v>43653</v>
      </c>
      <c r="G70" s="8">
        <v>11262380</v>
      </c>
      <c r="I70" s="8">
        <v>0</v>
      </c>
      <c r="K70" s="8">
        <v>4073002</v>
      </c>
      <c r="M70" s="8">
        <v>17640</v>
      </c>
      <c r="O70" s="8">
        <v>261187</v>
      </c>
      <c r="Q70" s="8">
        <v>0</v>
      </c>
      <c r="S70" s="8">
        <v>0</v>
      </c>
      <c r="U70" s="8">
        <v>0</v>
      </c>
      <c r="W70" s="8">
        <f>2485+102287</f>
        <v>104772</v>
      </c>
      <c r="Y70" s="3">
        <f t="shared" si="0"/>
        <v>15718981</v>
      </c>
      <c r="AA70" s="8">
        <v>0</v>
      </c>
      <c r="AE70" s="8">
        <v>0</v>
      </c>
      <c r="AG70" s="8">
        <v>0</v>
      </c>
      <c r="AK70" s="8">
        <f t="shared" si="1"/>
        <v>0</v>
      </c>
      <c r="AM70" s="8">
        <f t="shared" si="2"/>
        <v>15718981</v>
      </c>
    </row>
    <row r="71" spans="1:40">
      <c r="A71" s="13" t="s">
        <v>544</v>
      </c>
      <c r="B71" s="13"/>
      <c r="C71" s="13" t="s">
        <v>50</v>
      </c>
      <c r="D71" s="13"/>
      <c r="E71" s="32">
        <v>48678</v>
      </c>
      <c r="G71" s="8">
        <v>5049567</v>
      </c>
      <c r="I71" s="8">
        <v>0</v>
      </c>
      <c r="K71" s="8">
        <v>6619813</v>
      </c>
      <c r="M71" s="8">
        <v>0</v>
      </c>
      <c r="O71" s="8">
        <v>247972</v>
      </c>
      <c r="Q71" s="8">
        <v>87799</v>
      </c>
      <c r="S71" s="8">
        <v>27227</v>
      </c>
      <c r="U71" s="8">
        <v>0</v>
      </c>
      <c r="W71" s="8">
        <f>27+53687</f>
        <v>53714</v>
      </c>
      <c r="Y71" s="3">
        <f t="shared" si="0"/>
        <v>12086092</v>
      </c>
      <c r="AA71" s="8">
        <v>0</v>
      </c>
      <c r="AE71" s="8">
        <v>0</v>
      </c>
      <c r="AG71" s="8">
        <v>0</v>
      </c>
      <c r="AK71" s="8">
        <f t="shared" si="1"/>
        <v>0</v>
      </c>
      <c r="AM71" s="8">
        <f t="shared" si="2"/>
        <v>12086092</v>
      </c>
      <c r="AN71" s="8" t="s">
        <v>956</v>
      </c>
    </row>
    <row r="72" spans="1:40">
      <c r="A72" s="13" t="s">
        <v>252</v>
      </c>
      <c r="B72" s="13"/>
      <c r="C72" s="13" t="s">
        <v>16</v>
      </c>
      <c r="D72" s="13"/>
      <c r="E72" s="32">
        <v>46177</v>
      </c>
      <c r="F72" s="11"/>
      <c r="G72" s="8">
        <v>3318653</v>
      </c>
      <c r="I72" s="8">
        <v>0</v>
      </c>
      <c r="K72" s="8">
        <v>3335457</v>
      </c>
      <c r="M72" s="8">
        <v>58802</v>
      </c>
      <c r="O72" s="8">
        <v>344218</v>
      </c>
      <c r="Q72" s="8">
        <v>0</v>
      </c>
      <c r="S72" s="8">
        <v>6137</v>
      </c>
      <c r="U72" s="8">
        <v>109</v>
      </c>
      <c r="W72" s="8">
        <f>5000+1282+26232</f>
        <v>32514</v>
      </c>
      <c r="Y72" s="3">
        <f t="shared" si="0"/>
        <v>7095890</v>
      </c>
      <c r="AA72" s="8">
        <v>0</v>
      </c>
      <c r="AE72" s="8">
        <v>71043</v>
      </c>
      <c r="AG72" s="8">
        <v>0</v>
      </c>
      <c r="AK72" s="8">
        <f t="shared" si="1"/>
        <v>71043</v>
      </c>
      <c r="AM72" s="8">
        <f t="shared" si="2"/>
        <v>7166933</v>
      </c>
    </row>
    <row r="73" spans="1:40">
      <c r="A73" s="13" t="s">
        <v>526</v>
      </c>
      <c r="B73" s="13"/>
      <c r="C73" s="13" t="s">
        <v>47</v>
      </c>
      <c r="D73" s="13"/>
      <c r="E73" s="32">
        <v>43661</v>
      </c>
      <c r="G73" s="8">
        <v>36676691</v>
      </c>
      <c r="I73" s="8">
        <v>0</v>
      </c>
      <c r="K73" s="8">
        <v>29078409</v>
      </c>
      <c r="M73" s="8">
        <v>180324</v>
      </c>
      <c r="O73" s="8">
        <v>720814</v>
      </c>
      <c r="Q73" s="8">
        <v>155044</v>
      </c>
      <c r="S73" s="8">
        <v>0</v>
      </c>
      <c r="U73" s="8">
        <v>7125</v>
      </c>
      <c r="W73" s="8">
        <f>51034+58934</f>
        <v>109968</v>
      </c>
      <c r="Y73" s="3">
        <f t="shared" si="0"/>
        <v>66928375</v>
      </c>
      <c r="AA73" s="8">
        <v>0</v>
      </c>
      <c r="AE73" s="8">
        <v>34146</v>
      </c>
      <c r="AG73" s="8">
        <v>0</v>
      </c>
      <c r="AK73" s="8">
        <f t="shared" si="1"/>
        <v>34146</v>
      </c>
      <c r="AM73" s="8">
        <f t="shared" si="2"/>
        <v>66962521</v>
      </c>
    </row>
    <row r="74" spans="1:40" hidden="1">
      <c r="A74" s="13" t="s">
        <v>966</v>
      </c>
      <c r="B74" s="13"/>
      <c r="C74" s="13" t="s">
        <v>727</v>
      </c>
      <c r="D74" s="13"/>
      <c r="E74" s="32">
        <v>43679</v>
      </c>
      <c r="G74" s="8">
        <v>7191128</v>
      </c>
      <c r="I74" s="8">
        <v>2968997</v>
      </c>
      <c r="K74" s="8">
        <v>7960401</v>
      </c>
      <c r="M74" s="8">
        <v>158995</v>
      </c>
      <c r="O74" s="8">
        <v>1458449</v>
      </c>
      <c r="Q74" s="8">
        <v>31480</v>
      </c>
      <c r="U74" s="8">
        <v>28573</v>
      </c>
      <c r="W74" s="8">
        <f>46764+128455</f>
        <v>175219</v>
      </c>
      <c r="Y74" s="3">
        <f t="shared" si="0"/>
        <v>19973242</v>
      </c>
      <c r="AK74" s="8">
        <f t="shared" si="1"/>
        <v>0</v>
      </c>
      <c r="AM74" s="8">
        <f t="shared" si="2"/>
        <v>19973242</v>
      </c>
      <c r="AN74" s="8" t="s">
        <v>956</v>
      </c>
    </row>
    <row r="75" spans="1:40">
      <c r="A75" s="13" t="s">
        <v>290</v>
      </c>
      <c r="B75" s="13"/>
      <c r="C75" s="13" t="s">
        <v>113</v>
      </c>
      <c r="D75" s="13"/>
      <c r="E75" s="32">
        <v>46508</v>
      </c>
      <c r="F75" s="11"/>
      <c r="G75" s="8">
        <v>1679577</v>
      </c>
      <c r="I75" s="8">
        <v>1402945</v>
      </c>
      <c r="K75" s="8">
        <v>4797116</v>
      </c>
      <c r="M75" s="8">
        <v>42687</v>
      </c>
      <c r="O75" s="8">
        <v>225663</v>
      </c>
      <c r="Q75" s="8">
        <v>0</v>
      </c>
      <c r="S75" s="8">
        <v>0</v>
      </c>
      <c r="U75" s="8">
        <v>3000</v>
      </c>
      <c r="W75" s="8">
        <f>14839+100+28770</f>
        <v>43709</v>
      </c>
      <c r="Y75" s="3">
        <f t="shared" si="0"/>
        <v>8194697</v>
      </c>
      <c r="AA75" s="8">
        <v>0</v>
      </c>
      <c r="AE75" s="8">
        <v>0</v>
      </c>
      <c r="AG75" s="8">
        <v>0</v>
      </c>
      <c r="AK75" s="8">
        <f t="shared" si="1"/>
        <v>0</v>
      </c>
      <c r="AM75" s="8">
        <f t="shared" si="2"/>
        <v>8194697</v>
      </c>
    </row>
    <row r="76" spans="1:40">
      <c r="A76" s="13" t="s">
        <v>217</v>
      </c>
      <c r="B76" s="13"/>
      <c r="C76" s="13" t="s">
        <v>12</v>
      </c>
      <c r="D76" s="13"/>
      <c r="E76" s="32">
        <v>45856</v>
      </c>
      <c r="F76" s="11"/>
      <c r="G76" s="8">
        <v>7416846</v>
      </c>
      <c r="I76" s="8">
        <v>0</v>
      </c>
      <c r="K76" s="8">
        <v>9784542</v>
      </c>
      <c r="M76" s="8">
        <v>79951</v>
      </c>
      <c r="O76" s="8">
        <v>1153205</v>
      </c>
      <c r="Q76" s="8">
        <v>0</v>
      </c>
      <c r="S76" s="8">
        <v>0</v>
      </c>
      <c r="U76" s="8">
        <v>227</v>
      </c>
      <c r="W76" s="8">
        <f>2883+39354</f>
        <v>42237</v>
      </c>
      <c r="Y76" s="3">
        <f t="shared" si="0"/>
        <v>18477008</v>
      </c>
      <c r="AA76" s="8">
        <v>0</v>
      </c>
      <c r="AE76" s="8">
        <v>0</v>
      </c>
      <c r="AG76" s="8">
        <v>0</v>
      </c>
      <c r="AK76" s="8">
        <f t="shared" si="1"/>
        <v>0</v>
      </c>
      <c r="AM76" s="8">
        <f t="shared" si="2"/>
        <v>18477008</v>
      </c>
    </row>
    <row r="77" spans="1:40">
      <c r="A77" s="13" t="s">
        <v>217</v>
      </c>
      <c r="B77" s="13"/>
      <c r="C77" s="13" t="s">
        <v>39</v>
      </c>
      <c r="D77" s="13"/>
      <c r="E77" s="32">
        <v>47787</v>
      </c>
      <c r="G77" s="8">
        <v>6124314</v>
      </c>
      <c r="I77" s="8">
        <v>0</v>
      </c>
      <c r="K77" s="8">
        <v>10628371</v>
      </c>
      <c r="M77" s="8">
        <v>51638</v>
      </c>
      <c r="O77" s="8">
        <v>475300</v>
      </c>
      <c r="Q77" s="8">
        <v>0</v>
      </c>
      <c r="S77" s="8">
        <v>0</v>
      </c>
      <c r="U77" s="8">
        <v>8607</v>
      </c>
      <c r="W77" s="8">
        <v>42102</v>
      </c>
      <c r="Y77" s="3">
        <f t="shared" si="0"/>
        <v>17330332</v>
      </c>
      <c r="AA77" s="8">
        <v>0</v>
      </c>
      <c r="AE77" s="8">
        <v>0</v>
      </c>
      <c r="AG77" s="8">
        <v>1100</v>
      </c>
      <c r="AK77" s="8">
        <f t="shared" si="1"/>
        <v>1100</v>
      </c>
      <c r="AM77" s="8">
        <f t="shared" si="2"/>
        <v>17331432</v>
      </c>
    </row>
    <row r="78" spans="1:40">
      <c r="A78" s="13" t="s">
        <v>968</v>
      </c>
      <c r="B78" s="13"/>
      <c r="C78" s="13" t="s">
        <v>47</v>
      </c>
      <c r="D78" s="13"/>
      <c r="E78" s="32">
        <v>48470</v>
      </c>
      <c r="G78" s="8">
        <v>9487451</v>
      </c>
      <c r="I78" s="8">
        <v>0</v>
      </c>
      <c r="K78" s="8">
        <v>8639140</v>
      </c>
      <c r="M78" s="8">
        <v>86203</v>
      </c>
      <c r="O78" s="8">
        <v>75177</v>
      </c>
      <c r="Q78" s="8">
        <v>0</v>
      </c>
      <c r="S78" s="8">
        <v>0</v>
      </c>
      <c r="U78" s="8">
        <v>0</v>
      </c>
      <c r="W78" s="8">
        <v>55406</v>
      </c>
      <c r="Y78" s="3">
        <f>SUM(G78:X78)</f>
        <v>18343377</v>
      </c>
      <c r="AA78" s="8">
        <v>0</v>
      </c>
      <c r="AE78" s="8">
        <v>0</v>
      </c>
      <c r="AG78" s="8">
        <v>0</v>
      </c>
      <c r="AK78" s="8">
        <f>SUM(AA78:AJ78)</f>
        <v>0</v>
      </c>
      <c r="AM78" s="8">
        <f>+AK78+Y78</f>
        <v>18343377</v>
      </c>
    </row>
    <row r="79" spans="1:40" hidden="1">
      <c r="A79" s="8" t="s">
        <v>901</v>
      </c>
      <c r="B79" s="13"/>
      <c r="C79" s="13" t="s">
        <v>114</v>
      </c>
      <c r="D79" s="13"/>
      <c r="E79" s="32">
        <v>46755</v>
      </c>
      <c r="Y79" s="3">
        <f>SUM(G79:X79)</f>
        <v>0</v>
      </c>
      <c r="AK79" s="8">
        <f>SUM(AA79:AJ79)</f>
        <v>0</v>
      </c>
      <c r="AM79" s="8">
        <f>+AK79+Y79</f>
        <v>0</v>
      </c>
      <c r="AN79" s="8" t="s">
        <v>967</v>
      </c>
    </row>
    <row r="80" spans="1:40">
      <c r="A80" s="13" t="s">
        <v>334</v>
      </c>
      <c r="B80" s="13"/>
      <c r="C80" s="13" t="s">
        <v>23</v>
      </c>
      <c r="D80" s="13"/>
      <c r="E80" s="32">
        <v>46755</v>
      </c>
      <c r="G80" s="8">
        <v>8208070</v>
      </c>
      <c r="I80" s="8">
        <v>4537934</v>
      </c>
      <c r="K80" s="8">
        <v>6586405</v>
      </c>
      <c r="M80" s="8">
        <v>98288</v>
      </c>
      <c r="O80" s="8">
        <v>633685</v>
      </c>
      <c r="Q80" s="8">
        <v>30690</v>
      </c>
      <c r="S80" s="8">
        <v>0</v>
      </c>
      <c r="U80" s="8">
        <v>3383</v>
      </c>
      <c r="W80" s="8">
        <f>47724+530+4425+24767</f>
        <v>77446</v>
      </c>
      <c r="Y80" s="3">
        <f>SUM(G80:X80)</f>
        <v>20175901</v>
      </c>
      <c r="AA80" s="8">
        <v>0</v>
      </c>
      <c r="AE80" s="8">
        <v>0</v>
      </c>
      <c r="AG80" s="8">
        <v>0</v>
      </c>
      <c r="AK80" s="8">
        <f>SUM(AA80:AJ80)</f>
        <v>0</v>
      </c>
      <c r="AM80" s="8">
        <f>+AK80+Y80</f>
        <v>20175901</v>
      </c>
    </row>
    <row r="81" spans="1:39">
      <c r="A81" s="13" t="s">
        <v>291</v>
      </c>
      <c r="B81" s="13"/>
      <c r="C81" s="13" t="s">
        <v>113</v>
      </c>
      <c r="D81" s="13"/>
      <c r="E81" s="32">
        <v>43687</v>
      </c>
      <c r="F81" s="11"/>
      <c r="G81" s="8">
        <v>4379736</v>
      </c>
      <c r="I81" s="8">
        <v>0</v>
      </c>
      <c r="K81" s="8">
        <v>9646250</v>
      </c>
      <c r="M81" s="8">
        <v>150932</v>
      </c>
      <c r="O81" s="8">
        <v>502978</v>
      </c>
      <c r="Q81" s="8">
        <v>1018</v>
      </c>
      <c r="S81" s="8">
        <v>46414</v>
      </c>
      <c r="U81" s="8">
        <v>2511</v>
      </c>
      <c r="W81" s="8">
        <v>163474</v>
      </c>
      <c r="Y81" s="3">
        <f>SUM(G81:X81)</f>
        <v>14893313</v>
      </c>
      <c r="AA81" s="8">
        <v>0</v>
      </c>
      <c r="AE81" s="8">
        <v>0</v>
      </c>
      <c r="AG81" s="8">
        <v>0</v>
      </c>
      <c r="AK81" s="8">
        <f>SUM(AA81:AJ81)</f>
        <v>0</v>
      </c>
      <c r="AM81" s="8">
        <f>+AK81+Y81</f>
        <v>14893313</v>
      </c>
    </row>
    <row r="82" spans="1:39">
      <c r="A82" s="13" t="s">
        <v>569</v>
      </c>
      <c r="B82" s="13"/>
      <c r="C82" s="13" t="s">
        <v>52</v>
      </c>
      <c r="D82" s="13"/>
      <c r="E82" s="32">
        <v>45252</v>
      </c>
      <c r="G82" s="8">
        <v>2385755</v>
      </c>
      <c r="I82" s="8">
        <v>0</v>
      </c>
      <c r="K82" s="8">
        <v>4675992</v>
      </c>
      <c r="M82" s="8">
        <v>40056</v>
      </c>
      <c r="O82" s="8">
        <v>318475</v>
      </c>
      <c r="Q82" s="8">
        <v>23427</v>
      </c>
      <c r="S82" s="8">
        <v>0</v>
      </c>
      <c r="U82" s="8">
        <v>149</v>
      </c>
      <c r="W82" s="8">
        <f>1473+11628</f>
        <v>13101</v>
      </c>
      <c r="Y82" s="3">
        <f t="shared" ref="Y82" si="3">SUM(G82:X82)</f>
        <v>7456955</v>
      </c>
      <c r="AA82" s="8">
        <v>0</v>
      </c>
      <c r="AE82" s="8">
        <v>0</v>
      </c>
      <c r="AG82" s="8">
        <v>0</v>
      </c>
      <c r="AK82" s="8">
        <f t="shared" ref="AK82:AK101" si="4">SUM(AA82:AJ82)</f>
        <v>0</v>
      </c>
      <c r="AM82" s="8">
        <f t="shared" ref="AM82" si="5">+AK82+Y82</f>
        <v>7456955</v>
      </c>
    </row>
    <row r="83" spans="1:39">
      <c r="A83" s="13" t="s">
        <v>389</v>
      </c>
      <c r="B83" s="13"/>
      <c r="C83" s="13" t="s">
        <v>31</v>
      </c>
      <c r="D83" s="13"/>
      <c r="E83" s="32">
        <v>43695</v>
      </c>
      <c r="G83" s="8">
        <v>5802371</v>
      </c>
      <c r="I83" s="8">
        <v>0</v>
      </c>
      <c r="K83" s="8">
        <v>13041855</v>
      </c>
      <c r="M83" s="8">
        <v>39608</v>
      </c>
      <c r="O83" s="8">
        <v>722152</v>
      </c>
      <c r="Q83" s="8">
        <v>32406</v>
      </c>
      <c r="S83" s="8">
        <v>0</v>
      </c>
      <c r="U83" s="8">
        <v>5560</v>
      </c>
      <c r="W83" s="8">
        <f>150+67744+3839</f>
        <v>71733</v>
      </c>
      <c r="Y83" s="3">
        <f t="shared" ref="Y83:Y101" si="6">SUM(G83:X83)</f>
        <v>19715685</v>
      </c>
      <c r="AA83" s="8">
        <v>52690</v>
      </c>
      <c r="AE83" s="8">
        <v>0</v>
      </c>
      <c r="AG83" s="8">
        <v>0</v>
      </c>
      <c r="AK83" s="8">
        <f>SUM(AA83:AJ83)</f>
        <v>52690</v>
      </c>
      <c r="AM83" s="8">
        <f>+AK83+Y83</f>
        <v>19768375</v>
      </c>
    </row>
    <row r="84" spans="1:39">
      <c r="A84" s="13" t="s">
        <v>510</v>
      </c>
      <c r="B84" s="13"/>
      <c r="C84" s="13" t="s">
        <v>45</v>
      </c>
      <c r="D84" s="13"/>
      <c r="E84" s="32">
        <v>43703</v>
      </c>
      <c r="G84" s="8">
        <v>2043216</v>
      </c>
      <c r="I84" s="8">
        <v>0</v>
      </c>
      <c r="K84" s="8">
        <v>9299477</v>
      </c>
      <c r="M84" s="8">
        <v>22386</v>
      </c>
      <c r="O84" s="8">
        <v>30945</v>
      </c>
      <c r="Q84" s="8">
        <v>0</v>
      </c>
      <c r="S84" s="8">
        <v>0</v>
      </c>
      <c r="U84" s="8">
        <v>0</v>
      </c>
      <c r="W84" s="8">
        <v>19784</v>
      </c>
      <c r="Y84" s="3">
        <f t="shared" si="6"/>
        <v>11415808</v>
      </c>
      <c r="AA84" s="8">
        <v>0</v>
      </c>
      <c r="AE84" s="8">
        <v>0</v>
      </c>
      <c r="AG84" s="8">
        <v>0</v>
      </c>
      <c r="AK84" s="8">
        <f t="shared" si="4"/>
        <v>0</v>
      </c>
      <c r="AM84" s="8">
        <f t="shared" ref="AM84:AM101" si="7">+AK84+Y84</f>
        <v>11415808</v>
      </c>
    </row>
    <row r="85" spans="1:39">
      <c r="A85" s="13" t="s">
        <v>353</v>
      </c>
      <c r="B85" s="13"/>
      <c r="C85" s="13" t="s">
        <v>27</v>
      </c>
      <c r="D85" s="13"/>
      <c r="E85" s="32">
        <v>46946</v>
      </c>
      <c r="G85" s="8">
        <v>13330396</v>
      </c>
      <c r="I85" s="8">
        <v>0</v>
      </c>
      <c r="K85" s="8">
        <f>15471181+5666</f>
        <v>15476847</v>
      </c>
      <c r="M85" s="8">
        <v>212576</v>
      </c>
      <c r="O85" s="8">
        <v>83871</v>
      </c>
      <c r="Q85" s="8">
        <v>128135</v>
      </c>
      <c r="S85" s="8">
        <v>0</v>
      </c>
      <c r="U85" s="8">
        <v>0</v>
      </c>
      <c r="W85" s="8">
        <f>159568+223735+54884</f>
        <v>438187</v>
      </c>
      <c r="Y85" s="3">
        <f t="shared" si="6"/>
        <v>29670012</v>
      </c>
      <c r="AA85" s="8">
        <v>0</v>
      </c>
      <c r="AE85" s="8">
        <v>98394</v>
      </c>
      <c r="AG85" s="8">
        <v>0</v>
      </c>
      <c r="AK85" s="8">
        <f t="shared" si="4"/>
        <v>98394</v>
      </c>
      <c r="AM85" s="8">
        <f t="shared" si="7"/>
        <v>29768406</v>
      </c>
    </row>
    <row r="86" spans="1:39">
      <c r="A86" s="13"/>
      <c r="B86" s="13"/>
      <c r="C86" s="13"/>
      <c r="D86" s="13"/>
      <c r="E86" s="32"/>
      <c r="Y86" s="3"/>
    </row>
    <row r="87" spans="1:39">
      <c r="A87" s="13"/>
      <c r="B87" s="13"/>
      <c r="C87" s="13"/>
      <c r="D87" s="13"/>
      <c r="E87" s="32"/>
      <c r="Y87" s="3"/>
      <c r="AM87" s="8" t="s">
        <v>805</v>
      </c>
    </row>
    <row r="88" spans="1:39">
      <c r="A88" s="13"/>
      <c r="B88" s="13"/>
      <c r="C88" s="13"/>
      <c r="D88" s="13"/>
      <c r="E88" s="32"/>
      <c r="Y88" s="3"/>
    </row>
    <row r="89" spans="1:39">
      <c r="A89" s="13" t="s">
        <v>511</v>
      </c>
      <c r="B89" s="13"/>
      <c r="C89" s="13" t="s">
        <v>45</v>
      </c>
      <c r="D89" s="13"/>
      <c r="E89" s="32">
        <v>48314</v>
      </c>
      <c r="G89" s="35">
        <v>14265745</v>
      </c>
      <c r="H89" s="35"/>
      <c r="I89" s="35">
        <v>0</v>
      </c>
      <c r="K89" s="35">
        <v>9290242</v>
      </c>
      <c r="L89" s="35"/>
      <c r="M89" s="35">
        <v>201978</v>
      </c>
      <c r="N89" s="35"/>
      <c r="O89" s="35">
        <v>132327</v>
      </c>
      <c r="P89" s="35"/>
      <c r="Q89" s="35">
        <v>0</v>
      </c>
      <c r="R89" s="35"/>
      <c r="S89" s="35">
        <v>0</v>
      </c>
      <c r="T89" s="35"/>
      <c r="U89" s="35">
        <v>5500</v>
      </c>
      <c r="V89" s="35"/>
      <c r="W89" s="35">
        <f>35789+8076</f>
        <v>43865</v>
      </c>
      <c r="X89" s="35"/>
      <c r="Y89" s="42">
        <f t="shared" si="6"/>
        <v>23939657</v>
      </c>
      <c r="Z89" s="35"/>
      <c r="AA89" s="35">
        <v>0</v>
      </c>
      <c r="AB89" s="35"/>
      <c r="AC89" s="35"/>
      <c r="AD89" s="35"/>
      <c r="AE89" s="35">
        <v>0</v>
      </c>
      <c r="AF89" s="35"/>
      <c r="AG89" s="35">
        <v>0</v>
      </c>
      <c r="AH89" s="35"/>
      <c r="AI89" s="35"/>
      <c r="AJ89" s="35"/>
      <c r="AK89" s="35">
        <f t="shared" si="4"/>
        <v>0</v>
      </c>
      <c r="AL89" s="35"/>
      <c r="AM89" s="35">
        <f t="shared" si="7"/>
        <v>23939657</v>
      </c>
    </row>
    <row r="90" spans="1:39">
      <c r="A90" s="13" t="s">
        <v>650</v>
      </c>
      <c r="B90" s="13"/>
      <c r="C90" s="13" t="s">
        <v>62</v>
      </c>
      <c r="D90" s="13"/>
      <c r="E90" s="32">
        <v>43711</v>
      </c>
      <c r="G90" s="8">
        <v>8429499</v>
      </c>
      <c r="I90" s="8">
        <v>0</v>
      </c>
      <c r="K90" s="8">
        <f>11905680+80166</f>
        <v>11985846</v>
      </c>
      <c r="M90" s="8">
        <v>17579</v>
      </c>
      <c r="O90" s="8">
        <v>932139</v>
      </c>
      <c r="Q90" s="8">
        <v>0</v>
      </c>
      <c r="S90" s="8">
        <v>0</v>
      </c>
      <c r="U90" s="8">
        <v>360243</v>
      </c>
      <c r="W90" s="8">
        <f>45+56738+476555+241599</f>
        <v>774937</v>
      </c>
      <c r="Y90" s="3">
        <f t="shared" si="6"/>
        <v>22500243</v>
      </c>
      <c r="AA90" s="8">
        <v>0</v>
      </c>
      <c r="AE90" s="8">
        <v>0</v>
      </c>
      <c r="AG90" s="8">
        <v>0</v>
      </c>
      <c r="AK90" s="8">
        <f t="shared" si="4"/>
        <v>0</v>
      </c>
      <c r="AM90" s="8">
        <f t="shared" si="7"/>
        <v>22500243</v>
      </c>
    </row>
    <row r="91" spans="1:39">
      <c r="A91" s="13" t="s">
        <v>649</v>
      </c>
      <c r="B91" s="13"/>
      <c r="C91" s="13" t="s">
        <v>62</v>
      </c>
      <c r="D91" s="13"/>
      <c r="E91" s="32">
        <v>49833</v>
      </c>
      <c r="G91" s="8">
        <v>24457000</v>
      </c>
      <c r="I91" s="8">
        <v>0</v>
      </c>
      <c r="K91" s="8">
        <f>67846000+757000</f>
        <v>68603000</v>
      </c>
      <c r="M91" s="8">
        <v>521000</v>
      </c>
      <c r="O91" s="8">
        <v>547000</v>
      </c>
      <c r="Q91" s="8">
        <v>49000</v>
      </c>
      <c r="S91" s="8">
        <v>0</v>
      </c>
      <c r="U91" s="8">
        <v>3000</v>
      </c>
      <c r="W91" s="8">
        <f>29000+317000+43000+674000</f>
        <v>1063000</v>
      </c>
      <c r="Y91" s="3">
        <f t="shared" si="6"/>
        <v>95243000</v>
      </c>
      <c r="AA91" s="8">
        <v>0</v>
      </c>
      <c r="AE91" s="8">
        <v>528000</v>
      </c>
      <c r="AG91" s="8">
        <v>0</v>
      </c>
      <c r="AK91" s="8">
        <f t="shared" si="4"/>
        <v>528000</v>
      </c>
      <c r="AM91" s="8">
        <f t="shared" si="7"/>
        <v>95771000</v>
      </c>
    </row>
    <row r="92" spans="1:39">
      <c r="A92" s="13" t="s">
        <v>378</v>
      </c>
      <c r="B92" s="13"/>
      <c r="C92" s="13" t="s">
        <v>30</v>
      </c>
      <c r="D92" s="13"/>
      <c r="E92" s="32">
        <v>47175</v>
      </c>
      <c r="G92" s="8">
        <v>6698022</v>
      </c>
      <c r="I92" s="8">
        <v>0</v>
      </c>
      <c r="K92" s="8">
        <v>5376972</v>
      </c>
      <c r="M92" s="8">
        <v>45404</v>
      </c>
      <c r="O92" s="8">
        <v>485515</v>
      </c>
      <c r="Q92" s="8">
        <v>218361</v>
      </c>
      <c r="S92" s="8">
        <v>0</v>
      </c>
      <c r="U92" s="8">
        <v>11005</v>
      </c>
      <c r="W92" s="8">
        <f>150328+97259</f>
        <v>247587</v>
      </c>
      <c r="Y92" s="3">
        <f t="shared" si="6"/>
        <v>13082866</v>
      </c>
      <c r="AA92" s="8">
        <v>0</v>
      </c>
      <c r="AE92" s="8">
        <v>0</v>
      </c>
      <c r="AG92" s="8">
        <v>0</v>
      </c>
      <c r="AK92" s="8">
        <f t="shared" si="4"/>
        <v>0</v>
      </c>
      <c r="AM92" s="8">
        <f t="shared" si="7"/>
        <v>13082866</v>
      </c>
    </row>
    <row r="93" spans="1:39">
      <c r="A93" s="13" t="s">
        <v>560</v>
      </c>
      <c r="B93" s="13"/>
      <c r="C93" s="13" t="s">
        <v>78</v>
      </c>
      <c r="D93" s="13"/>
      <c r="E93" s="32">
        <v>48793</v>
      </c>
      <c r="G93" s="8">
        <v>1910399</v>
      </c>
      <c r="I93" s="8">
        <v>0</v>
      </c>
      <c r="K93" s="8">
        <v>7420627</v>
      </c>
      <c r="M93" s="8">
        <v>41730</v>
      </c>
      <c r="O93" s="8">
        <v>585475</v>
      </c>
      <c r="Q93" s="8">
        <v>657</v>
      </c>
      <c r="S93" s="8">
        <v>160294</v>
      </c>
      <c r="U93" s="8">
        <v>0</v>
      </c>
      <c r="W93" s="8">
        <v>47052</v>
      </c>
      <c r="Y93" s="3">
        <f t="shared" si="6"/>
        <v>10166234</v>
      </c>
      <c r="AA93" s="8">
        <v>0</v>
      </c>
      <c r="AE93" s="8">
        <v>0</v>
      </c>
      <c r="AG93" s="8">
        <v>0</v>
      </c>
      <c r="AK93" s="8">
        <f t="shared" si="4"/>
        <v>0</v>
      </c>
      <c r="AM93" s="8">
        <f t="shared" si="7"/>
        <v>10166234</v>
      </c>
    </row>
    <row r="94" spans="1:39" hidden="1">
      <c r="A94" s="13" t="s">
        <v>838</v>
      </c>
      <c r="B94" s="13"/>
      <c r="C94" s="13" t="s">
        <v>740</v>
      </c>
      <c r="D94" s="13"/>
      <c r="E94" s="32">
        <v>45260</v>
      </c>
      <c r="G94" s="8">
        <v>1732909</v>
      </c>
      <c r="I94" s="8">
        <v>950732</v>
      </c>
      <c r="K94" s="8">
        <f>1475+4583914</f>
        <v>4585389</v>
      </c>
      <c r="M94" s="8">
        <v>145139</v>
      </c>
      <c r="O94" s="8">
        <v>395071</v>
      </c>
      <c r="Q94" s="8">
        <v>17172</v>
      </c>
      <c r="U94" s="8">
        <v>4021</v>
      </c>
      <c r="W94" s="8">
        <f>1159+48469+185+45399+51120</f>
        <v>146332</v>
      </c>
      <c r="Y94" s="3">
        <f t="shared" si="6"/>
        <v>7976765</v>
      </c>
      <c r="AK94" s="8">
        <f t="shared" si="4"/>
        <v>0</v>
      </c>
      <c r="AM94" s="8">
        <f t="shared" si="7"/>
        <v>7976765</v>
      </c>
    </row>
    <row r="95" spans="1:39">
      <c r="A95" s="13" t="s">
        <v>708</v>
      </c>
      <c r="B95" s="13"/>
      <c r="C95" s="13" t="s">
        <v>69</v>
      </c>
      <c r="D95" s="13"/>
      <c r="E95" s="32">
        <v>50419</v>
      </c>
      <c r="G95" s="8">
        <v>4458788</v>
      </c>
      <c r="I95" s="8">
        <v>1791316</v>
      </c>
      <c r="K95" s="8">
        <v>8709224</v>
      </c>
      <c r="M95" s="8">
        <v>28079</v>
      </c>
      <c r="O95" s="8">
        <v>104446</v>
      </c>
      <c r="Q95" s="8">
        <v>16150</v>
      </c>
      <c r="S95" s="8">
        <v>0</v>
      </c>
      <c r="U95" s="8">
        <v>1208</v>
      </c>
      <c r="W95" s="8">
        <f>9613+12700</f>
        <v>22313</v>
      </c>
      <c r="Y95" s="3">
        <f t="shared" si="6"/>
        <v>15131524</v>
      </c>
      <c r="AA95" s="8">
        <v>0</v>
      </c>
      <c r="AE95" s="8">
        <v>0</v>
      </c>
      <c r="AG95" s="8">
        <v>0</v>
      </c>
      <c r="AK95" s="8">
        <f t="shared" si="4"/>
        <v>0</v>
      </c>
      <c r="AM95" s="8">
        <f t="shared" si="7"/>
        <v>15131524</v>
      </c>
    </row>
    <row r="96" spans="1:39">
      <c r="A96" s="13" t="s">
        <v>253</v>
      </c>
      <c r="B96" s="13"/>
      <c r="C96" s="13" t="s">
        <v>16</v>
      </c>
      <c r="D96" s="13"/>
      <c r="E96" s="32">
        <v>45278</v>
      </c>
      <c r="F96" s="11"/>
      <c r="G96" s="8">
        <v>4324907</v>
      </c>
      <c r="I96" s="8">
        <v>0</v>
      </c>
      <c r="K96" s="8">
        <v>13028659</v>
      </c>
      <c r="M96" s="8">
        <v>33036</v>
      </c>
      <c r="O96" s="8">
        <v>667753</v>
      </c>
      <c r="Q96" s="8">
        <v>1595</v>
      </c>
      <c r="S96" s="8">
        <v>0</v>
      </c>
      <c r="U96" s="8">
        <v>10920</v>
      </c>
      <c r="W96" s="8">
        <f>4045+1029+43894</f>
        <v>48968</v>
      </c>
      <c r="Y96" s="3">
        <f t="shared" si="6"/>
        <v>18115838</v>
      </c>
      <c r="AA96" s="8">
        <v>0</v>
      </c>
      <c r="AE96" s="8">
        <v>0</v>
      </c>
      <c r="AG96" s="8">
        <v>4989</v>
      </c>
      <c r="AK96" s="8">
        <f t="shared" si="4"/>
        <v>4989</v>
      </c>
      <c r="AM96" s="8">
        <f t="shared" si="7"/>
        <v>18120827</v>
      </c>
    </row>
    <row r="97" spans="1:40">
      <c r="A97" s="13" t="s">
        <v>385</v>
      </c>
      <c r="B97" s="13"/>
      <c r="C97" s="13" t="s">
        <v>116</v>
      </c>
      <c r="D97" s="13"/>
      <c r="E97" s="32">
        <v>47258</v>
      </c>
      <c r="G97" s="8">
        <v>1799603</v>
      </c>
      <c r="I97" s="8">
        <v>789628</v>
      </c>
      <c r="K97" s="8">
        <v>3149371</v>
      </c>
      <c r="M97" s="8">
        <v>19633</v>
      </c>
      <c r="O97" s="8">
        <v>210911</v>
      </c>
      <c r="Q97" s="8">
        <v>0</v>
      </c>
      <c r="S97" s="8">
        <v>0</v>
      </c>
      <c r="U97" s="8">
        <v>350</v>
      </c>
      <c r="W97" s="8">
        <f>2700+32799</f>
        <v>35499</v>
      </c>
      <c r="Y97" s="3">
        <f t="shared" si="6"/>
        <v>6004995</v>
      </c>
      <c r="AA97" s="8">
        <v>0</v>
      </c>
      <c r="AE97" s="8">
        <v>0</v>
      </c>
      <c r="AG97" s="8">
        <v>3025</v>
      </c>
      <c r="AK97" s="8">
        <f t="shared" si="4"/>
        <v>3025</v>
      </c>
      <c r="AM97" s="8">
        <f t="shared" si="7"/>
        <v>6008020</v>
      </c>
    </row>
    <row r="98" spans="1:40" hidden="1">
      <c r="A98" s="13" t="s">
        <v>839</v>
      </c>
      <c r="B98" s="13"/>
      <c r="C98" s="13" t="s">
        <v>534</v>
      </c>
      <c r="D98" s="13"/>
      <c r="E98" s="32">
        <v>43729</v>
      </c>
      <c r="G98" s="8">
        <v>10719091</v>
      </c>
      <c r="I98" s="8">
        <v>2543471</v>
      </c>
      <c r="K98" s="8">
        <v>13091629</v>
      </c>
      <c r="M98" s="8">
        <v>341872</v>
      </c>
      <c r="O98" s="8">
        <v>1036444</v>
      </c>
      <c r="W98" s="8">
        <f>121292+78983</f>
        <v>200275</v>
      </c>
      <c r="Y98" s="3">
        <f t="shared" si="6"/>
        <v>27932782</v>
      </c>
      <c r="AK98" s="8">
        <f t="shared" si="4"/>
        <v>0</v>
      </c>
      <c r="AM98" s="8">
        <f t="shared" si="7"/>
        <v>27932782</v>
      </c>
      <c r="AN98" s="8" t="s">
        <v>956</v>
      </c>
    </row>
    <row r="99" spans="1:40">
      <c r="A99" s="13" t="s">
        <v>906</v>
      </c>
      <c r="B99" s="13"/>
      <c r="C99" s="13" t="s">
        <v>40</v>
      </c>
      <c r="D99" s="13"/>
      <c r="E99" s="32">
        <v>47829</v>
      </c>
      <c r="G99" s="8">
        <v>2509704</v>
      </c>
      <c r="I99" s="8">
        <v>1018764</v>
      </c>
      <c r="K99" s="8">
        <v>5839645</v>
      </c>
      <c r="M99" s="8">
        <v>85120</v>
      </c>
      <c r="O99" s="8">
        <v>65692</v>
      </c>
      <c r="Q99" s="8">
        <v>0</v>
      </c>
      <c r="S99" s="8">
        <v>0</v>
      </c>
      <c r="U99" s="8">
        <v>4258</v>
      </c>
      <c r="W99" s="8">
        <f>5155+6435</f>
        <v>11590</v>
      </c>
      <c r="Y99" s="3">
        <f t="shared" si="6"/>
        <v>9534773</v>
      </c>
      <c r="AA99" s="8">
        <v>0</v>
      </c>
      <c r="AE99" s="8">
        <v>0</v>
      </c>
      <c r="AG99" s="8">
        <v>0</v>
      </c>
      <c r="AK99" s="8">
        <f t="shared" si="4"/>
        <v>0</v>
      </c>
      <c r="AM99" s="8">
        <f t="shared" si="7"/>
        <v>9534773</v>
      </c>
    </row>
    <row r="100" spans="1:40" s="35" customFormat="1">
      <c r="A100" s="34" t="s">
        <v>907</v>
      </c>
      <c r="B100" s="34"/>
      <c r="C100" s="34" t="s">
        <v>50</v>
      </c>
      <c r="D100" s="34"/>
      <c r="E100" s="32">
        <v>43737</v>
      </c>
      <c r="G100" s="8">
        <v>48173421</v>
      </c>
      <c r="H100" s="8"/>
      <c r="I100" s="8">
        <v>0</v>
      </c>
      <c r="J100" s="8"/>
      <c r="K100" s="8">
        <v>21353144</v>
      </c>
      <c r="L100" s="8"/>
      <c r="M100" s="8">
        <v>1031847</v>
      </c>
      <c r="N100" s="8"/>
      <c r="O100" s="8">
        <v>501865</v>
      </c>
      <c r="P100" s="8"/>
      <c r="Q100" s="8">
        <v>131262</v>
      </c>
      <c r="R100" s="8"/>
      <c r="S100" s="8">
        <v>0</v>
      </c>
      <c r="T100" s="8"/>
      <c r="U100" s="8">
        <v>0</v>
      </c>
      <c r="V100" s="8"/>
      <c r="W100" s="8">
        <v>0</v>
      </c>
      <c r="X100" s="8"/>
      <c r="Y100" s="3">
        <f t="shared" si="6"/>
        <v>71191539</v>
      </c>
      <c r="Z100" s="8"/>
      <c r="AA100" s="8">
        <v>0</v>
      </c>
      <c r="AB100" s="8"/>
      <c r="AC100" s="8"/>
      <c r="AD100" s="8"/>
      <c r="AE100" s="8">
        <v>0</v>
      </c>
      <c r="AF100" s="8"/>
      <c r="AG100" s="8">
        <v>0</v>
      </c>
      <c r="AH100" s="8"/>
      <c r="AI100" s="8"/>
      <c r="AJ100" s="8"/>
      <c r="AK100" s="8">
        <f t="shared" si="4"/>
        <v>0</v>
      </c>
      <c r="AL100" s="8"/>
      <c r="AM100" s="8">
        <f t="shared" si="7"/>
        <v>71191539</v>
      </c>
    </row>
    <row r="101" spans="1:40">
      <c r="A101" s="13" t="s">
        <v>1052</v>
      </c>
      <c r="B101" s="13"/>
      <c r="C101" s="13" t="s">
        <v>22</v>
      </c>
      <c r="D101" s="13"/>
      <c r="E101" s="32">
        <v>46714</v>
      </c>
      <c r="G101" s="8">
        <v>2345610</v>
      </c>
      <c r="I101" s="8">
        <v>779985</v>
      </c>
      <c r="K101" s="8">
        <v>6753988</v>
      </c>
      <c r="M101" s="8">
        <v>74427</v>
      </c>
      <c r="O101" s="8">
        <v>0</v>
      </c>
      <c r="Q101" s="8">
        <v>0</v>
      </c>
      <c r="S101" s="8">
        <v>0</v>
      </c>
      <c r="U101" s="8">
        <v>28138</v>
      </c>
      <c r="W101" s="8">
        <f>1187+438+5071</f>
        <v>6696</v>
      </c>
      <c r="Y101" s="3">
        <f t="shared" si="6"/>
        <v>9988844</v>
      </c>
      <c r="AA101" s="8">
        <v>0</v>
      </c>
      <c r="AE101" s="8">
        <v>220016</v>
      </c>
      <c r="AG101" s="8">
        <v>0</v>
      </c>
      <c r="AK101" s="8">
        <f t="shared" si="4"/>
        <v>220016</v>
      </c>
      <c r="AM101" s="8">
        <f t="shared" si="7"/>
        <v>10208860</v>
      </c>
    </row>
    <row r="102" spans="1:40">
      <c r="A102" s="13" t="s">
        <v>302</v>
      </c>
      <c r="B102" s="13"/>
      <c r="C102" s="13" t="s">
        <v>20</v>
      </c>
      <c r="D102" s="13"/>
      <c r="E102" s="13">
        <v>45286</v>
      </c>
      <c r="G102" s="8">
        <v>18929517</v>
      </c>
      <c r="I102" s="8">
        <v>0</v>
      </c>
      <c r="K102" s="8">
        <v>5025785</v>
      </c>
      <c r="M102" s="8">
        <v>105901</v>
      </c>
      <c r="O102" s="8">
        <v>229320</v>
      </c>
      <c r="Q102" s="8">
        <v>0</v>
      </c>
      <c r="S102" s="8">
        <v>0</v>
      </c>
      <c r="U102" s="8">
        <v>0</v>
      </c>
      <c r="W102" s="8">
        <f>17221+41742</f>
        <v>58963</v>
      </c>
      <c r="Y102" s="3">
        <f>SUM(G102:X102)</f>
        <v>24349486</v>
      </c>
      <c r="AA102" s="8">
        <v>0</v>
      </c>
      <c r="AE102" s="8">
        <v>0</v>
      </c>
      <c r="AG102" s="8">
        <v>0</v>
      </c>
      <c r="AK102" s="8">
        <f>SUM(AA102:AJ102)</f>
        <v>0</v>
      </c>
      <c r="AM102" s="8">
        <f>+AK102+Y102</f>
        <v>24349486</v>
      </c>
    </row>
    <row r="103" spans="1:40">
      <c r="A103" s="13" t="s">
        <v>678</v>
      </c>
      <c r="B103" s="13"/>
      <c r="C103" s="13" t="s">
        <v>64</v>
      </c>
      <c r="D103" s="13"/>
      <c r="E103" s="32">
        <v>50138</v>
      </c>
      <c r="G103" s="8">
        <v>3114171</v>
      </c>
      <c r="I103" s="8">
        <v>0</v>
      </c>
      <c r="K103" s="8">
        <v>7605111</v>
      </c>
      <c r="M103" s="8">
        <v>8897</v>
      </c>
      <c r="O103" s="8">
        <v>715866</v>
      </c>
      <c r="Q103" s="8">
        <v>0</v>
      </c>
      <c r="S103" s="8">
        <v>0</v>
      </c>
      <c r="U103" s="8">
        <v>0</v>
      </c>
      <c r="W103" s="8">
        <v>163451</v>
      </c>
      <c r="Y103" s="3">
        <f t="shared" ref="Y103:Y156" si="8">SUM(G103:X103)</f>
        <v>11607496</v>
      </c>
      <c r="AA103" s="8">
        <v>0</v>
      </c>
      <c r="AE103" s="8">
        <v>0</v>
      </c>
      <c r="AG103" s="8">
        <v>546</v>
      </c>
      <c r="AK103" s="8">
        <f t="shared" ref="AK103:AK150" si="9">SUM(AA103:AJ103)</f>
        <v>546</v>
      </c>
      <c r="AM103" s="8">
        <f t="shared" ref="AM103:AM154" si="10">+AK103+Y103</f>
        <v>11608042</v>
      </c>
    </row>
    <row r="104" spans="1:40">
      <c r="A104" s="13" t="s">
        <v>379</v>
      </c>
      <c r="B104" s="13"/>
      <c r="C104" s="13" t="s">
        <v>30</v>
      </c>
      <c r="D104" s="13"/>
      <c r="E104" s="32">
        <v>47183</v>
      </c>
      <c r="G104" s="8">
        <v>20947292</v>
      </c>
      <c r="I104" s="8">
        <v>0</v>
      </c>
      <c r="K104" s="8">
        <v>10033791</v>
      </c>
      <c r="M104" s="8">
        <v>107227</v>
      </c>
      <c r="O104" s="8">
        <v>295293</v>
      </c>
      <c r="Q104" s="8">
        <v>48143</v>
      </c>
      <c r="S104" s="8">
        <v>17072</v>
      </c>
      <c r="U104" s="8">
        <v>0</v>
      </c>
      <c r="W104" s="8">
        <f>12155+263723</f>
        <v>275878</v>
      </c>
      <c r="Y104" s="3">
        <f t="shared" si="8"/>
        <v>31724696</v>
      </c>
      <c r="AA104" s="8">
        <v>0</v>
      </c>
      <c r="AE104" s="8">
        <v>160486</v>
      </c>
      <c r="AG104" s="8">
        <v>0</v>
      </c>
      <c r="AK104" s="8">
        <f t="shared" si="9"/>
        <v>160486</v>
      </c>
      <c r="AM104" s="8">
        <f t="shared" si="10"/>
        <v>31885182</v>
      </c>
    </row>
    <row r="105" spans="1:40">
      <c r="A105" s="13" t="s">
        <v>465</v>
      </c>
      <c r="B105" s="13"/>
      <c r="C105" s="13" t="s">
        <v>466</v>
      </c>
      <c r="D105" s="13"/>
      <c r="E105" s="32">
        <v>45294</v>
      </c>
      <c r="G105" s="8">
        <v>1935232</v>
      </c>
      <c r="I105" s="8">
        <v>0</v>
      </c>
      <c r="K105" s="8">
        <v>8370174</v>
      </c>
      <c r="M105" s="8">
        <v>19031</v>
      </c>
      <c r="O105" s="8">
        <v>974605</v>
      </c>
      <c r="Q105" s="8">
        <v>0</v>
      </c>
      <c r="S105" s="8">
        <v>0</v>
      </c>
      <c r="U105" s="8">
        <v>5000</v>
      </c>
      <c r="W105" s="8">
        <v>8864</v>
      </c>
      <c r="Y105" s="3">
        <f t="shared" si="8"/>
        <v>11312906</v>
      </c>
      <c r="AA105" s="8">
        <v>0</v>
      </c>
      <c r="AE105" s="8">
        <v>39795</v>
      </c>
      <c r="AG105" s="8">
        <v>0</v>
      </c>
      <c r="AK105" s="8">
        <f t="shared" si="9"/>
        <v>39795</v>
      </c>
      <c r="AM105" s="8">
        <f t="shared" si="10"/>
        <v>11352701</v>
      </c>
    </row>
    <row r="106" spans="1:40">
      <c r="A106" s="13" t="s">
        <v>617</v>
      </c>
      <c r="B106" s="13"/>
      <c r="C106" s="13" t="s">
        <v>58</v>
      </c>
      <c r="D106" s="13"/>
      <c r="E106" s="32">
        <v>43745</v>
      </c>
      <c r="G106" s="8">
        <v>10261814</v>
      </c>
      <c r="I106" s="8">
        <v>0</v>
      </c>
      <c r="K106" s="8">
        <v>12307116</v>
      </c>
      <c r="M106" s="8">
        <v>198769</v>
      </c>
      <c r="O106" s="8">
        <v>1059256</v>
      </c>
      <c r="Q106" s="8">
        <v>14733</v>
      </c>
      <c r="S106" s="8">
        <v>44407</v>
      </c>
      <c r="U106" s="8">
        <v>4250</v>
      </c>
      <c r="W106" s="8">
        <f>39599+65327+68955</f>
        <v>173881</v>
      </c>
      <c r="Y106" s="3">
        <f t="shared" si="8"/>
        <v>24064226</v>
      </c>
      <c r="AA106" s="8">
        <v>0</v>
      </c>
      <c r="AE106" s="8">
        <v>0</v>
      </c>
      <c r="AG106" s="8">
        <v>0</v>
      </c>
      <c r="AK106" s="8">
        <f t="shared" si="9"/>
        <v>0</v>
      </c>
      <c r="AM106" s="8">
        <f t="shared" si="10"/>
        <v>24064226</v>
      </c>
    </row>
    <row r="107" spans="1:40">
      <c r="A107" s="13" t="s">
        <v>721</v>
      </c>
      <c r="B107" s="13"/>
      <c r="C107" s="13" t="s">
        <v>71</v>
      </c>
      <c r="D107" s="13"/>
      <c r="E107" s="32">
        <v>50534</v>
      </c>
      <c r="G107" s="8">
        <v>4316694</v>
      </c>
      <c r="I107" s="8">
        <v>1395670</v>
      </c>
      <c r="K107" s="8">
        <f>7500+5528716</f>
        <v>5536216</v>
      </c>
      <c r="M107" s="8">
        <v>53056</v>
      </c>
      <c r="O107" s="8">
        <v>0</v>
      </c>
      <c r="Q107" s="8">
        <v>0</v>
      </c>
      <c r="S107" s="8">
        <v>0</v>
      </c>
      <c r="U107" s="8">
        <v>0</v>
      </c>
      <c r="W107" s="8">
        <f>126791+8374</f>
        <v>135165</v>
      </c>
      <c r="Y107" s="3">
        <f t="shared" si="8"/>
        <v>11436801</v>
      </c>
      <c r="AA107" s="8">
        <v>0</v>
      </c>
      <c r="AE107" s="8">
        <v>0</v>
      </c>
      <c r="AG107" s="8">
        <v>0</v>
      </c>
      <c r="AK107" s="8">
        <f t="shared" si="9"/>
        <v>0</v>
      </c>
      <c r="AM107" s="8">
        <f t="shared" si="10"/>
        <v>11436801</v>
      </c>
    </row>
    <row r="108" spans="1:40">
      <c r="A108" s="13" t="s">
        <v>910</v>
      </c>
      <c r="B108" s="13"/>
      <c r="C108" s="13" t="s">
        <v>32</v>
      </c>
      <c r="D108" s="13"/>
      <c r="E108" s="32">
        <v>43752</v>
      </c>
      <c r="G108" s="8">
        <v>255036981</v>
      </c>
      <c r="I108" s="8">
        <v>0</v>
      </c>
      <c r="K108" s="8">
        <f>162253326+3682450</f>
        <v>165935776</v>
      </c>
      <c r="M108" s="8">
        <v>1753549</v>
      </c>
      <c r="O108" s="8">
        <v>990392</v>
      </c>
      <c r="Q108" s="8">
        <v>0</v>
      </c>
      <c r="S108" s="8">
        <v>5919337</v>
      </c>
      <c r="U108" s="8">
        <v>0</v>
      </c>
      <c r="W108" s="8">
        <v>588186</v>
      </c>
      <c r="Y108" s="3">
        <f t="shared" si="8"/>
        <v>430224221</v>
      </c>
      <c r="AA108" s="8">
        <v>0</v>
      </c>
      <c r="AE108" s="8">
        <v>0</v>
      </c>
      <c r="AG108" s="8">
        <v>0</v>
      </c>
      <c r="AK108" s="8">
        <f t="shared" si="9"/>
        <v>0</v>
      </c>
      <c r="AM108" s="8">
        <f t="shared" si="10"/>
        <v>430224221</v>
      </c>
    </row>
    <row r="109" spans="1:40">
      <c r="A109" s="13" t="s">
        <v>581</v>
      </c>
      <c r="B109" s="13"/>
      <c r="C109" s="13" t="s">
        <v>54</v>
      </c>
      <c r="D109" s="13"/>
      <c r="E109" s="32">
        <v>43760</v>
      </c>
      <c r="G109" s="8">
        <v>9639555</v>
      </c>
      <c r="I109" s="8">
        <v>0</v>
      </c>
      <c r="K109" s="8">
        <f>10260670+59048</f>
        <v>10319718</v>
      </c>
      <c r="M109" s="8">
        <v>386338</v>
      </c>
      <c r="O109" s="8">
        <v>296814</v>
      </c>
      <c r="Q109" s="8">
        <v>985</v>
      </c>
      <c r="S109" s="8">
        <v>173191</v>
      </c>
      <c r="U109" s="8">
        <v>0</v>
      </c>
      <c r="W109" s="8">
        <f>57967+136302</f>
        <v>194269</v>
      </c>
      <c r="Y109" s="3">
        <f t="shared" si="8"/>
        <v>21010870</v>
      </c>
      <c r="AA109" s="8">
        <v>0</v>
      </c>
      <c r="AE109" s="8">
        <v>0</v>
      </c>
      <c r="AG109" s="8">
        <v>0</v>
      </c>
      <c r="AK109" s="8">
        <f t="shared" si="9"/>
        <v>0</v>
      </c>
      <c r="AM109" s="8">
        <f t="shared" si="10"/>
        <v>21010870</v>
      </c>
    </row>
    <row r="110" spans="1:40">
      <c r="A110" s="13" t="s">
        <v>260</v>
      </c>
      <c r="B110" s="13"/>
      <c r="C110" s="13" t="s">
        <v>17</v>
      </c>
      <c r="D110" s="13"/>
      <c r="E110" s="32">
        <v>46284</v>
      </c>
      <c r="F110" s="11"/>
      <c r="G110" s="8">
        <v>8833149</v>
      </c>
      <c r="I110" s="8">
        <v>0</v>
      </c>
      <c r="K110" s="8">
        <v>7364232</v>
      </c>
      <c r="M110" s="8">
        <v>82269</v>
      </c>
      <c r="O110" s="8">
        <v>2635251</v>
      </c>
      <c r="Q110" s="8">
        <v>0</v>
      </c>
      <c r="S110" s="8">
        <v>0</v>
      </c>
      <c r="U110" s="8">
        <v>0</v>
      </c>
      <c r="W110" s="8">
        <f>26660+9175+90387</f>
        <v>126222</v>
      </c>
      <c r="Y110" s="3">
        <f t="shared" si="8"/>
        <v>19041123</v>
      </c>
      <c r="AA110" s="8">
        <v>0</v>
      </c>
      <c r="AE110" s="8">
        <v>0</v>
      </c>
      <c r="AG110" s="8">
        <v>29481</v>
      </c>
      <c r="AK110" s="8">
        <f t="shared" si="9"/>
        <v>29481</v>
      </c>
      <c r="AM110" s="8">
        <f t="shared" si="10"/>
        <v>19070604</v>
      </c>
    </row>
    <row r="111" spans="1:40" s="35" customFormat="1">
      <c r="A111" s="34" t="s">
        <v>627</v>
      </c>
      <c r="B111" s="34"/>
      <c r="C111" s="34" t="s">
        <v>59</v>
      </c>
      <c r="D111" s="34"/>
      <c r="E111" s="34">
        <v>49601</v>
      </c>
      <c r="G111" s="8">
        <v>958516</v>
      </c>
      <c r="H111" s="8"/>
      <c r="I111" s="8">
        <v>0</v>
      </c>
      <c r="J111" s="8"/>
      <c r="K111" s="8">
        <v>2620246</v>
      </c>
      <c r="L111" s="8"/>
      <c r="M111" s="8">
        <v>26873</v>
      </c>
      <c r="N111" s="8"/>
      <c r="O111" s="8">
        <v>1084824</v>
      </c>
      <c r="P111" s="8"/>
      <c r="Q111" s="8">
        <v>25193</v>
      </c>
      <c r="R111" s="8"/>
      <c r="S111" s="8">
        <v>0</v>
      </c>
      <c r="T111" s="8"/>
      <c r="U111" s="8">
        <v>5428</v>
      </c>
      <c r="V111" s="8"/>
      <c r="W111" s="8">
        <v>128673</v>
      </c>
      <c r="X111" s="8"/>
      <c r="Y111" s="3">
        <f t="shared" si="8"/>
        <v>4849753</v>
      </c>
      <c r="Z111" s="8"/>
      <c r="AA111" s="8">
        <v>0</v>
      </c>
      <c r="AB111" s="8"/>
      <c r="AC111" s="8"/>
      <c r="AD111" s="8"/>
      <c r="AE111" s="8">
        <v>0</v>
      </c>
      <c r="AF111" s="8"/>
      <c r="AG111" s="8">
        <v>0</v>
      </c>
      <c r="AH111" s="8"/>
      <c r="AI111" s="8"/>
      <c r="AJ111" s="8"/>
      <c r="AK111" s="8">
        <f t="shared" si="9"/>
        <v>0</v>
      </c>
      <c r="AL111" s="8"/>
      <c r="AM111" s="8">
        <f t="shared" si="10"/>
        <v>4849753</v>
      </c>
    </row>
    <row r="112" spans="1:40">
      <c r="A112" s="13" t="s">
        <v>694</v>
      </c>
      <c r="B112" s="13"/>
      <c r="C112" s="13" t="s">
        <v>65</v>
      </c>
      <c r="D112" s="13"/>
      <c r="E112" s="13">
        <v>43778</v>
      </c>
      <c r="G112" s="8">
        <v>3083121</v>
      </c>
      <c r="I112" s="8">
        <v>0</v>
      </c>
      <c r="K112" s="8">
        <f>12685042+23132</f>
        <v>12708174</v>
      </c>
      <c r="M112" s="8">
        <v>65431</v>
      </c>
      <c r="O112" s="8">
        <v>795333</v>
      </c>
      <c r="Q112" s="8">
        <v>0</v>
      </c>
      <c r="S112" s="8">
        <v>0</v>
      </c>
      <c r="U112" s="8">
        <v>0</v>
      </c>
      <c r="W112" s="8">
        <f>7047+47201+1000+6211+14191</f>
        <v>75650</v>
      </c>
      <c r="Y112" s="3">
        <f t="shared" si="8"/>
        <v>16727709</v>
      </c>
      <c r="AA112" s="8">
        <v>0</v>
      </c>
      <c r="AE112" s="8">
        <v>0</v>
      </c>
      <c r="AG112" s="8">
        <v>0</v>
      </c>
      <c r="AK112" s="8">
        <f t="shared" si="9"/>
        <v>0</v>
      </c>
      <c r="AM112" s="8">
        <f t="shared" si="10"/>
        <v>16727709</v>
      </c>
    </row>
    <row r="113" spans="1:39">
      <c r="A113" s="13" t="s">
        <v>609</v>
      </c>
      <c r="B113" s="13"/>
      <c r="C113" s="13" t="s">
        <v>112</v>
      </c>
      <c r="D113" s="13"/>
      <c r="E113" s="32">
        <v>49411</v>
      </c>
      <c r="G113" s="8">
        <v>3739299</v>
      </c>
      <c r="I113" s="8">
        <v>0</v>
      </c>
      <c r="K113" s="8">
        <v>9170452</v>
      </c>
      <c r="M113" s="8">
        <v>221312</v>
      </c>
      <c r="O113" s="8">
        <v>637269</v>
      </c>
      <c r="Q113" s="8">
        <v>455</v>
      </c>
      <c r="S113" s="8">
        <v>0</v>
      </c>
      <c r="U113" s="8">
        <v>2284</v>
      </c>
      <c r="W113" s="8">
        <f>59786+7975+26043</f>
        <v>93804</v>
      </c>
      <c r="Y113" s="3">
        <f t="shared" si="8"/>
        <v>13864875</v>
      </c>
      <c r="AA113" s="8">
        <v>0</v>
      </c>
      <c r="AE113" s="8">
        <v>0</v>
      </c>
      <c r="AG113" s="8">
        <v>1272</v>
      </c>
      <c r="AK113" s="8">
        <f t="shared" si="9"/>
        <v>1272</v>
      </c>
      <c r="AM113" s="8">
        <f t="shared" si="10"/>
        <v>13866147</v>
      </c>
    </row>
    <row r="114" spans="1:39">
      <c r="A114" s="13" t="s">
        <v>485</v>
      </c>
      <c r="B114" s="13"/>
      <c r="C114" s="13" t="s">
        <v>44</v>
      </c>
      <c r="D114" s="13"/>
      <c r="E114" s="32">
        <v>48132</v>
      </c>
      <c r="G114" s="8">
        <v>2350751</v>
      </c>
      <c r="I114" s="8">
        <v>0</v>
      </c>
      <c r="K114" s="8">
        <v>7650764</v>
      </c>
      <c r="M114" s="8">
        <v>23606</v>
      </c>
      <c r="O114" s="8">
        <v>2994808</v>
      </c>
      <c r="Q114" s="8">
        <v>0</v>
      </c>
      <c r="S114" s="8">
        <v>0</v>
      </c>
      <c r="U114" s="8">
        <v>0</v>
      </c>
      <c r="W114" s="8">
        <v>156787</v>
      </c>
      <c r="Y114" s="3">
        <f t="shared" si="8"/>
        <v>13176716</v>
      </c>
      <c r="AA114" s="8">
        <v>0</v>
      </c>
      <c r="AE114" s="8">
        <v>0</v>
      </c>
      <c r="AG114" s="8">
        <v>0</v>
      </c>
      <c r="AK114" s="8">
        <f t="shared" si="9"/>
        <v>0</v>
      </c>
      <c r="AM114" s="8">
        <f t="shared" si="10"/>
        <v>13176716</v>
      </c>
    </row>
    <row r="115" spans="1:39">
      <c r="A115" s="13" t="s">
        <v>911</v>
      </c>
      <c r="B115" s="13"/>
      <c r="C115" s="13" t="s">
        <v>115</v>
      </c>
      <c r="D115" s="13"/>
      <c r="E115" s="32"/>
      <c r="G115" s="8">
        <v>8099553</v>
      </c>
      <c r="I115" s="8">
        <v>0</v>
      </c>
      <c r="K115" s="8">
        <v>6864573</v>
      </c>
      <c r="M115" s="8">
        <v>153288</v>
      </c>
      <c r="O115" s="8">
        <v>565535</v>
      </c>
      <c r="Q115" s="8">
        <v>0</v>
      </c>
      <c r="S115" s="8">
        <v>0</v>
      </c>
      <c r="U115" s="8">
        <v>0</v>
      </c>
      <c r="W115" s="8">
        <v>235416</v>
      </c>
      <c r="Y115" s="3">
        <f t="shared" si="8"/>
        <v>15918365</v>
      </c>
      <c r="AA115" s="8">
        <v>0</v>
      </c>
      <c r="AE115" s="8">
        <v>0</v>
      </c>
      <c r="AG115" s="8">
        <v>0</v>
      </c>
      <c r="AK115" s="8">
        <f t="shared" si="9"/>
        <v>0</v>
      </c>
      <c r="AM115" s="8">
        <f t="shared" si="10"/>
        <v>15918365</v>
      </c>
    </row>
    <row r="116" spans="1:39">
      <c r="A116" s="13" t="s">
        <v>908</v>
      </c>
      <c r="B116" s="13"/>
      <c r="C116" s="13" t="s">
        <v>20</v>
      </c>
      <c r="D116" s="13"/>
      <c r="E116" s="32">
        <v>43794</v>
      </c>
      <c r="G116" s="8">
        <v>61730211</v>
      </c>
      <c r="I116" s="8">
        <v>0</v>
      </c>
      <c r="K116" s="8">
        <v>27530111</v>
      </c>
      <c r="M116" s="8">
        <v>1001933</v>
      </c>
      <c r="O116" s="8">
        <v>1084330</v>
      </c>
      <c r="Q116" s="8">
        <v>0</v>
      </c>
      <c r="S116" s="8">
        <v>110775</v>
      </c>
      <c r="U116" s="8">
        <v>0</v>
      </c>
      <c r="W116" s="8">
        <v>760413</v>
      </c>
      <c r="Y116" s="3">
        <f t="shared" si="8"/>
        <v>92217773</v>
      </c>
      <c r="AA116" s="8">
        <v>0</v>
      </c>
      <c r="AE116" s="8">
        <v>678728</v>
      </c>
      <c r="AG116" s="8">
        <v>0</v>
      </c>
      <c r="AK116" s="8">
        <f t="shared" si="9"/>
        <v>678728</v>
      </c>
      <c r="AM116" s="8">
        <f t="shared" si="10"/>
        <v>92896501</v>
      </c>
    </row>
    <row r="117" spans="1:39">
      <c r="A117" s="13" t="s">
        <v>303</v>
      </c>
      <c r="B117" s="13"/>
      <c r="C117" s="13" t="s">
        <v>20</v>
      </c>
      <c r="D117" s="13"/>
      <c r="E117" s="32">
        <v>43786</v>
      </c>
      <c r="G117" s="8">
        <v>164933612</v>
      </c>
      <c r="I117" s="8">
        <v>0</v>
      </c>
      <c r="K117" s="8">
        <f>408129492+4350718+3947025</f>
        <v>416427235</v>
      </c>
      <c r="M117" s="8">
        <v>4179105</v>
      </c>
      <c r="O117" s="8">
        <v>0</v>
      </c>
      <c r="Q117" s="8">
        <v>1176394</v>
      </c>
      <c r="S117" s="8">
        <v>0</v>
      </c>
      <c r="U117" s="8">
        <v>6745</v>
      </c>
      <c r="W117" s="8">
        <v>7232703</v>
      </c>
      <c r="Y117" s="3">
        <f t="shared" si="8"/>
        <v>593955794</v>
      </c>
      <c r="AA117" s="8">
        <v>0</v>
      </c>
      <c r="AE117" s="8">
        <v>0</v>
      </c>
      <c r="AG117" s="8">
        <v>0</v>
      </c>
      <c r="AK117" s="8">
        <f t="shared" si="9"/>
        <v>0</v>
      </c>
      <c r="AM117" s="8">
        <f t="shared" si="10"/>
        <v>593955794</v>
      </c>
    </row>
    <row r="118" spans="1:39">
      <c r="A118" s="13" t="s">
        <v>275</v>
      </c>
      <c r="B118" s="13"/>
      <c r="C118" s="13" t="s">
        <v>18</v>
      </c>
      <c r="D118" s="13"/>
      <c r="E118" s="32">
        <v>46391</v>
      </c>
      <c r="F118" s="11"/>
      <c r="G118" s="8">
        <v>4013492</v>
      </c>
      <c r="I118" s="8">
        <v>0</v>
      </c>
      <c r="K118" s="8">
        <v>9643577</v>
      </c>
      <c r="M118" s="8">
        <v>261244</v>
      </c>
      <c r="O118" s="8">
        <v>114185</v>
      </c>
      <c r="Q118" s="8">
        <v>0</v>
      </c>
      <c r="S118" s="8">
        <v>0</v>
      </c>
      <c r="U118" s="8">
        <v>0</v>
      </c>
      <c r="W118" s="8">
        <f>3848+50817</f>
        <v>54665</v>
      </c>
      <c r="Y118" s="3">
        <f t="shared" si="8"/>
        <v>14087163</v>
      </c>
      <c r="AA118" s="8">
        <v>0</v>
      </c>
      <c r="AE118" s="8">
        <v>281387</v>
      </c>
      <c r="AG118" s="8">
        <v>0</v>
      </c>
      <c r="AK118" s="8">
        <f t="shared" si="9"/>
        <v>281387</v>
      </c>
      <c r="AM118" s="8">
        <f t="shared" si="10"/>
        <v>14368550</v>
      </c>
    </row>
    <row r="119" spans="1:39">
      <c r="A119" s="13" t="s">
        <v>527</v>
      </c>
      <c r="B119" s="13"/>
      <c r="C119" s="13" t="s">
        <v>47</v>
      </c>
      <c r="D119" s="13"/>
      <c r="E119" s="13">
        <v>48488</v>
      </c>
      <c r="G119" s="8">
        <v>14315336</v>
      </c>
      <c r="I119" s="8">
        <v>0</v>
      </c>
      <c r="K119" s="8">
        <v>12698781</v>
      </c>
      <c r="M119" s="8">
        <v>43354</v>
      </c>
      <c r="O119" s="8">
        <v>487876</v>
      </c>
      <c r="Q119" s="8">
        <v>152649</v>
      </c>
      <c r="S119" s="8">
        <v>0</v>
      </c>
      <c r="U119" s="8">
        <v>0</v>
      </c>
      <c r="W119" s="8">
        <f>194+171+61521</f>
        <v>61886</v>
      </c>
      <c r="Y119" s="3">
        <f t="shared" si="8"/>
        <v>27759882</v>
      </c>
      <c r="AA119" s="8">
        <v>0</v>
      </c>
      <c r="AE119" s="8">
        <v>0</v>
      </c>
      <c r="AG119" s="8">
        <v>481</v>
      </c>
      <c r="AK119" s="8">
        <f t="shared" si="9"/>
        <v>481</v>
      </c>
      <c r="AM119" s="8">
        <f t="shared" si="10"/>
        <v>27760363</v>
      </c>
    </row>
    <row r="120" spans="1:39">
      <c r="A120" s="13" t="s">
        <v>622</v>
      </c>
      <c r="B120" s="13"/>
      <c r="C120" s="13" t="s">
        <v>79</v>
      </c>
      <c r="D120" s="13"/>
      <c r="E120" s="32">
        <v>45302</v>
      </c>
      <c r="G120" s="8">
        <v>6398681</v>
      </c>
      <c r="I120" s="8">
        <v>0</v>
      </c>
      <c r="K120" s="8">
        <v>11338835</v>
      </c>
      <c r="M120" s="8">
        <v>93121</v>
      </c>
      <c r="O120" s="8">
        <v>530654</v>
      </c>
      <c r="Q120" s="8">
        <v>18670</v>
      </c>
      <c r="S120" s="8">
        <v>0</v>
      </c>
      <c r="U120" s="8">
        <v>0</v>
      </c>
      <c r="W120" s="8">
        <f>58819+308677</f>
        <v>367496</v>
      </c>
      <c r="Y120" s="3">
        <f t="shared" si="8"/>
        <v>18747457</v>
      </c>
      <c r="AA120" s="8">
        <v>0</v>
      </c>
      <c r="AE120" s="8">
        <v>0</v>
      </c>
      <c r="AG120" s="8">
        <v>652</v>
      </c>
      <c r="AK120" s="8">
        <f t="shared" si="9"/>
        <v>652</v>
      </c>
      <c r="AM120" s="8">
        <f t="shared" si="10"/>
        <v>18748109</v>
      </c>
    </row>
    <row r="121" spans="1:39" hidden="1">
      <c r="A121" s="13" t="s">
        <v>914</v>
      </c>
      <c r="B121" s="13"/>
      <c r="C121" s="13" t="s">
        <v>534</v>
      </c>
      <c r="D121" s="13"/>
      <c r="E121" s="32"/>
      <c r="G121" s="8">
        <v>2835179</v>
      </c>
      <c r="I121" s="8">
        <v>729252</v>
      </c>
      <c r="K121" s="8">
        <v>7987891</v>
      </c>
      <c r="M121" s="8">
        <v>85975</v>
      </c>
      <c r="O121" s="8">
        <v>279622</v>
      </c>
      <c r="W121" s="8">
        <f>12634+48132+8651</f>
        <v>69417</v>
      </c>
      <c r="Y121" s="3">
        <f t="shared" si="8"/>
        <v>11987336</v>
      </c>
      <c r="AM121" s="8">
        <f t="shared" si="10"/>
        <v>11987336</v>
      </c>
    </row>
    <row r="122" spans="1:39" hidden="1">
      <c r="A122" s="12" t="s">
        <v>829</v>
      </c>
      <c r="B122" s="13"/>
      <c r="C122" s="13" t="s">
        <v>57</v>
      </c>
      <c r="D122" s="13"/>
      <c r="E122" s="32">
        <v>64964</v>
      </c>
      <c r="G122" s="8">
        <v>166568</v>
      </c>
      <c r="K122" s="8">
        <v>684493</v>
      </c>
      <c r="M122" s="8">
        <v>26404</v>
      </c>
      <c r="O122" s="8">
        <v>112920</v>
      </c>
      <c r="W122" s="8">
        <f>67000+105503</f>
        <v>172503</v>
      </c>
      <c r="Y122" s="3">
        <f t="shared" si="8"/>
        <v>1162888</v>
      </c>
      <c r="AK122" s="8">
        <f t="shared" si="9"/>
        <v>0</v>
      </c>
      <c r="AM122" s="8">
        <f t="shared" si="10"/>
        <v>1162888</v>
      </c>
    </row>
    <row r="123" spans="1:39">
      <c r="A123" s="13" t="s">
        <v>292</v>
      </c>
      <c r="B123" s="13"/>
      <c r="C123" s="13" t="s">
        <v>113</v>
      </c>
      <c r="D123" s="13"/>
      <c r="E123" s="32">
        <v>46516</v>
      </c>
      <c r="F123" s="11"/>
      <c r="G123" s="8">
        <v>2437321</v>
      </c>
      <c r="I123" s="8">
        <v>1331020</v>
      </c>
      <c r="K123" s="8">
        <f>14139+3934890+18537</f>
        <v>3967566</v>
      </c>
      <c r="M123" s="8">
        <v>44300</v>
      </c>
      <c r="O123" s="8">
        <v>865720</v>
      </c>
      <c r="Q123" s="8">
        <v>0</v>
      </c>
      <c r="S123" s="8">
        <v>0</v>
      </c>
      <c r="U123" s="8">
        <v>2615</v>
      </c>
      <c r="W123" s="8">
        <f>29355+61794+1110+20693+22945</f>
        <v>135897</v>
      </c>
      <c r="Y123" s="3">
        <f t="shared" si="8"/>
        <v>8784439</v>
      </c>
      <c r="AA123" s="8">
        <v>0</v>
      </c>
      <c r="AE123" s="8">
        <v>101909</v>
      </c>
      <c r="AG123" s="8">
        <v>0</v>
      </c>
      <c r="AK123" s="8">
        <f t="shared" si="9"/>
        <v>101909</v>
      </c>
      <c r="AM123" s="8">
        <f t="shared" si="10"/>
        <v>8886348</v>
      </c>
    </row>
    <row r="124" spans="1:39">
      <c r="A124" s="13" t="s">
        <v>486</v>
      </c>
      <c r="B124" s="13"/>
      <c r="C124" s="13" t="s">
        <v>44</v>
      </c>
      <c r="D124" s="13"/>
      <c r="E124" s="32">
        <v>48140</v>
      </c>
      <c r="G124" s="8">
        <v>5564706</v>
      </c>
      <c r="I124" s="8">
        <v>0</v>
      </c>
      <c r="K124" s="8">
        <v>3493430</v>
      </c>
      <c r="M124" s="8">
        <v>34330</v>
      </c>
      <c r="O124" s="8">
        <v>582602</v>
      </c>
      <c r="Q124" s="8">
        <v>0</v>
      </c>
      <c r="S124" s="8">
        <v>0</v>
      </c>
      <c r="U124" s="8">
        <v>0</v>
      </c>
      <c r="W124" s="8">
        <f>28948+61417</f>
        <v>90365</v>
      </c>
      <c r="Y124" s="3">
        <f t="shared" si="8"/>
        <v>9765433</v>
      </c>
      <c r="AA124" s="8">
        <v>0</v>
      </c>
      <c r="AE124" s="8">
        <v>77320</v>
      </c>
      <c r="AG124" s="8">
        <v>0</v>
      </c>
      <c r="AK124" s="8">
        <f t="shared" si="9"/>
        <v>77320</v>
      </c>
      <c r="AM124" s="8">
        <f t="shared" si="10"/>
        <v>9842753</v>
      </c>
    </row>
    <row r="125" spans="1:39">
      <c r="A125" s="13" t="s">
        <v>279</v>
      </c>
      <c r="B125" s="13"/>
      <c r="C125" s="13" t="s">
        <v>114</v>
      </c>
      <c r="D125" s="13"/>
      <c r="E125" s="32">
        <v>45328</v>
      </c>
      <c r="F125" s="11"/>
      <c r="G125" s="8">
        <v>3115250</v>
      </c>
      <c r="I125" s="8">
        <v>1467354</v>
      </c>
      <c r="K125" s="8">
        <v>3028352</v>
      </c>
      <c r="M125" s="8">
        <v>106541</v>
      </c>
      <c r="O125" s="8">
        <v>988912</v>
      </c>
      <c r="Q125" s="8">
        <v>0</v>
      </c>
      <c r="S125" s="8">
        <v>0</v>
      </c>
      <c r="U125" s="8">
        <v>0</v>
      </c>
      <c r="W125" s="8">
        <f>11465+78835+9338</f>
        <v>99638</v>
      </c>
      <c r="Y125" s="3">
        <f t="shared" si="8"/>
        <v>8806047</v>
      </c>
      <c r="AA125" s="8">
        <v>0</v>
      </c>
      <c r="AE125" s="8">
        <v>0</v>
      </c>
      <c r="AG125" s="8">
        <v>0</v>
      </c>
      <c r="AK125" s="8">
        <f t="shared" si="9"/>
        <v>0</v>
      </c>
      <c r="AM125" s="8">
        <f t="shared" si="10"/>
        <v>8806047</v>
      </c>
    </row>
    <row r="126" spans="1:39">
      <c r="A126" s="13" t="s">
        <v>354</v>
      </c>
      <c r="B126" s="13"/>
      <c r="C126" s="13" t="s">
        <v>27</v>
      </c>
      <c r="D126" s="13"/>
      <c r="E126" s="32">
        <v>43802</v>
      </c>
      <c r="G126" s="8">
        <v>415677400</v>
      </c>
      <c r="I126" s="8">
        <v>0</v>
      </c>
      <c r="K126" s="8">
        <v>255257788</v>
      </c>
      <c r="M126" s="8">
        <v>1690272</v>
      </c>
      <c r="O126" s="8">
        <v>4903224</v>
      </c>
      <c r="Q126" s="8">
        <v>0</v>
      </c>
      <c r="S126" s="8">
        <v>4798815</v>
      </c>
      <c r="U126" s="8">
        <v>88979</v>
      </c>
      <c r="W126" s="8">
        <f>55697+254119+6061412</f>
        <v>6371228</v>
      </c>
      <c r="Y126" s="3">
        <f t="shared" si="8"/>
        <v>688787706</v>
      </c>
      <c r="AA126" s="8">
        <v>0</v>
      </c>
      <c r="AE126" s="8">
        <v>74884</v>
      </c>
      <c r="AG126" s="8">
        <v>0</v>
      </c>
      <c r="AK126" s="8">
        <f t="shared" si="9"/>
        <v>74884</v>
      </c>
      <c r="AM126" s="8">
        <f t="shared" si="10"/>
        <v>688862590</v>
      </c>
    </row>
    <row r="127" spans="1:39" hidden="1">
      <c r="A127" s="13" t="s">
        <v>830</v>
      </c>
      <c r="B127" s="13"/>
      <c r="C127" s="13" t="s">
        <v>603</v>
      </c>
      <c r="D127" s="13"/>
      <c r="E127" s="32">
        <v>49312</v>
      </c>
      <c r="G127" s="8">
        <v>1774265</v>
      </c>
      <c r="I127" s="8">
        <v>734638</v>
      </c>
      <c r="K127" s="8">
        <v>4553338</v>
      </c>
      <c r="M127" s="8">
        <v>61125</v>
      </c>
      <c r="O127" s="8">
        <v>250863</v>
      </c>
      <c r="U127" s="8">
        <v>21297</v>
      </c>
      <c r="W127" s="8">
        <f>5677+20599</f>
        <v>26276</v>
      </c>
      <c r="Y127" s="3">
        <f t="shared" si="8"/>
        <v>7421802</v>
      </c>
      <c r="AK127" s="8">
        <f t="shared" si="9"/>
        <v>0</v>
      </c>
      <c r="AM127" s="8">
        <f t="shared" si="10"/>
        <v>7421802</v>
      </c>
    </row>
    <row r="128" spans="1:39">
      <c r="A128" s="13" t="s">
        <v>218</v>
      </c>
      <c r="B128" s="13"/>
      <c r="C128" s="13" t="s">
        <v>12</v>
      </c>
      <c r="D128" s="13"/>
      <c r="E128" s="32">
        <v>43810</v>
      </c>
      <c r="F128" s="11"/>
      <c r="G128" s="8">
        <v>3816178</v>
      </c>
      <c r="I128" s="8">
        <v>0</v>
      </c>
      <c r="K128" s="8">
        <v>12175215</v>
      </c>
      <c r="M128" s="8">
        <v>64261</v>
      </c>
      <c r="O128" s="8">
        <v>250079</v>
      </c>
      <c r="Q128" s="8">
        <v>0</v>
      </c>
      <c r="S128" s="8">
        <v>0</v>
      </c>
      <c r="U128" s="8">
        <v>1321</v>
      </c>
      <c r="W128" s="8">
        <f>9281+375+146118</f>
        <v>155774</v>
      </c>
      <c r="Y128" s="3">
        <f t="shared" si="8"/>
        <v>16462828</v>
      </c>
      <c r="AA128" s="8">
        <v>0</v>
      </c>
      <c r="AE128" s="8">
        <v>0</v>
      </c>
      <c r="AG128" s="8">
        <v>5190</v>
      </c>
      <c r="AK128" s="8">
        <f t="shared" si="9"/>
        <v>5190</v>
      </c>
      <c r="AM128" s="8">
        <f t="shared" si="10"/>
        <v>16468018</v>
      </c>
    </row>
    <row r="129" spans="1:40">
      <c r="A129" s="13" t="s">
        <v>427</v>
      </c>
      <c r="B129" s="13"/>
      <c r="C129" s="13" t="s">
        <v>428</v>
      </c>
      <c r="D129" s="13"/>
      <c r="E129" s="32">
        <v>47548</v>
      </c>
      <c r="G129" s="8">
        <v>1667648</v>
      </c>
      <c r="I129" s="8">
        <v>0</v>
      </c>
      <c r="K129" s="8">
        <v>2745681</v>
      </c>
      <c r="M129" s="8">
        <v>24938</v>
      </c>
      <c r="O129" s="8">
        <v>276423</v>
      </c>
      <c r="Q129" s="8">
        <v>0</v>
      </c>
      <c r="S129" s="8">
        <v>0</v>
      </c>
      <c r="U129" s="8">
        <v>0</v>
      </c>
      <c r="W129" s="8">
        <v>12960</v>
      </c>
      <c r="Y129" s="3">
        <f t="shared" si="8"/>
        <v>4727650</v>
      </c>
      <c r="AA129" s="8">
        <v>341200</v>
      </c>
      <c r="AE129" s="8">
        <v>0</v>
      </c>
      <c r="AG129" s="8">
        <v>0</v>
      </c>
      <c r="AK129" s="8">
        <f t="shared" si="9"/>
        <v>341200</v>
      </c>
      <c r="AM129" s="8">
        <f t="shared" si="10"/>
        <v>5068850</v>
      </c>
    </row>
    <row r="130" spans="1:40" hidden="1">
      <c r="A130" s="88" t="s">
        <v>969</v>
      </c>
      <c r="B130" s="13"/>
      <c r="C130" s="13" t="s">
        <v>603</v>
      </c>
      <c r="D130" s="13"/>
      <c r="E130" s="32">
        <v>49320</v>
      </c>
      <c r="Y130" s="3">
        <f t="shared" si="8"/>
        <v>0</v>
      </c>
      <c r="AK130" s="8">
        <f t="shared" si="9"/>
        <v>0</v>
      </c>
      <c r="AM130" s="8">
        <f t="shared" si="10"/>
        <v>0</v>
      </c>
    </row>
    <row r="131" spans="1:40">
      <c r="A131" s="13" t="s">
        <v>664</v>
      </c>
      <c r="B131" s="13"/>
      <c r="C131" s="13" t="s">
        <v>63</v>
      </c>
      <c r="D131" s="13"/>
      <c r="E131" s="32">
        <v>49981</v>
      </c>
      <c r="G131" s="8">
        <v>21851765</v>
      </c>
      <c r="I131" s="8">
        <v>0</v>
      </c>
      <c r="K131" s="8">
        <v>6515961</v>
      </c>
      <c r="M131" s="8">
        <v>171772</v>
      </c>
      <c r="O131" s="8">
        <v>521980</v>
      </c>
      <c r="Q131" s="8">
        <v>0</v>
      </c>
      <c r="S131" s="8">
        <v>0</v>
      </c>
      <c r="U131" s="8">
        <v>200</v>
      </c>
      <c r="W131" s="8">
        <f>11998+33094+214347</f>
        <v>259439</v>
      </c>
      <c r="Y131" s="3">
        <f t="shared" si="8"/>
        <v>29321117</v>
      </c>
      <c r="AA131" s="8">
        <v>0</v>
      </c>
      <c r="AE131" s="8">
        <v>0</v>
      </c>
      <c r="AG131" s="8">
        <v>0</v>
      </c>
      <c r="AK131" s="8">
        <f t="shared" si="9"/>
        <v>0</v>
      </c>
      <c r="AM131" s="8">
        <f t="shared" si="10"/>
        <v>29321117</v>
      </c>
    </row>
    <row r="132" spans="1:40">
      <c r="A132" s="13" t="s">
        <v>415</v>
      </c>
      <c r="B132" s="13"/>
      <c r="C132" s="13" t="s">
        <v>33</v>
      </c>
      <c r="D132" s="13"/>
      <c r="E132" s="32">
        <v>47431</v>
      </c>
      <c r="G132" s="8">
        <v>1587298</v>
      </c>
      <c r="I132" s="8">
        <v>1331717</v>
      </c>
      <c r="K132" s="8">
        <v>3243024</v>
      </c>
      <c r="M132" s="8">
        <v>11041</v>
      </c>
      <c r="O132" s="8">
        <v>281021</v>
      </c>
      <c r="Q132" s="8">
        <v>0</v>
      </c>
      <c r="S132" s="8">
        <v>40759</v>
      </c>
      <c r="U132" s="8">
        <v>12274</v>
      </c>
      <c r="W132" s="8">
        <v>9171</v>
      </c>
      <c r="Y132" s="3">
        <f t="shared" si="8"/>
        <v>6516305</v>
      </c>
      <c r="AA132" s="8">
        <v>0</v>
      </c>
      <c r="AE132" s="8">
        <v>0</v>
      </c>
      <c r="AG132" s="8">
        <v>500</v>
      </c>
      <c r="AK132" s="8">
        <f t="shared" si="9"/>
        <v>500</v>
      </c>
      <c r="AM132" s="8">
        <f t="shared" si="10"/>
        <v>6516805</v>
      </c>
    </row>
    <row r="133" spans="1:40">
      <c r="A133" s="13" t="s">
        <v>287</v>
      </c>
      <c r="B133" s="13"/>
      <c r="C133" s="13" t="s">
        <v>19</v>
      </c>
      <c r="D133" s="13"/>
      <c r="E133" s="32">
        <v>43828</v>
      </c>
      <c r="F133" s="11"/>
      <c r="G133" s="8">
        <v>4401218</v>
      </c>
      <c r="I133" s="8">
        <v>0</v>
      </c>
      <c r="K133" s="8">
        <v>9430067</v>
      </c>
      <c r="M133" s="8">
        <v>176864</v>
      </c>
      <c r="O133" s="8">
        <v>845261</v>
      </c>
      <c r="Q133" s="8">
        <v>0</v>
      </c>
      <c r="S133" s="8">
        <v>0</v>
      </c>
      <c r="U133" s="8">
        <v>0</v>
      </c>
      <c r="W133" s="8">
        <f>25859+11614</f>
        <v>37473</v>
      </c>
      <c r="Y133" s="3">
        <f t="shared" si="8"/>
        <v>14890883</v>
      </c>
      <c r="AA133" s="8">
        <v>240</v>
      </c>
      <c r="AE133" s="8">
        <v>0</v>
      </c>
      <c r="AG133" s="8">
        <v>0</v>
      </c>
      <c r="AK133" s="8">
        <f>SUM(AA133:AJ133)</f>
        <v>240</v>
      </c>
      <c r="AM133" s="8">
        <f t="shared" si="10"/>
        <v>14891123</v>
      </c>
    </row>
    <row r="134" spans="1:40">
      <c r="A134" s="13" t="s">
        <v>816</v>
      </c>
      <c r="B134" s="13"/>
      <c r="C134" s="13" t="s">
        <v>63</v>
      </c>
      <c r="D134" s="13"/>
      <c r="E134" s="32"/>
      <c r="F134" s="11"/>
      <c r="G134" s="8">
        <v>9072103</v>
      </c>
      <c r="I134" s="8">
        <v>0</v>
      </c>
      <c r="K134" s="8">
        <v>5423665</v>
      </c>
      <c r="M134" s="8">
        <v>19915</v>
      </c>
      <c r="O134" s="8">
        <v>4316460</v>
      </c>
      <c r="Q134" s="8">
        <v>16855</v>
      </c>
      <c r="S134" s="8">
        <v>0</v>
      </c>
      <c r="U134" s="8">
        <v>0</v>
      </c>
      <c r="W134" s="8">
        <f>93662+450+68078</f>
        <v>162190</v>
      </c>
      <c r="Y134" s="3">
        <f t="shared" si="8"/>
        <v>19011188</v>
      </c>
      <c r="AA134" s="8">
        <v>0</v>
      </c>
      <c r="AE134" s="8">
        <v>0</v>
      </c>
      <c r="AG134" s="8">
        <v>0</v>
      </c>
      <c r="AK134" s="8">
        <f t="shared" si="9"/>
        <v>0</v>
      </c>
      <c r="AM134" s="8">
        <f t="shared" si="10"/>
        <v>19011188</v>
      </c>
    </row>
    <row r="135" spans="1:40">
      <c r="A135" s="13" t="s">
        <v>915</v>
      </c>
      <c r="B135" s="13"/>
      <c r="C135" s="13" t="s">
        <v>48</v>
      </c>
      <c r="D135" s="13"/>
      <c r="E135" s="32">
        <v>45336</v>
      </c>
      <c r="G135" s="8">
        <v>3275497</v>
      </c>
      <c r="I135" s="8">
        <v>0</v>
      </c>
      <c r="K135" s="8">
        <f>3648573+10657</f>
        <v>3659230</v>
      </c>
      <c r="M135" s="8">
        <v>36168</v>
      </c>
      <c r="O135" s="8">
        <v>376003</v>
      </c>
      <c r="Q135" s="8">
        <v>100</v>
      </c>
      <c r="S135" s="8">
        <v>0</v>
      </c>
      <c r="U135" s="8">
        <v>28972</v>
      </c>
      <c r="W135" s="8">
        <f>36753+5296+4620</f>
        <v>46669</v>
      </c>
      <c r="Y135" s="3">
        <f t="shared" si="8"/>
        <v>7422639</v>
      </c>
      <c r="AA135" s="8">
        <v>0</v>
      </c>
      <c r="AE135" s="8">
        <v>46010</v>
      </c>
      <c r="AG135" s="8">
        <v>0</v>
      </c>
      <c r="AK135" s="8">
        <f t="shared" si="9"/>
        <v>46010</v>
      </c>
      <c r="AM135" s="8">
        <f t="shared" si="10"/>
        <v>7468649</v>
      </c>
    </row>
    <row r="136" spans="1:40">
      <c r="A136" s="13" t="s">
        <v>916</v>
      </c>
      <c r="B136" s="13"/>
      <c r="C136" s="13" t="s">
        <v>113</v>
      </c>
      <c r="D136" s="13"/>
      <c r="E136" s="32">
        <v>45344</v>
      </c>
      <c r="G136" s="8">
        <v>2190954</v>
      </c>
      <c r="I136" s="8">
        <v>0</v>
      </c>
      <c r="K136" s="8">
        <v>4458103</v>
      </c>
      <c r="M136" s="8">
        <v>0</v>
      </c>
      <c r="O136" s="8">
        <v>187478</v>
      </c>
      <c r="Q136" s="8">
        <v>0</v>
      </c>
      <c r="S136" s="8">
        <v>0</v>
      </c>
      <c r="U136" s="8">
        <v>0</v>
      </c>
      <c r="W136" s="8">
        <f>31360+23906</f>
        <v>55266</v>
      </c>
      <c r="Y136" s="3">
        <f t="shared" si="8"/>
        <v>6891801</v>
      </c>
      <c r="AA136" s="8">
        <v>0</v>
      </c>
      <c r="AE136" s="8">
        <v>0</v>
      </c>
      <c r="AG136" s="8">
        <v>8275</v>
      </c>
      <c r="AK136" s="8">
        <f t="shared" si="9"/>
        <v>8275</v>
      </c>
      <c r="AM136" s="8">
        <f t="shared" si="10"/>
        <v>6900076</v>
      </c>
    </row>
    <row r="137" spans="1:40">
      <c r="A137" s="13" t="s">
        <v>280</v>
      </c>
      <c r="B137" s="13"/>
      <c r="C137" s="13" t="s">
        <v>114</v>
      </c>
      <c r="D137" s="13"/>
      <c r="E137" s="32">
        <v>46433</v>
      </c>
      <c r="F137" s="11"/>
      <c r="G137" s="8">
        <v>1830434</v>
      </c>
      <c r="I137" s="8">
        <v>1039402</v>
      </c>
      <c r="K137" s="8">
        <v>5130543</v>
      </c>
      <c r="M137" s="8">
        <v>57589</v>
      </c>
      <c r="O137" s="8">
        <v>1700367</v>
      </c>
      <c r="Q137" s="8">
        <v>0</v>
      </c>
      <c r="S137" s="8">
        <v>0</v>
      </c>
      <c r="U137" s="8">
        <v>0</v>
      </c>
      <c r="W137" s="8">
        <f>2526+35479</f>
        <v>38005</v>
      </c>
      <c r="Y137" s="3">
        <f t="shared" si="8"/>
        <v>9796340</v>
      </c>
      <c r="AA137" s="8">
        <v>0</v>
      </c>
      <c r="AE137" s="8">
        <v>0</v>
      </c>
      <c r="AG137" s="8">
        <v>1221</v>
      </c>
      <c r="AK137" s="8">
        <f t="shared" si="9"/>
        <v>1221</v>
      </c>
      <c r="AM137" s="8">
        <f t="shared" si="10"/>
        <v>9797561</v>
      </c>
    </row>
    <row r="138" spans="1:40">
      <c r="A138" s="13" t="s">
        <v>280</v>
      </c>
      <c r="B138" s="13"/>
      <c r="C138" s="13" t="s">
        <v>112</v>
      </c>
      <c r="D138" s="13"/>
      <c r="E138" s="32">
        <v>49429</v>
      </c>
      <c r="G138" s="8">
        <v>2293281</v>
      </c>
      <c r="I138" s="8">
        <v>0</v>
      </c>
      <c r="K138" s="8">
        <v>7436715</v>
      </c>
      <c r="M138" s="8">
        <v>0</v>
      </c>
      <c r="O138" s="8">
        <v>136730</v>
      </c>
      <c r="Q138" s="8">
        <v>231319</v>
      </c>
      <c r="S138" s="8">
        <v>0</v>
      </c>
      <c r="U138" s="8">
        <v>550</v>
      </c>
      <c r="W138" s="8">
        <f>55939+1180+19444</f>
        <v>76563</v>
      </c>
      <c r="Y138" s="3">
        <f t="shared" si="8"/>
        <v>10175158</v>
      </c>
      <c r="AA138" s="8">
        <v>0</v>
      </c>
      <c r="AE138" s="8">
        <v>0</v>
      </c>
      <c r="AG138" s="8">
        <v>0</v>
      </c>
      <c r="AK138" s="8">
        <f t="shared" si="9"/>
        <v>0</v>
      </c>
      <c r="AM138" s="8">
        <f t="shared" si="10"/>
        <v>10175158</v>
      </c>
    </row>
    <row r="139" spans="1:40" hidden="1">
      <c r="A139" s="13" t="s">
        <v>917</v>
      </c>
      <c r="B139" s="13"/>
      <c r="C139" s="13" t="s">
        <v>67</v>
      </c>
      <c r="D139" s="13"/>
      <c r="E139" s="32"/>
      <c r="G139" s="8">
        <v>1775604</v>
      </c>
      <c r="I139" s="8">
        <v>875688</v>
      </c>
      <c r="K139" s="8">
        <v>4844515</v>
      </c>
      <c r="M139" s="8">
        <v>72416</v>
      </c>
      <c r="O139" s="8">
        <v>562162</v>
      </c>
      <c r="S139" s="8">
        <v>229004</v>
      </c>
      <c r="W139" s="8">
        <f>4695+3</f>
        <v>4698</v>
      </c>
      <c r="Y139" s="3">
        <f t="shared" si="8"/>
        <v>8364087</v>
      </c>
      <c r="AM139" s="8">
        <f t="shared" si="10"/>
        <v>8364087</v>
      </c>
    </row>
    <row r="140" spans="1:40">
      <c r="A140" s="13" t="s">
        <v>589</v>
      </c>
      <c r="B140" s="13"/>
      <c r="C140" s="13" t="s">
        <v>56</v>
      </c>
      <c r="D140" s="13"/>
      <c r="E140" s="32">
        <v>49189</v>
      </c>
      <c r="G140" s="8">
        <v>5970865</v>
      </c>
      <c r="I140" s="8">
        <v>0</v>
      </c>
      <c r="K140" s="8">
        <v>13188256</v>
      </c>
      <c r="M140" s="8">
        <v>66089</v>
      </c>
      <c r="O140" s="8">
        <v>769685</v>
      </c>
      <c r="Q140" s="8">
        <v>2450</v>
      </c>
      <c r="S140" s="8">
        <v>0</v>
      </c>
      <c r="U140" s="8">
        <v>0</v>
      </c>
      <c r="W140" s="8">
        <f>3281+332489</f>
        <v>335770</v>
      </c>
      <c r="Y140" s="3">
        <f t="shared" si="8"/>
        <v>20333115</v>
      </c>
      <c r="AA140" s="8">
        <v>0</v>
      </c>
      <c r="AE140" s="8">
        <v>0</v>
      </c>
      <c r="AG140" s="8">
        <v>0</v>
      </c>
      <c r="AK140" s="8">
        <f t="shared" si="9"/>
        <v>0</v>
      </c>
      <c r="AM140" s="8">
        <f t="shared" si="10"/>
        <v>20333115</v>
      </c>
    </row>
    <row r="141" spans="1:40">
      <c r="A141" s="13" t="s">
        <v>817</v>
      </c>
      <c r="B141" s="13"/>
      <c r="C141" s="13" t="s">
        <v>579</v>
      </c>
      <c r="D141" s="13"/>
      <c r="E141" s="32"/>
      <c r="G141" s="8">
        <v>853555</v>
      </c>
      <c r="I141" s="8">
        <v>0</v>
      </c>
      <c r="K141" s="8">
        <v>7218546</v>
      </c>
      <c r="M141" s="8">
        <v>56952</v>
      </c>
      <c r="O141" s="8">
        <v>527824</v>
      </c>
      <c r="Q141" s="8">
        <v>0</v>
      </c>
      <c r="S141" s="8">
        <v>0</v>
      </c>
      <c r="U141" s="8">
        <v>0</v>
      </c>
      <c r="W141" s="8">
        <f>976+94132</f>
        <v>95108</v>
      </c>
      <c r="Y141" s="3">
        <f t="shared" si="8"/>
        <v>8751985</v>
      </c>
      <c r="AA141" s="8">
        <v>0</v>
      </c>
      <c r="AE141" s="8">
        <v>0</v>
      </c>
      <c r="AG141" s="8">
        <v>0</v>
      </c>
      <c r="AK141" s="8">
        <f t="shared" si="9"/>
        <v>0</v>
      </c>
      <c r="AM141" s="8">
        <f t="shared" si="10"/>
        <v>8751985</v>
      </c>
    </row>
    <row r="142" spans="1:40">
      <c r="A142" s="13" t="s">
        <v>665</v>
      </c>
      <c r="B142" s="13"/>
      <c r="C142" s="13" t="s">
        <v>63</v>
      </c>
      <c r="D142" s="13"/>
      <c r="E142" s="32">
        <v>43836</v>
      </c>
      <c r="G142" s="8">
        <v>26254585</v>
      </c>
      <c r="I142" s="8">
        <v>0</v>
      </c>
      <c r="K142" s="8">
        <f>17784933+51610</f>
        <v>17836543</v>
      </c>
      <c r="M142" s="8">
        <v>163005</v>
      </c>
      <c r="O142" s="8">
        <v>3465932</v>
      </c>
      <c r="Q142" s="8">
        <v>102244</v>
      </c>
      <c r="S142" s="8">
        <v>0</v>
      </c>
      <c r="U142" s="8">
        <v>89</v>
      </c>
      <c r="W142" s="8">
        <f>264196+4901+27597</f>
        <v>296694</v>
      </c>
      <c r="Y142" s="3">
        <f t="shared" si="8"/>
        <v>48119092</v>
      </c>
      <c r="AA142" s="8">
        <v>0</v>
      </c>
      <c r="AE142" s="8">
        <v>0</v>
      </c>
      <c r="AG142" s="8">
        <v>0</v>
      </c>
      <c r="AK142" s="8">
        <f t="shared" si="9"/>
        <v>0</v>
      </c>
      <c r="AM142" s="8">
        <f t="shared" si="10"/>
        <v>48119092</v>
      </c>
    </row>
    <row r="143" spans="1:40">
      <c r="A143" s="13" t="s">
        <v>1067</v>
      </c>
      <c r="B143" s="13"/>
      <c r="C143" s="13" t="s">
        <v>20</v>
      </c>
      <c r="D143" s="13"/>
      <c r="E143" s="32">
        <v>46557</v>
      </c>
      <c r="G143" s="8">
        <v>9370714</v>
      </c>
      <c r="I143" s="8">
        <v>0</v>
      </c>
      <c r="K143" s="8">
        <v>4487996</v>
      </c>
      <c r="M143" s="8">
        <v>251086</v>
      </c>
      <c r="O143" s="8">
        <v>507202</v>
      </c>
      <c r="Q143" s="8">
        <v>23921</v>
      </c>
      <c r="S143" s="8">
        <v>0</v>
      </c>
      <c r="U143" s="8">
        <v>72</v>
      </c>
      <c r="W143" s="8">
        <f>1467+184358</f>
        <v>185825</v>
      </c>
      <c r="Y143" s="3">
        <f t="shared" si="8"/>
        <v>14826816</v>
      </c>
      <c r="AA143" s="8">
        <v>0</v>
      </c>
      <c r="AE143" s="8">
        <v>0</v>
      </c>
      <c r="AG143" s="8">
        <v>0</v>
      </c>
      <c r="AK143" s="8">
        <f t="shared" si="9"/>
        <v>0</v>
      </c>
      <c r="AM143" s="8">
        <f t="shared" si="10"/>
        <v>14826816</v>
      </c>
      <c r="AN143" s="15" t="s">
        <v>919</v>
      </c>
    </row>
    <row r="144" spans="1:40">
      <c r="A144" s="13" t="s">
        <v>828</v>
      </c>
      <c r="B144" s="13"/>
      <c r="C144" s="13" t="s">
        <v>71</v>
      </c>
      <c r="D144" s="13"/>
      <c r="E144" s="32">
        <v>48934</v>
      </c>
      <c r="G144" s="8">
        <v>2650452</v>
      </c>
      <c r="I144" s="8">
        <v>1015927</v>
      </c>
      <c r="K144" s="8">
        <f>3799786+7013</f>
        <v>3806799</v>
      </c>
      <c r="M144" s="8">
        <v>18829</v>
      </c>
      <c r="O144" s="8">
        <v>219416</v>
      </c>
      <c r="Q144" s="8">
        <v>0</v>
      </c>
      <c r="S144" s="8">
        <v>0</v>
      </c>
      <c r="U144" s="8">
        <v>0</v>
      </c>
      <c r="W144" s="8">
        <f>1753+44502</f>
        <v>46255</v>
      </c>
      <c r="Y144" s="3">
        <f t="shared" si="8"/>
        <v>7757678</v>
      </c>
      <c r="AA144" s="8">
        <v>0</v>
      </c>
      <c r="AE144" s="8">
        <v>0</v>
      </c>
      <c r="AG144" s="8">
        <v>800</v>
      </c>
      <c r="AK144" s="8">
        <f t="shared" si="9"/>
        <v>800</v>
      </c>
      <c r="AM144" s="8">
        <f t="shared" si="10"/>
        <v>7758478</v>
      </c>
    </row>
    <row r="145" spans="1:40">
      <c r="A145" s="13" t="s">
        <v>572</v>
      </c>
      <c r="B145" s="13"/>
      <c r="C145" s="13" t="s">
        <v>53</v>
      </c>
      <c r="D145" s="13"/>
      <c r="E145" s="32">
        <v>48934</v>
      </c>
      <c r="G145" s="8">
        <v>7263639</v>
      </c>
      <c r="I145" s="8">
        <v>0</v>
      </c>
      <c r="K145" s="8">
        <v>1746129</v>
      </c>
      <c r="M145" s="8">
        <v>86786</v>
      </c>
      <c r="O145" s="8">
        <v>186462</v>
      </c>
      <c r="Q145" s="8">
        <v>6070</v>
      </c>
      <c r="S145" s="8">
        <v>0</v>
      </c>
      <c r="U145" s="8">
        <v>0</v>
      </c>
      <c r="W145" s="8">
        <f>2420+25314</f>
        <v>27734</v>
      </c>
      <c r="Y145" s="3">
        <f t="shared" si="8"/>
        <v>9316820</v>
      </c>
      <c r="AA145" s="8">
        <v>0</v>
      </c>
      <c r="AE145" s="8">
        <v>0</v>
      </c>
      <c r="AG145" s="8">
        <v>0</v>
      </c>
      <c r="AK145" s="8">
        <f t="shared" si="9"/>
        <v>0</v>
      </c>
      <c r="AM145" s="8">
        <f t="shared" si="10"/>
        <v>9316820</v>
      </c>
    </row>
    <row r="146" spans="1:40" hidden="1">
      <c r="A146" s="13" t="s">
        <v>921</v>
      </c>
      <c r="B146" s="13"/>
      <c r="C146" s="13" t="s">
        <v>40</v>
      </c>
      <c r="D146" s="13"/>
      <c r="E146" s="32">
        <v>47837</v>
      </c>
      <c r="G146" s="8">
        <v>1084225</v>
      </c>
      <c r="I146" s="8">
        <v>1009090</v>
      </c>
      <c r="K146" s="8">
        <v>3293311</v>
      </c>
      <c r="M146" s="8">
        <v>61859</v>
      </c>
      <c r="O146" s="8">
        <v>597415</v>
      </c>
      <c r="U146" s="8">
        <v>500</v>
      </c>
      <c r="W146" s="8">
        <f>14564+54637</f>
        <v>69201</v>
      </c>
      <c r="Y146" s="3">
        <f t="shared" si="8"/>
        <v>6115601</v>
      </c>
      <c r="AK146" s="8">
        <f t="shared" si="9"/>
        <v>0</v>
      </c>
      <c r="AM146" s="8">
        <f t="shared" si="10"/>
        <v>6115601</v>
      </c>
    </row>
    <row r="147" spans="1:40">
      <c r="A147" s="13" t="s">
        <v>467</v>
      </c>
      <c r="B147" s="13"/>
      <c r="C147" s="13" t="s">
        <v>466</v>
      </c>
      <c r="D147" s="13"/>
      <c r="E147" s="32">
        <v>47928</v>
      </c>
      <c r="G147" s="8">
        <v>1133417</v>
      </c>
      <c r="I147" s="8">
        <v>0</v>
      </c>
      <c r="K147" s="8">
        <v>8139396</v>
      </c>
      <c r="M147" s="8">
        <v>52324</v>
      </c>
      <c r="O147" s="8">
        <v>844485</v>
      </c>
      <c r="Q147" s="8">
        <v>331</v>
      </c>
      <c r="S147" s="8">
        <v>0</v>
      </c>
      <c r="U147" s="8">
        <v>0</v>
      </c>
      <c r="W147" s="8">
        <v>11995</v>
      </c>
      <c r="Y147" s="3">
        <f t="shared" si="8"/>
        <v>10181948</v>
      </c>
      <c r="AA147" s="8">
        <v>0</v>
      </c>
      <c r="AE147" s="8">
        <v>0</v>
      </c>
      <c r="AG147" s="8">
        <v>9000</v>
      </c>
      <c r="AK147" s="8">
        <f t="shared" si="9"/>
        <v>9000</v>
      </c>
      <c r="AM147" s="8">
        <f t="shared" si="10"/>
        <v>10190948</v>
      </c>
    </row>
    <row r="148" spans="1:40">
      <c r="A148" s="13" t="s">
        <v>546</v>
      </c>
      <c r="B148" s="13"/>
      <c r="C148" s="13" t="s">
        <v>50</v>
      </c>
      <c r="D148" s="13"/>
      <c r="E148" s="32">
        <v>43844</v>
      </c>
      <c r="G148" s="8">
        <v>63170134</v>
      </c>
      <c r="I148" s="8">
        <v>0</v>
      </c>
      <c r="K148" s="8">
        <v>128617843</v>
      </c>
      <c r="M148" s="8">
        <v>1256351</v>
      </c>
      <c r="O148" s="8">
        <v>2101599</v>
      </c>
      <c r="Q148" s="8">
        <v>0</v>
      </c>
      <c r="S148" s="8">
        <v>0</v>
      </c>
      <c r="U148" s="8">
        <v>0</v>
      </c>
      <c r="W148" s="8">
        <f>265464+157282+3929610</f>
        <v>4352356</v>
      </c>
      <c r="Y148" s="3">
        <f t="shared" si="8"/>
        <v>199498283</v>
      </c>
      <c r="AA148" s="8">
        <v>0</v>
      </c>
      <c r="AE148" s="8">
        <v>98849</v>
      </c>
      <c r="AG148" s="8">
        <v>0</v>
      </c>
      <c r="AK148" s="8">
        <f t="shared" si="9"/>
        <v>98849</v>
      </c>
      <c r="AM148" s="8">
        <f t="shared" si="10"/>
        <v>199597132</v>
      </c>
    </row>
    <row r="149" spans="1:40">
      <c r="A149" s="13" t="s">
        <v>924</v>
      </c>
      <c r="B149" s="13"/>
      <c r="C149" s="13" t="s">
        <v>32</v>
      </c>
      <c r="D149" s="13"/>
      <c r="E149" s="32">
        <v>43851</v>
      </c>
      <c r="G149" s="8">
        <v>8444828</v>
      </c>
      <c r="I149" s="8">
        <v>0</v>
      </c>
      <c r="K149" s="8">
        <v>4846607</v>
      </c>
      <c r="M149" s="8">
        <v>97101</v>
      </c>
      <c r="O149" s="8">
        <v>135134</v>
      </c>
      <c r="Q149" s="8">
        <v>31899</v>
      </c>
      <c r="S149" s="8">
        <v>0</v>
      </c>
      <c r="U149" s="8">
        <v>0</v>
      </c>
      <c r="W149" s="8">
        <v>238420</v>
      </c>
      <c r="Y149" s="3">
        <f t="shared" si="8"/>
        <v>13793989</v>
      </c>
      <c r="AA149" s="8">
        <v>0</v>
      </c>
      <c r="AE149" s="8">
        <v>0</v>
      </c>
      <c r="AG149" s="8">
        <v>2500</v>
      </c>
      <c r="AK149" s="8">
        <f t="shared" si="9"/>
        <v>2500</v>
      </c>
      <c r="AM149" s="8">
        <f t="shared" si="10"/>
        <v>13796489</v>
      </c>
    </row>
    <row r="150" spans="1:40" hidden="1">
      <c r="A150" s="13" t="s">
        <v>925</v>
      </c>
      <c r="B150" s="13"/>
      <c r="C150" s="13" t="s">
        <v>22</v>
      </c>
      <c r="D150" s="13"/>
      <c r="E150" s="32">
        <v>43869</v>
      </c>
      <c r="G150" s="8">
        <v>6016929</v>
      </c>
      <c r="I150" s="8">
        <v>1572654</v>
      </c>
      <c r="K150" s="8">
        <v>13679730</v>
      </c>
      <c r="M150" s="8">
        <v>77100</v>
      </c>
      <c r="O150" s="8">
        <v>931845</v>
      </c>
      <c r="U150" s="8">
        <v>2426</v>
      </c>
      <c r="W150" s="8">
        <f>4266+20874+11986</f>
        <v>37126</v>
      </c>
      <c r="Y150" s="3">
        <f t="shared" si="8"/>
        <v>22317810</v>
      </c>
      <c r="AK150" s="8">
        <f t="shared" si="9"/>
        <v>0</v>
      </c>
      <c r="AM150" s="8">
        <f t="shared" si="10"/>
        <v>22317810</v>
      </c>
    </row>
    <row r="151" spans="1:40">
      <c r="A151" s="13" t="s">
        <v>926</v>
      </c>
      <c r="B151" s="13"/>
      <c r="C151" s="13" t="s">
        <v>23</v>
      </c>
      <c r="D151" s="13"/>
      <c r="E151" s="32"/>
      <c r="G151" s="8">
        <v>21901849</v>
      </c>
      <c r="I151" s="8">
        <v>0</v>
      </c>
      <c r="K151" s="8">
        <v>16937287</v>
      </c>
      <c r="M151" s="8">
        <v>209810</v>
      </c>
      <c r="O151" s="8">
        <v>520462</v>
      </c>
      <c r="Q151" s="8">
        <v>0</v>
      </c>
      <c r="S151" s="8">
        <v>0</v>
      </c>
      <c r="U151" s="8">
        <v>0</v>
      </c>
      <c r="W151" s="8">
        <f>7690+10816+151882</f>
        <v>170388</v>
      </c>
      <c r="Y151" s="3">
        <f t="shared" si="8"/>
        <v>39739796</v>
      </c>
      <c r="AA151" s="8">
        <v>0</v>
      </c>
      <c r="AE151" s="8">
        <v>0</v>
      </c>
      <c r="AG151" s="8">
        <v>0</v>
      </c>
      <c r="AM151" s="8">
        <f t="shared" si="10"/>
        <v>39739796</v>
      </c>
    </row>
    <row r="152" spans="1:40">
      <c r="A152" s="13" t="s">
        <v>210</v>
      </c>
      <c r="B152" s="13"/>
      <c r="C152" s="13" t="s">
        <v>10</v>
      </c>
      <c r="D152" s="13"/>
      <c r="E152" s="32">
        <v>43885</v>
      </c>
      <c r="F152" s="11"/>
      <c r="G152" s="8">
        <v>4110349</v>
      </c>
      <c r="I152" s="8">
        <v>0</v>
      </c>
      <c r="K152" s="8">
        <v>4011254</v>
      </c>
      <c r="M152" s="8">
        <v>27071</v>
      </c>
      <c r="O152" s="8">
        <v>710594</v>
      </c>
      <c r="Q152" s="8">
        <v>0</v>
      </c>
      <c r="S152" s="8">
        <v>41958</v>
      </c>
      <c r="U152" s="8">
        <v>1587</v>
      </c>
      <c r="W152" s="8">
        <v>7712</v>
      </c>
      <c r="Y152" s="3">
        <f t="shared" si="8"/>
        <v>8910525</v>
      </c>
      <c r="AA152" s="8">
        <v>0</v>
      </c>
      <c r="AE152" s="8">
        <v>0</v>
      </c>
      <c r="AG152" s="8">
        <v>0</v>
      </c>
      <c r="AK152" s="8">
        <f t="shared" ref="AK152:AK201" si="11">SUM(AA152:AJ152)</f>
        <v>0</v>
      </c>
      <c r="AM152" s="8">
        <f t="shared" si="10"/>
        <v>8910525</v>
      </c>
    </row>
    <row r="153" spans="1:40">
      <c r="A153" s="13" t="s">
        <v>695</v>
      </c>
      <c r="B153" s="13"/>
      <c r="C153" s="13" t="s">
        <v>65</v>
      </c>
      <c r="D153" s="13"/>
      <c r="E153" s="32">
        <v>43893</v>
      </c>
      <c r="G153" s="8">
        <v>10830564</v>
      </c>
      <c r="I153" s="8">
        <v>0</v>
      </c>
      <c r="K153" s="8">
        <v>9399000</v>
      </c>
      <c r="M153" s="8">
        <v>67714</v>
      </c>
      <c r="O153" s="8">
        <v>23252</v>
      </c>
      <c r="Q153" s="8">
        <v>0</v>
      </c>
      <c r="S153" s="8">
        <v>39549</v>
      </c>
      <c r="U153" s="8">
        <v>88090</v>
      </c>
      <c r="W153" s="8">
        <f>69005+101469</f>
        <v>170474</v>
      </c>
      <c r="Y153" s="3">
        <f t="shared" si="8"/>
        <v>20618643</v>
      </c>
      <c r="AA153" s="8">
        <v>0</v>
      </c>
      <c r="AE153" s="8">
        <v>0</v>
      </c>
      <c r="AG153" s="8">
        <v>0</v>
      </c>
      <c r="AK153" s="8">
        <f t="shared" si="11"/>
        <v>0</v>
      </c>
      <c r="AM153" s="8">
        <f t="shared" si="10"/>
        <v>20618643</v>
      </c>
    </row>
    <row r="154" spans="1:40">
      <c r="A154" s="13" t="s">
        <v>355</v>
      </c>
      <c r="B154" s="13"/>
      <c r="C154" s="13" t="s">
        <v>27</v>
      </c>
      <c r="D154" s="13"/>
      <c r="E154" s="32">
        <v>47027</v>
      </c>
      <c r="G154" s="8">
        <v>106830974</v>
      </c>
      <c r="I154" s="8">
        <v>0</v>
      </c>
      <c r="K154" s="8">
        <v>31696995</v>
      </c>
      <c r="M154" s="8">
        <v>2438192</v>
      </c>
      <c r="O154" s="8">
        <v>460134</v>
      </c>
      <c r="Q154" s="8">
        <v>0</v>
      </c>
      <c r="S154" s="8">
        <v>0</v>
      </c>
      <c r="U154" s="8">
        <v>0</v>
      </c>
      <c r="W154" s="8">
        <f>805485+4286</f>
        <v>809771</v>
      </c>
      <c r="Y154" s="3">
        <f t="shared" si="8"/>
        <v>142236066</v>
      </c>
      <c r="AA154" s="8">
        <v>0</v>
      </c>
      <c r="AE154" s="8">
        <v>0</v>
      </c>
      <c r="AG154" s="8">
        <v>0</v>
      </c>
      <c r="AK154" s="8">
        <f t="shared" si="11"/>
        <v>0</v>
      </c>
      <c r="AM154" s="8">
        <f t="shared" si="10"/>
        <v>142236066</v>
      </c>
    </row>
    <row r="155" spans="1:40">
      <c r="A155" s="13" t="s">
        <v>305</v>
      </c>
      <c r="B155" s="13"/>
      <c r="C155" s="13" t="s">
        <v>20</v>
      </c>
      <c r="D155" s="13"/>
      <c r="E155" s="32">
        <v>43901</v>
      </c>
      <c r="G155" s="8">
        <v>8874815</v>
      </c>
      <c r="I155" s="8">
        <v>0</v>
      </c>
      <c r="K155" s="8">
        <v>34430877</v>
      </c>
      <c r="M155" s="8">
        <v>428413</v>
      </c>
      <c r="O155" s="8">
        <v>3835721</v>
      </c>
      <c r="Q155" s="8">
        <v>0</v>
      </c>
      <c r="S155" s="8">
        <v>0</v>
      </c>
      <c r="U155" s="8">
        <v>208652</v>
      </c>
      <c r="W155" s="8">
        <f>501598+2222</f>
        <v>503820</v>
      </c>
      <c r="Y155" s="3">
        <f t="shared" si="8"/>
        <v>48282298</v>
      </c>
      <c r="AA155" s="8">
        <v>0</v>
      </c>
      <c r="AE155" s="8">
        <v>0</v>
      </c>
      <c r="AG155" s="8">
        <v>0</v>
      </c>
      <c r="AK155" s="8">
        <f t="shared" si="11"/>
        <v>0</v>
      </c>
      <c r="AM155" s="8">
        <f t="shared" ref="AM155:AM203" si="12">+AK155+Y155</f>
        <v>48282298</v>
      </c>
      <c r="AN155" s="8" t="s">
        <v>956</v>
      </c>
    </row>
    <row r="156" spans="1:40">
      <c r="A156" s="13" t="s">
        <v>276</v>
      </c>
      <c r="B156" s="13"/>
      <c r="C156" s="13" t="s">
        <v>18</v>
      </c>
      <c r="D156" s="13"/>
      <c r="E156" s="32">
        <v>46409</v>
      </c>
      <c r="F156" s="11"/>
      <c r="G156" s="8">
        <v>2441734</v>
      </c>
      <c r="I156" s="8">
        <v>0</v>
      </c>
      <c r="K156" s="8">
        <v>8301573</v>
      </c>
      <c r="M156" s="8">
        <v>83247</v>
      </c>
      <c r="O156" s="8">
        <v>513567</v>
      </c>
      <c r="Q156" s="8">
        <v>0</v>
      </c>
      <c r="S156" s="8">
        <v>0</v>
      </c>
      <c r="U156" s="8">
        <v>1400</v>
      </c>
      <c r="W156" s="8">
        <f>500+27195</f>
        <v>27695</v>
      </c>
      <c r="Y156" s="3">
        <f t="shared" si="8"/>
        <v>11369216</v>
      </c>
      <c r="AA156" s="8">
        <v>30000</v>
      </c>
      <c r="AE156" s="8">
        <v>0</v>
      </c>
      <c r="AG156" s="8">
        <v>0</v>
      </c>
      <c r="AK156" s="8">
        <f t="shared" si="11"/>
        <v>30000</v>
      </c>
      <c r="AM156" s="8">
        <f t="shared" si="12"/>
        <v>11399216</v>
      </c>
    </row>
    <row r="157" spans="1:40">
      <c r="A157" s="13" t="s">
        <v>390</v>
      </c>
      <c r="B157" s="13"/>
      <c r="C157" s="13" t="s">
        <v>31</v>
      </c>
      <c r="D157" s="13"/>
      <c r="E157" s="32">
        <v>69682</v>
      </c>
      <c r="G157" s="8">
        <v>1875244</v>
      </c>
      <c r="I157" s="8">
        <v>0</v>
      </c>
      <c r="K157" s="8">
        <v>6739898</v>
      </c>
      <c r="M157" s="8">
        <v>45665</v>
      </c>
      <c r="O157" s="8">
        <v>870835</v>
      </c>
      <c r="Q157" s="8">
        <v>56002</v>
      </c>
      <c r="S157" s="8">
        <v>0</v>
      </c>
      <c r="U157" s="8">
        <v>32953</v>
      </c>
      <c r="W157" s="8">
        <f>1225+40087</f>
        <v>41312</v>
      </c>
      <c r="Y157" s="3">
        <f t="shared" ref="Y157:Y209" si="13">SUM(G157:X157)</f>
        <v>9661909</v>
      </c>
      <c r="AA157" s="8">
        <v>0</v>
      </c>
      <c r="AE157" s="8">
        <v>173080</v>
      </c>
      <c r="AG157" s="8">
        <v>0</v>
      </c>
      <c r="AK157" s="8">
        <f t="shared" si="11"/>
        <v>173080</v>
      </c>
      <c r="AM157" s="8">
        <f t="shared" si="12"/>
        <v>9834989</v>
      </c>
    </row>
    <row r="158" spans="1:40">
      <c r="A158" s="13" t="s">
        <v>441</v>
      </c>
      <c r="B158" s="13"/>
      <c r="C158" s="13" t="s">
        <v>36</v>
      </c>
      <c r="D158" s="13"/>
      <c r="E158" s="32">
        <v>47688</v>
      </c>
      <c r="G158" s="8">
        <v>7536248</v>
      </c>
      <c r="I158" s="8">
        <v>0</v>
      </c>
      <c r="K158" s="8">
        <v>6355440</v>
      </c>
      <c r="M158" s="8">
        <v>191813</v>
      </c>
      <c r="O158" s="8">
        <v>578197</v>
      </c>
      <c r="Q158" s="8">
        <v>0</v>
      </c>
      <c r="S158" s="8">
        <v>0</v>
      </c>
      <c r="U158" s="8">
        <v>25000</v>
      </c>
      <c r="W158" s="8">
        <f>15259+100295</f>
        <v>115554</v>
      </c>
      <c r="Y158" s="3">
        <f t="shared" si="13"/>
        <v>14802252</v>
      </c>
      <c r="AA158" s="8">
        <v>0</v>
      </c>
      <c r="AE158" s="8">
        <v>0</v>
      </c>
      <c r="AG158" s="8">
        <v>250</v>
      </c>
      <c r="AK158" s="8">
        <f t="shared" si="11"/>
        <v>250</v>
      </c>
      <c r="AM158" s="8">
        <f t="shared" si="12"/>
        <v>14802502</v>
      </c>
    </row>
    <row r="159" spans="1:40" hidden="1">
      <c r="A159" s="13" t="s">
        <v>929</v>
      </c>
      <c r="B159" s="13"/>
      <c r="C159" s="13" t="s">
        <v>40</v>
      </c>
      <c r="D159" s="13"/>
      <c r="E159" s="32"/>
      <c r="G159" s="8">
        <v>4316911</v>
      </c>
      <c r="K159" s="8">
        <v>5155392</v>
      </c>
      <c r="M159" s="8">
        <v>118268</v>
      </c>
      <c r="O159" s="8">
        <v>510416</v>
      </c>
      <c r="W159" s="8">
        <f>10284+20925</f>
        <v>31209</v>
      </c>
      <c r="Y159" s="3">
        <f t="shared" si="13"/>
        <v>10132196</v>
      </c>
      <c r="AM159" s="8">
        <f t="shared" si="12"/>
        <v>10132196</v>
      </c>
    </row>
    <row r="160" spans="1:40">
      <c r="A160" s="13" t="s">
        <v>281</v>
      </c>
      <c r="B160" s="13"/>
      <c r="C160" s="13" t="s">
        <v>114</v>
      </c>
      <c r="D160" s="13"/>
      <c r="E160" s="32">
        <v>43919</v>
      </c>
      <c r="F160" s="11"/>
      <c r="G160" s="8">
        <v>3935735</v>
      </c>
      <c r="I160" s="8">
        <v>0</v>
      </c>
      <c r="K160" s="8">
        <v>17361043</v>
      </c>
      <c r="M160" s="8">
        <v>105098</v>
      </c>
      <c r="O160" s="8">
        <v>625329</v>
      </c>
      <c r="Q160" s="8">
        <v>0</v>
      </c>
      <c r="S160" s="8">
        <v>0</v>
      </c>
      <c r="U160" s="8">
        <v>1250</v>
      </c>
      <c r="W160" s="8">
        <f>6975+53991</f>
        <v>60966</v>
      </c>
      <c r="Y160" s="3">
        <f t="shared" si="13"/>
        <v>22089421</v>
      </c>
      <c r="AA160" s="8">
        <v>0</v>
      </c>
      <c r="AE160" s="8">
        <v>0</v>
      </c>
      <c r="AG160" s="8">
        <v>0</v>
      </c>
      <c r="AK160" s="8">
        <f t="shared" si="11"/>
        <v>0</v>
      </c>
      <c r="AM160" s="8">
        <f t="shared" si="12"/>
        <v>22089421</v>
      </c>
    </row>
    <row r="161" spans="1:40">
      <c r="A161" s="13" t="s">
        <v>563</v>
      </c>
      <c r="B161" s="13"/>
      <c r="C161" s="13" t="s">
        <v>51</v>
      </c>
      <c r="D161" s="13"/>
      <c r="E161" s="32">
        <v>48835</v>
      </c>
      <c r="G161" s="8">
        <v>4745620</v>
      </c>
      <c r="I161" s="8">
        <v>0</v>
      </c>
      <c r="K161" s="8">
        <v>10148289</v>
      </c>
      <c r="M161" s="8">
        <v>125018</v>
      </c>
      <c r="O161" s="8">
        <v>1215077</v>
      </c>
      <c r="Q161" s="8">
        <v>0</v>
      </c>
      <c r="S161" s="8">
        <v>63045</v>
      </c>
      <c r="U161" s="8">
        <v>4547</v>
      </c>
      <c r="W161" s="8">
        <f>9005+94409</f>
        <v>103414</v>
      </c>
      <c r="Y161" s="3">
        <f t="shared" si="13"/>
        <v>16405010</v>
      </c>
      <c r="AA161" s="8">
        <v>0</v>
      </c>
      <c r="AE161" s="8">
        <v>0</v>
      </c>
      <c r="AG161" s="8">
        <v>0</v>
      </c>
      <c r="AK161" s="8">
        <f t="shared" si="11"/>
        <v>0</v>
      </c>
      <c r="AM161" s="8">
        <f t="shared" si="12"/>
        <v>16405010</v>
      </c>
    </row>
    <row r="162" spans="1:40">
      <c r="A162" s="13" t="s">
        <v>282</v>
      </c>
      <c r="B162" s="13"/>
      <c r="C162" s="13" t="s">
        <v>114</v>
      </c>
      <c r="D162" s="13"/>
      <c r="E162" s="32">
        <v>43927</v>
      </c>
      <c r="F162" s="11"/>
      <c r="G162" s="8">
        <v>2118229</v>
      </c>
      <c r="I162" s="8">
        <v>0</v>
      </c>
      <c r="K162" s="8">
        <v>7402160</v>
      </c>
      <c r="M162" s="8">
        <v>0</v>
      </c>
      <c r="O162" s="8">
        <v>392439</v>
      </c>
      <c r="Q162" s="8">
        <v>0</v>
      </c>
      <c r="S162" s="8">
        <v>0</v>
      </c>
      <c r="U162" s="8">
        <v>4086</v>
      </c>
      <c r="W162" s="8">
        <f>62399+838</f>
        <v>63237</v>
      </c>
      <c r="Y162" s="3">
        <f t="shared" si="13"/>
        <v>9980151</v>
      </c>
      <c r="AA162" s="8">
        <v>0</v>
      </c>
      <c r="AE162" s="8">
        <v>0</v>
      </c>
      <c r="AG162" s="8">
        <v>0</v>
      </c>
      <c r="AK162" s="8">
        <f t="shared" si="11"/>
        <v>0</v>
      </c>
      <c r="AM162" s="8">
        <f t="shared" si="12"/>
        <v>9980151</v>
      </c>
    </row>
    <row r="163" spans="1:40">
      <c r="A163" s="13" t="s">
        <v>237</v>
      </c>
      <c r="B163" s="13"/>
      <c r="C163" s="13" t="s">
        <v>77</v>
      </c>
      <c r="D163" s="13"/>
      <c r="E163" s="32">
        <v>46037</v>
      </c>
      <c r="F163" s="11"/>
      <c r="G163" s="8">
        <v>2778622</v>
      </c>
      <c r="I163" s="8">
        <v>0</v>
      </c>
      <c r="K163" s="8">
        <v>7802397</v>
      </c>
      <c r="M163" s="8">
        <v>18780</v>
      </c>
      <c r="O163" s="8">
        <v>633294</v>
      </c>
      <c r="Q163" s="8">
        <v>0</v>
      </c>
      <c r="S163" s="8">
        <v>42614</v>
      </c>
      <c r="U163" s="8">
        <v>16816</v>
      </c>
      <c r="W163" s="8">
        <f>40442+11568</f>
        <v>52010</v>
      </c>
      <c r="Y163" s="3">
        <f t="shared" si="13"/>
        <v>11344533</v>
      </c>
      <c r="AA163" s="8">
        <v>2472</v>
      </c>
      <c r="AE163" s="8">
        <v>0</v>
      </c>
      <c r="AG163" s="8">
        <v>1037</v>
      </c>
      <c r="AK163" s="8">
        <f t="shared" si="11"/>
        <v>3509</v>
      </c>
      <c r="AM163" s="8">
        <f t="shared" si="12"/>
        <v>11348042</v>
      </c>
    </row>
    <row r="164" spans="1:40">
      <c r="A164" s="13"/>
      <c r="B164" s="13"/>
      <c r="C164" s="13"/>
      <c r="D164" s="13"/>
      <c r="E164" s="32"/>
      <c r="F164" s="11"/>
      <c r="Y164" s="3"/>
    </row>
    <row r="165" spans="1:40">
      <c r="A165" s="13"/>
      <c r="B165" s="13"/>
      <c r="C165" s="13"/>
      <c r="D165" s="13"/>
      <c r="E165" s="32"/>
      <c r="F165" s="11"/>
      <c r="Y165" s="3"/>
      <c r="AM165" s="8" t="s">
        <v>805</v>
      </c>
    </row>
    <row r="166" spans="1:40">
      <c r="A166" s="13"/>
      <c r="B166" s="13"/>
      <c r="C166" s="13"/>
      <c r="D166" s="13"/>
      <c r="E166" s="32"/>
      <c r="F166" s="11"/>
      <c r="Y166" s="3"/>
    </row>
    <row r="167" spans="1:40">
      <c r="A167" s="12" t="s">
        <v>237</v>
      </c>
      <c r="B167" s="12"/>
      <c r="C167" s="12" t="s">
        <v>531</v>
      </c>
      <c r="D167" s="12"/>
      <c r="E167" s="32">
        <v>48512</v>
      </c>
      <c r="F167" s="11"/>
      <c r="G167" s="35">
        <v>1665848</v>
      </c>
      <c r="H167" s="35"/>
      <c r="I167" s="35">
        <v>0</v>
      </c>
      <c r="K167" s="35">
        <v>5180068</v>
      </c>
      <c r="L167" s="35"/>
      <c r="M167" s="35">
        <v>26249</v>
      </c>
      <c r="N167" s="35"/>
      <c r="O167" s="35">
        <v>599020</v>
      </c>
      <c r="P167" s="35"/>
      <c r="Q167" s="35">
        <v>0</v>
      </c>
      <c r="R167" s="35"/>
      <c r="S167" s="35">
        <v>0</v>
      </c>
      <c r="T167" s="35"/>
      <c r="U167" s="35">
        <v>92786</v>
      </c>
      <c r="V167" s="35"/>
      <c r="W167" s="35">
        <f>5764+23339</f>
        <v>29103</v>
      </c>
      <c r="X167" s="35"/>
      <c r="Y167" s="42">
        <f t="shared" si="13"/>
        <v>7593074</v>
      </c>
      <c r="Z167" s="35"/>
      <c r="AA167" s="35">
        <v>0</v>
      </c>
      <c r="AB167" s="35"/>
      <c r="AC167" s="35"/>
      <c r="AD167" s="35"/>
      <c r="AE167" s="35">
        <v>0</v>
      </c>
      <c r="AF167" s="35"/>
      <c r="AG167" s="35">
        <v>7435</v>
      </c>
      <c r="AH167" s="35"/>
      <c r="AI167" s="35"/>
      <c r="AJ167" s="35"/>
      <c r="AK167" s="35">
        <f t="shared" si="11"/>
        <v>7435</v>
      </c>
      <c r="AL167" s="35"/>
      <c r="AM167" s="35">
        <f t="shared" si="12"/>
        <v>7600509</v>
      </c>
    </row>
    <row r="168" spans="1:40" hidden="1">
      <c r="A168" s="13" t="s">
        <v>931</v>
      </c>
      <c r="B168" s="13"/>
      <c r="C168" s="13" t="s">
        <v>55</v>
      </c>
      <c r="D168" s="13"/>
      <c r="E168" s="32">
        <v>49122</v>
      </c>
      <c r="G168" s="8">
        <v>852838</v>
      </c>
      <c r="K168" s="8">
        <v>5593439</v>
      </c>
      <c r="M168" s="8">
        <v>69830</v>
      </c>
      <c r="O168" s="8">
        <v>305140</v>
      </c>
      <c r="W168" s="8">
        <f>10000+31535</f>
        <v>41535</v>
      </c>
      <c r="Y168" s="3">
        <f t="shared" si="13"/>
        <v>6862782</v>
      </c>
      <c r="AK168" s="8">
        <f t="shared" si="11"/>
        <v>0</v>
      </c>
      <c r="AM168" s="8">
        <f t="shared" si="12"/>
        <v>6862782</v>
      </c>
    </row>
    <row r="169" spans="1:40">
      <c r="A169" s="13" t="s">
        <v>734</v>
      </c>
      <c r="B169" s="13"/>
      <c r="C169" s="13" t="s">
        <v>72</v>
      </c>
      <c r="D169" s="13"/>
      <c r="E169" s="32">
        <v>50674</v>
      </c>
      <c r="G169" s="8">
        <v>4367084</v>
      </c>
      <c r="I169" s="8">
        <v>1782159</v>
      </c>
      <c r="K169" s="8">
        <v>7697466</v>
      </c>
      <c r="M169" s="8">
        <v>228777</v>
      </c>
      <c r="O169" s="8">
        <v>509373</v>
      </c>
      <c r="Q169" s="8">
        <v>0</v>
      </c>
      <c r="S169" s="8">
        <v>480000</v>
      </c>
      <c r="U169" s="8">
        <v>0</v>
      </c>
      <c r="W169" s="8">
        <f>51044+6883</f>
        <v>57927</v>
      </c>
      <c r="Y169" s="3">
        <f t="shared" si="13"/>
        <v>15122786</v>
      </c>
      <c r="AA169" s="8">
        <v>0</v>
      </c>
      <c r="AE169" s="8">
        <v>0</v>
      </c>
      <c r="AG169" s="8">
        <v>0</v>
      </c>
      <c r="AK169" s="8">
        <f t="shared" si="11"/>
        <v>0</v>
      </c>
      <c r="AM169" s="8">
        <f t="shared" si="12"/>
        <v>15122786</v>
      </c>
    </row>
    <row r="170" spans="1:40">
      <c r="A170" s="12" t="s">
        <v>974</v>
      </c>
      <c r="B170" s="13"/>
      <c r="C170" s="13" t="s">
        <v>57</v>
      </c>
      <c r="D170" s="13"/>
      <c r="E170" s="32">
        <v>43935</v>
      </c>
      <c r="G170" s="8">
        <v>9443146</v>
      </c>
      <c r="I170" s="8">
        <v>0</v>
      </c>
      <c r="K170" s="8">
        <v>9693753</v>
      </c>
      <c r="M170" s="8">
        <v>297601</v>
      </c>
      <c r="O170" s="8">
        <v>215348</v>
      </c>
      <c r="Q170" s="8">
        <v>7352</v>
      </c>
      <c r="S170" s="8">
        <v>0</v>
      </c>
      <c r="U170" s="8">
        <v>0</v>
      </c>
      <c r="W170" s="8">
        <f>120910+29805+136396+9956</f>
        <v>297067</v>
      </c>
      <c r="Y170" s="3">
        <f t="shared" si="13"/>
        <v>19954267</v>
      </c>
      <c r="AA170" s="8">
        <v>0</v>
      </c>
      <c r="AE170" s="8">
        <v>13541</v>
      </c>
      <c r="AG170" s="8">
        <v>0</v>
      </c>
      <c r="AK170" s="8">
        <f t="shared" si="11"/>
        <v>13541</v>
      </c>
      <c r="AM170" s="8">
        <f t="shared" si="12"/>
        <v>19967808</v>
      </c>
      <c r="AN170" s="8" t="s">
        <v>956</v>
      </c>
    </row>
    <row r="171" spans="1:40" hidden="1">
      <c r="A171" s="12" t="s">
        <v>932</v>
      </c>
      <c r="B171" s="13"/>
      <c r="C171" s="13" t="s">
        <v>727</v>
      </c>
      <c r="D171" s="13"/>
      <c r="E171" s="32">
        <v>50617</v>
      </c>
      <c r="G171" s="8">
        <v>1351820</v>
      </c>
      <c r="I171" s="8">
        <v>726162</v>
      </c>
      <c r="K171" s="8">
        <v>2810306</v>
      </c>
      <c r="M171" s="8">
        <v>40285</v>
      </c>
      <c r="O171" s="8">
        <v>205622</v>
      </c>
      <c r="W171" s="8">
        <v>61990</v>
      </c>
      <c r="Y171" s="3">
        <f t="shared" si="13"/>
        <v>5196185</v>
      </c>
      <c r="AK171" s="8">
        <f t="shared" si="11"/>
        <v>0</v>
      </c>
      <c r="AM171" s="8">
        <f t="shared" si="12"/>
        <v>5196185</v>
      </c>
    </row>
    <row r="172" spans="1:40">
      <c r="A172" s="13" t="s">
        <v>241</v>
      </c>
      <c r="B172" s="13"/>
      <c r="C172" s="13" t="s">
        <v>242</v>
      </c>
      <c r="D172" s="13"/>
      <c r="E172" s="32">
        <v>46094</v>
      </c>
      <c r="F172" s="11"/>
      <c r="G172" s="8">
        <v>10727646</v>
      </c>
      <c r="I172" s="8">
        <v>0</v>
      </c>
      <c r="K172" s="8">
        <f>16924696+72278</f>
        <v>16996974</v>
      </c>
      <c r="M172" s="8">
        <v>112859</v>
      </c>
      <c r="O172" s="8">
        <v>132729</v>
      </c>
      <c r="Q172" s="8">
        <v>0</v>
      </c>
      <c r="S172" s="8">
        <v>716031</v>
      </c>
      <c r="U172" s="8">
        <v>0</v>
      </c>
      <c r="W172" s="8">
        <f>2955+82922</f>
        <v>85877</v>
      </c>
      <c r="Y172" s="3">
        <f t="shared" si="13"/>
        <v>28772116</v>
      </c>
      <c r="AA172" s="8">
        <v>0</v>
      </c>
      <c r="AE172" s="8">
        <v>85189</v>
      </c>
      <c r="AG172" s="8">
        <v>0</v>
      </c>
      <c r="AK172" s="8">
        <f t="shared" si="11"/>
        <v>85189</v>
      </c>
      <c r="AM172" s="8">
        <f t="shared" si="12"/>
        <v>28857305</v>
      </c>
    </row>
    <row r="173" spans="1:40">
      <c r="A173" s="13" t="s">
        <v>450</v>
      </c>
      <c r="B173" s="13"/>
      <c r="C173" s="13" t="s">
        <v>39</v>
      </c>
      <c r="D173" s="13"/>
      <c r="E173" s="32">
        <v>47795</v>
      </c>
      <c r="G173" s="8">
        <v>7798742</v>
      </c>
      <c r="I173" s="8">
        <v>0</v>
      </c>
      <c r="K173" s="8">
        <v>8943279</v>
      </c>
      <c r="M173" s="8">
        <v>1315</v>
      </c>
      <c r="O173" s="8">
        <v>684685</v>
      </c>
      <c r="Q173" s="8">
        <v>0</v>
      </c>
      <c r="S173" s="8">
        <v>0</v>
      </c>
      <c r="U173" s="8">
        <v>0</v>
      </c>
      <c r="W173" s="8">
        <f>71832+59814</f>
        <v>131646</v>
      </c>
      <c r="Y173" s="3">
        <f t="shared" si="13"/>
        <v>17559667</v>
      </c>
      <c r="AA173" s="8">
        <v>1361675</v>
      </c>
      <c r="AE173" s="8">
        <v>0</v>
      </c>
      <c r="AG173" s="8">
        <v>0</v>
      </c>
      <c r="AK173" s="8">
        <f t="shared" si="11"/>
        <v>1361675</v>
      </c>
      <c r="AM173" s="8">
        <f t="shared" si="12"/>
        <v>18921342</v>
      </c>
    </row>
    <row r="174" spans="1:40">
      <c r="A174" s="13" t="s">
        <v>729</v>
      </c>
      <c r="B174" s="13"/>
      <c r="C174" s="13" t="s">
        <v>727</v>
      </c>
      <c r="D174" s="13"/>
      <c r="E174" s="32">
        <v>50625</v>
      </c>
      <c r="G174" s="8">
        <v>1199848</v>
      </c>
      <c r="I174" s="8">
        <v>0</v>
      </c>
      <c r="K174" s="8">
        <v>3317514</v>
      </c>
      <c r="M174" s="8">
        <v>85701</v>
      </c>
      <c r="O174" s="8">
        <v>490905</v>
      </c>
      <c r="Q174" s="8">
        <v>3091</v>
      </c>
      <c r="S174" s="8">
        <v>0</v>
      </c>
      <c r="U174" s="8">
        <v>9772</v>
      </c>
      <c r="W174" s="8">
        <f>48313+12+5700-22298</f>
        <v>31727</v>
      </c>
      <c r="Y174" s="3">
        <f t="shared" si="13"/>
        <v>5138558</v>
      </c>
      <c r="AA174" s="8">
        <v>0</v>
      </c>
      <c r="AE174" s="8">
        <v>0</v>
      </c>
      <c r="AG174" s="8">
        <v>15414</v>
      </c>
      <c r="AK174" s="8">
        <f t="shared" si="11"/>
        <v>15414</v>
      </c>
      <c r="AM174" s="8">
        <f t="shared" si="12"/>
        <v>5153972</v>
      </c>
    </row>
    <row r="175" spans="1:40" hidden="1">
      <c r="A175" s="13" t="s">
        <v>934</v>
      </c>
      <c r="B175" s="13"/>
      <c r="C175" s="13" t="s">
        <v>10</v>
      </c>
      <c r="D175" s="13"/>
      <c r="E175" s="32"/>
      <c r="G175" s="8">
        <v>9010439</v>
      </c>
      <c r="K175" s="8">
        <v>9480741</v>
      </c>
      <c r="M175" s="8">
        <v>116879</v>
      </c>
      <c r="O175" s="8">
        <v>1349413</v>
      </c>
      <c r="Q175" s="8">
        <v>30077</v>
      </c>
      <c r="W175" s="8">
        <v>207300</v>
      </c>
      <c r="Y175" s="3">
        <f t="shared" si="13"/>
        <v>20194849</v>
      </c>
      <c r="AM175" s="8">
        <f t="shared" si="12"/>
        <v>20194849</v>
      </c>
    </row>
    <row r="176" spans="1:40" hidden="1">
      <c r="A176" s="12" t="s">
        <v>1020</v>
      </c>
      <c r="B176" s="12"/>
      <c r="C176" s="12" t="s">
        <v>72</v>
      </c>
      <c r="D176" s="13"/>
      <c r="E176" s="32"/>
      <c r="Y176" s="3"/>
      <c r="AN176" s="8" t="s">
        <v>967</v>
      </c>
    </row>
    <row r="177" spans="1:39">
      <c r="A177" s="12" t="s">
        <v>977</v>
      </c>
      <c r="B177" s="13"/>
      <c r="C177" s="13" t="s">
        <v>46</v>
      </c>
      <c r="D177" s="13"/>
      <c r="E177" s="32">
        <v>48413</v>
      </c>
      <c r="G177" s="8">
        <v>3452886</v>
      </c>
      <c r="I177" s="8">
        <v>0</v>
      </c>
      <c r="K177" s="8">
        <v>7210220</v>
      </c>
      <c r="M177" s="8">
        <v>37521</v>
      </c>
      <c r="O177" s="8">
        <v>1540832</v>
      </c>
      <c r="Q177" s="8">
        <v>15146</v>
      </c>
      <c r="S177" s="8">
        <v>28000</v>
      </c>
      <c r="U177" s="8">
        <v>0</v>
      </c>
      <c r="W177" s="8">
        <v>33383</v>
      </c>
      <c r="Y177" s="3">
        <f t="shared" si="13"/>
        <v>12317988</v>
      </c>
      <c r="AA177" s="8">
        <v>0</v>
      </c>
      <c r="AE177" s="8">
        <v>0</v>
      </c>
      <c r="AG177" s="8">
        <v>0</v>
      </c>
      <c r="AK177" s="8">
        <f t="shared" si="11"/>
        <v>0</v>
      </c>
      <c r="AM177" s="8">
        <f t="shared" si="12"/>
        <v>12317988</v>
      </c>
    </row>
    <row r="178" spans="1:39">
      <c r="A178" s="13" t="s">
        <v>487</v>
      </c>
      <c r="B178" s="13"/>
      <c r="C178" s="13" t="s">
        <v>44</v>
      </c>
      <c r="D178" s="13"/>
      <c r="E178" s="32">
        <v>43943</v>
      </c>
      <c r="G178" s="8">
        <v>26394471</v>
      </c>
      <c r="I178" s="8">
        <v>0</v>
      </c>
      <c r="K178" s="8">
        <v>36967303</v>
      </c>
      <c r="M178" s="8">
        <v>244585</v>
      </c>
      <c r="O178" s="8">
        <v>1238338</v>
      </c>
      <c r="Q178" s="8">
        <v>10828</v>
      </c>
      <c r="S178" s="8">
        <v>0</v>
      </c>
      <c r="U178" s="8">
        <v>90056</v>
      </c>
      <c r="W178" s="8">
        <f>766228+76178</f>
        <v>842406</v>
      </c>
      <c r="Y178" s="3">
        <f t="shared" si="13"/>
        <v>65787987</v>
      </c>
      <c r="AA178" s="8">
        <v>0</v>
      </c>
      <c r="AE178" s="8">
        <v>0</v>
      </c>
      <c r="AG178" s="8">
        <v>2328</v>
      </c>
      <c r="AK178" s="8">
        <f t="shared" si="11"/>
        <v>2328</v>
      </c>
      <c r="AM178" s="8">
        <f t="shared" si="12"/>
        <v>65790315</v>
      </c>
    </row>
    <row r="179" spans="1:39">
      <c r="A179" s="13" t="s">
        <v>306</v>
      </c>
      <c r="B179" s="13"/>
      <c r="C179" s="13" t="s">
        <v>20</v>
      </c>
      <c r="D179" s="13"/>
      <c r="E179" s="32">
        <v>43950</v>
      </c>
      <c r="G179" s="8">
        <v>40443817</v>
      </c>
      <c r="I179" s="8">
        <v>0</v>
      </c>
      <c r="K179" s="8">
        <v>29398011</v>
      </c>
      <c r="M179" s="8">
        <v>329764</v>
      </c>
      <c r="O179" s="8">
        <v>424084</v>
      </c>
      <c r="Q179" s="8">
        <v>0</v>
      </c>
      <c r="S179" s="8">
        <v>0</v>
      </c>
      <c r="U179" s="8">
        <v>0</v>
      </c>
      <c r="W179" s="8">
        <f>55198+55238+138005+286589</f>
        <v>535030</v>
      </c>
      <c r="Y179" s="3">
        <f t="shared" si="13"/>
        <v>71130706</v>
      </c>
      <c r="AA179" s="8">
        <v>0</v>
      </c>
      <c r="AE179" s="8">
        <v>11512</v>
      </c>
      <c r="AG179" s="8">
        <v>0</v>
      </c>
      <c r="AK179" s="8">
        <f t="shared" si="11"/>
        <v>11512</v>
      </c>
      <c r="AM179" s="8">
        <f t="shared" si="12"/>
        <v>71142218</v>
      </c>
    </row>
    <row r="180" spans="1:39" hidden="1">
      <c r="A180" s="13" t="s">
        <v>840</v>
      </c>
      <c r="B180" s="13"/>
      <c r="C180" s="13" t="s">
        <v>28</v>
      </c>
      <c r="D180" s="13"/>
      <c r="E180" s="32">
        <v>47050</v>
      </c>
      <c r="G180" s="8">
        <v>3267330</v>
      </c>
      <c r="I180" s="8">
        <v>2431470</v>
      </c>
      <c r="K180" s="8">
        <v>5699674</v>
      </c>
      <c r="M180" s="8">
        <v>122066</v>
      </c>
      <c r="O180" s="8">
        <v>748478</v>
      </c>
      <c r="Q180" s="8">
        <v>13755</v>
      </c>
      <c r="U180" s="8">
        <v>1135</v>
      </c>
      <c r="W180" s="8">
        <f>54118+5350</f>
        <v>59468</v>
      </c>
      <c r="Y180" s="3">
        <f t="shared" si="13"/>
        <v>12343376</v>
      </c>
      <c r="AK180" s="8">
        <f t="shared" si="11"/>
        <v>0</v>
      </c>
      <c r="AM180" s="8">
        <f t="shared" si="12"/>
        <v>12343376</v>
      </c>
    </row>
    <row r="181" spans="1:39">
      <c r="A181" s="13" t="s">
        <v>702</v>
      </c>
      <c r="B181" s="13"/>
      <c r="C181" s="13" t="s">
        <v>66</v>
      </c>
      <c r="D181" s="13"/>
      <c r="E181" s="32">
        <v>50328</v>
      </c>
      <c r="G181" s="8">
        <v>6200419</v>
      </c>
      <c r="I181" s="8">
        <v>0</v>
      </c>
      <c r="K181" s="8">
        <f>2638+3109215</f>
        <v>3111853</v>
      </c>
      <c r="M181" s="8">
        <v>57594</v>
      </c>
      <c r="O181" s="8">
        <v>41452</v>
      </c>
      <c r="Q181" s="8">
        <v>0</v>
      </c>
      <c r="S181" s="8">
        <v>0</v>
      </c>
      <c r="U181" s="8">
        <v>0</v>
      </c>
      <c r="W181" s="8">
        <f>29482+39071</f>
        <v>68553</v>
      </c>
      <c r="Y181" s="3">
        <f t="shared" si="13"/>
        <v>9479871</v>
      </c>
      <c r="AA181" s="8">
        <v>0</v>
      </c>
      <c r="AE181" s="8">
        <v>56906</v>
      </c>
      <c r="AG181" s="8">
        <v>0</v>
      </c>
      <c r="AK181" s="8">
        <f t="shared" si="11"/>
        <v>56906</v>
      </c>
      <c r="AM181" s="8">
        <f t="shared" si="12"/>
        <v>9536777</v>
      </c>
    </row>
    <row r="182" spans="1:39">
      <c r="A182" s="13" t="s">
        <v>851</v>
      </c>
      <c r="B182" s="13"/>
      <c r="C182" s="13" t="s">
        <v>116</v>
      </c>
      <c r="D182" s="13"/>
      <c r="E182" s="32">
        <v>46102</v>
      </c>
      <c r="F182" s="11"/>
      <c r="G182" s="8">
        <v>16859520</v>
      </c>
      <c r="I182" s="8">
        <v>3301518</v>
      </c>
      <c r="K182" s="8">
        <v>22203901</v>
      </c>
      <c r="M182" s="8">
        <v>211199</v>
      </c>
      <c r="O182" s="8">
        <v>261473</v>
      </c>
      <c r="Q182" s="8">
        <v>65096</v>
      </c>
      <c r="S182" s="8">
        <v>168364</v>
      </c>
      <c r="U182" s="8">
        <v>250</v>
      </c>
      <c r="W182" s="8">
        <f>240295+24550+271225</f>
        <v>536070</v>
      </c>
      <c r="Y182" s="3">
        <f>SUM(G182:X182)</f>
        <v>43607391</v>
      </c>
      <c r="AA182" s="8">
        <v>0</v>
      </c>
      <c r="AE182" s="8">
        <v>0</v>
      </c>
      <c r="AG182" s="8">
        <v>6668</v>
      </c>
      <c r="AK182" s="8">
        <f>SUM(AA182:AJ182)</f>
        <v>6668</v>
      </c>
      <c r="AM182" s="8">
        <f>+AK182+Y182</f>
        <v>43614059</v>
      </c>
    </row>
    <row r="183" spans="1:39">
      <c r="A183" s="13" t="s">
        <v>243</v>
      </c>
      <c r="B183" s="13"/>
      <c r="C183" s="13" t="s">
        <v>242</v>
      </c>
      <c r="D183" s="13"/>
      <c r="E183" s="32">
        <v>46102</v>
      </c>
      <c r="F183" s="11"/>
      <c r="G183" s="8">
        <v>37808039</v>
      </c>
      <c r="I183" s="8">
        <v>0</v>
      </c>
      <c r="K183" s="8">
        <v>32857388</v>
      </c>
      <c r="M183" s="8">
        <v>425528</v>
      </c>
      <c r="O183" s="8">
        <v>1007783</v>
      </c>
      <c r="Q183" s="8">
        <v>117494</v>
      </c>
      <c r="S183" s="8">
        <v>1405131</v>
      </c>
      <c r="U183" s="8">
        <v>0</v>
      </c>
      <c r="W183" s="8">
        <v>1171178</v>
      </c>
      <c r="Y183" s="3">
        <f t="shared" si="13"/>
        <v>74792541</v>
      </c>
      <c r="AA183" s="8">
        <v>0</v>
      </c>
      <c r="AE183" s="8">
        <v>0</v>
      </c>
      <c r="AG183" s="8">
        <v>247</v>
      </c>
      <c r="AK183" s="8">
        <f t="shared" si="11"/>
        <v>247</v>
      </c>
      <c r="AM183" s="8">
        <f t="shared" si="12"/>
        <v>74792788</v>
      </c>
    </row>
    <row r="184" spans="1:39">
      <c r="A184" s="13" t="s">
        <v>436</v>
      </c>
      <c r="B184" s="13"/>
      <c r="C184" s="13" t="s">
        <v>435</v>
      </c>
      <c r="D184" s="13"/>
      <c r="E184" s="32">
        <v>47621</v>
      </c>
      <c r="G184" s="8">
        <v>1325428</v>
      </c>
      <c r="I184" s="8">
        <v>0</v>
      </c>
      <c r="K184" s="8">
        <v>5244482</v>
      </c>
      <c r="M184" s="8">
        <v>17534</v>
      </c>
      <c r="O184" s="8">
        <v>356370</v>
      </c>
      <c r="Q184" s="8">
        <v>0</v>
      </c>
      <c r="S184" s="8">
        <v>0</v>
      </c>
      <c r="U184" s="8">
        <v>2800</v>
      </c>
      <c r="W184" s="8">
        <f>1798+71797+38657</f>
        <v>112252</v>
      </c>
      <c r="Y184" s="3">
        <f t="shared" si="13"/>
        <v>7058866</v>
      </c>
      <c r="AA184" s="8">
        <v>0</v>
      </c>
      <c r="AE184" s="8">
        <v>0</v>
      </c>
      <c r="AG184" s="8">
        <v>0</v>
      </c>
      <c r="AK184" s="8">
        <f t="shared" si="11"/>
        <v>0</v>
      </c>
      <c r="AM184" s="8">
        <f t="shared" si="12"/>
        <v>7058866</v>
      </c>
    </row>
    <row r="185" spans="1:39">
      <c r="A185" s="13" t="s">
        <v>346</v>
      </c>
      <c r="B185" s="13"/>
      <c r="C185" s="13" t="s">
        <v>25</v>
      </c>
      <c r="D185" s="13"/>
      <c r="E185" s="32">
        <v>46870</v>
      </c>
      <c r="G185" s="8">
        <v>3690672</v>
      </c>
      <c r="I185" s="8">
        <v>4803989</v>
      </c>
      <c r="K185" s="8">
        <v>9954481</v>
      </c>
      <c r="M185" s="8">
        <v>98756</v>
      </c>
      <c r="O185" s="8">
        <v>1469031</v>
      </c>
      <c r="Q185" s="8">
        <v>0</v>
      </c>
      <c r="S185" s="8">
        <v>0</v>
      </c>
      <c r="U185" s="8">
        <v>0</v>
      </c>
      <c r="W185" s="8">
        <f>16052+22923</f>
        <v>38975</v>
      </c>
      <c r="Y185" s="3">
        <f t="shared" si="13"/>
        <v>20055904</v>
      </c>
      <c r="AA185" s="8">
        <v>0</v>
      </c>
      <c r="AE185" s="8">
        <v>292579</v>
      </c>
      <c r="AG185" s="8">
        <v>0</v>
      </c>
      <c r="AK185" s="8">
        <f t="shared" si="11"/>
        <v>292579</v>
      </c>
      <c r="AM185" s="8">
        <f t="shared" si="12"/>
        <v>20348483</v>
      </c>
    </row>
    <row r="186" spans="1:39">
      <c r="A186" s="13" t="s">
        <v>468</v>
      </c>
      <c r="B186" s="13"/>
      <c r="C186" s="13" t="s">
        <v>466</v>
      </c>
      <c r="D186" s="13"/>
      <c r="E186" s="32">
        <v>47936</v>
      </c>
      <c r="G186" s="8">
        <v>3070524</v>
      </c>
      <c r="I186" s="8">
        <v>0</v>
      </c>
      <c r="K186" s="8">
        <v>9233768</v>
      </c>
      <c r="M186" s="8">
        <v>66551</v>
      </c>
      <c r="O186" s="8">
        <v>712829</v>
      </c>
      <c r="Q186" s="8">
        <v>0</v>
      </c>
      <c r="S186" s="8">
        <v>0</v>
      </c>
      <c r="U186" s="8">
        <v>9909</v>
      </c>
      <c r="W186" s="8">
        <v>12169</v>
      </c>
      <c r="Y186" s="3">
        <f t="shared" si="13"/>
        <v>13105750</v>
      </c>
      <c r="AA186" s="8">
        <v>0</v>
      </c>
      <c r="AE186" s="8">
        <v>0</v>
      </c>
      <c r="AG186" s="8">
        <v>0</v>
      </c>
      <c r="AK186" s="8">
        <f t="shared" si="11"/>
        <v>0</v>
      </c>
      <c r="AM186" s="8">
        <f t="shared" si="12"/>
        <v>13105750</v>
      </c>
    </row>
    <row r="187" spans="1:39" hidden="1">
      <c r="A187" s="12" t="s">
        <v>841</v>
      </c>
      <c r="B187" s="13"/>
      <c r="C187" s="13" t="s">
        <v>61</v>
      </c>
      <c r="D187" s="13"/>
      <c r="E187" s="32">
        <v>49775</v>
      </c>
      <c r="G187" s="8">
        <v>1194751</v>
      </c>
      <c r="K187" s="8">
        <v>2487259</v>
      </c>
      <c r="M187" s="8">
        <v>45101</v>
      </c>
      <c r="O187" s="8">
        <v>875943</v>
      </c>
      <c r="W187" s="8">
        <v>17231</v>
      </c>
      <c r="Y187" s="3">
        <f t="shared" si="13"/>
        <v>4620285</v>
      </c>
      <c r="AK187" s="8">
        <f t="shared" si="11"/>
        <v>0</v>
      </c>
      <c r="AM187" s="8">
        <f t="shared" si="12"/>
        <v>4620285</v>
      </c>
    </row>
    <row r="188" spans="1:39">
      <c r="A188" s="13" t="s">
        <v>651</v>
      </c>
      <c r="B188" s="13"/>
      <c r="C188" s="13" t="s">
        <v>62</v>
      </c>
      <c r="D188" s="13"/>
      <c r="E188" s="32">
        <v>49841</v>
      </c>
      <c r="G188" s="8">
        <v>5053926</v>
      </c>
      <c r="I188" s="8">
        <v>0</v>
      </c>
      <c r="K188" s="8">
        <v>9291572</v>
      </c>
      <c r="M188" s="8">
        <v>63818</v>
      </c>
      <c r="O188" s="8">
        <v>549681</v>
      </c>
      <c r="Q188" s="8">
        <v>1500</v>
      </c>
      <c r="S188" s="8">
        <v>0</v>
      </c>
      <c r="U188" s="8">
        <v>0</v>
      </c>
      <c r="W188" s="8">
        <v>199243</v>
      </c>
      <c r="Y188" s="3">
        <f t="shared" si="13"/>
        <v>15159740</v>
      </c>
      <c r="AA188" s="8">
        <v>0</v>
      </c>
      <c r="AE188" s="8">
        <v>0</v>
      </c>
      <c r="AG188" s="8">
        <v>0</v>
      </c>
      <c r="AK188" s="8">
        <f t="shared" si="11"/>
        <v>0</v>
      </c>
      <c r="AM188" s="8">
        <f t="shared" si="12"/>
        <v>15159740</v>
      </c>
    </row>
    <row r="189" spans="1:39" hidden="1">
      <c r="A189" s="91" t="s">
        <v>972</v>
      </c>
      <c r="B189" s="13"/>
      <c r="C189" s="13" t="s">
        <v>41</v>
      </c>
      <c r="D189" s="13"/>
      <c r="E189" s="32">
        <v>45369</v>
      </c>
      <c r="Y189" s="3">
        <f t="shared" si="13"/>
        <v>0</v>
      </c>
      <c r="AK189" s="8">
        <f t="shared" si="11"/>
        <v>0</v>
      </c>
      <c r="AM189" s="8">
        <f t="shared" si="12"/>
        <v>0</v>
      </c>
    </row>
    <row r="190" spans="1:39">
      <c r="A190" s="13" t="s">
        <v>307</v>
      </c>
      <c r="B190" s="13"/>
      <c r="C190" s="13" t="s">
        <v>20</v>
      </c>
      <c r="D190" s="13"/>
      <c r="E190" s="32">
        <v>43976</v>
      </c>
      <c r="G190" s="8">
        <v>16061572</v>
      </c>
      <c r="I190" s="8">
        <v>0</v>
      </c>
      <c r="K190" s="8">
        <v>4935753</v>
      </c>
      <c r="M190" s="8">
        <v>441176</v>
      </c>
      <c r="O190" s="8">
        <v>287200</v>
      </c>
      <c r="Q190" s="8">
        <v>0</v>
      </c>
      <c r="S190" s="8">
        <v>0</v>
      </c>
      <c r="U190" s="8">
        <v>0</v>
      </c>
      <c r="W190" s="8">
        <f>115447+46371</f>
        <v>161818</v>
      </c>
      <c r="Y190" s="3">
        <f t="shared" si="13"/>
        <v>21887519</v>
      </c>
      <c r="AA190" s="8">
        <v>0</v>
      </c>
      <c r="AE190" s="8">
        <v>0</v>
      </c>
      <c r="AG190" s="8">
        <v>0</v>
      </c>
      <c r="AK190" s="8">
        <f t="shared" si="11"/>
        <v>0</v>
      </c>
      <c r="AM190" s="8">
        <f t="shared" si="12"/>
        <v>21887519</v>
      </c>
    </row>
    <row r="191" spans="1:39">
      <c r="A191" s="12" t="s">
        <v>936</v>
      </c>
      <c r="B191" s="12"/>
      <c r="C191" s="12" t="s">
        <v>28</v>
      </c>
      <c r="D191" s="13"/>
      <c r="E191" s="32"/>
      <c r="G191" s="8">
        <v>1046775</v>
      </c>
      <c r="I191" s="8">
        <v>425495</v>
      </c>
      <c r="K191" s="8">
        <v>2704978</v>
      </c>
      <c r="M191" s="8">
        <v>28945</v>
      </c>
      <c r="O191" s="8">
        <v>134740</v>
      </c>
      <c r="Q191" s="8">
        <v>0</v>
      </c>
      <c r="S191" s="8">
        <v>0</v>
      </c>
      <c r="U191" s="8">
        <v>1000</v>
      </c>
      <c r="W191" s="8">
        <v>104554</v>
      </c>
      <c r="Y191" s="3">
        <f t="shared" si="13"/>
        <v>4446487</v>
      </c>
      <c r="AA191" s="8">
        <v>25901</v>
      </c>
      <c r="AE191" s="8">
        <v>0</v>
      </c>
      <c r="AG191" s="8">
        <v>0</v>
      </c>
      <c r="AK191" s="8">
        <f t="shared" si="11"/>
        <v>25901</v>
      </c>
      <c r="AM191" s="8">
        <f t="shared" si="12"/>
        <v>4472388</v>
      </c>
    </row>
    <row r="192" spans="1:39">
      <c r="A192" s="13" t="s">
        <v>238</v>
      </c>
      <c r="B192" s="13"/>
      <c r="C192" s="13" t="s">
        <v>77</v>
      </c>
      <c r="D192" s="13"/>
      <c r="E192" s="32">
        <v>46045</v>
      </c>
      <c r="F192" s="11"/>
      <c r="G192" s="8">
        <v>1702422</v>
      </c>
      <c r="I192" s="8">
        <v>0</v>
      </c>
      <c r="K192" s="8">
        <v>5023830</v>
      </c>
      <c r="M192" s="8">
        <v>81305</v>
      </c>
      <c r="O192" s="8">
        <v>763963</v>
      </c>
      <c r="Q192" s="8">
        <v>0</v>
      </c>
      <c r="S192" s="8">
        <v>0</v>
      </c>
      <c r="U192" s="8">
        <v>0</v>
      </c>
      <c r="W192" s="8">
        <v>75756</v>
      </c>
      <c r="Y192" s="3">
        <f t="shared" si="13"/>
        <v>7647276</v>
      </c>
      <c r="AA192" s="8">
        <v>0</v>
      </c>
      <c r="AE192" s="8">
        <v>0</v>
      </c>
      <c r="AG192" s="8">
        <v>0</v>
      </c>
      <c r="AK192" s="8">
        <f t="shared" si="11"/>
        <v>0</v>
      </c>
      <c r="AM192" s="8">
        <f t="shared" si="12"/>
        <v>7647276</v>
      </c>
    </row>
    <row r="193" spans="1:39">
      <c r="A193" s="13" t="s">
        <v>937</v>
      </c>
      <c r="B193" s="13"/>
      <c r="C193" s="13" t="s">
        <v>13</v>
      </c>
      <c r="D193" s="13"/>
      <c r="E193" s="32"/>
      <c r="F193" s="11"/>
      <c r="G193" s="8">
        <v>2538121</v>
      </c>
      <c r="I193" s="8">
        <v>0</v>
      </c>
      <c r="K193" s="8">
        <v>7878537</v>
      </c>
      <c r="M193" s="8">
        <v>51056</v>
      </c>
      <c r="O193" s="8">
        <v>401484</v>
      </c>
      <c r="Q193" s="8">
        <v>7840</v>
      </c>
      <c r="S193" s="8">
        <v>0</v>
      </c>
      <c r="U193" s="8">
        <v>8104</v>
      </c>
      <c r="W193" s="8">
        <f>4359+113150+5060</f>
        <v>122569</v>
      </c>
      <c r="Y193" s="3">
        <f t="shared" si="13"/>
        <v>11007711</v>
      </c>
      <c r="AA193" s="8">
        <v>0</v>
      </c>
      <c r="AE193" s="8">
        <v>0</v>
      </c>
      <c r="AG193" s="8">
        <v>2141</v>
      </c>
      <c r="AK193" s="8">
        <f t="shared" si="11"/>
        <v>2141</v>
      </c>
      <c r="AM193" s="8">
        <f t="shared" si="12"/>
        <v>11009852</v>
      </c>
    </row>
    <row r="194" spans="1:39">
      <c r="A194" s="13" t="s">
        <v>268</v>
      </c>
      <c r="B194" s="13"/>
      <c r="C194" s="13" t="s">
        <v>115</v>
      </c>
      <c r="D194" s="13"/>
      <c r="E194" s="32">
        <v>46334</v>
      </c>
      <c r="F194" s="11"/>
      <c r="G194" s="8">
        <v>1435087</v>
      </c>
      <c r="I194" s="8">
        <v>0</v>
      </c>
      <c r="K194" s="8">
        <v>6866000</v>
      </c>
      <c r="M194" s="8">
        <v>34887</v>
      </c>
      <c r="O194" s="8">
        <v>448323</v>
      </c>
      <c r="Q194" s="8">
        <v>0</v>
      </c>
      <c r="S194" s="8">
        <v>0</v>
      </c>
      <c r="U194" s="8">
        <v>0</v>
      </c>
      <c r="W194" s="8">
        <v>94998</v>
      </c>
      <c r="Y194" s="3">
        <f t="shared" si="13"/>
        <v>8879295</v>
      </c>
      <c r="AA194" s="8">
        <v>0</v>
      </c>
      <c r="AE194" s="8">
        <v>0</v>
      </c>
      <c r="AG194" s="8">
        <v>0</v>
      </c>
      <c r="AK194" s="8">
        <f t="shared" si="11"/>
        <v>0</v>
      </c>
      <c r="AM194" s="8">
        <f t="shared" si="12"/>
        <v>8879295</v>
      </c>
    </row>
    <row r="195" spans="1:39">
      <c r="A195" s="12" t="s">
        <v>1068</v>
      </c>
      <c r="B195" s="13"/>
      <c r="C195" s="13" t="s">
        <v>56</v>
      </c>
      <c r="D195" s="13"/>
      <c r="E195" s="32">
        <v>49197</v>
      </c>
      <c r="G195" s="8">
        <v>9090226</v>
      </c>
      <c r="I195" s="8">
        <v>0</v>
      </c>
      <c r="K195" s="8">
        <v>8596202</v>
      </c>
      <c r="M195" s="8">
        <v>40541</v>
      </c>
      <c r="O195" s="8">
        <v>1174284</v>
      </c>
      <c r="Q195" s="8">
        <v>0</v>
      </c>
      <c r="S195" s="8">
        <v>318108</v>
      </c>
      <c r="U195" s="8">
        <v>30</v>
      </c>
      <c r="W195" s="8">
        <f>60740+1140</f>
        <v>61880</v>
      </c>
      <c r="Y195" s="3">
        <f t="shared" si="13"/>
        <v>19281271</v>
      </c>
      <c r="AA195" s="8">
        <v>0</v>
      </c>
      <c r="AE195" s="8">
        <v>261768</v>
      </c>
      <c r="AG195" s="8">
        <v>0</v>
      </c>
      <c r="AK195" s="8">
        <f t="shared" si="11"/>
        <v>261768</v>
      </c>
      <c r="AM195" s="8">
        <f t="shared" si="12"/>
        <v>19543039</v>
      </c>
    </row>
    <row r="196" spans="1:39">
      <c r="A196" s="13" t="s">
        <v>416</v>
      </c>
      <c r="B196" s="13"/>
      <c r="C196" s="13" t="s">
        <v>33</v>
      </c>
      <c r="D196" s="13"/>
      <c r="E196" s="32">
        <v>43984</v>
      </c>
      <c r="G196" s="8">
        <v>25062497</v>
      </c>
      <c r="I196" s="8">
        <v>0</v>
      </c>
      <c r="K196" s="8">
        <f>27616954+358728</f>
        <v>27975682</v>
      </c>
      <c r="M196" s="8">
        <v>720975</v>
      </c>
      <c r="O196" s="8">
        <v>2824315</v>
      </c>
      <c r="Q196" s="8">
        <v>0</v>
      </c>
      <c r="S196" s="8">
        <v>0</v>
      </c>
      <c r="U196" s="8">
        <v>12350</v>
      </c>
      <c r="W196" s="8">
        <f>471343+128+31470+11425</f>
        <v>514366</v>
      </c>
      <c r="Y196" s="3">
        <f t="shared" si="13"/>
        <v>57110185</v>
      </c>
      <c r="AA196" s="8">
        <v>0</v>
      </c>
      <c r="AE196" s="8">
        <v>0</v>
      </c>
      <c r="AG196" s="8">
        <v>0</v>
      </c>
      <c r="AK196" s="8">
        <f t="shared" si="11"/>
        <v>0</v>
      </c>
      <c r="AM196" s="8">
        <f t="shared" si="12"/>
        <v>57110185</v>
      </c>
    </row>
    <row r="197" spans="1:39">
      <c r="A197" s="13" t="s">
        <v>393</v>
      </c>
      <c r="B197" s="13"/>
      <c r="C197" s="13" t="s">
        <v>32</v>
      </c>
      <c r="D197" s="13"/>
      <c r="E197" s="32">
        <v>47332</v>
      </c>
      <c r="G197" s="8">
        <v>9148034</v>
      </c>
      <c r="I197" s="8">
        <v>0</v>
      </c>
      <c r="K197" s="8">
        <v>7281624</v>
      </c>
      <c r="M197" s="8">
        <v>110550</v>
      </c>
      <c r="O197" s="8">
        <v>128277</v>
      </c>
      <c r="Q197" s="8">
        <v>0</v>
      </c>
      <c r="S197" s="8">
        <v>0</v>
      </c>
      <c r="U197" s="8">
        <v>0</v>
      </c>
      <c r="W197" s="8">
        <f>54409+102811</f>
        <v>157220</v>
      </c>
      <c r="Y197" s="3">
        <f t="shared" si="13"/>
        <v>16825705</v>
      </c>
      <c r="AA197" s="8">
        <v>0</v>
      </c>
      <c r="AE197" s="8">
        <v>0</v>
      </c>
      <c r="AG197" s="8">
        <v>4730</v>
      </c>
      <c r="AK197" s="8">
        <f t="shared" si="11"/>
        <v>4730</v>
      </c>
      <c r="AM197" s="8">
        <f t="shared" si="12"/>
        <v>16830435</v>
      </c>
    </row>
    <row r="198" spans="1:39">
      <c r="A198" s="13" t="s">
        <v>488</v>
      </c>
      <c r="B198" s="13"/>
      <c r="C198" s="13" t="s">
        <v>44</v>
      </c>
      <c r="D198" s="13"/>
      <c r="E198" s="32">
        <v>48157</v>
      </c>
      <c r="G198" s="8">
        <v>6096863</v>
      </c>
      <c r="I198" s="8">
        <v>0</v>
      </c>
      <c r="K198" s="8">
        <v>9085738</v>
      </c>
      <c r="M198" s="8">
        <v>222127</v>
      </c>
      <c r="O198" s="8">
        <v>713127</v>
      </c>
      <c r="Q198" s="8">
        <v>0</v>
      </c>
      <c r="S198" s="8">
        <v>0</v>
      </c>
      <c r="U198" s="8">
        <v>0</v>
      </c>
      <c r="W198" s="8">
        <f>56471+22765+59833+11843</f>
        <v>150912</v>
      </c>
      <c r="Y198" s="3">
        <f t="shared" si="13"/>
        <v>16268767</v>
      </c>
      <c r="AA198" s="8">
        <v>0</v>
      </c>
      <c r="AE198" s="8">
        <v>0</v>
      </c>
      <c r="AG198" s="8">
        <v>0</v>
      </c>
      <c r="AK198" s="8">
        <f t="shared" si="11"/>
        <v>0</v>
      </c>
      <c r="AM198" s="8">
        <f t="shared" si="12"/>
        <v>16268767</v>
      </c>
    </row>
    <row r="199" spans="1:39">
      <c r="A199" s="13" t="s">
        <v>394</v>
      </c>
      <c r="B199" s="13"/>
      <c r="C199" s="13" t="s">
        <v>32</v>
      </c>
      <c r="D199" s="13"/>
      <c r="E199" s="32">
        <v>47340</v>
      </c>
      <c r="G199" s="8">
        <v>38070059</v>
      </c>
      <c r="I199" s="8">
        <v>0</v>
      </c>
      <c r="K199" s="8">
        <v>25873675</v>
      </c>
      <c r="M199" s="8">
        <v>60546</v>
      </c>
      <c r="O199" s="8">
        <v>609086</v>
      </c>
      <c r="Q199" s="8">
        <v>0</v>
      </c>
      <c r="S199" s="8">
        <v>6687702</v>
      </c>
      <c r="U199" s="8">
        <v>0</v>
      </c>
      <c r="W199" s="8">
        <v>465687</v>
      </c>
      <c r="Y199" s="3">
        <f t="shared" si="13"/>
        <v>71766755</v>
      </c>
      <c r="AA199" s="8">
        <v>0</v>
      </c>
      <c r="AE199" s="8">
        <v>0</v>
      </c>
      <c r="AG199" s="8">
        <v>0</v>
      </c>
      <c r="AK199" s="8">
        <f t="shared" si="11"/>
        <v>0</v>
      </c>
      <c r="AM199" s="8">
        <f t="shared" si="12"/>
        <v>71766755</v>
      </c>
    </row>
    <row r="200" spans="1:39" hidden="1">
      <c r="A200" s="13" t="s">
        <v>836</v>
      </c>
      <c r="B200" s="13"/>
      <c r="C200" s="13" t="s">
        <v>70</v>
      </c>
      <c r="D200" s="13"/>
      <c r="E200" s="32">
        <v>50484</v>
      </c>
      <c r="G200" s="8">
        <v>3934100</v>
      </c>
      <c r="K200" s="8">
        <v>4964435</v>
      </c>
      <c r="M200" s="8">
        <v>43133</v>
      </c>
      <c r="O200" s="8">
        <v>771184</v>
      </c>
      <c r="Q200" s="8">
        <v>32623</v>
      </c>
      <c r="W200" s="8">
        <f>6335+10273</f>
        <v>16608</v>
      </c>
      <c r="Y200" s="3">
        <f t="shared" si="13"/>
        <v>9762083</v>
      </c>
      <c r="AK200" s="8">
        <f t="shared" si="11"/>
        <v>0</v>
      </c>
      <c r="AM200" s="8">
        <f t="shared" si="12"/>
        <v>9762083</v>
      </c>
    </row>
    <row r="201" spans="1:39" s="35" customFormat="1">
      <c r="A201" s="34" t="s">
        <v>644</v>
      </c>
      <c r="B201" s="34"/>
      <c r="C201" s="34" t="s">
        <v>61</v>
      </c>
      <c r="D201" s="34"/>
      <c r="E201" s="32">
        <v>49783</v>
      </c>
      <c r="G201" s="8">
        <v>1443544</v>
      </c>
      <c r="H201" s="8"/>
      <c r="I201" s="8">
        <v>1396436</v>
      </c>
      <c r="J201" s="8"/>
      <c r="K201" s="8">
        <v>3829130</v>
      </c>
      <c r="L201" s="8"/>
      <c r="M201" s="8">
        <v>68989</v>
      </c>
      <c r="N201" s="8"/>
      <c r="O201" s="8">
        <v>105477</v>
      </c>
      <c r="P201" s="8"/>
      <c r="Q201" s="8">
        <v>0</v>
      </c>
      <c r="R201" s="8"/>
      <c r="S201" s="8">
        <v>0</v>
      </c>
      <c r="T201" s="8"/>
      <c r="U201" s="8">
        <v>3376</v>
      </c>
      <c r="V201" s="8"/>
      <c r="W201" s="8">
        <f>19971+9554</f>
        <v>29525</v>
      </c>
      <c r="X201" s="8"/>
      <c r="Y201" s="3">
        <f t="shared" si="13"/>
        <v>6876477</v>
      </c>
      <c r="Z201" s="8"/>
      <c r="AA201" s="8">
        <v>0</v>
      </c>
      <c r="AB201" s="8"/>
      <c r="AC201" s="8"/>
      <c r="AD201" s="8"/>
      <c r="AE201" s="8">
        <v>0</v>
      </c>
      <c r="AF201" s="8"/>
      <c r="AG201" s="8">
        <v>0</v>
      </c>
      <c r="AH201" s="8"/>
      <c r="AI201" s="8"/>
      <c r="AJ201" s="8"/>
      <c r="AK201" s="8">
        <f t="shared" si="11"/>
        <v>0</v>
      </c>
      <c r="AL201" s="8"/>
      <c r="AM201" s="8">
        <f t="shared" si="12"/>
        <v>6876477</v>
      </c>
    </row>
    <row r="202" spans="1:39" s="35" customFormat="1" hidden="1">
      <c r="A202" s="13" t="s">
        <v>938</v>
      </c>
      <c r="B202" s="13"/>
      <c r="C202" s="13" t="s">
        <v>534</v>
      </c>
      <c r="D202" s="34"/>
      <c r="E202" s="32"/>
      <c r="G202" s="8">
        <v>1524388</v>
      </c>
      <c r="H202" s="8"/>
      <c r="I202" s="8">
        <v>1500839</v>
      </c>
      <c r="J202" s="8"/>
      <c r="K202" s="8">
        <v>4960064</v>
      </c>
      <c r="L202" s="8"/>
      <c r="M202" s="8">
        <v>68515</v>
      </c>
      <c r="N202" s="8"/>
      <c r="O202" s="8">
        <v>309076</v>
      </c>
      <c r="P202" s="8"/>
      <c r="Q202" s="8"/>
      <c r="R202" s="8"/>
      <c r="S202" s="8"/>
      <c r="T202" s="8"/>
      <c r="U202" s="8"/>
      <c r="V202" s="8"/>
      <c r="W202" s="8">
        <v>20206</v>
      </c>
      <c r="X202" s="8"/>
      <c r="Y202" s="3">
        <f t="shared" si="13"/>
        <v>8383088</v>
      </c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>
        <f t="shared" si="12"/>
        <v>8383088</v>
      </c>
    </row>
    <row r="203" spans="1:39">
      <c r="A203" s="13" t="s">
        <v>636</v>
      </c>
      <c r="B203" s="13"/>
      <c r="C203" s="13" t="s">
        <v>60</v>
      </c>
      <c r="D203" s="13"/>
      <c r="E203" s="13">
        <v>43992</v>
      </c>
      <c r="G203" s="8">
        <v>7322556</v>
      </c>
      <c r="I203" s="8">
        <v>0</v>
      </c>
      <c r="K203" s="8">
        <v>11128514</v>
      </c>
      <c r="M203" s="8">
        <v>235244</v>
      </c>
      <c r="O203" s="8">
        <v>210114</v>
      </c>
      <c r="Q203" s="8">
        <v>0</v>
      </c>
      <c r="S203" s="8">
        <v>0</v>
      </c>
      <c r="U203" s="8">
        <v>0</v>
      </c>
      <c r="W203" s="8">
        <f>45664+473183+44270+43244</f>
        <v>606361</v>
      </c>
      <c r="Y203" s="3">
        <f t="shared" si="13"/>
        <v>19502789</v>
      </c>
      <c r="AA203" s="8">
        <v>0</v>
      </c>
      <c r="AE203" s="8">
        <v>0</v>
      </c>
      <c r="AG203" s="8">
        <v>0</v>
      </c>
      <c r="AK203" s="8">
        <f t="shared" ref="AK203:AK224" si="14">SUM(AA203:AJ203)</f>
        <v>0</v>
      </c>
      <c r="AM203" s="8">
        <f t="shared" si="12"/>
        <v>19502789</v>
      </c>
    </row>
    <row r="204" spans="1:39">
      <c r="A204" s="13" t="s">
        <v>709</v>
      </c>
      <c r="B204" s="13"/>
      <c r="C204" s="13" t="s">
        <v>69</v>
      </c>
      <c r="D204" s="13"/>
      <c r="E204" s="32">
        <v>44008</v>
      </c>
      <c r="G204" s="8">
        <v>12933731</v>
      </c>
      <c r="I204" s="8">
        <v>0</v>
      </c>
      <c r="K204" s="8">
        <v>13996478</v>
      </c>
      <c r="M204" s="8">
        <v>120972</v>
      </c>
      <c r="O204" s="8">
        <v>646528</v>
      </c>
      <c r="Q204" s="8">
        <v>0</v>
      </c>
      <c r="S204" s="8">
        <v>120249</v>
      </c>
      <c r="U204" s="8">
        <v>105703</v>
      </c>
      <c r="W204" s="8">
        <f>41137+123</f>
        <v>41260</v>
      </c>
      <c r="Y204" s="3">
        <f t="shared" si="13"/>
        <v>27964921</v>
      </c>
      <c r="AA204" s="8">
        <v>0</v>
      </c>
      <c r="AE204" s="8">
        <v>0</v>
      </c>
      <c r="AG204" s="8">
        <v>14886</v>
      </c>
      <c r="AK204" s="8">
        <f t="shared" si="14"/>
        <v>14886</v>
      </c>
      <c r="AM204" s="8">
        <f t="shared" ref="AM204:AM226" si="15">+AK204+Y204</f>
        <v>27979807</v>
      </c>
    </row>
    <row r="205" spans="1:39">
      <c r="A205" s="13" t="s">
        <v>564</v>
      </c>
      <c r="B205" s="13"/>
      <c r="C205" s="13" t="s">
        <v>51</v>
      </c>
      <c r="D205" s="13"/>
      <c r="E205" s="32">
        <v>48843</v>
      </c>
      <c r="G205" s="8">
        <v>3586933</v>
      </c>
      <c r="I205" s="8">
        <v>0</v>
      </c>
      <c r="K205" s="8">
        <v>13427425</v>
      </c>
      <c r="M205" s="8">
        <v>331039</v>
      </c>
      <c r="O205" s="8">
        <v>1003454</v>
      </c>
      <c r="Q205" s="8">
        <v>0</v>
      </c>
      <c r="S205" s="8">
        <v>5011</v>
      </c>
      <c r="U205" s="8">
        <v>4691</v>
      </c>
      <c r="W205" s="8">
        <v>1355</v>
      </c>
      <c r="Y205" s="3">
        <f t="shared" si="13"/>
        <v>18359908</v>
      </c>
      <c r="AA205" s="8">
        <v>0</v>
      </c>
      <c r="AE205" s="8">
        <v>0</v>
      </c>
      <c r="AG205" s="8">
        <v>4100</v>
      </c>
      <c r="AK205" s="8">
        <f t="shared" si="14"/>
        <v>4100</v>
      </c>
      <c r="AM205" s="8">
        <f t="shared" si="15"/>
        <v>18364008</v>
      </c>
    </row>
    <row r="206" spans="1:39" hidden="1">
      <c r="A206" s="12" t="s">
        <v>835</v>
      </c>
      <c r="B206" s="13"/>
      <c r="C206" s="13" t="s">
        <v>21</v>
      </c>
      <c r="D206" s="13"/>
      <c r="E206" s="32">
        <v>46649</v>
      </c>
      <c r="G206" s="8">
        <v>1103860</v>
      </c>
      <c r="I206" s="8">
        <v>552445</v>
      </c>
      <c r="K206" s="8">
        <v>3259608</v>
      </c>
      <c r="M206" s="8">
        <v>42782</v>
      </c>
      <c r="O206" s="8">
        <v>1190510</v>
      </c>
      <c r="Q206" s="8">
        <v>38471</v>
      </c>
      <c r="W206" s="8">
        <f>270+1804</f>
        <v>2074</v>
      </c>
      <c r="Y206" s="3">
        <f t="shared" si="13"/>
        <v>6189750</v>
      </c>
      <c r="AK206" s="8">
        <f t="shared" si="14"/>
        <v>0</v>
      </c>
      <c r="AM206" s="8">
        <f t="shared" si="15"/>
        <v>6189750</v>
      </c>
    </row>
    <row r="207" spans="1:39" hidden="1">
      <c r="A207" s="12" t="s">
        <v>939</v>
      </c>
      <c r="B207" s="13"/>
      <c r="C207" s="13" t="s">
        <v>40</v>
      </c>
      <c r="D207" s="13"/>
      <c r="E207" s="32">
        <v>47852</v>
      </c>
      <c r="G207" s="8">
        <v>2761882</v>
      </c>
      <c r="K207" s="8">
        <v>4973882</v>
      </c>
      <c r="M207" s="8">
        <v>54508</v>
      </c>
      <c r="O207" s="8">
        <v>554054</v>
      </c>
      <c r="Q207" s="8">
        <v>20566</v>
      </c>
      <c r="W207" s="8">
        <f>7109+129436</f>
        <v>136545</v>
      </c>
      <c r="Y207" s="3">
        <f t="shared" si="13"/>
        <v>8501437</v>
      </c>
      <c r="AK207" s="8">
        <f t="shared" si="14"/>
        <v>0</v>
      </c>
      <c r="AM207" s="8">
        <f t="shared" si="15"/>
        <v>8501437</v>
      </c>
    </row>
    <row r="208" spans="1:39">
      <c r="A208" s="13" t="s">
        <v>623</v>
      </c>
      <c r="B208" s="13"/>
      <c r="C208" s="13" t="s">
        <v>79</v>
      </c>
      <c r="D208" s="13"/>
      <c r="E208" s="32">
        <v>44016</v>
      </c>
      <c r="G208" s="8">
        <v>10513279</v>
      </c>
      <c r="I208" s="8">
        <v>6862519</v>
      </c>
      <c r="K208" s="8">
        <v>14799775</v>
      </c>
      <c r="M208" s="8">
        <v>413043</v>
      </c>
      <c r="O208" s="8">
        <v>594855</v>
      </c>
      <c r="Q208" s="8">
        <v>154974</v>
      </c>
      <c r="S208" s="8">
        <v>0</v>
      </c>
      <c r="U208" s="8">
        <v>745</v>
      </c>
      <c r="W208" s="8">
        <f>20452+180213</f>
        <v>200665</v>
      </c>
      <c r="Y208" s="3">
        <f t="shared" si="13"/>
        <v>33539855</v>
      </c>
      <c r="AA208" s="8">
        <v>0</v>
      </c>
      <c r="AE208" s="8">
        <v>18634867</v>
      </c>
      <c r="AG208" s="8">
        <v>0</v>
      </c>
      <c r="AK208" s="8">
        <f t="shared" si="14"/>
        <v>18634867</v>
      </c>
      <c r="AM208" s="8">
        <f t="shared" si="15"/>
        <v>52174722</v>
      </c>
    </row>
    <row r="209" spans="1:40">
      <c r="A209" s="13" t="s">
        <v>717</v>
      </c>
      <c r="B209" s="13"/>
      <c r="C209" s="13" t="s">
        <v>70</v>
      </c>
      <c r="D209" s="13"/>
      <c r="E209" s="32">
        <v>50492</v>
      </c>
      <c r="G209" s="8">
        <v>1221887</v>
      </c>
      <c r="I209" s="8">
        <v>0</v>
      </c>
      <c r="K209" s="8">
        <f>130087+5388196</f>
        <v>5518283</v>
      </c>
      <c r="M209" s="8">
        <v>12906</v>
      </c>
      <c r="O209" s="8">
        <v>197405</v>
      </c>
      <c r="Q209" s="8">
        <v>0</v>
      </c>
      <c r="S209" s="8">
        <v>0</v>
      </c>
      <c r="U209" s="8">
        <v>0</v>
      </c>
      <c r="W209" s="8">
        <f>14723+4744</f>
        <v>19467</v>
      </c>
      <c r="Y209" s="3">
        <f t="shared" si="13"/>
        <v>6969948</v>
      </c>
      <c r="AA209" s="8">
        <v>0</v>
      </c>
      <c r="AE209" s="8">
        <v>0</v>
      </c>
      <c r="AG209" s="8">
        <v>0</v>
      </c>
      <c r="AK209" s="8">
        <f t="shared" si="14"/>
        <v>0</v>
      </c>
      <c r="AM209" s="8">
        <f t="shared" si="15"/>
        <v>6969948</v>
      </c>
    </row>
    <row r="210" spans="1:40">
      <c r="A210" s="13" t="s">
        <v>356</v>
      </c>
      <c r="B210" s="13"/>
      <c r="C210" s="13" t="s">
        <v>27</v>
      </c>
      <c r="D210" s="13"/>
      <c r="E210" s="32">
        <v>46961</v>
      </c>
      <c r="G210" s="8">
        <v>51408322</v>
      </c>
      <c r="I210" s="8">
        <v>0</v>
      </c>
      <c r="K210" s="8">
        <f>20836300+466045</f>
        <v>21302345</v>
      </c>
      <c r="M210" s="8">
        <v>0</v>
      </c>
      <c r="O210" s="8">
        <v>223159</v>
      </c>
      <c r="Q210" s="8">
        <v>0</v>
      </c>
      <c r="S210" s="8">
        <v>0</v>
      </c>
      <c r="U210" s="8">
        <v>0</v>
      </c>
      <c r="W210" s="8">
        <v>1918813</v>
      </c>
      <c r="Y210" s="3">
        <f t="shared" ref="Y210:Y224" si="16">SUM(G210:X210)</f>
        <v>74852639</v>
      </c>
      <c r="AA210" s="8">
        <v>0</v>
      </c>
      <c r="AE210" s="8">
        <v>0</v>
      </c>
      <c r="AG210" s="8">
        <v>9654</v>
      </c>
      <c r="AK210" s="8">
        <f t="shared" si="14"/>
        <v>9654</v>
      </c>
      <c r="AM210" s="8">
        <f t="shared" si="15"/>
        <v>74862293</v>
      </c>
    </row>
    <row r="211" spans="1:40">
      <c r="A211" s="13" t="s">
        <v>294</v>
      </c>
      <c r="B211" s="13"/>
      <c r="C211" s="13" t="s">
        <v>113</v>
      </c>
      <c r="D211" s="13"/>
      <c r="E211" s="32">
        <v>44024</v>
      </c>
      <c r="G211" s="8">
        <v>4574592</v>
      </c>
      <c r="I211" s="8">
        <v>0</v>
      </c>
      <c r="K211" s="8">
        <v>11105475</v>
      </c>
      <c r="M211" s="8">
        <v>46852</v>
      </c>
      <c r="O211" s="8">
        <v>405529</v>
      </c>
      <c r="Q211" s="8">
        <v>38050</v>
      </c>
      <c r="S211" s="8">
        <v>0</v>
      </c>
      <c r="U211" s="8">
        <v>12767</v>
      </c>
      <c r="W211" s="8">
        <v>96512</v>
      </c>
      <c r="Y211" s="3">
        <f t="shared" si="16"/>
        <v>16279777</v>
      </c>
      <c r="AA211" s="8">
        <v>0</v>
      </c>
      <c r="AE211" s="8">
        <v>71950</v>
      </c>
      <c r="AG211" s="8">
        <v>0</v>
      </c>
      <c r="AK211" s="8">
        <f t="shared" si="14"/>
        <v>71950</v>
      </c>
      <c r="AM211" s="8">
        <f t="shared" si="15"/>
        <v>16351727</v>
      </c>
    </row>
    <row r="212" spans="1:40" ht="12" customHeight="1">
      <c r="A212" s="13" t="s">
        <v>375</v>
      </c>
      <c r="B212" s="13"/>
      <c r="C212" s="13" t="s">
        <v>29</v>
      </c>
      <c r="D212" s="13"/>
      <c r="E212" s="32">
        <v>65680</v>
      </c>
      <c r="G212" s="8">
        <v>7368425</v>
      </c>
      <c r="I212" s="8">
        <v>0</v>
      </c>
      <c r="K212" s="8">
        <v>10967678</v>
      </c>
      <c r="M212" s="8">
        <v>183158</v>
      </c>
      <c r="O212" s="8">
        <v>1080646</v>
      </c>
      <c r="Q212" s="8">
        <v>0</v>
      </c>
      <c r="S212" s="8">
        <v>0</v>
      </c>
      <c r="U212" s="8">
        <v>0</v>
      </c>
      <c r="W212" s="8">
        <v>30955</v>
      </c>
      <c r="Y212" s="3">
        <f t="shared" si="16"/>
        <v>19630862</v>
      </c>
      <c r="AA212" s="8">
        <v>0</v>
      </c>
      <c r="AE212" s="8">
        <v>0</v>
      </c>
      <c r="AG212" s="8">
        <v>531</v>
      </c>
      <c r="AK212" s="8">
        <f t="shared" si="14"/>
        <v>531</v>
      </c>
      <c r="AM212" s="8">
        <f t="shared" si="15"/>
        <v>19631393</v>
      </c>
    </row>
    <row r="213" spans="1:40" s="35" customFormat="1">
      <c r="A213" s="34" t="s">
        <v>376</v>
      </c>
      <c r="B213" s="34"/>
      <c r="C213" s="34" t="s">
        <v>29</v>
      </c>
      <c r="D213" s="34"/>
      <c r="E213" s="34">
        <v>44032</v>
      </c>
      <c r="G213" s="8">
        <v>4348376</v>
      </c>
      <c r="H213" s="8"/>
      <c r="I213" s="8">
        <v>0</v>
      </c>
      <c r="K213" s="8">
        <v>11954474</v>
      </c>
      <c r="L213" s="8"/>
      <c r="M213" s="8">
        <v>136932</v>
      </c>
      <c r="N213" s="8"/>
      <c r="O213" s="8">
        <v>1183166</v>
      </c>
      <c r="P213" s="8"/>
      <c r="Q213" s="8">
        <v>0</v>
      </c>
      <c r="R213" s="8"/>
      <c r="S213" s="8">
        <v>0</v>
      </c>
      <c r="T213" s="8"/>
      <c r="U213" s="8">
        <v>0</v>
      </c>
      <c r="V213" s="8"/>
      <c r="W213" s="8">
        <f>77432+96929</f>
        <v>174361</v>
      </c>
      <c r="X213" s="8"/>
      <c r="Y213" s="3">
        <f t="shared" si="16"/>
        <v>17797309</v>
      </c>
      <c r="Z213" s="8"/>
      <c r="AA213" s="8">
        <v>0</v>
      </c>
      <c r="AB213" s="8"/>
      <c r="AC213" s="8"/>
      <c r="AD213" s="8"/>
      <c r="AE213" s="8">
        <v>0</v>
      </c>
      <c r="AF213" s="8"/>
      <c r="AG213" s="8">
        <v>0</v>
      </c>
      <c r="AH213" s="8"/>
      <c r="AI213" s="8"/>
      <c r="AJ213" s="8"/>
      <c r="AK213" s="8">
        <f t="shared" si="14"/>
        <v>0</v>
      </c>
      <c r="AL213" s="8"/>
      <c r="AM213" s="8">
        <f t="shared" si="15"/>
        <v>17797309</v>
      </c>
    </row>
    <row r="214" spans="1:40">
      <c r="A214" s="13" t="s">
        <v>696</v>
      </c>
      <c r="B214" s="13"/>
      <c r="C214" s="13" t="s">
        <v>65</v>
      </c>
      <c r="D214" s="13"/>
      <c r="E214" s="32">
        <v>50278</v>
      </c>
      <c r="G214" s="8">
        <v>4957985</v>
      </c>
      <c r="I214" s="8">
        <v>0</v>
      </c>
      <c r="K214" s="8">
        <v>4510625</v>
      </c>
      <c r="M214" s="8">
        <v>52942</v>
      </c>
      <c r="O214" s="8">
        <v>505499</v>
      </c>
      <c r="Q214" s="8">
        <v>0</v>
      </c>
      <c r="S214" s="8">
        <v>0</v>
      </c>
      <c r="U214" s="8">
        <v>1905</v>
      </c>
      <c r="W214" s="8">
        <f>24027+267+70064+38955</f>
        <v>133313</v>
      </c>
      <c r="Y214" s="3">
        <f t="shared" si="16"/>
        <v>10162269</v>
      </c>
      <c r="AA214" s="8">
        <v>0</v>
      </c>
      <c r="AE214" s="8">
        <v>0</v>
      </c>
      <c r="AG214" s="8">
        <v>3570</v>
      </c>
      <c r="AK214" s="8">
        <f t="shared" si="14"/>
        <v>3570</v>
      </c>
      <c r="AM214" s="8">
        <f t="shared" si="15"/>
        <v>10165839</v>
      </c>
    </row>
    <row r="215" spans="1:40">
      <c r="A215" s="12" t="s">
        <v>980</v>
      </c>
      <c r="B215" s="13"/>
      <c r="C215" s="13" t="s">
        <v>20</v>
      </c>
      <c r="D215" s="13"/>
      <c r="E215" s="32">
        <v>44040</v>
      </c>
      <c r="G215" s="8">
        <v>14854638</v>
      </c>
      <c r="I215" s="8">
        <v>0</v>
      </c>
      <c r="K215" s="8">
        <v>20651513</v>
      </c>
      <c r="M215" s="8">
        <v>247420</v>
      </c>
      <c r="O215" s="8">
        <v>473160</v>
      </c>
      <c r="Q215" s="8">
        <v>53806</v>
      </c>
      <c r="S215" s="8">
        <v>0</v>
      </c>
      <c r="U215" s="8">
        <v>0</v>
      </c>
      <c r="W215" s="8">
        <v>107244</v>
      </c>
      <c r="Y215" s="3">
        <f t="shared" si="16"/>
        <v>36387781</v>
      </c>
      <c r="AA215" s="8">
        <v>0</v>
      </c>
      <c r="AE215" s="8">
        <v>0</v>
      </c>
      <c r="AG215" s="8">
        <v>0</v>
      </c>
      <c r="AK215" s="8">
        <f t="shared" si="14"/>
        <v>0</v>
      </c>
      <c r="AM215" s="8">
        <f t="shared" si="15"/>
        <v>36387781</v>
      </c>
      <c r="AN215" s="8" t="s">
        <v>956</v>
      </c>
    </row>
    <row r="216" spans="1:40">
      <c r="A216" s="12" t="s">
        <v>888</v>
      </c>
      <c r="B216" s="13"/>
      <c r="C216" s="13" t="s">
        <v>12</v>
      </c>
      <c r="D216" s="13"/>
      <c r="E216" s="32">
        <v>44057</v>
      </c>
      <c r="F216" s="11"/>
      <c r="G216" s="8">
        <v>6587766</v>
      </c>
      <c r="I216" s="8">
        <v>0</v>
      </c>
      <c r="K216" s="8">
        <v>13839587</v>
      </c>
      <c r="M216" s="8">
        <v>180426</v>
      </c>
      <c r="O216" s="8">
        <v>1404866</v>
      </c>
      <c r="Q216" s="8">
        <v>0</v>
      </c>
      <c r="S216" s="8">
        <v>95772</v>
      </c>
      <c r="U216" s="8">
        <v>2000</v>
      </c>
      <c r="W216" s="8">
        <f>17578+325+5492</f>
        <v>23395</v>
      </c>
      <c r="Y216" s="3">
        <f t="shared" si="16"/>
        <v>22133812</v>
      </c>
      <c r="AA216" s="8">
        <v>0</v>
      </c>
      <c r="AE216" s="8">
        <v>0</v>
      </c>
      <c r="AG216" s="8">
        <v>0</v>
      </c>
      <c r="AK216" s="8">
        <f t="shared" si="14"/>
        <v>0</v>
      </c>
      <c r="AM216" s="8">
        <f t="shared" si="15"/>
        <v>22133812</v>
      </c>
    </row>
    <row r="217" spans="1:40">
      <c r="A217" s="13" t="s">
        <v>573</v>
      </c>
      <c r="B217" s="13"/>
      <c r="C217" s="13" t="s">
        <v>53</v>
      </c>
      <c r="D217" s="13"/>
      <c r="E217" s="32">
        <v>48942</v>
      </c>
      <c r="G217" s="8">
        <v>3742826</v>
      </c>
      <c r="I217" s="8">
        <v>0</v>
      </c>
      <c r="K217" s="8">
        <v>6888921</v>
      </c>
      <c r="M217" s="8">
        <v>95909</v>
      </c>
      <c r="O217" s="8">
        <v>420116</v>
      </c>
      <c r="Q217" s="8">
        <v>145776</v>
      </c>
      <c r="S217" s="8">
        <v>0</v>
      </c>
      <c r="U217" s="8">
        <v>0</v>
      </c>
      <c r="W217" s="8">
        <v>32816</v>
      </c>
      <c r="Y217" s="3">
        <f t="shared" si="16"/>
        <v>11326364</v>
      </c>
      <c r="AA217" s="8">
        <v>0</v>
      </c>
      <c r="AE217" s="8">
        <v>0</v>
      </c>
      <c r="AG217" s="8">
        <v>0</v>
      </c>
      <c r="AK217" s="8">
        <f t="shared" si="14"/>
        <v>0</v>
      </c>
      <c r="AM217" s="8">
        <f t="shared" si="15"/>
        <v>11326364</v>
      </c>
    </row>
    <row r="218" spans="1:40" hidden="1">
      <c r="A218" s="12" t="s">
        <v>940</v>
      </c>
      <c r="B218" s="13"/>
      <c r="C218" s="13" t="s">
        <v>77</v>
      </c>
      <c r="D218" s="13"/>
      <c r="E218" s="32">
        <v>45377</v>
      </c>
      <c r="F218" s="11"/>
      <c r="G218" s="8">
        <v>1878622</v>
      </c>
      <c r="K218" s="8">
        <v>5645886</v>
      </c>
      <c r="M218" s="8">
        <v>33576</v>
      </c>
      <c r="O218" s="8">
        <v>394773</v>
      </c>
      <c r="W218" s="8">
        <v>4778</v>
      </c>
      <c r="Y218" s="3">
        <f t="shared" si="16"/>
        <v>7957635</v>
      </c>
      <c r="AK218" s="8">
        <f t="shared" si="14"/>
        <v>0</v>
      </c>
      <c r="AM218" s="8">
        <f t="shared" si="15"/>
        <v>7957635</v>
      </c>
    </row>
    <row r="219" spans="1:40">
      <c r="A219" s="13" t="s">
        <v>624</v>
      </c>
      <c r="B219" s="13"/>
      <c r="C219" s="13" t="s">
        <v>79</v>
      </c>
      <c r="D219" s="13"/>
      <c r="E219" s="32">
        <v>45385</v>
      </c>
      <c r="G219" s="8">
        <v>1803299</v>
      </c>
      <c r="I219" s="8">
        <v>0</v>
      </c>
      <c r="K219" s="8">
        <v>5847643</v>
      </c>
      <c r="M219" s="8">
        <v>77899</v>
      </c>
      <c r="O219" s="8">
        <v>384580</v>
      </c>
      <c r="Q219" s="8">
        <v>0</v>
      </c>
      <c r="S219" s="8">
        <v>0</v>
      </c>
      <c r="U219" s="8">
        <v>0</v>
      </c>
      <c r="W219" s="8">
        <f>5560+3656</f>
        <v>9216</v>
      </c>
      <c r="Y219" s="3">
        <f t="shared" si="16"/>
        <v>8122637</v>
      </c>
      <c r="AA219" s="8">
        <v>0</v>
      </c>
      <c r="AE219" s="8">
        <v>0</v>
      </c>
      <c r="AG219" s="8">
        <v>0</v>
      </c>
      <c r="AK219" s="8">
        <f t="shared" si="14"/>
        <v>0</v>
      </c>
      <c r="AM219" s="8">
        <f t="shared" si="15"/>
        <v>8122637</v>
      </c>
    </row>
    <row r="220" spans="1:40">
      <c r="A220" s="13" t="s">
        <v>679</v>
      </c>
      <c r="B220" s="13"/>
      <c r="C220" s="13" t="s">
        <v>64</v>
      </c>
      <c r="D220" s="13"/>
      <c r="E220" s="32">
        <v>44065</v>
      </c>
      <c r="G220" s="8">
        <v>3731025</v>
      </c>
      <c r="I220" s="8">
        <v>0</v>
      </c>
      <c r="K220" s="8">
        <v>8597998</v>
      </c>
      <c r="M220" s="8">
        <v>287158</v>
      </c>
      <c r="O220" s="8">
        <v>565647</v>
      </c>
      <c r="Q220" s="8">
        <v>0</v>
      </c>
      <c r="S220" s="8">
        <v>0</v>
      </c>
      <c r="U220" s="8">
        <v>0</v>
      </c>
      <c r="W220" s="8">
        <f>118850+41783</f>
        <v>160633</v>
      </c>
      <c r="Y220" s="3">
        <f t="shared" si="16"/>
        <v>13342461</v>
      </c>
      <c r="AA220" s="8">
        <v>0</v>
      </c>
      <c r="AE220" s="8">
        <v>0</v>
      </c>
      <c r="AG220" s="8">
        <v>0</v>
      </c>
      <c r="AK220" s="8">
        <f t="shared" si="14"/>
        <v>0</v>
      </c>
      <c r="AM220" s="8">
        <f t="shared" si="15"/>
        <v>13342461</v>
      </c>
    </row>
    <row r="221" spans="1:40" hidden="1">
      <c r="A221" s="12" t="s">
        <v>1030</v>
      </c>
      <c r="B221" s="13"/>
      <c r="C221" s="13" t="s">
        <v>28</v>
      </c>
      <c r="D221" s="13"/>
      <c r="E221" s="32">
        <v>47068</v>
      </c>
      <c r="Y221" s="3">
        <f t="shared" si="16"/>
        <v>0</v>
      </c>
      <c r="AK221" s="8">
        <f t="shared" si="14"/>
        <v>0</v>
      </c>
      <c r="AM221" s="8">
        <f t="shared" si="15"/>
        <v>0</v>
      </c>
      <c r="AN221" s="15" t="s">
        <v>973</v>
      </c>
    </row>
    <row r="222" spans="1:40">
      <c r="A222" s="13" t="s">
        <v>269</v>
      </c>
      <c r="B222" s="13"/>
      <c r="C222" s="13" t="s">
        <v>115</v>
      </c>
      <c r="D222" s="13"/>
      <c r="E222" s="32">
        <v>46342</v>
      </c>
      <c r="F222" s="11"/>
      <c r="G222" s="8">
        <v>4448649</v>
      </c>
      <c r="I222" s="8">
        <v>2765582</v>
      </c>
      <c r="K222" s="8">
        <v>13204182</v>
      </c>
      <c r="M222" s="8">
        <v>190343</v>
      </c>
      <c r="O222" s="8">
        <v>761349</v>
      </c>
      <c r="Q222" s="8">
        <v>0</v>
      </c>
      <c r="S222" s="8">
        <v>0</v>
      </c>
      <c r="U222" s="8">
        <v>0</v>
      </c>
      <c r="W222" s="8">
        <f>31669+18896+1132+95526</f>
        <v>147223</v>
      </c>
      <c r="Y222" s="3">
        <f t="shared" si="16"/>
        <v>21517328</v>
      </c>
      <c r="AA222" s="8">
        <v>0</v>
      </c>
      <c r="AE222" s="8">
        <v>305515</v>
      </c>
      <c r="AG222" s="8">
        <v>0</v>
      </c>
      <c r="AK222" s="8">
        <f t="shared" si="14"/>
        <v>305515</v>
      </c>
      <c r="AM222" s="8">
        <f t="shared" si="15"/>
        <v>21822843</v>
      </c>
    </row>
    <row r="223" spans="1:40">
      <c r="A223" s="13" t="s">
        <v>254</v>
      </c>
      <c r="B223" s="13"/>
      <c r="C223" s="13" t="s">
        <v>255</v>
      </c>
      <c r="D223" s="13"/>
      <c r="E223" s="13">
        <v>46193</v>
      </c>
      <c r="F223" s="11"/>
      <c r="G223" s="8">
        <v>4203034</v>
      </c>
      <c r="I223" s="8">
        <v>0</v>
      </c>
      <c r="K223" s="8">
        <v>11965747</v>
      </c>
      <c r="M223" s="8">
        <v>61281</v>
      </c>
      <c r="O223" s="8">
        <v>775714</v>
      </c>
      <c r="Q223" s="8">
        <v>0</v>
      </c>
      <c r="S223" s="8">
        <v>0</v>
      </c>
      <c r="U223" s="8">
        <v>0</v>
      </c>
      <c r="W223" s="8">
        <v>152009</v>
      </c>
      <c r="Y223" s="3">
        <f t="shared" si="16"/>
        <v>17157785</v>
      </c>
      <c r="AA223" s="8">
        <v>0</v>
      </c>
      <c r="AE223" s="8">
        <v>0</v>
      </c>
      <c r="AG223" s="8">
        <v>0</v>
      </c>
      <c r="AK223" s="8">
        <f t="shared" si="14"/>
        <v>0</v>
      </c>
      <c r="AM223" s="8">
        <f t="shared" si="15"/>
        <v>17157785</v>
      </c>
    </row>
    <row r="224" spans="1:40">
      <c r="A224" s="13" t="s">
        <v>220</v>
      </c>
      <c r="B224" s="13"/>
      <c r="C224" s="13" t="s">
        <v>12</v>
      </c>
      <c r="D224" s="13"/>
      <c r="E224" s="32">
        <v>45864</v>
      </c>
      <c r="F224" s="11"/>
      <c r="G224" s="8">
        <v>3412914</v>
      </c>
      <c r="I224" s="8">
        <v>0</v>
      </c>
      <c r="K224" s="8">
        <v>6815266</v>
      </c>
      <c r="M224" s="8">
        <v>116990</v>
      </c>
      <c r="O224" s="8">
        <v>647302</v>
      </c>
      <c r="Q224" s="8">
        <v>0</v>
      </c>
      <c r="S224" s="8">
        <v>0</v>
      </c>
      <c r="U224" s="8">
        <v>0</v>
      </c>
      <c r="W224" s="8">
        <f>10720+177630</f>
        <v>188350</v>
      </c>
      <c r="Y224" s="3">
        <f t="shared" si="16"/>
        <v>11180822</v>
      </c>
      <c r="AA224" s="8">
        <v>0</v>
      </c>
      <c r="AE224" s="8">
        <v>0</v>
      </c>
      <c r="AG224" s="8">
        <v>0</v>
      </c>
      <c r="AK224" s="8">
        <f t="shared" si="14"/>
        <v>0</v>
      </c>
      <c r="AM224" s="8">
        <f t="shared" si="15"/>
        <v>11180822</v>
      </c>
    </row>
    <row r="225" spans="1:40">
      <c r="A225" s="13" t="s">
        <v>357</v>
      </c>
      <c r="B225" s="13"/>
      <c r="C225" s="13" t="s">
        <v>27</v>
      </c>
      <c r="D225" s="13"/>
      <c r="E225" s="32">
        <v>44073</v>
      </c>
      <c r="G225" s="8">
        <v>11413023</v>
      </c>
      <c r="I225" s="8">
        <v>0</v>
      </c>
      <c r="K225" s="8">
        <v>4167713</v>
      </c>
      <c r="M225" s="8">
        <v>148083</v>
      </c>
      <c r="O225" s="8">
        <v>203487</v>
      </c>
      <c r="Q225" s="8">
        <v>0</v>
      </c>
      <c r="S225" s="8">
        <v>0</v>
      </c>
      <c r="U225" s="8">
        <v>0</v>
      </c>
      <c r="W225" s="8">
        <v>114665</v>
      </c>
      <c r="Y225" s="3">
        <f t="shared" ref="Y225:Y291" si="17">SUM(G225:X225)</f>
        <v>16046971</v>
      </c>
      <c r="AA225" s="8">
        <v>0</v>
      </c>
      <c r="AE225" s="8">
        <v>264527</v>
      </c>
      <c r="AG225" s="8">
        <v>0</v>
      </c>
      <c r="AK225" s="8">
        <f t="shared" ref="AK225:AK291" si="18">SUM(AA225:AJ225)</f>
        <v>264527</v>
      </c>
      <c r="AM225" s="8">
        <f t="shared" si="15"/>
        <v>16311498</v>
      </c>
    </row>
    <row r="226" spans="1:40">
      <c r="A226" s="12" t="s">
        <v>942</v>
      </c>
      <c r="B226" s="13"/>
      <c r="C226" s="13" t="s">
        <v>42</v>
      </c>
      <c r="D226" s="13"/>
      <c r="E226" s="32">
        <v>45393</v>
      </c>
      <c r="G226" s="8">
        <v>12609298</v>
      </c>
      <c r="I226" s="8">
        <v>0</v>
      </c>
      <c r="K226" s="8">
        <v>8229187</v>
      </c>
      <c r="M226" s="8">
        <v>181838</v>
      </c>
      <c r="O226" s="8">
        <v>171471</v>
      </c>
      <c r="Q226" s="8">
        <v>22269</v>
      </c>
      <c r="S226" s="8">
        <v>238334</v>
      </c>
      <c r="U226" s="8">
        <v>0</v>
      </c>
      <c r="W226" s="8">
        <v>53320</v>
      </c>
      <c r="Y226" s="3">
        <f t="shared" si="17"/>
        <v>21505717</v>
      </c>
      <c r="AA226" s="8">
        <v>0</v>
      </c>
      <c r="AE226" s="8">
        <v>59973</v>
      </c>
      <c r="AG226" s="8">
        <v>0</v>
      </c>
      <c r="AK226" s="8">
        <f t="shared" si="18"/>
        <v>59973</v>
      </c>
      <c r="AM226" s="8">
        <f t="shared" si="15"/>
        <v>21565690</v>
      </c>
    </row>
    <row r="227" spans="1:40">
      <c r="A227" s="13" t="s">
        <v>628</v>
      </c>
      <c r="B227" s="13"/>
      <c r="C227" s="13" t="s">
        <v>59</v>
      </c>
      <c r="D227" s="13"/>
      <c r="E227" s="32">
        <v>49619</v>
      </c>
      <c r="G227" s="8">
        <v>1392759</v>
      </c>
      <c r="I227" s="8">
        <v>0</v>
      </c>
      <c r="K227" s="8">
        <v>3323673</v>
      </c>
      <c r="M227" s="8">
        <v>10741</v>
      </c>
      <c r="O227" s="8">
        <v>363002</v>
      </c>
      <c r="Q227" s="8">
        <v>0</v>
      </c>
      <c r="S227" s="8">
        <v>263834</v>
      </c>
      <c r="U227" s="8">
        <v>2500</v>
      </c>
      <c r="W227" s="8">
        <f>222056+24000</f>
        <v>246056</v>
      </c>
      <c r="Y227" s="3">
        <f t="shared" si="17"/>
        <v>5602565</v>
      </c>
      <c r="AA227" s="8">
        <v>0</v>
      </c>
      <c r="AE227" s="8">
        <v>0</v>
      </c>
      <c r="AG227" s="8">
        <v>0</v>
      </c>
      <c r="AK227" s="8">
        <f t="shared" si="18"/>
        <v>0</v>
      </c>
      <c r="AM227" s="8">
        <f t="shared" ref="AM227:AM291" si="19">+AK227+Y227</f>
        <v>5602565</v>
      </c>
    </row>
    <row r="228" spans="1:40">
      <c r="A228" s="13" t="s">
        <v>628</v>
      </c>
      <c r="B228" s="13"/>
      <c r="C228" s="13" t="s">
        <v>63</v>
      </c>
      <c r="D228" s="13"/>
      <c r="E228" s="32">
        <v>50013</v>
      </c>
      <c r="G228" s="8">
        <v>16929565</v>
      </c>
      <c r="I228" s="8">
        <v>0</v>
      </c>
      <c r="K228" s="8">
        <v>14119825</v>
      </c>
      <c r="M228" s="8">
        <v>95398</v>
      </c>
      <c r="O228" s="8">
        <v>830958</v>
      </c>
      <c r="Q228" s="8">
        <v>0</v>
      </c>
      <c r="S228" s="8">
        <v>0</v>
      </c>
      <c r="U228" s="8">
        <v>1683</v>
      </c>
      <c r="W228" s="8">
        <f>22655+147206</f>
        <v>169861</v>
      </c>
      <c r="Y228" s="3">
        <f t="shared" si="17"/>
        <v>32147290</v>
      </c>
      <c r="AA228" s="8">
        <v>0</v>
      </c>
      <c r="AE228" s="8">
        <v>0</v>
      </c>
      <c r="AG228" s="8">
        <v>3310</v>
      </c>
      <c r="AK228" s="8">
        <f t="shared" si="18"/>
        <v>3310</v>
      </c>
      <c r="AM228" s="8">
        <f t="shared" si="19"/>
        <v>32150600</v>
      </c>
    </row>
    <row r="229" spans="1:40">
      <c r="A229" s="13" t="s">
        <v>628</v>
      </c>
      <c r="B229" s="13"/>
      <c r="C229" s="13" t="s">
        <v>71</v>
      </c>
      <c r="D229" s="13"/>
      <c r="E229" s="32">
        <v>50559</v>
      </c>
      <c r="G229" s="8">
        <v>3532982</v>
      </c>
      <c r="I229" s="8">
        <v>0</v>
      </c>
      <c r="K229" s="8">
        <v>6188860</v>
      </c>
      <c r="M229" s="8">
        <v>25711</v>
      </c>
      <c r="O229" s="8">
        <v>578137</v>
      </c>
      <c r="Q229" s="8">
        <v>0</v>
      </c>
      <c r="S229" s="8">
        <v>0</v>
      </c>
      <c r="U229" s="8">
        <v>6993</v>
      </c>
      <c r="W229" s="8">
        <f>45094+10+1530</f>
        <v>46634</v>
      </c>
      <c r="Y229" s="3">
        <f t="shared" si="17"/>
        <v>10379317</v>
      </c>
      <c r="AA229" s="8">
        <v>0</v>
      </c>
      <c r="AE229" s="8">
        <v>0</v>
      </c>
      <c r="AG229" s="8">
        <v>0</v>
      </c>
      <c r="AK229" s="8">
        <f t="shared" si="18"/>
        <v>0</v>
      </c>
      <c r="AM229" s="8">
        <f t="shared" si="19"/>
        <v>10379317</v>
      </c>
    </row>
    <row r="230" spans="1:40">
      <c r="A230" s="13" t="s">
        <v>386</v>
      </c>
      <c r="B230" s="13"/>
      <c r="C230" s="13" t="s">
        <v>116</v>
      </c>
      <c r="D230" s="13"/>
      <c r="E230" s="13">
        <v>47266</v>
      </c>
      <c r="G230" s="8">
        <v>3526146</v>
      </c>
      <c r="I230" s="8">
        <v>1684199</v>
      </c>
      <c r="K230" s="8">
        <v>6302836</v>
      </c>
      <c r="M230" s="8">
        <v>82561</v>
      </c>
      <c r="O230" s="8">
        <v>644841</v>
      </c>
      <c r="Q230" s="8">
        <v>0</v>
      </c>
      <c r="S230" s="8">
        <v>0</v>
      </c>
      <c r="U230" s="8">
        <v>305707</v>
      </c>
      <c r="W230" s="8">
        <f>8345+14935</f>
        <v>23280</v>
      </c>
      <c r="Y230" s="3">
        <f t="shared" si="17"/>
        <v>12569570</v>
      </c>
      <c r="AA230" s="8">
        <v>0</v>
      </c>
      <c r="AE230" s="8">
        <v>0</v>
      </c>
      <c r="AG230" s="8">
        <v>12685</v>
      </c>
      <c r="AK230" s="8">
        <f t="shared" si="18"/>
        <v>12685</v>
      </c>
      <c r="AM230" s="8">
        <f t="shared" si="19"/>
        <v>12582255</v>
      </c>
    </row>
    <row r="231" spans="1:40">
      <c r="A231" s="13" t="s">
        <v>437</v>
      </c>
      <c r="B231" s="13"/>
      <c r="C231" s="13" t="s">
        <v>435</v>
      </c>
      <c r="D231" s="13"/>
      <c r="E231" s="32">
        <v>45401</v>
      </c>
      <c r="G231" s="8">
        <v>2971547</v>
      </c>
      <c r="I231" s="8">
        <v>1839750</v>
      </c>
      <c r="K231" s="8">
        <v>12558353</v>
      </c>
      <c r="M231" s="8">
        <v>105136</v>
      </c>
      <c r="O231" s="8">
        <v>519632</v>
      </c>
      <c r="Q231" s="8">
        <v>0</v>
      </c>
      <c r="S231" s="8">
        <v>0</v>
      </c>
      <c r="U231" s="8">
        <v>0</v>
      </c>
      <c r="W231" s="8">
        <f>3288+58406+89530</f>
        <v>151224</v>
      </c>
      <c r="Y231" s="3">
        <f t="shared" si="17"/>
        <v>18145642</v>
      </c>
      <c r="AA231" s="8">
        <v>0</v>
      </c>
      <c r="AE231" s="8">
        <v>95018</v>
      </c>
      <c r="AG231" s="8">
        <v>0</v>
      </c>
      <c r="AK231" s="8">
        <f t="shared" si="18"/>
        <v>95018</v>
      </c>
      <c r="AM231" s="8">
        <f t="shared" si="19"/>
        <v>18240660</v>
      </c>
    </row>
    <row r="232" spans="1:40">
      <c r="A232" s="13" t="s">
        <v>261</v>
      </c>
      <c r="B232" s="13"/>
      <c r="C232" s="13" t="s">
        <v>17</v>
      </c>
      <c r="D232" s="13"/>
      <c r="E232" s="32">
        <v>46235</v>
      </c>
      <c r="F232" s="11"/>
      <c r="G232" s="8">
        <v>6050908</v>
      </c>
      <c r="I232" s="8">
        <v>0</v>
      </c>
      <c r="K232" s="8">
        <v>8395349</v>
      </c>
      <c r="M232" s="8">
        <v>64083</v>
      </c>
      <c r="O232" s="8">
        <v>555421</v>
      </c>
      <c r="Q232" s="8">
        <v>0</v>
      </c>
      <c r="S232" s="8">
        <v>30455</v>
      </c>
      <c r="U232" s="8">
        <v>10621</v>
      </c>
      <c r="W232" s="8">
        <v>27255</v>
      </c>
      <c r="Y232" s="3">
        <f t="shared" si="17"/>
        <v>15134092</v>
      </c>
      <c r="AA232" s="8">
        <v>0</v>
      </c>
      <c r="AE232" s="8">
        <v>0</v>
      </c>
      <c r="AG232" s="8">
        <v>0</v>
      </c>
      <c r="AK232" s="8">
        <f t="shared" si="18"/>
        <v>0</v>
      </c>
      <c r="AM232" s="8">
        <f t="shared" si="19"/>
        <v>15134092</v>
      </c>
    </row>
    <row r="233" spans="1:40">
      <c r="A233" s="13" t="s">
        <v>327</v>
      </c>
      <c r="B233" s="13"/>
      <c r="C233" s="13" t="s">
        <v>21</v>
      </c>
      <c r="D233" s="13"/>
      <c r="E233" s="32">
        <v>44099</v>
      </c>
      <c r="G233" s="8">
        <v>7817228</v>
      </c>
      <c r="I233" s="8">
        <v>1778504</v>
      </c>
      <c r="K233" s="8">
        <v>13633669</v>
      </c>
      <c r="M233" s="8">
        <v>121862</v>
      </c>
      <c r="O233" s="8">
        <v>424412</v>
      </c>
      <c r="Q233" s="8">
        <v>42317</v>
      </c>
      <c r="S233" s="8">
        <v>210067</v>
      </c>
      <c r="U233" s="8">
        <v>5198</v>
      </c>
      <c r="W233" s="8">
        <f>28078+51688</f>
        <v>79766</v>
      </c>
      <c r="Y233" s="3">
        <f>SUM(G233:X233)</f>
        <v>24113023</v>
      </c>
      <c r="AA233" s="8">
        <v>1167864</v>
      </c>
      <c r="AE233" s="8">
        <v>150170</v>
      </c>
      <c r="AG233" s="8">
        <v>0</v>
      </c>
      <c r="AK233" s="8">
        <f t="shared" si="18"/>
        <v>1318034</v>
      </c>
      <c r="AM233" s="8">
        <f t="shared" si="19"/>
        <v>25431057</v>
      </c>
    </row>
    <row r="234" spans="1:40">
      <c r="A234" s="13" t="s">
        <v>358</v>
      </c>
      <c r="B234" s="13"/>
      <c r="C234" s="13" t="s">
        <v>27</v>
      </c>
      <c r="D234" s="13"/>
      <c r="E234" s="32">
        <v>46979</v>
      </c>
      <c r="G234" s="8">
        <v>25223640</v>
      </c>
      <c r="I234" s="8">
        <v>0</v>
      </c>
      <c r="K234" s="8">
        <v>31269924</v>
      </c>
      <c r="M234" s="8">
        <v>95547</v>
      </c>
      <c r="O234" s="8">
        <v>678160</v>
      </c>
      <c r="Q234" s="8">
        <v>0</v>
      </c>
      <c r="S234" s="8">
        <v>165087</v>
      </c>
      <c r="U234" s="8">
        <v>0</v>
      </c>
      <c r="W234" s="8">
        <v>175456</v>
      </c>
      <c r="Y234" s="3">
        <f t="shared" si="17"/>
        <v>57607814</v>
      </c>
      <c r="AA234" s="8">
        <v>0</v>
      </c>
      <c r="AE234" s="8">
        <v>92862</v>
      </c>
      <c r="AG234" s="8">
        <v>0</v>
      </c>
      <c r="AK234" s="8">
        <f t="shared" si="18"/>
        <v>92862</v>
      </c>
      <c r="AM234" s="8">
        <f t="shared" si="19"/>
        <v>57700676</v>
      </c>
      <c r="AN234" s="15" t="s">
        <v>905</v>
      </c>
    </row>
    <row r="235" spans="1:40">
      <c r="A235" s="13" t="s">
        <v>244</v>
      </c>
      <c r="B235" s="13"/>
      <c r="C235" s="13" t="s">
        <v>242</v>
      </c>
      <c r="D235" s="13"/>
      <c r="E235" s="32">
        <v>44107</v>
      </c>
      <c r="F235" s="11"/>
      <c r="G235" s="8">
        <v>18241517</v>
      </c>
      <c r="I235" s="8">
        <v>0</v>
      </c>
      <c r="K235" s="8">
        <v>48012276</v>
      </c>
      <c r="M235" s="8">
        <v>534645</v>
      </c>
      <c r="O235" s="8">
        <v>112545</v>
      </c>
      <c r="Q235" s="8">
        <v>0</v>
      </c>
      <c r="S235" s="8">
        <v>0</v>
      </c>
      <c r="U235" s="8">
        <v>0</v>
      </c>
      <c r="W235" s="8">
        <f>277919+269291</f>
        <v>547210</v>
      </c>
      <c r="Y235" s="3">
        <f t="shared" si="17"/>
        <v>67448193</v>
      </c>
      <c r="AA235" s="8">
        <v>0</v>
      </c>
      <c r="AE235" s="8">
        <f>78266+6298</f>
        <v>84564</v>
      </c>
      <c r="AG235" s="8">
        <v>0</v>
      </c>
      <c r="AK235" s="8">
        <f t="shared" si="18"/>
        <v>84564</v>
      </c>
      <c r="AM235" s="8">
        <f t="shared" si="19"/>
        <v>67532757</v>
      </c>
    </row>
    <row r="236" spans="1:40">
      <c r="A236" s="12" t="s">
        <v>981</v>
      </c>
      <c r="B236" s="13"/>
      <c r="C236" s="13" t="s">
        <v>27</v>
      </c>
      <c r="D236" s="13"/>
      <c r="E236" s="32">
        <v>46953</v>
      </c>
      <c r="G236" s="8">
        <v>5392684</v>
      </c>
      <c r="I236" s="8">
        <v>0</v>
      </c>
      <c r="K236" s="8">
        <v>16930713</v>
      </c>
      <c r="M236" s="8">
        <v>0</v>
      </c>
      <c r="O236" s="8">
        <v>53587</v>
      </c>
      <c r="Q236" s="8">
        <v>91817</v>
      </c>
      <c r="S236" s="8">
        <v>0</v>
      </c>
      <c r="U236" s="8">
        <v>0</v>
      </c>
      <c r="W236" s="8">
        <v>81403</v>
      </c>
      <c r="Y236" s="3">
        <f t="shared" si="17"/>
        <v>22550204</v>
      </c>
      <c r="AA236" s="8">
        <v>0</v>
      </c>
      <c r="AE236" s="8">
        <v>0</v>
      </c>
      <c r="AG236" s="8">
        <v>0</v>
      </c>
      <c r="AK236" s="8">
        <f t="shared" si="18"/>
        <v>0</v>
      </c>
      <c r="AM236" s="8">
        <f t="shared" si="19"/>
        <v>22550204</v>
      </c>
    </row>
    <row r="237" spans="1:40">
      <c r="A237" s="13" t="s">
        <v>422</v>
      </c>
      <c r="B237" s="13"/>
      <c r="C237" s="13" t="s">
        <v>421</v>
      </c>
      <c r="D237" s="13"/>
      <c r="E237" s="32">
        <v>47498</v>
      </c>
      <c r="G237" s="8">
        <v>895764</v>
      </c>
      <c r="I237" s="8">
        <v>0</v>
      </c>
      <c r="K237" s="8">
        <v>2460624</v>
      </c>
      <c r="M237" s="8">
        <v>33058</v>
      </c>
      <c r="O237" s="8">
        <v>326092</v>
      </c>
      <c r="Q237" s="8">
        <v>0</v>
      </c>
      <c r="S237" s="8">
        <v>807095</v>
      </c>
      <c r="U237" s="8">
        <v>0</v>
      </c>
      <c r="W237" s="8">
        <f>11085+17556</f>
        <v>28641</v>
      </c>
      <c r="Y237" s="3">
        <f t="shared" si="17"/>
        <v>4551274</v>
      </c>
      <c r="AA237" s="8">
        <v>0</v>
      </c>
      <c r="AE237" s="8">
        <v>0</v>
      </c>
      <c r="AG237" s="8">
        <v>1000</v>
      </c>
      <c r="AK237" s="8">
        <f t="shared" si="18"/>
        <v>1000</v>
      </c>
      <c r="AM237" s="8">
        <f t="shared" si="19"/>
        <v>4552274</v>
      </c>
    </row>
    <row r="238" spans="1:40">
      <c r="A238" s="13" t="s">
        <v>645</v>
      </c>
      <c r="B238" s="13"/>
      <c r="C238" s="13" t="s">
        <v>61</v>
      </c>
      <c r="D238" s="13"/>
      <c r="E238" s="32">
        <v>49791</v>
      </c>
      <c r="G238" s="8">
        <v>1715191</v>
      </c>
      <c r="I238" s="8">
        <v>440369</v>
      </c>
      <c r="K238" s="8">
        <v>4532245</v>
      </c>
      <c r="M238" s="8">
        <v>76180</v>
      </c>
      <c r="O238" s="8">
        <v>748627</v>
      </c>
      <c r="Q238" s="8">
        <v>3723</v>
      </c>
      <c r="S238" s="8">
        <v>0</v>
      </c>
      <c r="U238" s="8">
        <v>3279</v>
      </c>
      <c r="W238" s="8">
        <f>13899+5609+9425</f>
        <v>28933</v>
      </c>
      <c r="Y238" s="3">
        <f t="shared" si="17"/>
        <v>7548547</v>
      </c>
      <c r="AA238" s="8">
        <v>0</v>
      </c>
      <c r="AE238" s="8">
        <v>0</v>
      </c>
      <c r="AG238" s="8">
        <v>0</v>
      </c>
      <c r="AK238" s="8">
        <f t="shared" si="18"/>
        <v>0</v>
      </c>
      <c r="AM238" s="8">
        <f t="shared" si="19"/>
        <v>7548547</v>
      </c>
    </row>
    <row r="239" spans="1:40">
      <c r="A239" s="13" t="s">
        <v>429</v>
      </c>
      <c r="B239" s="13"/>
      <c r="C239" s="13" t="s">
        <v>428</v>
      </c>
      <c r="D239" s="13"/>
      <c r="E239" s="32">
        <v>45245</v>
      </c>
      <c r="G239" s="8">
        <v>4084056</v>
      </c>
      <c r="I239" s="8">
        <v>0</v>
      </c>
      <c r="K239" s="8">
        <v>11474084</v>
      </c>
      <c r="M239" s="8">
        <v>121191</v>
      </c>
      <c r="O239" s="8">
        <v>124009</v>
      </c>
      <c r="Q239" s="8">
        <v>9774</v>
      </c>
      <c r="S239" s="8">
        <v>0</v>
      </c>
      <c r="U239" s="8">
        <v>0</v>
      </c>
      <c r="W239" s="8">
        <f>17843+13656</f>
        <v>31499</v>
      </c>
      <c r="Y239" s="3">
        <f t="shared" si="17"/>
        <v>15844613</v>
      </c>
      <c r="AA239" s="8">
        <v>0</v>
      </c>
      <c r="AE239" s="8">
        <v>0</v>
      </c>
      <c r="AG239" s="8">
        <v>0</v>
      </c>
      <c r="AK239" s="8">
        <f t="shared" si="18"/>
        <v>0</v>
      </c>
      <c r="AM239" s="8">
        <f t="shared" si="19"/>
        <v>15844613</v>
      </c>
    </row>
    <row r="240" spans="1:40">
      <c r="A240" s="13" t="s">
        <v>473</v>
      </c>
      <c r="B240" s="13"/>
      <c r="C240" s="13" t="s">
        <v>42</v>
      </c>
      <c r="D240" s="13"/>
      <c r="E240" s="32">
        <v>44115</v>
      </c>
      <c r="G240" s="8">
        <v>8127933</v>
      </c>
      <c r="I240" s="8">
        <v>0</v>
      </c>
      <c r="K240" s="8">
        <v>6083705</v>
      </c>
      <c r="M240" s="8">
        <v>43230</v>
      </c>
      <c r="O240" s="8">
        <v>93116</v>
      </c>
      <c r="Q240" s="8">
        <v>0</v>
      </c>
      <c r="S240" s="8">
        <v>0</v>
      </c>
      <c r="U240" s="8">
        <v>0</v>
      </c>
      <c r="W240" s="8">
        <v>347387</v>
      </c>
      <c r="Y240" s="3">
        <f t="shared" si="17"/>
        <v>14695371</v>
      </c>
      <c r="AA240" s="8">
        <v>0</v>
      </c>
      <c r="AE240" s="8">
        <v>248060</v>
      </c>
      <c r="AG240" s="8">
        <v>0</v>
      </c>
      <c r="AK240" s="8">
        <f t="shared" si="18"/>
        <v>248060</v>
      </c>
      <c r="AM240" s="8">
        <f t="shared" si="19"/>
        <v>14943431</v>
      </c>
    </row>
    <row r="241" spans="1:39" hidden="1">
      <c r="A241" s="12" t="s">
        <v>945</v>
      </c>
      <c r="B241" s="13"/>
      <c r="C241" s="13" t="s">
        <v>22</v>
      </c>
      <c r="D241" s="13"/>
      <c r="E241" s="32">
        <v>45419</v>
      </c>
      <c r="G241" s="8">
        <v>1516995</v>
      </c>
      <c r="I241" s="8">
        <v>1366355</v>
      </c>
      <c r="K241" s="8">
        <v>4703525</v>
      </c>
      <c r="M241" s="8">
        <v>88197</v>
      </c>
      <c r="O241" s="8">
        <v>280877</v>
      </c>
      <c r="U241" s="8">
        <v>48267</v>
      </c>
      <c r="W241" s="8">
        <v>12649</v>
      </c>
      <c r="Y241" s="3">
        <f t="shared" si="17"/>
        <v>8016865</v>
      </c>
      <c r="AK241" s="8">
        <f t="shared" si="18"/>
        <v>0</v>
      </c>
      <c r="AM241" s="8">
        <f t="shared" si="19"/>
        <v>8016865</v>
      </c>
    </row>
    <row r="242" spans="1:39">
      <c r="A242" s="13" t="s">
        <v>528</v>
      </c>
      <c r="B242" s="13"/>
      <c r="C242" s="13" t="s">
        <v>47</v>
      </c>
      <c r="D242" s="13"/>
      <c r="E242" s="32">
        <v>48496</v>
      </c>
      <c r="G242" s="8">
        <v>16073732</v>
      </c>
      <c r="I242" s="8">
        <v>0</v>
      </c>
      <c r="K242" s="8">
        <v>7647950</v>
      </c>
      <c r="M242" s="8">
        <v>378892</v>
      </c>
      <c r="O242" s="8">
        <v>232310</v>
      </c>
      <c r="Q242" s="8">
        <v>44781</v>
      </c>
      <c r="S242" s="8">
        <v>0</v>
      </c>
      <c r="U242" s="8">
        <v>21670</v>
      </c>
      <c r="W242" s="8">
        <f>9843+233647</f>
        <v>243490</v>
      </c>
      <c r="Y242" s="3">
        <f t="shared" si="17"/>
        <v>24642825</v>
      </c>
      <c r="AA242" s="8">
        <v>0</v>
      </c>
      <c r="AE242" s="8">
        <v>0</v>
      </c>
      <c r="AG242" s="8">
        <v>0</v>
      </c>
      <c r="AK242" s="8">
        <f t="shared" si="18"/>
        <v>0</v>
      </c>
      <c r="AM242" s="8">
        <f t="shared" si="19"/>
        <v>24642825</v>
      </c>
    </row>
    <row r="243" spans="1:39">
      <c r="A243" s="13" t="s">
        <v>528</v>
      </c>
      <c r="B243" s="13"/>
      <c r="C243" s="13" t="s">
        <v>78</v>
      </c>
      <c r="D243" s="13"/>
      <c r="E243" s="32">
        <v>48801</v>
      </c>
      <c r="G243" s="8">
        <v>2521582</v>
      </c>
      <c r="I243" s="8">
        <v>929605</v>
      </c>
      <c r="K243" s="8">
        <v>9397881</v>
      </c>
      <c r="M243" s="8">
        <v>161515</v>
      </c>
      <c r="O243" s="8">
        <v>22</v>
      </c>
      <c r="Q243" s="8">
        <v>27754</v>
      </c>
      <c r="S243" s="8">
        <v>0</v>
      </c>
      <c r="U243" s="8">
        <v>0</v>
      </c>
      <c r="W243" s="8">
        <v>191458</v>
      </c>
      <c r="Y243" s="3">
        <f t="shared" si="17"/>
        <v>13229817</v>
      </c>
      <c r="AA243" s="8">
        <v>0</v>
      </c>
      <c r="AE243" s="8">
        <v>0</v>
      </c>
      <c r="AG243" s="8">
        <v>0</v>
      </c>
      <c r="AK243" s="8">
        <f t="shared" si="18"/>
        <v>0</v>
      </c>
      <c r="AM243" s="8">
        <f t="shared" si="19"/>
        <v>13229817</v>
      </c>
    </row>
    <row r="244" spans="1:39">
      <c r="A244" s="13" t="s">
        <v>360</v>
      </c>
      <c r="B244" s="13"/>
      <c r="C244" s="13" t="s">
        <v>27</v>
      </c>
      <c r="D244" s="13"/>
      <c r="E244" s="32">
        <v>47019</v>
      </c>
      <c r="G244" s="8">
        <v>102805686</v>
      </c>
      <c r="I244" s="8">
        <v>0</v>
      </c>
      <c r="K244" s="8">
        <f>56065998+388920</f>
        <v>56454918</v>
      </c>
      <c r="M244" s="8">
        <v>1144808</v>
      </c>
      <c r="O244" s="8">
        <v>333784</v>
      </c>
      <c r="Q244" s="8">
        <v>0</v>
      </c>
      <c r="S244" s="8">
        <v>0</v>
      </c>
      <c r="U244" s="8">
        <v>0</v>
      </c>
      <c r="W244" s="8">
        <f>2859855+26773+903599</f>
        <v>3790227</v>
      </c>
      <c r="Y244" s="3">
        <f t="shared" si="17"/>
        <v>164529423</v>
      </c>
      <c r="AA244" s="8">
        <v>659993</v>
      </c>
      <c r="AE244" s="8">
        <v>213591</v>
      </c>
      <c r="AG244" s="8">
        <v>0</v>
      </c>
      <c r="AK244" s="8">
        <f t="shared" si="18"/>
        <v>873584</v>
      </c>
      <c r="AM244" s="8">
        <f t="shared" si="19"/>
        <v>165403007</v>
      </c>
    </row>
    <row r="245" spans="1:39">
      <c r="A245" s="13" t="s">
        <v>438</v>
      </c>
      <c r="B245" s="13"/>
      <c r="C245" s="13" t="s">
        <v>435</v>
      </c>
      <c r="D245" s="13"/>
      <c r="E245" s="32">
        <v>44123</v>
      </c>
      <c r="G245" s="8">
        <v>7605218</v>
      </c>
      <c r="I245" s="8">
        <v>0</v>
      </c>
      <c r="K245" s="8">
        <v>13301476</v>
      </c>
      <c r="M245" s="8">
        <v>131626</v>
      </c>
      <c r="O245" s="8">
        <v>868145</v>
      </c>
      <c r="Q245" s="8">
        <v>0</v>
      </c>
      <c r="S245" s="8">
        <v>0</v>
      </c>
      <c r="U245" s="8">
        <v>0</v>
      </c>
      <c r="W245" s="8">
        <f>2249+64411</f>
        <v>66660</v>
      </c>
      <c r="Y245" s="3">
        <f t="shared" si="17"/>
        <v>21973125</v>
      </c>
      <c r="AA245" s="8">
        <v>0</v>
      </c>
      <c r="AE245" s="8">
        <v>0</v>
      </c>
      <c r="AG245" s="8">
        <v>4295</v>
      </c>
      <c r="AK245" s="8">
        <f t="shared" si="18"/>
        <v>4295</v>
      </c>
      <c r="AM245" s="8">
        <f t="shared" si="19"/>
        <v>21977420</v>
      </c>
    </row>
    <row r="246" spans="1:39">
      <c r="A246" s="13"/>
      <c r="B246" s="13"/>
      <c r="C246" s="13"/>
      <c r="D246" s="13"/>
      <c r="E246" s="32"/>
      <c r="Y246" s="3"/>
    </row>
    <row r="247" spans="1:39">
      <c r="A247" s="13"/>
      <c r="B247" s="13"/>
      <c r="C247" s="13"/>
      <c r="D247" s="13"/>
      <c r="E247" s="32"/>
      <c r="Y247" s="3"/>
      <c r="AM247" s="8" t="s">
        <v>805</v>
      </c>
    </row>
    <row r="248" spans="1:39">
      <c r="A248" s="13"/>
      <c r="B248" s="13"/>
      <c r="C248" s="13"/>
      <c r="D248" s="13"/>
      <c r="E248" s="32"/>
      <c r="Y248" s="3"/>
    </row>
    <row r="249" spans="1:39">
      <c r="A249" s="13" t="s">
        <v>214</v>
      </c>
      <c r="B249" s="13"/>
      <c r="C249" s="13" t="s">
        <v>11</v>
      </c>
      <c r="D249" s="13"/>
      <c r="E249" s="32">
        <v>45823</v>
      </c>
      <c r="F249" s="11"/>
      <c r="G249" s="35">
        <v>4478440</v>
      </c>
      <c r="H249" s="35"/>
      <c r="I249" s="35">
        <v>0</v>
      </c>
      <c r="K249" s="35">
        <v>4770947</v>
      </c>
      <c r="L249" s="35"/>
      <c r="M249" s="35">
        <v>25794</v>
      </c>
      <c r="N249" s="35"/>
      <c r="O249" s="35">
        <v>378926</v>
      </c>
      <c r="P249" s="35"/>
      <c r="Q249" s="35">
        <v>0</v>
      </c>
      <c r="R249" s="35"/>
      <c r="S249" s="35">
        <v>0</v>
      </c>
      <c r="T249" s="35"/>
      <c r="U249" s="35">
        <v>1150</v>
      </c>
      <c r="V249" s="35"/>
      <c r="W249" s="35">
        <f>6986+19157</f>
        <v>26143</v>
      </c>
      <c r="X249" s="35"/>
      <c r="Y249" s="42">
        <f t="shared" si="17"/>
        <v>9681400</v>
      </c>
      <c r="Z249" s="35"/>
      <c r="AA249" s="35">
        <v>0</v>
      </c>
      <c r="AB249" s="35"/>
      <c r="AC249" s="35"/>
      <c r="AD249" s="35"/>
      <c r="AE249" s="35">
        <v>0</v>
      </c>
      <c r="AF249" s="35"/>
      <c r="AG249" s="35">
        <v>2118</v>
      </c>
      <c r="AH249" s="35"/>
      <c r="AI249" s="35"/>
      <c r="AJ249" s="35"/>
      <c r="AK249" s="35">
        <f t="shared" si="18"/>
        <v>2118</v>
      </c>
      <c r="AL249" s="35"/>
      <c r="AM249" s="35">
        <f t="shared" si="19"/>
        <v>9683518</v>
      </c>
    </row>
    <row r="250" spans="1:39">
      <c r="A250" s="13" t="s">
        <v>430</v>
      </c>
      <c r="B250" s="13"/>
      <c r="C250" s="13" t="s">
        <v>34</v>
      </c>
      <c r="D250" s="13"/>
      <c r="E250" s="32">
        <v>47571</v>
      </c>
      <c r="G250" s="8">
        <v>805100</v>
      </c>
      <c r="I250" s="8">
        <v>676132</v>
      </c>
      <c r="K250" s="8">
        <v>2586143</v>
      </c>
      <c r="M250" s="8">
        <v>92261</v>
      </c>
      <c r="O250" s="8">
        <v>416839</v>
      </c>
      <c r="Q250" s="8">
        <v>24093</v>
      </c>
      <c r="S250" s="8">
        <v>1587</v>
      </c>
      <c r="U250" s="8">
        <v>1727</v>
      </c>
      <c r="W250" s="8">
        <v>45830</v>
      </c>
      <c r="Y250" s="3">
        <f t="shared" si="17"/>
        <v>4649712</v>
      </c>
      <c r="AA250" s="8">
        <v>0</v>
      </c>
      <c r="AE250" s="8">
        <v>0</v>
      </c>
      <c r="AG250" s="8">
        <v>0</v>
      </c>
      <c r="AK250" s="8">
        <f t="shared" si="18"/>
        <v>0</v>
      </c>
      <c r="AM250" s="8">
        <f t="shared" si="19"/>
        <v>4649712</v>
      </c>
    </row>
    <row r="251" spans="1:39">
      <c r="A251" s="13" t="s">
        <v>680</v>
      </c>
      <c r="B251" s="13"/>
      <c r="C251" s="13" t="s">
        <v>64</v>
      </c>
      <c r="D251" s="13"/>
      <c r="E251" s="32">
        <v>50161</v>
      </c>
      <c r="G251" s="8">
        <v>17042213</v>
      </c>
      <c r="I251" s="8">
        <v>0</v>
      </c>
      <c r="K251" s="8">
        <v>10970225</v>
      </c>
      <c r="M251" s="8">
        <v>98089</v>
      </c>
      <c r="O251" s="8">
        <v>1236170</v>
      </c>
      <c r="Q251" s="8">
        <v>9875</v>
      </c>
      <c r="S251" s="8">
        <v>0</v>
      </c>
      <c r="U251" s="8">
        <v>0</v>
      </c>
      <c r="W251" s="8">
        <f>110289+65767+19253</f>
        <v>195309</v>
      </c>
      <c r="Y251" s="3">
        <f t="shared" si="17"/>
        <v>29551881</v>
      </c>
      <c r="AA251" s="8">
        <v>0</v>
      </c>
      <c r="AE251" s="8">
        <v>0</v>
      </c>
      <c r="AG251" s="8">
        <v>0</v>
      </c>
      <c r="AK251" s="8">
        <f t="shared" si="18"/>
        <v>0</v>
      </c>
      <c r="AM251" s="8">
        <f t="shared" si="19"/>
        <v>29551881</v>
      </c>
    </row>
    <row r="252" spans="1:39">
      <c r="A252" s="13" t="s">
        <v>681</v>
      </c>
      <c r="B252" s="13"/>
      <c r="C252" s="13" t="s">
        <v>64</v>
      </c>
      <c r="D252" s="13"/>
      <c r="E252" s="32">
        <v>45427</v>
      </c>
      <c r="G252" s="8">
        <v>6067701</v>
      </c>
      <c r="I252" s="8">
        <v>0</v>
      </c>
      <c r="K252" s="8">
        <v>11061088</v>
      </c>
      <c r="M252" s="8">
        <v>492401</v>
      </c>
      <c r="O252" s="8">
        <v>791706</v>
      </c>
      <c r="Q252" s="8">
        <v>1440</v>
      </c>
      <c r="S252" s="8">
        <v>0</v>
      </c>
      <c r="U252" s="8">
        <v>1526</v>
      </c>
      <c r="W252" s="8">
        <f>433030+56669</f>
        <v>489699</v>
      </c>
      <c r="Y252" s="3">
        <f t="shared" si="17"/>
        <v>18905561</v>
      </c>
      <c r="AA252" s="8">
        <v>0</v>
      </c>
      <c r="AE252" s="8">
        <v>0</v>
      </c>
      <c r="AG252" s="8">
        <v>0</v>
      </c>
      <c r="AK252" s="8">
        <f t="shared" si="18"/>
        <v>0</v>
      </c>
      <c r="AM252" s="8">
        <f t="shared" si="19"/>
        <v>18905561</v>
      </c>
    </row>
    <row r="253" spans="1:39">
      <c r="A253" s="13" t="s">
        <v>547</v>
      </c>
      <c r="B253" s="13"/>
      <c r="C253" s="13" t="s">
        <v>50</v>
      </c>
      <c r="D253" s="13"/>
      <c r="E253" s="32">
        <v>48751</v>
      </c>
      <c r="G253" s="8">
        <v>26821310</v>
      </c>
      <c r="I253" s="8">
        <v>0</v>
      </c>
      <c r="K253" s="8">
        <f>33146673+126285</f>
        <v>33272958</v>
      </c>
      <c r="M253" s="8">
        <v>467026</v>
      </c>
      <c r="O253" s="8">
        <v>487549</v>
      </c>
      <c r="Q253" s="8">
        <v>156782</v>
      </c>
      <c r="S253" s="8">
        <v>0</v>
      </c>
      <c r="U253" s="8">
        <v>0</v>
      </c>
      <c r="W253" s="8">
        <f>377879+168916+253295</f>
        <v>800090</v>
      </c>
      <c r="Y253" s="3">
        <f t="shared" si="17"/>
        <v>62005715</v>
      </c>
      <c r="AA253" s="8">
        <v>0</v>
      </c>
      <c r="AE253" s="8">
        <v>0</v>
      </c>
      <c r="AG253" s="8">
        <v>0</v>
      </c>
      <c r="AK253" s="8">
        <f t="shared" si="18"/>
        <v>0</v>
      </c>
      <c r="AM253" s="8">
        <f t="shared" si="19"/>
        <v>62005715</v>
      </c>
    </row>
    <row r="254" spans="1:39">
      <c r="A254" s="13" t="s">
        <v>666</v>
      </c>
      <c r="B254" s="13"/>
      <c r="C254" s="13" t="s">
        <v>63</v>
      </c>
      <c r="D254" s="13"/>
      <c r="E254" s="32">
        <v>50021</v>
      </c>
      <c r="G254" s="8">
        <v>38130795</v>
      </c>
      <c r="I254" s="8">
        <v>0</v>
      </c>
      <c r="K254" s="8">
        <f>267000+19324713</f>
        <v>19591713</v>
      </c>
      <c r="M254" s="8">
        <v>578628</v>
      </c>
      <c r="O254" s="8">
        <v>122188</v>
      </c>
      <c r="Q254" s="8">
        <v>193530</v>
      </c>
      <c r="S254" s="8">
        <v>0</v>
      </c>
      <c r="U254" s="8">
        <v>0</v>
      </c>
      <c r="W254" s="8">
        <f>112913+42297+34300</f>
        <v>189510</v>
      </c>
      <c r="Y254" s="3">
        <f t="shared" si="17"/>
        <v>58806364</v>
      </c>
      <c r="AA254" s="8">
        <v>0</v>
      </c>
      <c r="AE254" s="8">
        <v>0</v>
      </c>
      <c r="AG254" s="8">
        <v>0</v>
      </c>
      <c r="AK254" s="8">
        <f t="shared" si="18"/>
        <v>0</v>
      </c>
      <c r="AM254" s="8">
        <f t="shared" si="19"/>
        <v>58806364</v>
      </c>
    </row>
    <row r="255" spans="1:39">
      <c r="A255" s="13" t="s">
        <v>618</v>
      </c>
      <c r="B255" s="13"/>
      <c r="C255" s="13" t="s">
        <v>58</v>
      </c>
      <c r="D255" s="13"/>
      <c r="E255" s="32">
        <v>49502</v>
      </c>
      <c r="G255" s="8">
        <v>1088037</v>
      </c>
      <c r="I255" s="8">
        <v>0</v>
      </c>
      <c r="K255" s="8">
        <v>8638255</v>
      </c>
      <c r="M255" s="8">
        <v>37889</v>
      </c>
      <c r="O255" s="8">
        <v>13353</v>
      </c>
      <c r="Q255" s="8">
        <v>29735</v>
      </c>
      <c r="S255" s="8">
        <v>0</v>
      </c>
      <c r="U255" s="8">
        <v>0</v>
      </c>
      <c r="W255" s="8">
        <f>161593+19442+8700</f>
        <v>189735</v>
      </c>
      <c r="Y255" s="3">
        <f t="shared" si="17"/>
        <v>9997004</v>
      </c>
      <c r="AA255" s="8">
        <v>0</v>
      </c>
      <c r="AE255" s="8">
        <v>0</v>
      </c>
      <c r="AG255" s="8">
        <v>6770</v>
      </c>
      <c r="AK255" s="8">
        <f t="shared" si="18"/>
        <v>6770</v>
      </c>
      <c r="AM255" s="8">
        <f t="shared" si="19"/>
        <v>10003774</v>
      </c>
    </row>
    <row r="256" spans="1:39">
      <c r="A256" s="13" t="s">
        <v>337</v>
      </c>
      <c r="B256" s="13"/>
      <c r="C256" s="13" t="s">
        <v>24</v>
      </c>
      <c r="D256" s="13"/>
      <c r="E256" s="32">
        <v>44131</v>
      </c>
      <c r="G256" s="8">
        <v>10081221</v>
      </c>
      <c r="I256" s="8">
        <v>0</v>
      </c>
      <c r="K256" s="8">
        <v>5197957</v>
      </c>
      <c r="M256" s="8">
        <v>0</v>
      </c>
      <c r="O256" s="8">
        <v>110352</v>
      </c>
      <c r="Q256" s="8">
        <v>124263</v>
      </c>
      <c r="S256" s="8">
        <v>0</v>
      </c>
      <c r="U256" s="8">
        <v>0</v>
      </c>
      <c r="W256" s="8">
        <f>28387+49877+63725+246</f>
        <v>142235</v>
      </c>
      <c r="Y256" s="3">
        <f t="shared" si="17"/>
        <v>15656028</v>
      </c>
      <c r="AA256" s="8">
        <v>0</v>
      </c>
      <c r="AE256" s="8">
        <v>0</v>
      </c>
      <c r="AG256" s="8">
        <v>0</v>
      </c>
      <c r="AK256" s="8">
        <f t="shared" si="18"/>
        <v>0</v>
      </c>
      <c r="AM256" s="8">
        <f t="shared" si="19"/>
        <v>15656028</v>
      </c>
    </row>
    <row r="257" spans="1:40">
      <c r="A257" s="13" t="s">
        <v>309</v>
      </c>
      <c r="B257" s="13"/>
      <c r="C257" s="13" t="s">
        <v>20</v>
      </c>
      <c r="D257" s="13"/>
      <c r="E257" s="32">
        <v>46565</v>
      </c>
      <c r="G257" s="8">
        <v>13081027</v>
      </c>
      <c r="I257" s="8">
        <v>0</v>
      </c>
      <c r="K257" s="8">
        <v>2516317</v>
      </c>
      <c r="M257" s="8">
        <v>46396</v>
      </c>
      <c r="O257" s="8">
        <v>120186</v>
      </c>
      <c r="Q257" s="8">
        <v>34937</v>
      </c>
      <c r="S257" s="8">
        <v>0</v>
      </c>
      <c r="U257" s="8">
        <v>500</v>
      </c>
      <c r="W257" s="8">
        <f>170697+500+61469</f>
        <v>232666</v>
      </c>
      <c r="Y257" s="3">
        <f t="shared" si="17"/>
        <v>16032029</v>
      </c>
      <c r="AA257" s="8">
        <v>0</v>
      </c>
      <c r="AE257" s="8">
        <v>0</v>
      </c>
      <c r="AG257" s="8">
        <v>181</v>
      </c>
      <c r="AK257" s="8">
        <f t="shared" si="18"/>
        <v>181</v>
      </c>
      <c r="AM257" s="8">
        <f t="shared" si="19"/>
        <v>16032210</v>
      </c>
    </row>
    <row r="258" spans="1:40">
      <c r="A258" s="13" t="s">
        <v>451</v>
      </c>
      <c r="B258" s="13"/>
      <c r="C258" s="13" t="s">
        <v>39</v>
      </c>
      <c r="D258" s="13"/>
      <c r="E258" s="32">
        <v>47803</v>
      </c>
      <c r="G258" s="8">
        <v>6716817</v>
      </c>
      <c r="I258" s="8">
        <v>0</v>
      </c>
      <c r="K258" s="8">
        <v>8684099</v>
      </c>
      <c r="M258" s="8">
        <v>23800</v>
      </c>
      <c r="O258" s="8">
        <v>1544156</v>
      </c>
      <c r="Q258" s="8">
        <v>571</v>
      </c>
      <c r="S258" s="8">
        <v>0</v>
      </c>
      <c r="U258" s="8">
        <v>22500</v>
      </c>
      <c r="W258" s="8">
        <f>16049+7437</f>
        <v>23486</v>
      </c>
      <c r="Y258" s="3">
        <f t="shared" si="17"/>
        <v>17015429</v>
      </c>
      <c r="AA258" s="8">
        <v>0</v>
      </c>
      <c r="AE258" s="8">
        <v>246138</v>
      </c>
      <c r="AG258" s="8">
        <v>0</v>
      </c>
      <c r="AK258" s="8">
        <f t="shared" si="18"/>
        <v>246138</v>
      </c>
      <c r="AM258" s="8">
        <f t="shared" si="19"/>
        <v>17261567</v>
      </c>
    </row>
    <row r="259" spans="1:40">
      <c r="A259" s="13" t="s">
        <v>395</v>
      </c>
      <c r="B259" s="13"/>
      <c r="C259" s="13" t="s">
        <v>32</v>
      </c>
      <c r="D259" s="13"/>
      <c r="E259" s="32">
        <v>45435</v>
      </c>
      <c r="G259" s="8">
        <v>24605211</v>
      </c>
      <c r="I259" s="8">
        <v>0</v>
      </c>
      <c r="K259" s="8">
        <f>2728216+5296177</f>
        <v>8024393</v>
      </c>
      <c r="M259" s="8">
        <v>466400</v>
      </c>
      <c r="O259" s="8">
        <v>17700</v>
      </c>
      <c r="Q259" s="8">
        <v>0</v>
      </c>
      <c r="S259" s="8">
        <v>0</v>
      </c>
      <c r="U259" s="8">
        <v>0</v>
      </c>
      <c r="W259" s="8">
        <f>21200+11260</f>
        <v>32460</v>
      </c>
      <c r="Y259" s="3">
        <f t="shared" si="17"/>
        <v>33146164</v>
      </c>
      <c r="AA259" s="8">
        <v>0</v>
      </c>
      <c r="AE259" s="8">
        <v>307000</v>
      </c>
      <c r="AG259" s="8">
        <v>0</v>
      </c>
      <c r="AK259" s="8">
        <f t="shared" si="18"/>
        <v>307000</v>
      </c>
      <c r="AM259" s="8">
        <f t="shared" si="19"/>
        <v>33453164</v>
      </c>
    </row>
    <row r="260" spans="1:40" hidden="1">
      <c r="A260" s="12" t="s">
        <v>947</v>
      </c>
      <c r="B260" s="12"/>
      <c r="C260" s="12" t="s">
        <v>43</v>
      </c>
      <c r="D260" s="13"/>
      <c r="E260" s="32"/>
      <c r="G260" s="8">
        <v>8613338</v>
      </c>
      <c r="K260" s="8">
        <v>6941642</v>
      </c>
      <c r="O260" s="8">
        <v>626922</v>
      </c>
      <c r="Q260" s="8">
        <v>55719</v>
      </c>
      <c r="W260" s="8">
        <f>38211+17974</f>
        <v>56185</v>
      </c>
      <c r="Y260" s="3">
        <f t="shared" si="17"/>
        <v>16293806</v>
      </c>
      <c r="AM260" s="8">
        <f t="shared" si="19"/>
        <v>16293806</v>
      </c>
    </row>
    <row r="261" spans="1:40">
      <c r="A261" s="13" t="s">
        <v>697</v>
      </c>
      <c r="B261" s="13"/>
      <c r="C261" s="13" t="s">
        <v>65</v>
      </c>
      <c r="D261" s="13"/>
      <c r="E261" s="32">
        <v>50286</v>
      </c>
      <c r="G261" s="8">
        <v>3727133</v>
      </c>
      <c r="I261" s="8">
        <v>0</v>
      </c>
      <c r="K261" s="8">
        <v>9120114</v>
      </c>
      <c r="M261" s="8">
        <v>0</v>
      </c>
      <c r="O261" s="8">
        <v>56392</v>
      </c>
      <c r="Q261" s="8">
        <v>1409333</v>
      </c>
      <c r="S261" s="8">
        <v>0</v>
      </c>
      <c r="U261" s="8">
        <v>59220</v>
      </c>
      <c r="W261" s="8">
        <f>5941+2726</f>
        <v>8667</v>
      </c>
      <c r="Y261" s="3">
        <f t="shared" si="17"/>
        <v>14380859</v>
      </c>
      <c r="AA261" s="8">
        <v>0</v>
      </c>
      <c r="AE261" s="8">
        <v>152878</v>
      </c>
      <c r="AG261" s="8">
        <v>0</v>
      </c>
      <c r="AK261" s="8">
        <f t="shared" si="18"/>
        <v>152878</v>
      </c>
      <c r="AM261" s="8">
        <f t="shared" si="19"/>
        <v>14533737</v>
      </c>
    </row>
    <row r="262" spans="1:40">
      <c r="A262" s="13" t="s">
        <v>469</v>
      </c>
      <c r="B262" s="13"/>
      <c r="C262" s="13" t="s">
        <v>466</v>
      </c>
      <c r="D262" s="13"/>
      <c r="E262" s="32">
        <v>44149</v>
      </c>
      <c r="G262" s="8">
        <v>2492474</v>
      </c>
      <c r="I262" s="8">
        <v>0</v>
      </c>
      <c r="K262" s="8">
        <v>8050140</v>
      </c>
      <c r="M262" s="8">
        <v>44940</v>
      </c>
      <c r="O262" s="8">
        <v>874364</v>
      </c>
      <c r="Q262" s="8">
        <v>0</v>
      </c>
      <c r="S262" s="8">
        <v>0</v>
      </c>
      <c r="U262" s="8">
        <v>0</v>
      </c>
      <c r="W262" s="8">
        <f>10250+42109</f>
        <v>52359</v>
      </c>
      <c r="Y262" s="3">
        <f t="shared" si="17"/>
        <v>11514277</v>
      </c>
      <c r="AA262" s="8">
        <v>0</v>
      </c>
      <c r="AE262" s="8">
        <v>0</v>
      </c>
      <c r="AG262" s="8">
        <v>0</v>
      </c>
      <c r="AK262" s="8">
        <f t="shared" si="18"/>
        <v>0</v>
      </c>
      <c r="AM262" s="8">
        <f t="shared" si="19"/>
        <v>11514277</v>
      </c>
    </row>
    <row r="263" spans="1:40" hidden="1">
      <c r="A263" s="12" t="s">
        <v>948</v>
      </c>
      <c r="B263" s="13"/>
      <c r="C263" s="13" t="s">
        <v>61</v>
      </c>
      <c r="D263" s="13"/>
      <c r="E263" s="32">
        <v>49809</v>
      </c>
      <c r="G263" s="8">
        <v>1636109</v>
      </c>
      <c r="K263" s="8">
        <f>2223691+3953</f>
        <v>2227644</v>
      </c>
      <c r="M263" s="8">
        <v>8472</v>
      </c>
      <c r="O263" s="8">
        <v>432873</v>
      </c>
      <c r="U263" s="8">
        <v>86486</v>
      </c>
      <c r="W263" s="8">
        <f>4053+56397+30571</f>
        <v>91021</v>
      </c>
      <c r="Y263" s="3">
        <f t="shared" si="17"/>
        <v>4482605</v>
      </c>
      <c r="AK263" s="8">
        <f t="shared" si="18"/>
        <v>0</v>
      </c>
      <c r="AM263" s="8">
        <f t="shared" si="19"/>
        <v>4482605</v>
      </c>
    </row>
    <row r="264" spans="1:40" hidden="1">
      <c r="A264" s="12" t="s">
        <v>982</v>
      </c>
      <c r="B264" s="13"/>
      <c r="C264" s="13" t="s">
        <v>38</v>
      </c>
      <c r="D264" s="13"/>
      <c r="E264" s="32"/>
      <c r="G264" s="8">
        <v>4823089</v>
      </c>
      <c r="K264" s="8">
        <v>14365763</v>
      </c>
      <c r="M264" s="8">
        <v>83410</v>
      </c>
      <c r="O264" s="8">
        <v>496226</v>
      </c>
      <c r="U264" s="8">
        <v>350</v>
      </c>
      <c r="W264" s="8">
        <f>8413+362731+13765</f>
        <v>384909</v>
      </c>
      <c r="Y264" s="3">
        <f>SUM(G264:X264)</f>
        <v>20153747</v>
      </c>
      <c r="AK264" s="8">
        <f>SUM(AA264:AJ264)</f>
        <v>0</v>
      </c>
      <c r="AM264" s="8">
        <f t="shared" si="19"/>
        <v>20153747</v>
      </c>
      <c r="AN264" s="8" t="s">
        <v>956</v>
      </c>
    </row>
    <row r="265" spans="1:40">
      <c r="A265" s="13" t="s">
        <v>652</v>
      </c>
      <c r="B265" s="13"/>
      <c r="C265" s="13" t="s">
        <v>62</v>
      </c>
      <c r="D265" s="13"/>
      <c r="E265" s="32">
        <v>49858</v>
      </c>
      <c r="G265" s="8">
        <v>32088131</v>
      </c>
      <c r="I265" s="8">
        <v>0</v>
      </c>
      <c r="K265" s="8">
        <f>65467+12461074+144435</f>
        <v>12670976</v>
      </c>
      <c r="M265" s="8">
        <v>414646</v>
      </c>
      <c r="O265" s="8">
        <v>231302</v>
      </c>
      <c r="Q265" s="8">
        <v>132325</v>
      </c>
      <c r="S265" s="8">
        <v>0</v>
      </c>
      <c r="U265" s="8">
        <v>3700</v>
      </c>
      <c r="W265" s="8">
        <f>127455+46318+30661+618152+12755</f>
        <v>835341</v>
      </c>
      <c r="Y265" s="3">
        <f t="shared" si="17"/>
        <v>46376421</v>
      </c>
      <c r="AA265" s="8">
        <v>0</v>
      </c>
      <c r="AE265" s="8">
        <v>0</v>
      </c>
      <c r="AG265" s="8">
        <v>7281</v>
      </c>
      <c r="AK265" s="8">
        <f t="shared" si="18"/>
        <v>7281</v>
      </c>
      <c r="AM265" s="8">
        <f t="shared" si="19"/>
        <v>46383702</v>
      </c>
    </row>
    <row r="266" spans="1:40">
      <c r="A266" s="13" t="s">
        <v>512</v>
      </c>
      <c r="B266" s="13"/>
      <c r="C266" s="13" t="s">
        <v>45</v>
      </c>
      <c r="D266" s="13"/>
      <c r="E266" s="32">
        <v>48322</v>
      </c>
      <c r="G266" s="8">
        <v>3244339</v>
      </c>
      <c r="I266" s="8">
        <v>0</v>
      </c>
      <c r="K266" s="8">
        <f>25906+3485757</f>
        <v>3511663</v>
      </c>
      <c r="M266" s="8">
        <v>15652</v>
      </c>
      <c r="O266" s="8">
        <v>413233</v>
      </c>
      <c r="Q266" s="8">
        <v>0</v>
      </c>
      <c r="S266" s="8">
        <v>0</v>
      </c>
      <c r="U266" s="8">
        <v>8800</v>
      </c>
      <c r="W266" s="8">
        <f>50680+1541</f>
        <v>52221</v>
      </c>
      <c r="Y266" s="3">
        <f t="shared" si="17"/>
        <v>7245908</v>
      </c>
      <c r="AA266" s="8">
        <v>0</v>
      </c>
      <c r="AE266" s="8">
        <v>0</v>
      </c>
      <c r="AG266" s="8">
        <v>0</v>
      </c>
      <c r="AK266" s="8">
        <f t="shared" si="18"/>
        <v>0</v>
      </c>
      <c r="AM266" s="8">
        <f t="shared" si="19"/>
        <v>7245908</v>
      </c>
    </row>
    <row r="267" spans="1:40">
      <c r="A267" s="13" t="s">
        <v>591</v>
      </c>
      <c r="B267" s="13"/>
      <c r="C267" s="13" t="s">
        <v>56</v>
      </c>
      <c r="D267" s="13"/>
      <c r="E267" s="32">
        <v>49205</v>
      </c>
      <c r="G267" s="8">
        <v>4314301</v>
      </c>
      <c r="I267" s="8">
        <v>0</v>
      </c>
      <c r="K267" s="8">
        <f>6784981+32206</f>
        <v>6817187</v>
      </c>
      <c r="M267" s="8">
        <v>41427</v>
      </c>
      <c r="O267" s="8">
        <v>1010420</v>
      </c>
      <c r="Q267" s="8">
        <v>0</v>
      </c>
      <c r="S267" s="8">
        <v>0</v>
      </c>
      <c r="U267" s="8">
        <v>0</v>
      </c>
      <c r="W267" s="8">
        <f>116156+1222+8961</f>
        <v>126339</v>
      </c>
      <c r="Y267" s="3">
        <f t="shared" si="17"/>
        <v>12309674</v>
      </c>
      <c r="AA267" s="8">
        <v>0</v>
      </c>
      <c r="AE267" s="8">
        <v>11197</v>
      </c>
      <c r="AG267" s="8">
        <v>0</v>
      </c>
      <c r="AK267" s="8">
        <f t="shared" si="18"/>
        <v>11197</v>
      </c>
      <c r="AM267" s="8">
        <f t="shared" si="19"/>
        <v>12320871</v>
      </c>
    </row>
    <row r="268" spans="1:40">
      <c r="A268" s="12" t="s">
        <v>984</v>
      </c>
      <c r="B268" s="13"/>
      <c r="C268" s="13" t="s">
        <v>12</v>
      </c>
      <c r="D268" s="13"/>
      <c r="E268" s="32">
        <v>45872</v>
      </c>
      <c r="F268" s="11"/>
      <c r="G268" s="8">
        <v>5142794</v>
      </c>
      <c r="I268" s="8">
        <v>0</v>
      </c>
      <c r="K268" s="8">
        <v>9559899</v>
      </c>
      <c r="M268" s="8">
        <v>22528</v>
      </c>
      <c r="O268" s="8">
        <v>613275</v>
      </c>
      <c r="Q268" s="8">
        <v>0</v>
      </c>
      <c r="S268" s="8">
        <v>0</v>
      </c>
      <c r="U268" s="8">
        <v>1550</v>
      </c>
      <c r="W268" s="8">
        <f>233382+640</f>
        <v>234022</v>
      </c>
      <c r="Y268" s="3">
        <f t="shared" si="17"/>
        <v>15574068</v>
      </c>
      <c r="AA268" s="8">
        <v>0</v>
      </c>
      <c r="AE268" s="8">
        <v>89628</v>
      </c>
      <c r="AG268" s="8">
        <v>0</v>
      </c>
      <c r="AK268" s="8">
        <f t="shared" si="18"/>
        <v>89628</v>
      </c>
      <c r="AM268" s="8">
        <f t="shared" si="19"/>
        <v>15663696</v>
      </c>
      <c r="AN268" s="8" t="s">
        <v>956</v>
      </c>
    </row>
    <row r="269" spans="1:40">
      <c r="A269" s="13" t="s">
        <v>504</v>
      </c>
      <c r="B269" s="13"/>
      <c r="C269" s="13" t="s">
        <v>505</v>
      </c>
      <c r="D269" s="13"/>
      <c r="E269" s="32">
        <v>48256</v>
      </c>
      <c r="G269" s="8">
        <v>4996233</v>
      </c>
      <c r="I269" s="8">
        <v>0</v>
      </c>
      <c r="K269" s="8">
        <v>4729295</v>
      </c>
      <c r="M269" s="8">
        <v>69911</v>
      </c>
      <c r="O269" s="8">
        <v>527308</v>
      </c>
      <c r="Q269" s="8">
        <v>0</v>
      </c>
      <c r="S269" s="8">
        <v>0</v>
      </c>
      <c r="U269" s="8">
        <v>0</v>
      </c>
      <c r="W269" s="8">
        <f>384304+4860</f>
        <v>389164</v>
      </c>
      <c r="Y269" s="3">
        <f t="shared" si="17"/>
        <v>10711911</v>
      </c>
      <c r="AA269" s="8">
        <v>0</v>
      </c>
      <c r="AE269" s="8">
        <v>0</v>
      </c>
      <c r="AG269" s="8">
        <v>0</v>
      </c>
      <c r="AK269" s="8">
        <f t="shared" si="18"/>
        <v>0</v>
      </c>
      <c r="AM269" s="8">
        <f t="shared" si="19"/>
        <v>10711911</v>
      </c>
    </row>
    <row r="270" spans="1:40">
      <c r="A270" s="12" t="s">
        <v>985</v>
      </c>
      <c r="B270" s="13"/>
      <c r="C270" s="13" t="s">
        <v>50</v>
      </c>
      <c r="D270" s="13"/>
      <c r="E270" s="32">
        <v>48686</v>
      </c>
      <c r="G270" s="8">
        <v>2698565</v>
      </c>
      <c r="I270" s="8">
        <v>0</v>
      </c>
      <c r="K270" s="8">
        <v>4199709</v>
      </c>
      <c r="M270" s="8">
        <v>12241</v>
      </c>
      <c r="O270" s="8">
        <v>558112</v>
      </c>
      <c r="Q270" s="8">
        <v>0</v>
      </c>
      <c r="S270" s="8">
        <v>0</v>
      </c>
      <c r="U270" s="8">
        <v>0</v>
      </c>
      <c r="W270" s="8">
        <f>39360+4498</f>
        <v>43858</v>
      </c>
      <c r="Y270" s="3">
        <f t="shared" si="17"/>
        <v>7512485</v>
      </c>
      <c r="AA270" s="8">
        <v>0</v>
      </c>
      <c r="AE270" s="8">
        <v>1500000</v>
      </c>
      <c r="AG270" s="8">
        <v>0</v>
      </c>
      <c r="AK270" s="8">
        <f t="shared" si="18"/>
        <v>1500000</v>
      </c>
      <c r="AM270" s="8">
        <f t="shared" si="19"/>
        <v>9012485</v>
      </c>
      <c r="AN270" s="8" t="s">
        <v>956</v>
      </c>
    </row>
    <row r="271" spans="1:40" hidden="1">
      <c r="A271" s="12" t="s">
        <v>949</v>
      </c>
      <c r="B271" s="12"/>
      <c r="C271" s="12" t="s">
        <v>603</v>
      </c>
      <c r="D271" s="13"/>
      <c r="E271" s="32"/>
      <c r="G271" s="8">
        <v>690873</v>
      </c>
      <c r="I271" s="8">
        <v>328249</v>
      </c>
      <c r="K271" s="8">
        <v>2068252</v>
      </c>
      <c r="M271" s="8">
        <v>13052</v>
      </c>
      <c r="O271" s="8">
        <v>403260</v>
      </c>
      <c r="W271" s="8">
        <v>16584</v>
      </c>
      <c r="Y271" s="3">
        <f t="shared" si="17"/>
        <v>3520270</v>
      </c>
      <c r="AM271" s="8">
        <f t="shared" si="19"/>
        <v>3520270</v>
      </c>
    </row>
    <row r="272" spans="1:40">
      <c r="A272" s="13" t="s">
        <v>474</v>
      </c>
      <c r="B272" s="13"/>
      <c r="C272" s="13" t="s">
        <v>42</v>
      </c>
      <c r="D272" s="13"/>
      <c r="E272" s="32">
        <v>47985</v>
      </c>
      <c r="G272" s="8">
        <v>6242862</v>
      </c>
      <c r="I272" s="8">
        <v>0</v>
      </c>
      <c r="K272" s="8">
        <v>5737728</v>
      </c>
      <c r="M272" s="8">
        <v>67777</v>
      </c>
      <c r="O272" s="8">
        <v>221247</v>
      </c>
      <c r="Q272" s="8">
        <v>0</v>
      </c>
      <c r="S272" s="8">
        <v>0</v>
      </c>
      <c r="U272" s="8">
        <v>0</v>
      </c>
      <c r="W272" s="8">
        <v>25574</v>
      </c>
      <c r="Y272" s="3">
        <f t="shared" si="17"/>
        <v>12295188</v>
      </c>
      <c r="AA272" s="8">
        <v>0</v>
      </c>
      <c r="AE272" s="8">
        <v>0</v>
      </c>
      <c r="AG272" s="8">
        <v>746</v>
      </c>
      <c r="AK272" s="8">
        <f t="shared" si="18"/>
        <v>746</v>
      </c>
      <c r="AM272" s="8">
        <f t="shared" si="19"/>
        <v>12295934</v>
      </c>
    </row>
    <row r="273" spans="1:40">
      <c r="A273" s="13" t="s">
        <v>506</v>
      </c>
      <c r="B273" s="13"/>
      <c r="C273" s="13" t="s">
        <v>505</v>
      </c>
      <c r="D273" s="13"/>
      <c r="E273" s="32">
        <v>48264</v>
      </c>
      <c r="G273" s="8">
        <v>6953344</v>
      </c>
      <c r="I273" s="8">
        <v>0</v>
      </c>
      <c r="K273" s="8">
        <v>7957165</v>
      </c>
      <c r="M273" s="8">
        <v>16754</v>
      </c>
      <c r="O273" s="8">
        <v>710767</v>
      </c>
      <c r="Q273" s="8">
        <v>4185</v>
      </c>
      <c r="S273" s="8">
        <v>0</v>
      </c>
      <c r="U273" s="8">
        <v>0</v>
      </c>
      <c r="W273" s="8">
        <f>23856+121157</f>
        <v>145013</v>
      </c>
      <c r="Y273" s="3">
        <f t="shared" si="17"/>
        <v>15787228</v>
      </c>
      <c r="AA273" s="8">
        <v>0</v>
      </c>
      <c r="AE273" s="8">
        <v>0</v>
      </c>
      <c r="AG273" s="8">
        <v>0</v>
      </c>
      <c r="AK273" s="8">
        <f t="shared" si="18"/>
        <v>0</v>
      </c>
      <c r="AM273" s="8">
        <f t="shared" si="19"/>
        <v>15787228</v>
      </c>
    </row>
    <row r="274" spans="1:40">
      <c r="A274" s="13" t="s">
        <v>682</v>
      </c>
      <c r="B274" s="13"/>
      <c r="C274" s="13" t="s">
        <v>64</v>
      </c>
      <c r="D274" s="13"/>
      <c r="E274" s="32">
        <v>50179</v>
      </c>
      <c r="G274" s="8">
        <v>2805583</v>
      </c>
      <c r="I274" s="8">
        <v>0</v>
      </c>
      <c r="K274" s="8">
        <v>4905278</v>
      </c>
      <c r="M274" s="8">
        <v>43782</v>
      </c>
      <c r="O274" s="8">
        <v>224131</v>
      </c>
      <c r="Q274" s="8">
        <v>0</v>
      </c>
      <c r="S274" s="8">
        <v>0</v>
      </c>
      <c r="U274" s="8">
        <v>31859</v>
      </c>
      <c r="W274" s="8">
        <f>39310+37317</f>
        <v>76627</v>
      </c>
      <c r="Y274" s="3">
        <f t="shared" si="17"/>
        <v>8087260</v>
      </c>
      <c r="AA274" s="8">
        <v>0</v>
      </c>
      <c r="AE274" s="8">
        <v>22550</v>
      </c>
      <c r="AG274" s="8">
        <v>0</v>
      </c>
      <c r="AK274" s="8">
        <f t="shared" si="18"/>
        <v>22550</v>
      </c>
      <c r="AM274" s="8">
        <f t="shared" si="19"/>
        <v>8109810</v>
      </c>
    </row>
    <row r="275" spans="1:40">
      <c r="A275" s="13" t="s">
        <v>338</v>
      </c>
      <c r="B275" s="13"/>
      <c r="C275" s="13" t="s">
        <v>24</v>
      </c>
      <c r="D275" s="13"/>
      <c r="E275" s="32">
        <v>46797</v>
      </c>
      <c r="G275" s="8">
        <v>913525</v>
      </c>
      <c r="I275" s="8">
        <v>0</v>
      </c>
      <c r="K275" s="8">
        <v>118382</v>
      </c>
      <c r="M275" s="8">
        <v>6131</v>
      </c>
      <c r="O275" s="8">
        <v>0</v>
      </c>
      <c r="Q275" s="8">
        <v>0</v>
      </c>
      <c r="S275" s="8">
        <v>0</v>
      </c>
      <c r="U275" s="8">
        <v>0</v>
      </c>
      <c r="W275" s="8">
        <v>286</v>
      </c>
      <c r="Y275" s="3">
        <f t="shared" si="17"/>
        <v>1038324</v>
      </c>
      <c r="AA275" s="8">
        <v>0</v>
      </c>
      <c r="AE275" s="8">
        <v>0</v>
      </c>
      <c r="AG275" s="8">
        <v>0</v>
      </c>
      <c r="AK275" s="8">
        <f t="shared" si="18"/>
        <v>0</v>
      </c>
      <c r="AM275" s="8">
        <f t="shared" si="19"/>
        <v>1038324</v>
      </c>
    </row>
    <row r="276" spans="1:40">
      <c r="A276" s="13" t="s">
        <v>380</v>
      </c>
      <c r="B276" s="13"/>
      <c r="C276" s="13" t="s">
        <v>30</v>
      </c>
      <c r="D276" s="13"/>
      <c r="E276" s="32">
        <v>47191</v>
      </c>
      <c r="G276" s="8">
        <v>23576312</v>
      </c>
      <c r="I276" s="8">
        <v>0</v>
      </c>
      <c r="K276" s="8">
        <v>9893751</v>
      </c>
      <c r="M276" s="8">
        <v>213307</v>
      </c>
      <c r="O276" s="8">
        <v>167908</v>
      </c>
      <c r="Q276" s="8">
        <v>0</v>
      </c>
      <c r="S276" s="8">
        <v>0</v>
      </c>
      <c r="U276" s="8">
        <v>0</v>
      </c>
      <c r="W276" s="8">
        <v>37627</v>
      </c>
      <c r="Y276" s="3">
        <f t="shared" si="17"/>
        <v>33888905</v>
      </c>
      <c r="AA276" s="8">
        <v>0</v>
      </c>
      <c r="AE276" s="8">
        <v>0</v>
      </c>
      <c r="AG276" s="8">
        <v>0</v>
      </c>
      <c r="AK276" s="8">
        <f t="shared" si="18"/>
        <v>0</v>
      </c>
      <c r="AM276" s="8">
        <f t="shared" si="19"/>
        <v>33888905</v>
      </c>
    </row>
    <row r="277" spans="1:40">
      <c r="A277" s="13" t="s">
        <v>592</v>
      </c>
      <c r="B277" s="13"/>
      <c r="C277" s="13" t="s">
        <v>56</v>
      </c>
      <c r="D277" s="13"/>
      <c r="E277" s="32">
        <v>44164</v>
      </c>
      <c r="G277" s="8">
        <v>21646598</v>
      </c>
      <c r="I277" s="8">
        <v>0</v>
      </c>
      <c r="K277" s="8">
        <v>18071309</v>
      </c>
      <c r="M277" s="8">
        <v>442026</v>
      </c>
      <c r="O277" s="8">
        <v>2548344</v>
      </c>
      <c r="Q277" s="8">
        <v>0</v>
      </c>
      <c r="S277" s="8">
        <v>0</v>
      </c>
      <c r="U277" s="8">
        <v>15261</v>
      </c>
      <c r="W277" s="8">
        <f>188075+156754+54418</f>
        <v>399247</v>
      </c>
      <c r="Y277" s="3">
        <f t="shared" si="17"/>
        <v>43122785</v>
      </c>
      <c r="AA277" s="8">
        <v>0</v>
      </c>
      <c r="AE277" s="8">
        <v>0</v>
      </c>
      <c r="AG277" s="8">
        <v>0</v>
      </c>
      <c r="AK277" s="8">
        <f t="shared" si="18"/>
        <v>0</v>
      </c>
      <c r="AM277" s="8">
        <f t="shared" si="19"/>
        <v>43122785</v>
      </c>
    </row>
    <row r="278" spans="1:40">
      <c r="A278" s="13" t="s">
        <v>423</v>
      </c>
      <c r="B278" s="13"/>
      <c r="C278" s="13" t="s">
        <v>421</v>
      </c>
      <c r="D278" s="13"/>
      <c r="E278" s="32">
        <v>44172</v>
      </c>
      <c r="G278" s="8">
        <v>3778081</v>
      </c>
      <c r="I278" s="8">
        <v>1753019</v>
      </c>
      <c r="K278" s="8">
        <v>10017312</v>
      </c>
      <c r="M278" s="8">
        <v>92251</v>
      </c>
      <c r="O278" s="8">
        <v>761455</v>
      </c>
      <c r="Q278" s="8">
        <v>0</v>
      </c>
      <c r="S278" s="8">
        <v>0</v>
      </c>
      <c r="U278" s="8">
        <v>0</v>
      </c>
      <c r="W278" s="8">
        <v>29862</v>
      </c>
      <c r="Y278" s="3">
        <f t="shared" si="17"/>
        <v>16431980</v>
      </c>
      <c r="AA278" s="8">
        <v>0</v>
      </c>
      <c r="AE278" s="8">
        <v>0</v>
      </c>
      <c r="AG278" s="8">
        <v>0</v>
      </c>
      <c r="AK278" s="8">
        <f t="shared" si="18"/>
        <v>0</v>
      </c>
      <c r="AM278" s="8">
        <f t="shared" si="19"/>
        <v>16431980</v>
      </c>
    </row>
    <row r="279" spans="1:40">
      <c r="A279" s="13" t="s">
        <v>549</v>
      </c>
      <c r="B279" s="13"/>
      <c r="C279" s="13" t="s">
        <v>50</v>
      </c>
      <c r="D279" s="13"/>
      <c r="E279" s="32">
        <v>44180</v>
      </c>
      <c r="G279" s="8">
        <v>51352604</v>
      </c>
      <c r="I279" s="8">
        <v>0</v>
      </c>
      <c r="K279" s="8">
        <v>25843256</v>
      </c>
      <c r="M279" s="8">
        <v>660051</v>
      </c>
      <c r="O279" s="8">
        <v>263480</v>
      </c>
      <c r="Q279" s="8">
        <v>54825</v>
      </c>
      <c r="S279" s="8">
        <v>0</v>
      </c>
      <c r="U279" s="8">
        <v>0</v>
      </c>
      <c r="W279" s="8">
        <f>426270+4496+74964</f>
        <v>505730</v>
      </c>
      <c r="Y279" s="3">
        <f t="shared" si="17"/>
        <v>78679946</v>
      </c>
      <c r="AA279" s="8">
        <v>0</v>
      </c>
      <c r="AE279" s="8">
        <v>0</v>
      </c>
      <c r="AG279" s="8">
        <v>0</v>
      </c>
      <c r="AK279" s="8">
        <f t="shared" si="18"/>
        <v>0</v>
      </c>
      <c r="AM279" s="8">
        <f t="shared" si="19"/>
        <v>78679946</v>
      </c>
    </row>
    <row r="280" spans="1:40">
      <c r="A280" s="13" t="s">
        <v>489</v>
      </c>
      <c r="B280" s="13"/>
      <c r="C280" s="13" t="s">
        <v>44</v>
      </c>
      <c r="D280" s="13"/>
      <c r="E280" s="32">
        <v>48165</v>
      </c>
      <c r="G280" s="8">
        <v>4220752</v>
      </c>
      <c r="I280" s="8">
        <v>0</v>
      </c>
      <c r="K280" s="8">
        <v>7919562</v>
      </c>
      <c r="M280" s="8">
        <v>150481</v>
      </c>
      <c r="O280" s="8">
        <v>419581</v>
      </c>
      <c r="Q280" s="8">
        <v>0</v>
      </c>
      <c r="S280" s="8">
        <v>0</v>
      </c>
      <c r="U280" s="8">
        <v>0</v>
      </c>
      <c r="W280" s="8">
        <f>447474+6613+67827</f>
        <v>521914</v>
      </c>
      <c r="Y280" s="3">
        <f t="shared" si="17"/>
        <v>13232290</v>
      </c>
      <c r="AA280" s="8">
        <v>988124</v>
      </c>
      <c r="AE280" s="8">
        <v>0</v>
      </c>
      <c r="AG280" s="8">
        <v>10030</v>
      </c>
      <c r="AK280" s="8">
        <f t="shared" si="18"/>
        <v>998154</v>
      </c>
      <c r="AM280" s="8">
        <f t="shared" si="19"/>
        <v>14230444</v>
      </c>
    </row>
    <row r="281" spans="1:40">
      <c r="A281" s="13" t="s">
        <v>710</v>
      </c>
      <c r="B281" s="13"/>
      <c r="C281" s="13" t="s">
        <v>69</v>
      </c>
      <c r="D281" s="13"/>
      <c r="E281" s="32">
        <v>50435</v>
      </c>
      <c r="G281" s="8">
        <v>21084802</v>
      </c>
      <c r="I281" s="8">
        <v>0</v>
      </c>
      <c r="K281" s="8">
        <v>12730859</v>
      </c>
      <c r="M281" s="8">
        <v>520821</v>
      </c>
      <c r="O281" s="8">
        <v>265990</v>
      </c>
      <c r="Q281" s="8">
        <v>0</v>
      </c>
      <c r="S281" s="8">
        <v>1421488</v>
      </c>
      <c r="U281" s="8">
        <v>0</v>
      </c>
      <c r="W281" s="8">
        <v>160774</v>
      </c>
      <c r="Y281" s="3">
        <f t="shared" si="17"/>
        <v>36184734</v>
      </c>
      <c r="AA281" s="8">
        <v>0</v>
      </c>
      <c r="AE281" s="8">
        <v>0</v>
      </c>
      <c r="AG281" s="8">
        <v>0</v>
      </c>
      <c r="AK281" s="8">
        <f t="shared" si="18"/>
        <v>0</v>
      </c>
      <c r="AM281" s="8">
        <f t="shared" si="19"/>
        <v>36184734</v>
      </c>
    </row>
    <row r="282" spans="1:40" s="96" customFormat="1" hidden="1">
      <c r="A282" s="12" t="s">
        <v>1021</v>
      </c>
      <c r="B282" s="94"/>
      <c r="C282" s="94" t="s">
        <v>41</v>
      </c>
      <c r="D282" s="94"/>
      <c r="E282" s="95">
        <v>47878</v>
      </c>
      <c r="G282" s="96">
        <v>9946925</v>
      </c>
      <c r="K282" s="96">
        <v>2528255</v>
      </c>
      <c r="M282" s="96">
        <v>116222</v>
      </c>
      <c r="O282" s="96">
        <v>349064</v>
      </c>
      <c r="U282" s="96">
        <v>7980</v>
      </c>
      <c r="W282" s="96">
        <f>25940+39665+45</f>
        <v>65650</v>
      </c>
      <c r="Y282" s="97">
        <f t="shared" si="17"/>
        <v>13014096</v>
      </c>
      <c r="AK282" s="96">
        <f t="shared" si="18"/>
        <v>0</v>
      </c>
      <c r="AM282" s="96">
        <f t="shared" si="19"/>
        <v>13014096</v>
      </c>
      <c r="AN282" s="98"/>
    </row>
    <row r="283" spans="1:40">
      <c r="A283" s="13" t="s">
        <v>683</v>
      </c>
      <c r="B283" s="13"/>
      <c r="C283" s="13" t="s">
        <v>64</v>
      </c>
      <c r="D283" s="13"/>
      <c r="E283" s="32">
        <v>50245</v>
      </c>
      <c r="G283" s="8">
        <v>2668960</v>
      </c>
      <c r="I283" s="8">
        <v>0</v>
      </c>
      <c r="K283" s="8">
        <v>8433840</v>
      </c>
      <c r="M283" s="8">
        <v>90932</v>
      </c>
      <c r="O283" s="8">
        <v>1017819</v>
      </c>
      <c r="Q283" s="8">
        <v>0</v>
      </c>
      <c r="S283" s="8">
        <v>0</v>
      </c>
      <c r="U283" s="8">
        <v>0</v>
      </c>
      <c r="W283" s="8">
        <f>143928+15761</f>
        <v>159689</v>
      </c>
      <c r="Y283" s="3">
        <f t="shared" si="17"/>
        <v>12371240</v>
      </c>
      <c r="AA283" s="8">
        <v>0</v>
      </c>
      <c r="AE283" s="8">
        <v>0</v>
      </c>
      <c r="AG283" s="8">
        <v>0</v>
      </c>
      <c r="AK283" s="8">
        <f t="shared" si="18"/>
        <v>0</v>
      </c>
      <c r="AM283" s="8">
        <f t="shared" si="19"/>
        <v>12371240</v>
      </c>
    </row>
    <row r="284" spans="1:40">
      <c r="A284" s="13" t="s">
        <v>653</v>
      </c>
      <c r="B284" s="13"/>
      <c r="C284" s="13" t="s">
        <v>62</v>
      </c>
      <c r="D284" s="13"/>
      <c r="E284" s="32">
        <v>49866</v>
      </c>
      <c r="G284" s="8">
        <v>12809445</v>
      </c>
      <c r="I284" s="8">
        <v>0</v>
      </c>
      <c r="K284" s="8">
        <v>16962197</v>
      </c>
      <c r="M284" s="8">
        <v>136618</v>
      </c>
      <c r="O284" s="8">
        <v>158425</v>
      </c>
      <c r="Q284" s="8">
        <v>2074</v>
      </c>
      <c r="S284" s="8">
        <v>0</v>
      </c>
      <c r="U284" s="8">
        <v>0</v>
      </c>
      <c r="W284" s="8">
        <f>175101+999</f>
        <v>176100</v>
      </c>
      <c r="Y284" s="3">
        <f t="shared" si="17"/>
        <v>30244859</v>
      </c>
      <c r="AA284" s="8">
        <v>0</v>
      </c>
      <c r="AE284" s="8">
        <v>0</v>
      </c>
      <c r="AG284" s="8">
        <v>0</v>
      </c>
      <c r="AK284" s="8">
        <f t="shared" si="18"/>
        <v>0</v>
      </c>
      <c r="AM284" s="8">
        <f t="shared" si="19"/>
        <v>30244859</v>
      </c>
    </row>
    <row r="285" spans="1:40">
      <c r="A285" s="13" t="s">
        <v>653</v>
      </c>
      <c r="B285" s="13"/>
      <c r="C285" s="13" t="s">
        <v>72</v>
      </c>
      <c r="D285" s="13"/>
      <c r="E285" s="32">
        <v>50690</v>
      </c>
      <c r="G285" s="8">
        <v>6367201</v>
      </c>
      <c r="I285" s="8">
        <v>0</v>
      </c>
      <c r="K285" s="8">
        <v>6274327</v>
      </c>
      <c r="M285" s="8">
        <v>103178</v>
      </c>
      <c r="O285" s="8">
        <v>451587</v>
      </c>
      <c r="Q285" s="8">
        <v>60155</v>
      </c>
      <c r="S285" s="8">
        <v>0</v>
      </c>
      <c r="U285" s="8">
        <v>514</v>
      </c>
      <c r="W285" s="8">
        <f>6226+6250</f>
        <v>12476</v>
      </c>
      <c r="Y285" s="3">
        <f t="shared" si="17"/>
        <v>13269438</v>
      </c>
      <c r="AA285" s="8">
        <v>0</v>
      </c>
      <c r="AE285" s="8">
        <v>0</v>
      </c>
      <c r="AG285" s="8">
        <v>1350</v>
      </c>
      <c r="AK285" s="8">
        <f t="shared" si="18"/>
        <v>1350</v>
      </c>
      <c r="AM285" s="8">
        <f t="shared" si="19"/>
        <v>13270788</v>
      </c>
    </row>
    <row r="286" spans="1:40">
      <c r="A286" s="13" t="s">
        <v>684</v>
      </c>
      <c r="B286" s="13"/>
      <c r="C286" s="13" t="s">
        <v>64</v>
      </c>
      <c r="D286" s="13"/>
      <c r="E286" s="32">
        <v>50187</v>
      </c>
      <c r="G286" s="8">
        <v>6075459</v>
      </c>
      <c r="I286" s="8">
        <v>0</v>
      </c>
      <c r="K286" s="8">
        <v>9080763</v>
      </c>
      <c r="M286" s="8">
        <v>31702</v>
      </c>
      <c r="O286" s="8">
        <v>556466</v>
      </c>
      <c r="Q286" s="8">
        <v>114210</v>
      </c>
      <c r="S286" s="8">
        <v>0</v>
      </c>
      <c r="U286" s="8">
        <v>14978</v>
      </c>
      <c r="W286" s="8">
        <f>13181+62334</f>
        <v>75515</v>
      </c>
      <c r="Y286" s="3">
        <f t="shared" si="17"/>
        <v>15949093</v>
      </c>
      <c r="AA286" s="8">
        <v>0</v>
      </c>
      <c r="AE286" s="8">
        <v>0</v>
      </c>
      <c r="AG286" s="8">
        <v>0</v>
      </c>
      <c r="AK286" s="8">
        <f t="shared" si="18"/>
        <v>0</v>
      </c>
      <c r="AM286" s="8">
        <f t="shared" si="19"/>
        <v>15949093</v>
      </c>
    </row>
    <row r="287" spans="1:40">
      <c r="A287" s="13" t="s">
        <v>310</v>
      </c>
      <c r="B287" s="13"/>
      <c r="C287" s="13" t="s">
        <v>20</v>
      </c>
      <c r="D287" s="13"/>
      <c r="E287" s="32">
        <v>44198</v>
      </c>
      <c r="G287" s="8">
        <v>35435363</v>
      </c>
      <c r="I287" s="8">
        <v>0</v>
      </c>
      <c r="K287" s="8">
        <f>25622067+360979</f>
        <v>25983046</v>
      </c>
      <c r="M287" s="8">
        <v>875678</v>
      </c>
      <c r="O287" s="8">
        <v>2312759</v>
      </c>
      <c r="Q287" s="8">
        <v>76819</v>
      </c>
      <c r="S287" s="8">
        <v>0</v>
      </c>
      <c r="U287" s="8">
        <v>50</v>
      </c>
      <c r="W287" s="8">
        <f>191260+740278+380160+174660</f>
        <v>1486358</v>
      </c>
      <c r="Y287" s="3">
        <f t="shared" si="17"/>
        <v>66170073</v>
      </c>
      <c r="AA287" s="8">
        <v>0</v>
      </c>
      <c r="AE287" s="8">
        <v>0</v>
      </c>
      <c r="AG287" s="8">
        <v>0</v>
      </c>
      <c r="AK287" s="8">
        <f t="shared" si="18"/>
        <v>0</v>
      </c>
      <c r="AM287" s="8">
        <f t="shared" si="19"/>
        <v>66170073</v>
      </c>
    </row>
    <row r="288" spans="1:40">
      <c r="A288" s="13" t="s">
        <v>863</v>
      </c>
      <c r="B288" s="13"/>
      <c r="C288" s="13" t="s">
        <v>42</v>
      </c>
      <c r="D288" s="13"/>
      <c r="E288" s="32">
        <v>47993</v>
      </c>
      <c r="G288" s="8">
        <v>9797241</v>
      </c>
      <c r="I288" s="8">
        <v>0</v>
      </c>
      <c r="K288" s="8">
        <f>8233445+71883</f>
        <v>8305328</v>
      </c>
      <c r="M288" s="8">
        <v>161884</v>
      </c>
      <c r="O288" s="8">
        <v>352668</v>
      </c>
      <c r="Q288" s="8">
        <v>0</v>
      </c>
      <c r="S288" s="8">
        <v>0</v>
      </c>
      <c r="U288" s="8">
        <v>0</v>
      </c>
      <c r="W288" s="8">
        <f>249954+54727</f>
        <v>304681</v>
      </c>
      <c r="Y288" s="3">
        <f t="shared" si="17"/>
        <v>18921802</v>
      </c>
      <c r="AA288" s="8">
        <v>0</v>
      </c>
      <c r="AE288" s="8">
        <v>0</v>
      </c>
      <c r="AG288" s="8">
        <v>9472</v>
      </c>
      <c r="AK288" s="8">
        <f t="shared" si="18"/>
        <v>9472</v>
      </c>
      <c r="AM288" s="8">
        <f t="shared" si="19"/>
        <v>18931274</v>
      </c>
    </row>
    <row r="289" spans="1:40">
      <c r="A289" s="13" t="s">
        <v>245</v>
      </c>
      <c r="B289" s="13"/>
      <c r="C289" s="13" t="s">
        <v>242</v>
      </c>
      <c r="D289" s="13"/>
      <c r="E289" s="32">
        <v>46110</v>
      </c>
      <c r="F289" s="11"/>
      <c r="G289" s="8">
        <v>81353794</v>
      </c>
      <c r="I289" s="8">
        <v>0</v>
      </c>
      <c r="K289" s="8">
        <v>61703313</v>
      </c>
      <c r="M289" s="8">
        <v>1523703</v>
      </c>
      <c r="O289" s="8">
        <v>705428</v>
      </c>
      <c r="Q289" s="8">
        <v>0</v>
      </c>
      <c r="S289" s="8">
        <v>7341787</v>
      </c>
      <c r="U289" s="8">
        <v>0</v>
      </c>
      <c r="W289" s="8">
        <v>862306</v>
      </c>
      <c r="Y289" s="3">
        <f t="shared" si="17"/>
        <v>153490331</v>
      </c>
      <c r="AA289" s="8">
        <v>0</v>
      </c>
      <c r="AE289" s="8">
        <v>48096</v>
      </c>
      <c r="AG289" s="8">
        <v>0</v>
      </c>
      <c r="AK289" s="8">
        <f t="shared" si="18"/>
        <v>48096</v>
      </c>
      <c r="AM289" s="8">
        <f t="shared" si="19"/>
        <v>153538427</v>
      </c>
    </row>
    <row r="290" spans="1:40">
      <c r="A290" s="12" t="s">
        <v>986</v>
      </c>
      <c r="B290" s="13"/>
      <c r="C290" s="13" t="s">
        <v>79</v>
      </c>
      <c r="D290" s="13"/>
      <c r="E290" s="32">
        <v>49569</v>
      </c>
      <c r="G290" s="8">
        <v>3983498</v>
      </c>
      <c r="I290" s="8">
        <v>0</v>
      </c>
      <c r="K290" s="8">
        <f>36631+5701348</f>
        <v>5737979</v>
      </c>
      <c r="M290" s="8">
        <v>109037</v>
      </c>
      <c r="O290" s="8">
        <v>295031</v>
      </c>
      <c r="Q290" s="8">
        <v>0</v>
      </c>
      <c r="S290" s="8">
        <v>0</v>
      </c>
      <c r="U290" s="8">
        <v>0</v>
      </c>
      <c r="W290" s="8">
        <v>39070</v>
      </c>
      <c r="Y290" s="3">
        <f t="shared" si="17"/>
        <v>10164615</v>
      </c>
      <c r="AA290" s="8">
        <v>0</v>
      </c>
      <c r="AE290" s="8">
        <v>0</v>
      </c>
      <c r="AG290" s="8">
        <v>0</v>
      </c>
      <c r="AK290" s="8">
        <f t="shared" si="18"/>
        <v>0</v>
      </c>
      <c r="AM290" s="8">
        <f t="shared" si="19"/>
        <v>10164615</v>
      </c>
      <c r="AN290" s="8" t="s">
        <v>956</v>
      </c>
    </row>
    <row r="291" spans="1:40">
      <c r="A291" s="13" t="s">
        <v>347</v>
      </c>
      <c r="B291" s="13"/>
      <c r="C291" s="13" t="s">
        <v>25</v>
      </c>
      <c r="D291" s="13"/>
      <c r="E291" s="32">
        <v>44206</v>
      </c>
      <c r="G291" s="8">
        <v>18912036</v>
      </c>
      <c r="I291" s="8">
        <v>9569688</v>
      </c>
      <c r="K291" s="8">
        <v>23256836</v>
      </c>
      <c r="M291" s="8">
        <v>406618</v>
      </c>
      <c r="O291" s="8">
        <v>1056315</v>
      </c>
      <c r="Q291" s="8">
        <v>98878</v>
      </c>
      <c r="S291" s="8">
        <v>11092</v>
      </c>
      <c r="U291" s="8">
        <v>1000</v>
      </c>
      <c r="W291" s="8">
        <f>54723+4517</f>
        <v>59240</v>
      </c>
      <c r="Y291" s="3">
        <f t="shared" si="17"/>
        <v>53371703</v>
      </c>
      <c r="AA291" s="8">
        <v>0</v>
      </c>
      <c r="AE291" s="8">
        <v>0</v>
      </c>
      <c r="AG291" s="8">
        <v>6300</v>
      </c>
      <c r="AK291" s="8">
        <f t="shared" si="18"/>
        <v>6300</v>
      </c>
      <c r="AM291" s="8">
        <f t="shared" si="19"/>
        <v>53378003</v>
      </c>
    </row>
    <row r="292" spans="1:40" s="35" customFormat="1" hidden="1">
      <c r="A292" s="12" t="s">
        <v>831</v>
      </c>
      <c r="B292" s="34"/>
      <c r="C292" s="34" t="s">
        <v>69</v>
      </c>
      <c r="D292" s="34"/>
      <c r="E292" s="32">
        <v>44214</v>
      </c>
      <c r="G292" s="8">
        <v>19466282</v>
      </c>
      <c r="H292" s="8"/>
      <c r="I292" s="8"/>
      <c r="J292" s="8"/>
      <c r="K292" s="8">
        <v>21361991</v>
      </c>
      <c r="L292" s="8"/>
      <c r="M292" s="8">
        <v>189267</v>
      </c>
      <c r="N292" s="8"/>
      <c r="O292" s="8">
        <v>147810</v>
      </c>
      <c r="P292" s="8"/>
      <c r="Q292" s="8"/>
      <c r="R292" s="8"/>
      <c r="S292" s="8"/>
      <c r="T292" s="8"/>
      <c r="U292" s="8">
        <v>3463</v>
      </c>
      <c r="V292" s="8"/>
      <c r="W292" s="8">
        <f>192385+16047+81542</f>
        <v>289974</v>
      </c>
      <c r="X292" s="8"/>
      <c r="Y292" s="3">
        <f>SUM(G292:X292)</f>
        <v>41458787</v>
      </c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>
        <f>SUM(AA292:AJ292)</f>
        <v>0</v>
      </c>
      <c r="AL292" s="8"/>
      <c r="AM292" s="8">
        <f>+AK292+Y292</f>
        <v>41458787</v>
      </c>
    </row>
    <row r="293" spans="1:40">
      <c r="A293" s="13" t="s">
        <v>381</v>
      </c>
      <c r="B293" s="13"/>
      <c r="C293" s="13" t="s">
        <v>30</v>
      </c>
      <c r="D293" s="13"/>
      <c r="E293" s="13">
        <v>47209</v>
      </c>
      <c r="G293" s="8">
        <v>1966111</v>
      </c>
      <c r="I293" s="8">
        <v>507236</v>
      </c>
      <c r="K293" s="8">
        <v>2848095</v>
      </c>
      <c r="M293" s="8">
        <v>13505</v>
      </c>
      <c r="O293" s="8">
        <v>196920</v>
      </c>
      <c r="Q293" s="8">
        <v>180</v>
      </c>
      <c r="S293" s="8">
        <v>0</v>
      </c>
      <c r="U293" s="8">
        <v>4750</v>
      </c>
      <c r="W293" s="8">
        <f>597+945</f>
        <v>1542</v>
      </c>
      <c r="Y293" s="3">
        <f>SUM(G293:X293)</f>
        <v>5538339</v>
      </c>
      <c r="AA293" s="8">
        <v>0</v>
      </c>
      <c r="AE293" s="8">
        <v>0</v>
      </c>
      <c r="AG293" s="8">
        <v>1600</v>
      </c>
      <c r="AK293" s="8">
        <f>SUM(AA293:AJ293)</f>
        <v>1600</v>
      </c>
      <c r="AM293" s="8">
        <f>+AK293+Y293</f>
        <v>5539939</v>
      </c>
    </row>
    <row r="294" spans="1:40" hidden="1">
      <c r="A294" s="12" t="s">
        <v>987</v>
      </c>
      <c r="B294" s="13"/>
      <c r="C294" s="13" t="s">
        <v>603</v>
      </c>
      <c r="D294" s="13"/>
      <c r="E294" s="32">
        <v>49353</v>
      </c>
      <c r="G294" s="8">
        <v>1488260</v>
      </c>
      <c r="I294" s="8">
        <v>329108</v>
      </c>
      <c r="K294" s="8">
        <v>3720478</v>
      </c>
      <c r="M294" s="8">
        <v>71370</v>
      </c>
      <c r="O294" s="8">
        <v>36185</v>
      </c>
      <c r="W294" s="8">
        <v>34253</v>
      </c>
      <c r="Y294" s="3">
        <f>SUM(G294:X294)</f>
        <v>5679654</v>
      </c>
      <c r="AK294" s="8">
        <f>SUM(AA294:AJ294)</f>
        <v>0</v>
      </c>
      <c r="AM294" s="8">
        <f>+AK294+Y294</f>
        <v>5679654</v>
      </c>
    </row>
    <row r="295" spans="1:40">
      <c r="A295" s="13" t="s">
        <v>610</v>
      </c>
      <c r="B295" s="13"/>
      <c r="C295" s="13" t="s">
        <v>112</v>
      </c>
      <c r="D295" s="13"/>
      <c r="E295" s="32">
        <v>49437</v>
      </c>
      <c r="G295" s="8">
        <v>8786372</v>
      </c>
      <c r="I295" s="8">
        <v>0</v>
      </c>
      <c r="K295" s="8">
        <v>10921641</v>
      </c>
      <c r="M295" s="8">
        <v>100814</v>
      </c>
      <c r="O295" s="8">
        <v>107149</v>
      </c>
      <c r="Q295" s="8">
        <v>0</v>
      </c>
      <c r="S295" s="8">
        <v>0</v>
      </c>
      <c r="U295" s="8">
        <v>0</v>
      </c>
      <c r="W295" s="8">
        <f>82075+84484</f>
        <v>166559</v>
      </c>
      <c r="Y295" s="3">
        <f t="shared" ref="Y295:Y317" si="20">SUM(G295:X295)</f>
        <v>20082535</v>
      </c>
      <c r="AA295" s="8">
        <v>0</v>
      </c>
      <c r="AE295" s="8">
        <v>0</v>
      </c>
      <c r="AG295" s="8">
        <v>0</v>
      </c>
      <c r="AK295" s="8">
        <f t="shared" ref="AK295:AK317" si="21">SUM(AA295:AJ295)</f>
        <v>0</v>
      </c>
      <c r="AM295" s="8">
        <f>+AK295+Y295</f>
        <v>20082535</v>
      </c>
    </row>
    <row r="296" spans="1:40">
      <c r="A296" s="13" t="s">
        <v>431</v>
      </c>
      <c r="B296" s="13"/>
      <c r="C296" s="13" t="s">
        <v>34</v>
      </c>
      <c r="D296" s="13"/>
      <c r="E296" s="32">
        <v>47589</v>
      </c>
      <c r="G296" s="8">
        <v>2326182</v>
      </c>
      <c r="I296" s="8">
        <v>1934981</v>
      </c>
      <c r="K296" s="8">
        <v>6241943</v>
      </c>
      <c r="M296" s="8">
        <v>87749</v>
      </c>
      <c r="O296" s="8">
        <v>1051278</v>
      </c>
      <c r="Q296" s="8">
        <v>0</v>
      </c>
      <c r="S296" s="8">
        <v>0</v>
      </c>
      <c r="U296" s="8">
        <v>10500</v>
      </c>
      <c r="W296" s="8">
        <f>24380+34469</f>
        <v>58849</v>
      </c>
      <c r="Y296" s="3">
        <f t="shared" si="20"/>
        <v>11711482</v>
      </c>
      <c r="AA296" s="8">
        <v>0</v>
      </c>
      <c r="AE296" s="8">
        <v>0</v>
      </c>
      <c r="AG296" s="8">
        <v>0</v>
      </c>
      <c r="AK296" s="8">
        <f t="shared" si="21"/>
        <v>0</v>
      </c>
      <c r="AM296" s="8">
        <f>+AK296+Y296</f>
        <v>11711482</v>
      </c>
    </row>
    <row r="297" spans="1:40">
      <c r="A297" s="12" t="s">
        <v>988</v>
      </c>
      <c r="B297" s="13"/>
      <c r="C297" s="13" t="s">
        <v>64</v>
      </c>
      <c r="D297" s="13"/>
      <c r="E297" s="32">
        <v>50195</v>
      </c>
      <c r="G297" s="8">
        <v>7614187</v>
      </c>
      <c r="I297" s="8">
        <v>0</v>
      </c>
      <c r="K297" s="8">
        <f>6859021+64584</f>
        <v>6923605</v>
      </c>
      <c r="M297" s="8">
        <v>28974</v>
      </c>
      <c r="O297" s="8">
        <v>961173</v>
      </c>
      <c r="Q297" s="8">
        <v>0</v>
      </c>
      <c r="S297" s="8">
        <v>0</v>
      </c>
      <c r="U297" s="8">
        <v>0</v>
      </c>
      <c r="W297" s="8">
        <f>170133+13267</f>
        <v>183400</v>
      </c>
      <c r="Y297" s="3">
        <f t="shared" si="20"/>
        <v>15711339</v>
      </c>
      <c r="AA297" s="8">
        <v>0</v>
      </c>
      <c r="AE297" s="8">
        <v>0</v>
      </c>
      <c r="AG297" s="8">
        <v>0</v>
      </c>
      <c r="AK297" s="8">
        <f t="shared" si="21"/>
        <v>0</v>
      </c>
      <c r="AM297" s="8">
        <f t="shared" ref="AM297:AM317" si="22">+AK297+Y297</f>
        <v>15711339</v>
      </c>
    </row>
    <row r="298" spans="1:40">
      <c r="A298" s="13" t="s">
        <v>869</v>
      </c>
      <c r="B298" s="13"/>
      <c r="C298" s="13" t="s">
        <v>25</v>
      </c>
      <c r="D298" s="13"/>
      <c r="E298" s="32">
        <v>46888</v>
      </c>
      <c r="G298" s="8">
        <v>2941776</v>
      </c>
      <c r="I298" s="8">
        <v>2839770</v>
      </c>
      <c r="K298" s="8">
        <v>6180434</v>
      </c>
      <c r="M298" s="8">
        <v>95063</v>
      </c>
      <c r="O298" s="8">
        <v>350535</v>
      </c>
      <c r="Q298" s="8">
        <v>0</v>
      </c>
      <c r="S298" s="8">
        <v>0</v>
      </c>
      <c r="U298" s="8">
        <v>57076</v>
      </c>
      <c r="W298" s="8">
        <f>67793+1610</f>
        <v>69403</v>
      </c>
      <c r="Y298" s="3">
        <f t="shared" si="20"/>
        <v>12534057</v>
      </c>
      <c r="AA298" s="8">
        <v>0</v>
      </c>
      <c r="AE298" s="8">
        <v>0</v>
      </c>
      <c r="AG298" s="8">
        <v>1475</v>
      </c>
      <c r="AK298" s="8">
        <f t="shared" si="21"/>
        <v>1475</v>
      </c>
      <c r="AM298" s="8">
        <f t="shared" si="22"/>
        <v>12535532</v>
      </c>
    </row>
    <row r="299" spans="1:40">
      <c r="A299" s="13" t="s">
        <v>417</v>
      </c>
      <c r="B299" s="13"/>
      <c r="C299" s="13" t="s">
        <v>33</v>
      </c>
      <c r="D299" s="13"/>
      <c r="E299" s="32">
        <v>47449</v>
      </c>
      <c r="G299" s="8">
        <v>3840730</v>
      </c>
      <c r="I299" s="8">
        <v>1316463</v>
      </c>
      <c r="K299" s="8">
        <v>6048239</v>
      </c>
      <c r="M299" s="8">
        <v>162798</v>
      </c>
      <c r="O299" s="8">
        <v>113722</v>
      </c>
      <c r="Q299" s="8">
        <v>0</v>
      </c>
      <c r="S299" s="8">
        <v>11113</v>
      </c>
      <c r="U299" s="8">
        <v>2384</v>
      </c>
      <c r="W299" s="8">
        <v>88203</v>
      </c>
      <c r="Y299" s="3">
        <f t="shared" si="20"/>
        <v>11583652</v>
      </c>
      <c r="AA299" s="8">
        <v>0</v>
      </c>
      <c r="AE299" s="8">
        <v>0</v>
      </c>
      <c r="AG299" s="8">
        <v>0</v>
      </c>
      <c r="AK299" s="8">
        <f t="shared" si="21"/>
        <v>0</v>
      </c>
      <c r="AM299" s="8">
        <f t="shared" si="22"/>
        <v>11583652</v>
      </c>
    </row>
    <row r="300" spans="1:40">
      <c r="A300" s="13" t="s">
        <v>476</v>
      </c>
      <c r="B300" s="13"/>
      <c r="C300" s="13" t="s">
        <v>42</v>
      </c>
      <c r="D300" s="13"/>
      <c r="E300" s="32">
        <v>48009</v>
      </c>
      <c r="G300" s="8">
        <v>13412714</v>
      </c>
      <c r="I300" s="8">
        <v>0</v>
      </c>
      <c r="K300" s="8">
        <v>10540743</v>
      </c>
      <c r="M300" s="8">
        <v>110749</v>
      </c>
      <c r="O300" s="8">
        <v>368867</v>
      </c>
      <c r="Q300" s="8">
        <v>0</v>
      </c>
      <c r="S300" s="8">
        <v>1157486</v>
      </c>
      <c r="U300" s="8">
        <v>0</v>
      </c>
      <c r="W300" s="8">
        <f>29400+111668</f>
        <v>141068</v>
      </c>
      <c r="Y300" s="3">
        <f t="shared" si="20"/>
        <v>25731627</v>
      </c>
      <c r="AA300" s="8">
        <v>17937</v>
      </c>
      <c r="AE300" s="8">
        <v>0</v>
      </c>
      <c r="AG300" s="8">
        <v>0</v>
      </c>
      <c r="AK300" s="8">
        <f t="shared" si="21"/>
        <v>17937</v>
      </c>
      <c r="AM300" s="8">
        <f t="shared" si="22"/>
        <v>25749564</v>
      </c>
    </row>
    <row r="301" spans="1:40">
      <c r="A301" s="13" t="s">
        <v>477</v>
      </c>
      <c r="B301" s="13"/>
      <c r="C301" s="13" t="s">
        <v>42</v>
      </c>
      <c r="D301" s="13"/>
      <c r="E301" s="32">
        <v>48017</v>
      </c>
      <c r="G301" s="8">
        <v>3681689</v>
      </c>
      <c r="I301" s="8">
        <v>1880464</v>
      </c>
      <c r="K301" s="8">
        <v>9981591</v>
      </c>
      <c r="M301" s="8">
        <v>70169</v>
      </c>
      <c r="O301" s="8">
        <v>437773</v>
      </c>
      <c r="Q301" s="8">
        <v>0</v>
      </c>
      <c r="S301" s="8">
        <v>41609</v>
      </c>
      <c r="U301" s="8">
        <v>0</v>
      </c>
      <c r="W301" s="8">
        <v>70509</v>
      </c>
      <c r="Y301" s="3">
        <f t="shared" si="20"/>
        <v>16163804</v>
      </c>
      <c r="AA301" s="8">
        <v>0</v>
      </c>
      <c r="AE301" s="8">
        <v>27447</v>
      </c>
      <c r="AG301" s="8">
        <v>0</v>
      </c>
      <c r="AK301" s="8">
        <f t="shared" si="21"/>
        <v>27447</v>
      </c>
      <c r="AM301" s="8">
        <f t="shared" si="22"/>
        <v>16191251</v>
      </c>
    </row>
    <row r="302" spans="1:40" hidden="1">
      <c r="A302" s="13" t="s">
        <v>989</v>
      </c>
      <c r="B302" s="13"/>
      <c r="C302" s="13" t="s">
        <v>10</v>
      </c>
      <c r="D302" s="13"/>
      <c r="E302" s="32"/>
      <c r="G302" s="8">
        <v>8119212</v>
      </c>
      <c r="K302" s="8">
        <v>32103039</v>
      </c>
      <c r="M302" s="8">
        <v>134474</v>
      </c>
      <c r="O302" s="8">
        <v>1386760</v>
      </c>
      <c r="W302" s="8">
        <f>53674+20683+405735</f>
        <v>480092</v>
      </c>
      <c r="Y302" s="3">
        <f t="shared" si="20"/>
        <v>42223577</v>
      </c>
      <c r="AK302" s="8">
        <f t="shared" si="21"/>
        <v>0</v>
      </c>
      <c r="AM302" s="8">
        <f t="shared" si="22"/>
        <v>42223577</v>
      </c>
    </row>
    <row r="303" spans="1:40">
      <c r="A303" s="13" t="s">
        <v>705</v>
      </c>
      <c r="B303" s="13"/>
      <c r="C303" s="13" t="s">
        <v>67</v>
      </c>
      <c r="D303" s="13"/>
      <c r="E303" s="32">
        <v>50369</v>
      </c>
      <c r="G303" s="8">
        <v>2062424</v>
      </c>
      <c r="I303" s="8">
        <v>0</v>
      </c>
      <c r="K303" s="8">
        <f>4416886+4453</f>
        <v>4421339</v>
      </c>
      <c r="M303" s="8">
        <v>300884</v>
      </c>
      <c r="O303" s="8">
        <v>1845912</v>
      </c>
      <c r="Q303" s="8">
        <v>0</v>
      </c>
      <c r="S303" s="8">
        <v>0</v>
      </c>
      <c r="U303" s="8">
        <v>0</v>
      </c>
      <c r="W303" s="8">
        <f>152626+27635</f>
        <v>180261</v>
      </c>
      <c r="Y303" s="3">
        <f t="shared" si="20"/>
        <v>8810820</v>
      </c>
      <c r="AA303" s="8">
        <v>0</v>
      </c>
      <c r="AE303" s="8">
        <v>0</v>
      </c>
      <c r="AG303" s="8">
        <v>0</v>
      </c>
      <c r="AK303" s="8">
        <f t="shared" si="21"/>
        <v>0</v>
      </c>
      <c r="AM303" s="8">
        <f t="shared" si="22"/>
        <v>8810820</v>
      </c>
    </row>
    <row r="304" spans="1:40">
      <c r="A304" s="13" t="s">
        <v>283</v>
      </c>
      <c r="B304" s="13"/>
      <c r="C304" s="13" t="s">
        <v>114</v>
      </c>
      <c r="D304" s="13"/>
      <c r="E304" s="32">
        <v>45450</v>
      </c>
      <c r="F304" s="11"/>
      <c r="G304" s="8">
        <v>1481781</v>
      </c>
      <c r="I304" s="8">
        <v>0</v>
      </c>
      <c r="K304" s="8">
        <v>5494192</v>
      </c>
      <c r="M304" s="8">
        <v>155078</v>
      </c>
      <c r="O304" s="8">
        <v>1173417</v>
      </c>
      <c r="Q304" s="8">
        <v>300</v>
      </c>
      <c r="S304" s="8">
        <v>0</v>
      </c>
      <c r="U304" s="8">
        <v>636</v>
      </c>
      <c r="W304" s="8">
        <f>20591+89419</f>
        <v>110010</v>
      </c>
      <c r="Y304" s="3">
        <f t="shared" si="20"/>
        <v>8415414</v>
      </c>
      <c r="AA304" s="8">
        <v>0</v>
      </c>
      <c r="AE304" s="8">
        <v>0</v>
      </c>
      <c r="AG304" s="8">
        <v>0</v>
      </c>
      <c r="AK304" s="8">
        <f t="shared" si="21"/>
        <v>0</v>
      </c>
      <c r="AM304" s="8">
        <f t="shared" si="22"/>
        <v>8415414</v>
      </c>
    </row>
    <row r="305" spans="1:40">
      <c r="A305" s="13" t="s">
        <v>711</v>
      </c>
      <c r="B305" s="13"/>
      <c r="C305" s="13" t="s">
        <v>69</v>
      </c>
      <c r="D305" s="13"/>
      <c r="E305" s="32">
        <v>50443</v>
      </c>
      <c r="G305" s="8">
        <v>15515345</v>
      </c>
      <c r="I305" s="8">
        <v>0</v>
      </c>
      <c r="K305" s="8">
        <v>12918781</v>
      </c>
      <c r="M305" s="8">
        <v>645904</v>
      </c>
      <c r="O305" s="8">
        <v>54509</v>
      </c>
      <c r="Q305" s="8">
        <v>76474</v>
      </c>
      <c r="S305" s="8">
        <v>0</v>
      </c>
      <c r="U305" s="8">
        <v>0</v>
      </c>
      <c r="W305" s="8">
        <v>41326</v>
      </c>
      <c r="Y305" s="3">
        <f t="shared" si="20"/>
        <v>29252339</v>
      </c>
      <c r="AA305" s="8">
        <v>0</v>
      </c>
      <c r="AE305" s="8">
        <v>0</v>
      </c>
      <c r="AG305" s="8">
        <v>0</v>
      </c>
      <c r="AK305" s="8">
        <f t="shared" si="21"/>
        <v>0</v>
      </c>
      <c r="AM305" s="8">
        <f t="shared" si="22"/>
        <v>29252339</v>
      </c>
    </row>
    <row r="306" spans="1:40" hidden="1">
      <c r="A306" s="77" t="s">
        <v>995</v>
      </c>
      <c r="B306" s="13"/>
      <c r="C306" s="13" t="s">
        <v>32</v>
      </c>
      <c r="D306" s="13"/>
      <c r="E306" s="32">
        <v>44230</v>
      </c>
      <c r="G306" s="8">
        <v>2659967</v>
      </c>
      <c r="K306" s="8">
        <v>2734011</v>
      </c>
      <c r="M306" s="8">
        <v>64049</v>
      </c>
      <c r="O306" s="8">
        <v>773734</v>
      </c>
      <c r="W306" s="8">
        <v>26472</v>
      </c>
      <c r="Y306" s="3">
        <f t="shared" si="20"/>
        <v>6258233</v>
      </c>
      <c r="AK306" s="8">
        <f t="shared" si="21"/>
        <v>0</v>
      </c>
      <c r="AM306" s="8">
        <f t="shared" si="22"/>
        <v>6258233</v>
      </c>
      <c r="AN306" s="15" t="s">
        <v>905</v>
      </c>
    </row>
    <row r="307" spans="1:40">
      <c r="A307" s="13" t="s">
        <v>582</v>
      </c>
      <c r="B307" s="13"/>
      <c r="C307" s="13" t="s">
        <v>54</v>
      </c>
      <c r="D307" s="13"/>
      <c r="E307" s="32">
        <v>49080</v>
      </c>
      <c r="G307" s="8">
        <v>9639691</v>
      </c>
      <c r="I307" s="8">
        <v>0</v>
      </c>
      <c r="K307" s="8">
        <f>9408473+16278</f>
        <v>9424751</v>
      </c>
      <c r="M307" s="8">
        <v>134636</v>
      </c>
      <c r="O307" s="8">
        <v>492370</v>
      </c>
      <c r="Q307" s="8">
        <v>43401</v>
      </c>
      <c r="S307" s="8">
        <v>0</v>
      </c>
      <c r="U307" s="8">
        <v>0</v>
      </c>
      <c r="W307" s="8">
        <f>6764+58820</f>
        <v>65584</v>
      </c>
      <c r="Y307" s="3">
        <f t="shared" si="20"/>
        <v>19800433</v>
      </c>
      <c r="AA307" s="8">
        <v>0</v>
      </c>
      <c r="AE307" s="8">
        <v>0</v>
      </c>
      <c r="AG307" s="8">
        <v>0</v>
      </c>
      <c r="AK307" s="8">
        <f t="shared" si="21"/>
        <v>0</v>
      </c>
      <c r="AM307" s="8">
        <f t="shared" si="22"/>
        <v>19800433</v>
      </c>
    </row>
    <row r="308" spans="1:40">
      <c r="A308" s="13" t="s">
        <v>440</v>
      </c>
      <c r="B308" s="13"/>
      <c r="C308" s="13" t="s">
        <v>35</v>
      </c>
      <c r="D308" s="13"/>
      <c r="E308" s="32">
        <v>44248</v>
      </c>
      <c r="G308" s="8">
        <v>8417214</v>
      </c>
      <c r="I308" s="8">
        <v>0</v>
      </c>
      <c r="K308" s="8">
        <f>20939121+45235</f>
        <v>20984356</v>
      </c>
      <c r="M308" s="8">
        <v>887941</v>
      </c>
      <c r="O308" s="8">
        <v>973161</v>
      </c>
      <c r="Q308" s="8">
        <v>0</v>
      </c>
      <c r="S308" s="8">
        <v>0</v>
      </c>
      <c r="U308" s="8">
        <v>0</v>
      </c>
      <c r="W308" s="8">
        <v>15657</v>
      </c>
      <c r="Y308" s="3">
        <f t="shared" si="20"/>
        <v>31278329</v>
      </c>
      <c r="AA308" s="8">
        <v>0</v>
      </c>
      <c r="AE308" s="8">
        <v>0</v>
      </c>
      <c r="AG308" s="8">
        <v>0</v>
      </c>
      <c r="AK308" s="8">
        <f t="shared" si="21"/>
        <v>0</v>
      </c>
      <c r="AM308" s="8">
        <f t="shared" si="22"/>
        <v>31278329</v>
      </c>
    </row>
    <row r="309" spans="1:40">
      <c r="A309" s="13" t="s">
        <v>507</v>
      </c>
      <c r="B309" s="13"/>
      <c r="C309" s="13" t="s">
        <v>505</v>
      </c>
      <c r="D309" s="13"/>
      <c r="E309" s="32">
        <v>44255</v>
      </c>
      <c r="G309" s="8">
        <v>5619039</v>
      </c>
      <c r="I309" s="8">
        <v>2984164</v>
      </c>
      <c r="K309" s="8">
        <v>8994249</v>
      </c>
      <c r="M309" s="8">
        <v>673</v>
      </c>
      <c r="O309" s="8">
        <v>490606</v>
      </c>
      <c r="Q309" s="8">
        <v>30042</v>
      </c>
      <c r="S309" s="8">
        <v>434398</v>
      </c>
      <c r="U309" s="8">
        <v>486</v>
      </c>
      <c r="W309" s="8">
        <f>69920+2075+1965335</f>
        <v>2037330</v>
      </c>
      <c r="Y309" s="3">
        <f t="shared" si="20"/>
        <v>20590987</v>
      </c>
      <c r="AA309" s="8">
        <v>13097</v>
      </c>
      <c r="AE309" s="8">
        <v>284977</v>
      </c>
      <c r="AG309" s="8">
        <v>0</v>
      </c>
      <c r="AK309" s="8">
        <f t="shared" si="21"/>
        <v>298074</v>
      </c>
      <c r="AM309" s="8">
        <f t="shared" si="22"/>
        <v>20889061</v>
      </c>
    </row>
    <row r="310" spans="1:40" s="35" customFormat="1">
      <c r="A310" s="34" t="s">
        <v>490</v>
      </c>
      <c r="B310" s="34"/>
      <c r="C310" s="34" t="s">
        <v>44</v>
      </c>
      <c r="D310" s="34"/>
      <c r="E310" s="34">
        <v>44263</v>
      </c>
      <c r="G310" s="8">
        <v>17322647</v>
      </c>
      <c r="H310" s="8"/>
      <c r="I310" s="8">
        <v>0</v>
      </c>
      <c r="K310" s="8">
        <v>61245697</v>
      </c>
      <c r="L310" s="8"/>
      <c r="M310" s="8">
        <v>106017</v>
      </c>
      <c r="N310" s="8"/>
      <c r="O310" s="8">
        <v>1176253</v>
      </c>
      <c r="P310" s="8"/>
      <c r="Q310" s="8">
        <v>0</v>
      </c>
      <c r="R310" s="8"/>
      <c r="S310" s="8">
        <v>0</v>
      </c>
      <c r="T310" s="8"/>
      <c r="U310" s="8">
        <v>0</v>
      </c>
      <c r="V310" s="8"/>
      <c r="W310" s="8">
        <f>550270+23238</f>
        <v>573508</v>
      </c>
      <c r="X310" s="8"/>
      <c r="Y310" s="3">
        <f t="shared" si="20"/>
        <v>80424122</v>
      </c>
      <c r="Z310" s="8"/>
      <c r="AA310" s="8">
        <v>0</v>
      </c>
      <c r="AB310" s="8"/>
      <c r="AC310" s="8"/>
      <c r="AD310" s="8"/>
      <c r="AE310" s="8">
        <v>79362</v>
      </c>
      <c r="AF310" s="8"/>
      <c r="AG310" s="8">
        <v>0</v>
      </c>
      <c r="AH310" s="8"/>
      <c r="AI310" s="8"/>
      <c r="AJ310" s="8"/>
      <c r="AK310" s="8">
        <f t="shared" si="21"/>
        <v>79362</v>
      </c>
      <c r="AL310" s="8"/>
      <c r="AM310" s="8">
        <f t="shared" si="22"/>
        <v>80503484</v>
      </c>
    </row>
    <row r="311" spans="1:40">
      <c r="A311" s="13" t="s">
        <v>686</v>
      </c>
      <c r="B311" s="13"/>
      <c r="C311" s="13" t="s">
        <v>64</v>
      </c>
      <c r="D311" s="13"/>
      <c r="E311" s="32">
        <v>50203</v>
      </c>
      <c r="G311" s="8">
        <v>3544835</v>
      </c>
      <c r="I311" s="8">
        <v>67744</v>
      </c>
      <c r="K311" s="8">
        <v>2431630</v>
      </c>
      <c r="M311" s="8">
        <v>14102</v>
      </c>
      <c r="O311" s="8">
        <v>277001</v>
      </c>
      <c r="Q311" s="8">
        <v>0</v>
      </c>
      <c r="S311" s="8">
        <v>0</v>
      </c>
      <c r="U311" s="8">
        <v>0</v>
      </c>
      <c r="W311" s="8">
        <f>235287+100936+380</f>
        <v>336603</v>
      </c>
      <c r="Y311" s="3">
        <f t="shared" si="20"/>
        <v>6671915</v>
      </c>
      <c r="AA311" s="8">
        <v>26236</v>
      </c>
      <c r="AE311" s="8">
        <v>0</v>
      </c>
      <c r="AG311" s="8">
        <v>0</v>
      </c>
      <c r="AK311" s="8">
        <f t="shared" si="21"/>
        <v>26236</v>
      </c>
      <c r="AM311" s="8">
        <f t="shared" si="22"/>
        <v>6698151</v>
      </c>
    </row>
    <row r="312" spans="1:40">
      <c r="A312" s="12" t="s">
        <v>991</v>
      </c>
      <c r="B312" s="13"/>
      <c r="C312" s="13" t="s">
        <v>11</v>
      </c>
      <c r="D312" s="13"/>
      <c r="E312" s="32">
        <v>45468</v>
      </c>
      <c r="F312" s="11"/>
      <c r="G312" s="8">
        <v>5073721</v>
      </c>
      <c r="I312" s="8">
        <v>1551652</v>
      </c>
      <c r="K312" s="8">
        <f>5267726+20181</f>
        <v>5287907</v>
      </c>
      <c r="M312" s="8">
        <v>85119</v>
      </c>
      <c r="O312" s="8">
        <v>443145</v>
      </c>
      <c r="Q312" s="8">
        <v>0</v>
      </c>
      <c r="S312" s="8">
        <v>0</v>
      </c>
      <c r="U312" s="8">
        <v>0</v>
      </c>
      <c r="W312" s="8">
        <f>14120+40247+4104</f>
        <v>58471</v>
      </c>
      <c r="Y312" s="3">
        <f t="shared" si="20"/>
        <v>12500015</v>
      </c>
      <c r="AA312" s="8">
        <v>0</v>
      </c>
      <c r="AE312" s="8">
        <v>0</v>
      </c>
      <c r="AG312" s="8">
        <v>637</v>
      </c>
      <c r="AK312" s="8">
        <f t="shared" si="21"/>
        <v>637</v>
      </c>
      <c r="AM312" s="8">
        <f t="shared" si="22"/>
        <v>12500652</v>
      </c>
      <c r="AN312" s="8" t="s">
        <v>956</v>
      </c>
    </row>
    <row r="313" spans="1:40">
      <c r="A313" s="13" t="s">
        <v>654</v>
      </c>
      <c r="B313" s="13"/>
      <c r="C313" s="13" t="s">
        <v>62</v>
      </c>
      <c r="D313" s="13"/>
      <c r="E313" s="32">
        <v>49874</v>
      </c>
      <c r="G313" s="8">
        <v>6453330</v>
      </c>
      <c r="I313" s="8">
        <v>0</v>
      </c>
      <c r="K313" s="8">
        <v>16731846</v>
      </c>
      <c r="M313" s="8">
        <v>139025</v>
      </c>
      <c r="O313" s="8">
        <v>174731</v>
      </c>
      <c r="Q313" s="8">
        <v>140480</v>
      </c>
      <c r="S313" s="8">
        <v>81863</v>
      </c>
      <c r="U313" s="8">
        <v>0</v>
      </c>
      <c r="W313" s="8">
        <f>164249+22821+19639</f>
        <v>206709</v>
      </c>
      <c r="Y313" s="3">
        <f t="shared" si="20"/>
        <v>23927984</v>
      </c>
      <c r="AA313" s="8">
        <v>0</v>
      </c>
      <c r="AE313" s="8">
        <v>0</v>
      </c>
      <c r="AG313" s="8">
        <v>0</v>
      </c>
      <c r="AK313" s="8">
        <f t="shared" si="21"/>
        <v>0</v>
      </c>
      <c r="AM313" s="8">
        <f t="shared" si="22"/>
        <v>23927984</v>
      </c>
    </row>
    <row r="314" spans="1:40">
      <c r="A314" s="13" t="s">
        <v>397</v>
      </c>
      <c r="B314" s="13"/>
      <c r="C314" s="13" t="s">
        <v>32</v>
      </c>
      <c r="D314" s="13"/>
      <c r="E314" s="32">
        <v>44271</v>
      </c>
      <c r="G314" s="8">
        <v>21781181</v>
      </c>
      <c r="I314" s="8">
        <v>0</v>
      </c>
      <c r="K314" s="8">
        <v>15174837</v>
      </c>
      <c r="M314" s="8">
        <v>288394</v>
      </c>
      <c r="O314" s="8">
        <v>630645</v>
      </c>
      <c r="Q314" s="8">
        <v>0</v>
      </c>
      <c r="S314" s="8">
        <v>0</v>
      </c>
      <c r="U314" s="8">
        <v>0</v>
      </c>
      <c r="W314" s="8">
        <v>182537</v>
      </c>
      <c r="Y314" s="3">
        <f t="shared" si="20"/>
        <v>38057594</v>
      </c>
      <c r="AA314" s="8">
        <v>0</v>
      </c>
      <c r="AE314" s="8">
        <v>16123</v>
      </c>
      <c r="AG314" s="8">
        <v>0</v>
      </c>
      <c r="AK314" s="8">
        <f t="shared" si="21"/>
        <v>16123</v>
      </c>
      <c r="AM314" s="8">
        <f t="shared" si="22"/>
        <v>38073717</v>
      </c>
    </row>
    <row r="315" spans="1:40">
      <c r="A315" s="13" t="s">
        <v>513</v>
      </c>
      <c r="B315" s="13"/>
      <c r="C315" s="13" t="s">
        <v>45</v>
      </c>
      <c r="D315" s="13"/>
      <c r="E315" s="32">
        <v>48330</v>
      </c>
      <c r="G315" s="8">
        <v>896377</v>
      </c>
      <c r="I315" s="8">
        <v>0</v>
      </c>
      <c r="K315" s="8">
        <v>2399747</v>
      </c>
      <c r="M315" s="8">
        <v>35919</v>
      </c>
      <c r="O315" s="8">
        <v>1193613</v>
      </c>
      <c r="Q315" s="8">
        <v>0</v>
      </c>
      <c r="S315" s="8">
        <v>0</v>
      </c>
      <c r="U315" s="8">
        <v>590</v>
      </c>
      <c r="W315" s="8">
        <f>19420+770</f>
        <v>20190</v>
      </c>
      <c r="Y315" s="3">
        <f t="shared" si="20"/>
        <v>4546436</v>
      </c>
      <c r="AA315" s="8">
        <v>0</v>
      </c>
      <c r="AE315" s="8">
        <v>13527</v>
      </c>
      <c r="AG315" s="8">
        <v>0</v>
      </c>
      <c r="AK315" s="8">
        <f t="shared" si="21"/>
        <v>13527</v>
      </c>
      <c r="AM315" s="8">
        <f t="shared" si="22"/>
        <v>4559963</v>
      </c>
    </row>
    <row r="316" spans="1:40">
      <c r="A316" s="13" t="s">
        <v>611</v>
      </c>
      <c r="B316" s="13"/>
      <c r="C316" s="13" t="s">
        <v>112</v>
      </c>
      <c r="D316" s="13"/>
      <c r="E316" s="32">
        <v>49445</v>
      </c>
      <c r="G316" s="8">
        <v>2417772</v>
      </c>
      <c r="I316" s="8">
        <v>0</v>
      </c>
      <c r="K316" s="8">
        <v>2584151</v>
      </c>
      <c r="M316" s="8">
        <v>83071</v>
      </c>
      <c r="O316" s="8">
        <v>29971</v>
      </c>
      <c r="Q316" s="8">
        <v>0</v>
      </c>
      <c r="S316" s="8">
        <v>0</v>
      </c>
      <c r="U316" s="8">
        <v>1300</v>
      </c>
      <c r="W316" s="8">
        <f>84168+1886+17499</f>
        <v>103553</v>
      </c>
      <c r="Y316" s="3">
        <f t="shared" si="20"/>
        <v>5219818</v>
      </c>
      <c r="AA316" s="8">
        <v>0</v>
      </c>
      <c r="AE316" s="8">
        <v>0</v>
      </c>
      <c r="AG316" s="8">
        <v>0</v>
      </c>
      <c r="AK316" s="8">
        <f t="shared" si="21"/>
        <v>0</v>
      </c>
      <c r="AM316" s="8">
        <f t="shared" si="22"/>
        <v>5219818</v>
      </c>
    </row>
    <row r="317" spans="1:40">
      <c r="A317" s="13" t="s">
        <v>439</v>
      </c>
      <c r="B317" s="13"/>
      <c r="C317" s="13" t="s">
        <v>435</v>
      </c>
      <c r="D317" s="13"/>
      <c r="E317" s="32">
        <v>47639</v>
      </c>
      <c r="G317" s="8">
        <v>1711940</v>
      </c>
      <c r="I317" s="8">
        <v>0</v>
      </c>
      <c r="K317" s="8">
        <v>8538115</v>
      </c>
      <c r="M317" s="8">
        <v>279538</v>
      </c>
      <c r="O317" s="8">
        <v>593746</v>
      </c>
      <c r="Q317" s="8">
        <v>0</v>
      </c>
      <c r="S317" s="8">
        <v>0</v>
      </c>
      <c r="U317" s="8">
        <v>3250</v>
      </c>
      <c r="W317" s="8">
        <f>64569+1445</f>
        <v>66014</v>
      </c>
      <c r="Y317" s="3">
        <f t="shared" si="20"/>
        <v>11192603</v>
      </c>
      <c r="AA317" s="8">
        <v>0</v>
      </c>
      <c r="AE317" s="8">
        <v>0</v>
      </c>
      <c r="AG317" s="8">
        <v>0</v>
      </c>
      <c r="AK317" s="8">
        <f t="shared" si="21"/>
        <v>0</v>
      </c>
      <c r="AM317" s="8">
        <f t="shared" si="22"/>
        <v>11192603</v>
      </c>
    </row>
    <row r="318" spans="1:40">
      <c r="A318" s="13" t="s">
        <v>550</v>
      </c>
      <c r="B318" s="13"/>
      <c r="C318" s="13" t="s">
        <v>50</v>
      </c>
      <c r="D318" s="13"/>
      <c r="E318" s="13">
        <v>48702</v>
      </c>
      <c r="G318" s="8">
        <v>8519755</v>
      </c>
      <c r="I318" s="8">
        <v>0</v>
      </c>
      <c r="K318" s="8">
        <v>25594494</v>
      </c>
      <c r="M318" s="8">
        <v>409355</v>
      </c>
      <c r="O318" s="8">
        <v>484948</v>
      </c>
      <c r="Q318" s="8">
        <v>31617</v>
      </c>
      <c r="S318" s="8">
        <v>0</v>
      </c>
      <c r="U318" s="8">
        <v>0</v>
      </c>
      <c r="W318" s="8">
        <v>377809</v>
      </c>
      <c r="Y318" s="3">
        <f t="shared" ref="Y318:Y373" si="23">SUM(G318:X318)</f>
        <v>35417978</v>
      </c>
      <c r="AA318" s="8">
        <v>0</v>
      </c>
      <c r="AE318" s="8">
        <v>0</v>
      </c>
      <c r="AG318" s="8">
        <v>0</v>
      </c>
      <c r="AK318" s="8">
        <f t="shared" ref="AK318:AK365" si="24">SUM(AA318:AJ318)</f>
        <v>0</v>
      </c>
      <c r="AM318" s="8">
        <f t="shared" ref="AM318:AM367" si="25">+AK318+Y318</f>
        <v>35417978</v>
      </c>
      <c r="AN318" s="15" t="s">
        <v>905</v>
      </c>
    </row>
    <row r="319" spans="1:40">
      <c r="A319" s="13" t="s">
        <v>398</v>
      </c>
      <c r="B319" s="13"/>
      <c r="C319" s="13" t="s">
        <v>32</v>
      </c>
      <c r="D319" s="13"/>
      <c r="E319" s="32">
        <v>44289</v>
      </c>
      <c r="G319" s="8">
        <v>10612946</v>
      </c>
      <c r="I319" s="8">
        <v>0</v>
      </c>
      <c r="K319" s="8">
        <v>4898146</v>
      </c>
      <c r="M319" s="8">
        <v>95673</v>
      </c>
      <c r="O319" s="8">
        <v>40939</v>
      </c>
      <c r="Q319" s="8">
        <v>91014</v>
      </c>
      <c r="S319" s="8">
        <v>0</v>
      </c>
      <c r="U319" s="8">
        <v>0</v>
      </c>
      <c r="W319" s="8">
        <f>11056+142371</f>
        <v>153427</v>
      </c>
      <c r="Y319" s="3">
        <f t="shared" si="23"/>
        <v>15892145</v>
      </c>
      <c r="AA319" s="8">
        <v>0</v>
      </c>
      <c r="AE319" s="8">
        <v>207656</v>
      </c>
      <c r="AG319" s="8">
        <v>0</v>
      </c>
      <c r="AK319" s="8">
        <f t="shared" si="24"/>
        <v>207656</v>
      </c>
      <c r="AM319" s="8">
        <f t="shared" si="25"/>
        <v>16099801</v>
      </c>
    </row>
    <row r="320" spans="1:40">
      <c r="A320" s="13" t="s">
        <v>246</v>
      </c>
      <c r="B320" s="13"/>
      <c r="C320" s="13" t="s">
        <v>242</v>
      </c>
      <c r="D320" s="13"/>
      <c r="E320" s="32">
        <v>46128</v>
      </c>
      <c r="F320" s="11"/>
      <c r="G320" s="8">
        <v>5356040</v>
      </c>
      <c r="I320" s="8">
        <v>0</v>
      </c>
      <c r="K320" s="8">
        <v>6872225</v>
      </c>
      <c r="M320" s="8">
        <v>47910</v>
      </c>
      <c r="O320" s="8">
        <v>561658</v>
      </c>
      <c r="Q320" s="8">
        <v>23276</v>
      </c>
      <c r="S320" s="8">
        <v>0</v>
      </c>
      <c r="U320" s="8">
        <v>0</v>
      </c>
      <c r="W320" s="8">
        <v>30505</v>
      </c>
      <c r="Y320" s="3">
        <f t="shared" si="23"/>
        <v>12891614</v>
      </c>
      <c r="AA320" s="8">
        <v>0</v>
      </c>
      <c r="AE320" s="8">
        <v>28449</v>
      </c>
      <c r="AG320" s="8">
        <v>0</v>
      </c>
      <c r="AK320" s="8">
        <f t="shared" si="24"/>
        <v>28449</v>
      </c>
      <c r="AM320" s="8">
        <f t="shared" si="25"/>
        <v>12920063</v>
      </c>
    </row>
    <row r="321" spans="1:40" hidden="1">
      <c r="A321" s="12" t="s">
        <v>993</v>
      </c>
      <c r="B321" s="12"/>
      <c r="C321" s="12" t="s">
        <v>41</v>
      </c>
      <c r="D321" s="13"/>
      <c r="E321" s="32"/>
      <c r="F321" s="11"/>
      <c r="G321" s="8">
        <v>10176665</v>
      </c>
      <c r="K321" s="8">
        <v>16043385</v>
      </c>
      <c r="M321" s="8">
        <v>124684</v>
      </c>
      <c r="O321" s="8">
        <v>1301068</v>
      </c>
      <c r="W321" s="8">
        <v>146783</v>
      </c>
      <c r="Y321" s="3">
        <f t="shared" si="23"/>
        <v>27792585</v>
      </c>
      <c r="AK321" s="8">
        <f t="shared" si="24"/>
        <v>0</v>
      </c>
      <c r="AM321" s="8">
        <f t="shared" si="25"/>
        <v>27792585</v>
      </c>
    </row>
    <row r="322" spans="1:40">
      <c r="A322" s="13" t="s">
        <v>246</v>
      </c>
      <c r="B322" s="13"/>
      <c r="C322" s="13" t="s">
        <v>112</v>
      </c>
      <c r="D322" s="13"/>
      <c r="E322" s="32">
        <v>49452</v>
      </c>
      <c r="G322" s="8">
        <v>10227991</v>
      </c>
      <c r="I322" s="8">
        <v>0</v>
      </c>
      <c r="K322" s="8">
        <f>52261+16744778</f>
        <v>16797039</v>
      </c>
      <c r="M322" s="8">
        <v>299842</v>
      </c>
      <c r="O322" s="8">
        <v>1385588</v>
      </c>
      <c r="Q322" s="8">
        <v>0</v>
      </c>
      <c r="S322" s="8">
        <v>0</v>
      </c>
      <c r="U322" s="8">
        <v>0</v>
      </c>
      <c r="W322" s="8">
        <f>230347+89449+2650+9595</f>
        <v>332041</v>
      </c>
      <c r="Y322" s="3">
        <f t="shared" si="23"/>
        <v>29042501</v>
      </c>
      <c r="AA322" s="8">
        <v>0</v>
      </c>
      <c r="AE322" s="8">
        <v>0</v>
      </c>
      <c r="AG322" s="8">
        <v>0</v>
      </c>
      <c r="AK322" s="8">
        <f t="shared" si="24"/>
        <v>0</v>
      </c>
      <c r="AM322" s="8">
        <f t="shared" si="25"/>
        <v>29042501</v>
      </c>
    </row>
    <row r="323" spans="1:40">
      <c r="A323" s="12" t="s">
        <v>1023</v>
      </c>
      <c r="B323" s="12"/>
      <c r="C323" s="12" t="s">
        <v>505</v>
      </c>
      <c r="D323" s="13"/>
      <c r="E323" s="32"/>
      <c r="G323" s="8">
        <v>5853199</v>
      </c>
      <c r="I323" s="8">
        <v>0</v>
      </c>
      <c r="K323" s="8">
        <v>6226425</v>
      </c>
      <c r="M323" s="8">
        <v>165188</v>
      </c>
      <c r="O323" s="8">
        <v>794488</v>
      </c>
      <c r="Q323" s="8">
        <v>600</v>
      </c>
      <c r="S323" s="8">
        <v>5991</v>
      </c>
      <c r="U323" s="8">
        <v>2924</v>
      </c>
      <c r="W323" s="8">
        <f>52039+30</f>
        <v>52069</v>
      </c>
      <c r="Y323" s="3">
        <f t="shared" si="23"/>
        <v>13100884</v>
      </c>
      <c r="AA323" s="8">
        <v>0</v>
      </c>
      <c r="AE323" s="8">
        <v>802000</v>
      </c>
      <c r="AG323" s="8">
        <v>0</v>
      </c>
      <c r="AK323" s="8">
        <f t="shared" si="24"/>
        <v>802000</v>
      </c>
      <c r="AM323" s="8">
        <f t="shared" si="25"/>
        <v>13902884</v>
      </c>
    </row>
    <row r="324" spans="1:40">
      <c r="A324" s="12"/>
      <c r="B324" s="12"/>
      <c r="C324" s="12"/>
      <c r="D324" s="13"/>
      <c r="E324" s="32"/>
      <c r="Y324" s="3"/>
    </row>
    <row r="325" spans="1:40">
      <c r="A325" s="12"/>
      <c r="B325" s="12"/>
      <c r="C325" s="12"/>
      <c r="D325" s="13"/>
      <c r="E325" s="32"/>
      <c r="Y325" s="3"/>
      <c r="AM325" s="8" t="s">
        <v>805</v>
      </c>
    </row>
    <row r="326" spans="1:40">
      <c r="A326" s="12"/>
      <c r="B326" s="12"/>
      <c r="C326" s="12"/>
      <c r="D326" s="13"/>
      <c r="E326" s="32"/>
      <c r="Y326" s="3"/>
    </row>
    <row r="327" spans="1:40">
      <c r="A327" s="13" t="s">
        <v>819</v>
      </c>
      <c r="B327" s="13"/>
      <c r="C327" s="13" t="s">
        <v>208</v>
      </c>
      <c r="D327" s="13"/>
      <c r="E327" s="32"/>
      <c r="G327" s="35">
        <v>6404318</v>
      </c>
      <c r="H327" s="35"/>
      <c r="I327" s="35">
        <v>0</v>
      </c>
      <c r="K327" s="35">
        <v>6243962</v>
      </c>
      <c r="L327" s="35"/>
      <c r="M327" s="35">
        <v>134358</v>
      </c>
      <c r="N327" s="35"/>
      <c r="O327" s="35">
        <v>323127</v>
      </c>
      <c r="P327" s="35"/>
      <c r="Q327" s="35">
        <v>0</v>
      </c>
      <c r="R327" s="35"/>
      <c r="S327" s="35">
        <v>0</v>
      </c>
      <c r="T327" s="35"/>
      <c r="U327" s="35">
        <v>0</v>
      </c>
      <c r="V327" s="35"/>
      <c r="W327" s="35">
        <v>22957</v>
      </c>
      <c r="X327" s="35"/>
      <c r="Y327" s="42">
        <f t="shared" si="23"/>
        <v>13128722</v>
      </c>
      <c r="Z327" s="35"/>
      <c r="AA327" s="35">
        <v>0</v>
      </c>
      <c r="AB327" s="35"/>
      <c r="AC327" s="35"/>
      <c r="AD327" s="35"/>
      <c r="AE327" s="35">
        <v>32796</v>
      </c>
      <c r="AF327" s="35"/>
      <c r="AG327" s="35">
        <v>0</v>
      </c>
      <c r="AH327" s="35"/>
      <c r="AI327" s="35"/>
      <c r="AJ327" s="35"/>
      <c r="AK327" s="35">
        <f t="shared" si="24"/>
        <v>32796</v>
      </c>
      <c r="AL327" s="35"/>
      <c r="AM327" s="35">
        <f t="shared" si="25"/>
        <v>13161518</v>
      </c>
    </row>
    <row r="328" spans="1:40">
      <c r="A328" s="13" t="s">
        <v>612</v>
      </c>
      <c r="B328" s="13"/>
      <c r="C328" s="13" t="s">
        <v>112</v>
      </c>
      <c r="D328" s="13"/>
      <c r="E328" s="32">
        <v>44297</v>
      </c>
      <c r="G328" s="8">
        <v>18356787</v>
      </c>
      <c r="I328" s="8">
        <v>0</v>
      </c>
      <c r="K328" s="8">
        <f>30278901+16044</f>
        <v>30294945</v>
      </c>
      <c r="M328" s="8">
        <v>500882</v>
      </c>
      <c r="O328" s="8">
        <v>678034</v>
      </c>
      <c r="Q328" s="8">
        <v>0</v>
      </c>
      <c r="S328" s="8">
        <v>0</v>
      </c>
      <c r="U328" s="8">
        <v>22650</v>
      </c>
      <c r="W328" s="8">
        <f>1200667+119273+5645+93783</f>
        <v>1419368</v>
      </c>
      <c r="Y328" s="3">
        <f t="shared" si="23"/>
        <v>51272666</v>
      </c>
      <c r="AA328" s="8">
        <v>0</v>
      </c>
      <c r="AE328" s="8">
        <v>0</v>
      </c>
      <c r="AG328" s="8">
        <v>9067</v>
      </c>
      <c r="AK328" s="8">
        <f t="shared" si="24"/>
        <v>9067</v>
      </c>
      <c r="AM328" s="8">
        <f t="shared" si="25"/>
        <v>51281733</v>
      </c>
    </row>
    <row r="329" spans="1:40">
      <c r="A329" s="12" t="s">
        <v>311</v>
      </c>
      <c r="B329" s="13"/>
      <c r="C329" s="13" t="s">
        <v>20</v>
      </c>
      <c r="D329" s="13"/>
      <c r="E329" s="32">
        <v>44305</v>
      </c>
      <c r="G329" s="8">
        <v>15103268</v>
      </c>
      <c r="I329" s="8">
        <v>0</v>
      </c>
      <c r="K329" s="8">
        <v>20255856</v>
      </c>
      <c r="M329" s="8">
        <v>97831</v>
      </c>
      <c r="O329" s="8">
        <v>968302</v>
      </c>
      <c r="Q329" s="8">
        <v>0</v>
      </c>
      <c r="S329" s="8">
        <v>0</v>
      </c>
      <c r="U329" s="8">
        <v>1392</v>
      </c>
      <c r="W329" s="8">
        <f>322809+9670</f>
        <v>332479</v>
      </c>
      <c r="Y329" s="3">
        <f t="shared" si="23"/>
        <v>36759128</v>
      </c>
      <c r="AA329" s="8">
        <v>0</v>
      </c>
      <c r="AE329" s="8">
        <v>0</v>
      </c>
      <c r="AG329" s="8">
        <v>0</v>
      </c>
      <c r="AK329" s="8">
        <f t="shared" si="24"/>
        <v>0</v>
      </c>
      <c r="AM329" s="8">
        <f t="shared" si="25"/>
        <v>36759128</v>
      </c>
      <c r="AN329" s="15" t="s">
        <v>905</v>
      </c>
    </row>
    <row r="330" spans="1:40">
      <c r="A330" s="13" t="s">
        <v>216</v>
      </c>
      <c r="B330" s="13"/>
      <c r="C330" s="13" t="s">
        <v>11</v>
      </c>
      <c r="D330" s="13"/>
      <c r="E330" s="32">
        <v>45831</v>
      </c>
      <c r="F330" s="11"/>
      <c r="G330" s="8">
        <v>2555433</v>
      </c>
      <c r="I330" s="8">
        <v>0</v>
      </c>
      <c r="K330" s="8">
        <v>4997462</v>
      </c>
      <c r="M330" s="8">
        <v>29871</v>
      </c>
      <c r="O330" s="8">
        <v>481964</v>
      </c>
      <c r="Q330" s="8">
        <v>25406</v>
      </c>
      <c r="S330" s="8">
        <v>0</v>
      </c>
      <c r="U330" s="8">
        <v>1023</v>
      </c>
      <c r="W330" s="8">
        <f>2102+35670+619</f>
        <v>38391</v>
      </c>
      <c r="Y330" s="3">
        <f t="shared" si="23"/>
        <v>8129550</v>
      </c>
      <c r="AA330" s="8">
        <v>0</v>
      </c>
      <c r="AE330" s="8">
        <v>0</v>
      </c>
      <c r="AG330" s="8">
        <v>0</v>
      </c>
      <c r="AK330" s="8">
        <f t="shared" si="24"/>
        <v>0</v>
      </c>
      <c r="AM330" s="8">
        <f t="shared" si="25"/>
        <v>8129550</v>
      </c>
    </row>
    <row r="331" spans="1:40">
      <c r="A331" s="13" t="s">
        <v>687</v>
      </c>
      <c r="B331" s="13"/>
      <c r="C331" s="13" t="s">
        <v>64</v>
      </c>
      <c r="D331" s="13"/>
      <c r="E331" s="32">
        <v>50211</v>
      </c>
      <c r="G331" s="8">
        <v>2276206</v>
      </c>
      <c r="I331" s="8">
        <v>0</v>
      </c>
      <c r="K331" s="8">
        <f>5891512+10651</f>
        <v>5902163</v>
      </c>
      <c r="M331" s="8">
        <v>44318</v>
      </c>
      <c r="O331" s="8">
        <v>301165</v>
      </c>
      <c r="Q331" s="8">
        <v>0</v>
      </c>
      <c r="S331" s="8">
        <v>0</v>
      </c>
      <c r="U331" s="8">
        <v>0</v>
      </c>
      <c r="W331" s="8">
        <f>54827+28383+9176</f>
        <v>92386</v>
      </c>
      <c r="Y331" s="3">
        <f t="shared" si="23"/>
        <v>8616238</v>
      </c>
      <c r="AA331" s="8">
        <v>0</v>
      </c>
      <c r="AE331" s="8">
        <v>0</v>
      </c>
      <c r="AG331" s="8">
        <v>0</v>
      </c>
      <c r="AK331" s="8">
        <f t="shared" si="24"/>
        <v>0</v>
      </c>
      <c r="AM331" s="8">
        <f t="shared" si="25"/>
        <v>8616238</v>
      </c>
    </row>
    <row r="332" spans="1:40">
      <c r="A332" s="13" t="s">
        <v>339</v>
      </c>
      <c r="B332" s="13"/>
      <c r="C332" s="13" t="s">
        <v>24</v>
      </c>
      <c r="D332" s="13"/>
      <c r="E332" s="32">
        <v>46805</v>
      </c>
      <c r="G332" s="8">
        <v>4872491</v>
      </c>
      <c r="I332" s="8">
        <v>0</v>
      </c>
      <c r="K332" s="8">
        <v>6259149</v>
      </c>
      <c r="M332" s="8">
        <v>83676</v>
      </c>
      <c r="O332" s="8">
        <v>423721</v>
      </c>
      <c r="Q332" s="8">
        <v>0</v>
      </c>
      <c r="S332" s="8">
        <v>0</v>
      </c>
      <c r="U332" s="8">
        <v>0</v>
      </c>
      <c r="W332" s="8">
        <f>39909+22599+26232+57528</f>
        <v>146268</v>
      </c>
      <c r="Y332" s="3">
        <f t="shared" si="23"/>
        <v>11785305</v>
      </c>
      <c r="AA332" s="8">
        <v>0</v>
      </c>
      <c r="AE332" s="8">
        <v>0</v>
      </c>
      <c r="AG332" s="8">
        <v>0</v>
      </c>
      <c r="AK332" s="8">
        <f t="shared" si="24"/>
        <v>0</v>
      </c>
      <c r="AM332" s="8">
        <f t="shared" si="25"/>
        <v>11785305</v>
      </c>
    </row>
    <row r="333" spans="1:40">
      <c r="A333" s="13" t="s">
        <v>399</v>
      </c>
      <c r="B333" s="13"/>
      <c r="C333" s="13" t="s">
        <v>32</v>
      </c>
      <c r="D333" s="13"/>
      <c r="E333" s="32">
        <v>44313</v>
      </c>
      <c r="G333" s="8">
        <v>14615573</v>
      </c>
      <c r="I333" s="8">
        <v>0</v>
      </c>
      <c r="K333" s="8">
        <v>5506225</v>
      </c>
      <c r="M333" s="8">
        <v>104798</v>
      </c>
      <c r="O333" s="8">
        <v>282044</v>
      </c>
      <c r="Q333" s="8">
        <v>0</v>
      </c>
      <c r="S333" s="8">
        <v>0</v>
      </c>
      <c r="U333" s="8">
        <v>0</v>
      </c>
      <c r="W333" s="8">
        <f>74990+956</f>
        <v>75946</v>
      </c>
      <c r="Y333" s="3">
        <f t="shared" si="23"/>
        <v>20584586</v>
      </c>
      <c r="AA333" s="8">
        <v>0</v>
      </c>
      <c r="AE333" s="8">
        <v>0</v>
      </c>
      <c r="AG333" s="8">
        <v>0</v>
      </c>
      <c r="AK333" s="8">
        <f t="shared" si="24"/>
        <v>0</v>
      </c>
      <c r="AM333" s="8">
        <f t="shared" si="25"/>
        <v>20584586</v>
      </c>
    </row>
    <row r="334" spans="1:40" hidden="1">
      <c r="A334" s="12" t="s">
        <v>832</v>
      </c>
      <c r="B334" s="13"/>
      <c r="C334" s="13" t="s">
        <v>70</v>
      </c>
      <c r="D334" s="13"/>
      <c r="E334" s="32">
        <v>44321</v>
      </c>
      <c r="G334" s="8">
        <v>9762347</v>
      </c>
      <c r="K334" s="8">
        <v>11024470</v>
      </c>
      <c r="M334" s="8">
        <v>211545</v>
      </c>
      <c r="O334" s="8">
        <v>468488</v>
      </c>
      <c r="Q334" s="8">
        <v>1319</v>
      </c>
      <c r="S334" s="8">
        <v>71297</v>
      </c>
      <c r="U334" s="8">
        <v>6809</v>
      </c>
      <c r="W334" s="8">
        <f>126830</f>
        <v>126830</v>
      </c>
      <c r="Y334" s="3">
        <f t="shared" si="23"/>
        <v>21673105</v>
      </c>
      <c r="AK334" s="8">
        <f t="shared" si="24"/>
        <v>0</v>
      </c>
      <c r="AM334" s="8">
        <f t="shared" si="25"/>
        <v>21673105</v>
      </c>
      <c r="AN334" s="8" t="s">
        <v>956</v>
      </c>
    </row>
    <row r="335" spans="1:40">
      <c r="A335" s="13" t="s">
        <v>521</v>
      </c>
      <c r="B335" s="13"/>
      <c r="C335" s="13" t="s">
        <v>46</v>
      </c>
      <c r="D335" s="13"/>
      <c r="E335" s="32">
        <v>44339</v>
      </c>
      <c r="G335" s="8">
        <v>8618287</v>
      </c>
      <c r="I335" s="8">
        <v>0</v>
      </c>
      <c r="K335" s="8">
        <v>30503150</v>
      </c>
      <c r="M335" s="8">
        <v>406200</v>
      </c>
      <c r="O335" s="8">
        <v>2039665</v>
      </c>
      <c r="Q335" s="8">
        <v>72985</v>
      </c>
      <c r="S335" s="8">
        <v>255993</v>
      </c>
      <c r="U335" s="8">
        <v>0</v>
      </c>
      <c r="W335" s="8">
        <v>460851</v>
      </c>
      <c r="Y335" s="3">
        <f t="shared" si="23"/>
        <v>42357131</v>
      </c>
      <c r="AA335" s="8">
        <v>0</v>
      </c>
      <c r="AE335" s="8">
        <v>25786</v>
      </c>
      <c r="AG335" s="8">
        <v>0</v>
      </c>
      <c r="AK335" s="8">
        <f t="shared" si="24"/>
        <v>25786</v>
      </c>
      <c r="AM335" s="8">
        <f t="shared" si="25"/>
        <v>42382917</v>
      </c>
    </row>
    <row r="336" spans="1:40" hidden="1">
      <c r="A336" s="12" t="s">
        <v>998</v>
      </c>
      <c r="B336" s="12"/>
      <c r="C336" s="12" t="s">
        <v>534</v>
      </c>
      <c r="D336" s="13"/>
      <c r="E336" s="32"/>
      <c r="G336" s="8">
        <v>2086495</v>
      </c>
      <c r="K336" s="8">
        <v>4705422</v>
      </c>
      <c r="M336" s="8">
        <v>82365</v>
      </c>
      <c r="O336" s="8">
        <v>245250</v>
      </c>
      <c r="W336" s="8">
        <f>7180+693</f>
        <v>7873</v>
      </c>
      <c r="Y336" s="3">
        <f t="shared" si="23"/>
        <v>7127405</v>
      </c>
      <c r="AM336" s="8">
        <f t="shared" si="25"/>
        <v>7127405</v>
      </c>
    </row>
    <row r="337" spans="1:40">
      <c r="A337" s="13" t="s">
        <v>655</v>
      </c>
      <c r="B337" s="13"/>
      <c r="C337" s="13" t="s">
        <v>62</v>
      </c>
      <c r="D337" s="13"/>
      <c r="E337" s="32">
        <v>49882</v>
      </c>
      <c r="G337" s="8">
        <v>8250542</v>
      </c>
      <c r="I337" s="8">
        <v>0</v>
      </c>
      <c r="K337" s="8">
        <f>795+12344273+13500</f>
        <v>12358568</v>
      </c>
      <c r="M337" s="8">
        <v>58375</v>
      </c>
      <c r="O337" s="8">
        <v>78948</v>
      </c>
      <c r="Q337" s="8">
        <v>14247</v>
      </c>
      <c r="S337" s="8">
        <v>0</v>
      </c>
      <c r="U337" s="8">
        <v>0</v>
      </c>
      <c r="W337" s="8">
        <f>118280+128187</f>
        <v>246467</v>
      </c>
      <c r="Y337" s="3">
        <f t="shared" si="23"/>
        <v>21007147</v>
      </c>
      <c r="AA337" s="8">
        <v>1076</v>
      </c>
      <c r="AE337" s="8">
        <v>0</v>
      </c>
      <c r="AG337" s="8">
        <v>0</v>
      </c>
      <c r="AK337" s="8">
        <f t="shared" si="24"/>
        <v>1076</v>
      </c>
      <c r="AM337" s="8">
        <f t="shared" si="25"/>
        <v>21008223</v>
      </c>
    </row>
    <row r="338" spans="1:40">
      <c r="A338" s="13" t="s">
        <v>233</v>
      </c>
      <c r="B338" s="13"/>
      <c r="C338" s="13" t="s">
        <v>15</v>
      </c>
      <c r="D338" s="13"/>
      <c r="E338" s="32">
        <v>44347</v>
      </c>
      <c r="F338" s="11"/>
      <c r="G338" s="8">
        <v>2285740</v>
      </c>
      <c r="I338" s="8">
        <v>0</v>
      </c>
      <c r="K338" s="8">
        <v>8611692</v>
      </c>
      <c r="M338" s="8">
        <v>3018</v>
      </c>
      <c r="O338" s="8">
        <v>902105</v>
      </c>
      <c r="Q338" s="8">
        <v>0</v>
      </c>
      <c r="S338" s="8">
        <v>0</v>
      </c>
      <c r="U338" s="8">
        <v>0</v>
      </c>
      <c r="W338" s="8">
        <f>4562+398</f>
        <v>4960</v>
      </c>
      <c r="Y338" s="3">
        <f t="shared" si="23"/>
        <v>11807515</v>
      </c>
      <c r="AA338" s="8">
        <v>0</v>
      </c>
      <c r="AE338" s="8">
        <v>0</v>
      </c>
      <c r="AG338" s="8">
        <v>0</v>
      </c>
      <c r="AK338" s="8">
        <f t="shared" si="24"/>
        <v>0</v>
      </c>
      <c r="AM338" s="8">
        <f t="shared" si="25"/>
        <v>11807515</v>
      </c>
    </row>
    <row r="339" spans="1:40">
      <c r="A339" s="13" t="s">
        <v>703</v>
      </c>
      <c r="B339" s="13"/>
      <c r="C339" s="13" t="s">
        <v>66</v>
      </c>
      <c r="D339" s="13"/>
      <c r="E339" s="32">
        <v>45476</v>
      </c>
      <c r="G339" s="8">
        <v>21254380</v>
      </c>
      <c r="I339" s="8">
        <v>0</v>
      </c>
      <c r="K339" s="8">
        <f>23921329+1820</f>
        <v>23923149</v>
      </c>
      <c r="M339" s="8">
        <v>199906</v>
      </c>
      <c r="O339" s="8">
        <v>281289</v>
      </c>
      <c r="Q339" s="8">
        <v>193656</v>
      </c>
      <c r="S339" s="8">
        <v>0</v>
      </c>
      <c r="U339" s="8">
        <v>0</v>
      </c>
      <c r="W339" s="8">
        <f>447962+4626+130611+83047</f>
        <v>666246</v>
      </c>
      <c r="Y339" s="3">
        <f t="shared" si="23"/>
        <v>46518626</v>
      </c>
      <c r="AA339" s="8">
        <v>0</v>
      </c>
      <c r="AE339" s="8">
        <v>56877</v>
      </c>
      <c r="AG339" s="8">
        <v>0</v>
      </c>
      <c r="AK339" s="8">
        <f t="shared" si="24"/>
        <v>56877</v>
      </c>
      <c r="AM339" s="8">
        <f t="shared" si="25"/>
        <v>46575503</v>
      </c>
    </row>
    <row r="340" spans="1:40">
      <c r="A340" s="13" t="s">
        <v>712</v>
      </c>
      <c r="B340" s="13"/>
      <c r="C340" s="13" t="s">
        <v>69</v>
      </c>
      <c r="D340" s="13"/>
      <c r="E340" s="32">
        <v>50450</v>
      </c>
      <c r="G340" s="8">
        <v>55045992</v>
      </c>
      <c r="I340" s="8">
        <v>0</v>
      </c>
      <c r="K340" s="8">
        <v>43935078</v>
      </c>
      <c r="M340" s="8">
        <v>1373088</v>
      </c>
      <c r="O340" s="8">
        <v>905831</v>
      </c>
      <c r="Q340" s="8">
        <v>0</v>
      </c>
      <c r="S340" s="8">
        <v>0</v>
      </c>
      <c r="U340" s="8">
        <v>0</v>
      </c>
      <c r="W340" s="8">
        <v>114776</v>
      </c>
      <c r="Y340" s="3">
        <f t="shared" si="23"/>
        <v>101374765</v>
      </c>
      <c r="AA340" s="8">
        <v>0</v>
      </c>
      <c r="AE340" s="8">
        <v>179406</v>
      </c>
      <c r="AG340" s="8">
        <v>0</v>
      </c>
      <c r="AK340" s="8">
        <f t="shared" si="24"/>
        <v>179406</v>
      </c>
      <c r="AM340" s="8">
        <f t="shared" si="25"/>
        <v>101554171</v>
      </c>
    </row>
    <row r="341" spans="1:40">
      <c r="A341" s="13" t="s">
        <v>656</v>
      </c>
      <c r="B341" s="13"/>
      <c r="C341" s="13" t="s">
        <v>62</v>
      </c>
      <c r="D341" s="13"/>
      <c r="E341" s="32">
        <v>44354</v>
      </c>
      <c r="G341" s="8">
        <v>12771431</v>
      </c>
      <c r="I341" s="8">
        <v>68244</v>
      </c>
      <c r="K341" s="8">
        <v>22599034</v>
      </c>
      <c r="M341" s="8">
        <v>251883</v>
      </c>
      <c r="O341" s="8">
        <v>1443698</v>
      </c>
      <c r="Q341" s="8">
        <v>0</v>
      </c>
      <c r="S341" s="8">
        <v>0</v>
      </c>
      <c r="U341" s="8">
        <v>0</v>
      </c>
      <c r="W341" s="8">
        <f>30452+11122+205095</f>
        <v>246669</v>
      </c>
      <c r="Y341" s="3">
        <f t="shared" si="23"/>
        <v>37380959</v>
      </c>
      <c r="AA341" s="8">
        <v>0</v>
      </c>
      <c r="AE341" s="8">
        <v>0</v>
      </c>
      <c r="AG341" s="8">
        <v>0</v>
      </c>
      <c r="AK341" s="8">
        <f t="shared" si="24"/>
        <v>0</v>
      </c>
      <c r="AM341" s="8">
        <f t="shared" si="25"/>
        <v>37380959</v>
      </c>
    </row>
    <row r="342" spans="1:40">
      <c r="A342" s="13" t="s">
        <v>688</v>
      </c>
      <c r="B342" s="13"/>
      <c r="C342" s="13" t="s">
        <v>64</v>
      </c>
      <c r="D342" s="13"/>
      <c r="E342" s="13">
        <v>50153</v>
      </c>
      <c r="G342" s="8">
        <v>4094408</v>
      </c>
      <c r="I342" s="8">
        <v>0</v>
      </c>
      <c r="K342" s="8">
        <f>3814801+11649</f>
        <v>3826450</v>
      </c>
      <c r="M342" s="8">
        <v>56886</v>
      </c>
      <c r="O342" s="8">
        <v>416338</v>
      </c>
      <c r="Q342" s="8">
        <v>0</v>
      </c>
      <c r="S342" s="8">
        <v>9721</v>
      </c>
      <c r="U342" s="8">
        <v>0</v>
      </c>
      <c r="W342" s="8">
        <f>44889+9669+2900</f>
        <v>57458</v>
      </c>
      <c r="Y342" s="3">
        <f t="shared" si="23"/>
        <v>8461261</v>
      </c>
      <c r="AA342" s="8">
        <v>0</v>
      </c>
      <c r="AE342" s="8">
        <v>0</v>
      </c>
      <c r="AG342" s="8">
        <v>0</v>
      </c>
      <c r="AK342" s="8">
        <f t="shared" si="24"/>
        <v>0</v>
      </c>
      <c r="AM342" s="8">
        <f t="shared" si="25"/>
        <v>8461261</v>
      </c>
    </row>
    <row r="343" spans="1:40">
      <c r="A343" s="13" t="s">
        <v>497</v>
      </c>
      <c r="B343" s="13"/>
      <c r="C343" s="13" t="s">
        <v>117</v>
      </c>
      <c r="D343" s="13"/>
      <c r="E343" s="32">
        <v>44362</v>
      </c>
      <c r="G343" s="8">
        <v>16357786</v>
      </c>
      <c r="I343" s="8">
        <v>0</v>
      </c>
      <c r="K343" s="8">
        <v>9346228</v>
      </c>
      <c r="M343" s="8">
        <v>0</v>
      </c>
      <c r="O343" s="8">
        <v>376524</v>
      </c>
      <c r="Q343" s="8">
        <v>133651</v>
      </c>
      <c r="S343" s="8">
        <v>0</v>
      </c>
      <c r="U343" s="8">
        <v>0</v>
      </c>
      <c r="W343" s="8">
        <f>47270+118253</f>
        <v>165523</v>
      </c>
      <c r="Y343" s="3">
        <f t="shared" si="23"/>
        <v>26379712</v>
      </c>
      <c r="AA343" s="8">
        <v>0</v>
      </c>
      <c r="AE343" s="8">
        <v>0</v>
      </c>
      <c r="AG343" s="8">
        <v>10</v>
      </c>
      <c r="AK343" s="8">
        <f t="shared" si="24"/>
        <v>10</v>
      </c>
      <c r="AM343" s="8">
        <f t="shared" si="25"/>
        <v>26379722</v>
      </c>
    </row>
    <row r="344" spans="1:40">
      <c r="A344" s="12" t="s">
        <v>1071</v>
      </c>
      <c r="B344" s="13"/>
      <c r="C344" s="13" t="s">
        <v>20</v>
      </c>
      <c r="D344" s="13"/>
      <c r="E344" s="32">
        <v>44370</v>
      </c>
      <c r="G344" s="8">
        <v>44798158</v>
      </c>
      <c r="I344" s="8">
        <v>0</v>
      </c>
      <c r="K344" s="8">
        <v>11877880</v>
      </c>
      <c r="M344" s="8">
        <v>427283</v>
      </c>
      <c r="O344" s="8">
        <v>708484</v>
      </c>
      <c r="Q344" s="8">
        <v>0</v>
      </c>
      <c r="S344" s="8">
        <v>2248932</v>
      </c>
      <c r="U344" s="8">
        <v>0</v>
      </c>
      <c r="W344" s="8">
        <f>478421+86077</f>
        <v>564498</v>
      </c>
      <c r="Y344" s="3">
        <f t="shared" si="23"/>
        <v>60625235</v>
      </c>
      <c r="AA344" s="8">
        <v>650000</v>
      </c>
      <c r="AE344" s="8">
        <v>12678</v>
      </c>
      <c r="AG344" s="8">
        <v>0</v>
      </c>
      <c r="AK344" s="8">
        <f t="shared" si="24"/>
        <v>662678</v>
      </c>
      <c r="AM344" s="8">
        <f t="shared" si="25"/>
        <v>61287913</v>
      </c>
      <c r="AN344" s="15" t="s">
        <v>905</v>
      </c>
    </row>
    <row r="345" spans="1:40">
      <c r="A345" s="13" t="s">
        <v>565</v>
      </c>
      <c r="B345" s="13"/>
      <c r="C345" s="13" t="s">
        <v>51</v>
      </c>
      <c r="D345" s="13"/>
      <c r="E345" s="32">
        <v>48850</v>
      </c>
      <c r="G345" s="8">
        <v>3157711</v>
      </c>
      <c r="I345" s="8">
        <v>0</v>
      </c>
      <c r="K345" s="8">
        <v>11398381</v>
      </c>
      <c r="M345" s="8">
        <v>0</v>
      </c>
      <c r="O345" s="8">
        <v>1653780</v>
      </c>
      <c r="Q345" s="8">
        <v>0</v>
      </c>
      <c r="S345" s="8">
        <v>2892</v>
      </c>
      <c r="U345" s="8">
        <v>1010</v>
      </c>
      <c r="W345" s="8">
        <f>17937+563638+12655</f>
        <v>594230</v>
      </c>
      <c r="Y345" s="3">
        <f t="shared" si="23"/>
        <v>16808004</v>
      </c>
      <c r="AA345" s="8">
        <v>0</v>
      </c>
      <c r="AE345" s="8">
        <v>71533</v>
      </c>
      <c r="AG345" s="8">
        <v>0</v>
      </c>
      <c r="AK345" s="8">
        <f t="shared" si="24"/>
        <v>71533</v>
      </c>
      <c r="AM345" s="8">
        <f t="shared" si="25"/>
        <v>16879537</v>
      </c>
    </row>
    <row r="346" spans="1:40" hidden="1">
      <c r="A346" s="12" t="s">
        <v>885</v>
      </c>
      <c r="B346" s="13"/>
      <c r="C346" s="13" t="s">
        <v>33</v>
      </c>
      <c r="D346" s="13"/>
      <c r="E346" s="32">
        <v>47456</v>
      </c>
      <c r="G346" s="8">
        <v>1483380</v>
      </c>
      <c r="I346" s="8">
        <v>1024868</v>
      </c>
      <c r="K346" s="8">
        <v>4109328</v>
      </c>
      <c r="M346" s="8">
        <v>47651</v>
      </c>
      <c r="O346" s="8">
        <v>211878</v>
      </c>
      <c r="W346" s="8">
        <f>18998+2090+1025</f>
        <v>22113</v>
      </c>
      <c r="Y346" s="3">
        <f t="shared" si="23"/>
        <v>6899218</v>
      </c>
      <c r="AK346" s="8">
        <f t="shared" si="24"/>
        <v>0</v>
      </c>
      <c r="AM346" s="8">
        <f t="shared" si="25"/>
        <v>6899218</v>
      </c>
    </row>
    <row r="347" spans="1:40">
      <c r="A347" s="13" t="s">
        <v>882</v>
      </c>
      <c r="B347" s="13"/>
      <c r="C347" s="13" t="s">
        <v>64</v>
      </c>
      <c r="D347" s="13"/>
      <c r="E347" s="32">
        <v>50229</v>
      </c>
      <c r="G347" s="8">
        <v>1067351</v>
      </c>
      <c r="I347" s="8">
        <v>0</v>
      </c>
      <c r="K347" s="8">
        <v>4019906</v>
      </c>
      <c r="M347" s="8">
        <v>288</v>
      </c>
      <c r="O347" s="8">
        <v>940474</v>
      </c>
      <c r="Q347" s="8">
        <v>0</v>
      </c>
      <c r="S347" s="8">
        <v>0</v>
      </c>
      <c r="U347" s="8">
        <v>0</v>
      </c>
      <c r="W347" s="8">
        <f>22657+18737</f>
        <v>41394</v>
      </c>
      <c r="Y347" s="3">
        <f t="shared" si="23"/>
        <v>6069413</v>
      </c>
      <c r="AA347" s="8">
        <v>0</v>
      </c>
      <c r="AE347" s="8">
        <v>0</v>
      </c>
      <c r="AG347" s="8">
        <v>0</v>
      </c>
      <c r="AK347" s="8">
        <f t="shared" si="24"/>
        <v>0</v>
      </c>
      <c r="AM347" s="8">
        <f t="shared" si="25"/>
        <v>6069413</v>
      </c>
    </row>
    <row r="348" spans="1:40">
      <c r="A348" s="13" t="s">
        <v>256</v>
      </c>
      <c r="B348" s="13"/>
      <c r="C348" s="13" t="s">
        <v>255</v>
      </c>
      <c r="D348" s="13"/>
      <c r="E348" s="32">
        <v>45484</v>
      </c>
      <c r="F348" s="11"/>
      <c r="G348" s="8">
        <v>3014185</v>
      </c>
      <c r="I348" s="8">
        <v>0</v>
      </c>
      <c r="K348" s="8">
        <v>4749830</v>
      </c>
      <c r="M348" s="8">
        <v>46384</v>
      </c>
      <c r="O348" s="8">
        <v>561582</v>
      </c>
      <c r="Q348" s="8">
        <v>0</v>
      </c>
      <c r="S348" s="8">
        <v>0</v>
      </c>
      <c r="U348" s="8">
        <v>0</v>
      </c>
      <c r="W348" s="8">
        <v>53329</v>
      </c>
      <c r="Y348" s="3">
        <f t="shared" si="23"/>
        <v>8425310</v>
      </c>
      <c r="AA348" s="8">
        <v>0</v>
      </c>
      <c r="AE348" s="8">
        <v>35348</v>
      </c>
      <c r="AG348" s="8">
        <v>0</v>
      </c>
      <c r="AK348" s="8">
        <f t="shared" si="24"/>
        <v>35348</v>
      </c>
      <c r="AM348" s="8">
        <f t="shared" si="25"/>
        <v>8460658</v>
      </c>
    </row>
    <row r="349" spans="1:40">
      <c r="A349" s="13" t="s">
        <v>529</v>
      </c>
      <c r="B349" s="13"/>
      <c r="C349" s="13" t="s">
        <v>47</v>
      </c>
      <c r="D349" s="13"/>
      <c r="E349" s="32">
        <v>44388</v>
      </c>
      <c r="G349" s="8">
        <v>43677411</v>
      </c>
      <c r="I349" s="8">
        <v>0</v>
      </c>
      <c r="K349" s="8">
        <v>27185294</v>
      </c>
      <c r="M349" s="8">
        <v>482588</v>
      </c>
      <c r="O349" s="8">
        <v>408418</v>
      </c>
      <c r="Q349" s="8">
        <v>157670</v>
      </c>
      <c r="S349" s="8">
        <v>0</v>
      </c>
      <c r="U349" s="8">
        <v>50</v>
      </c>
      <c r="W349" s="8">
        <f>199279+476864+46730</f>
        <v>722873</v>
      </c>
      <c r="Y349" s="3">
        <f t="shared" si="23"/>
        <v>72634304</v>
      </c>
      <c r="AA349" s="8">
        <v>0</v>
      </c>
      <c r="AE349" s="8">
        <v>0</v>
      </c>
      <c r="AG349" s="8">
        <v>0</v>
      </c>
      <c r="AK349" s="8">
        <f t="shared" si="24"/>
        <v>0</v>
      </c>
      <c r="AM349" s="8">
        <f t="shared" si="25"/>
        <v>72634304</v>
      </c>
    </row>
    <row r="350" spans="1:40">
      <c r="A350" s="13" t="s">
        <v>532</v>
      </c>
      <c r="B350" s="13"/>
      <c r="C350" s="13" t="s">
        <v>531</v>
      </c>
      <c r="D350" s="13"/>
      <c r="E350" s="32">
        <v>48520</v>
      </c>
      <c r="G350" s="8">
        <v>2159483</v>
      </c>
      <c r="I350" s="8">
        <v>0</v>
      </c>
      <c r="K350" s="8">
        <v>13454147</v>
      </c>
      <c r="M350" s="8">
        <v>41092</v>
      </c>
      <c r="O350" s="8">
        <v>638851</v>
      </c>
      <c r="Q350" s="8">
        <v>0</v>
      </c>
      <c r="S350" s="8">
        <v>0</v>
      </c>
      <c r="U350" s="8">
        <v>6000</v>
      </c>
      <c r="W350" s="8">
        <f>86443+4875</f>
        <v>91318</v>
      </c>
      <c r="Y350" s="3">
        <f t="shared" si="23"/>
        <v>16390891</v>
      </c>
      <c r="AA350" s="8">
        <v>0</v>
      </c>
      <c r="AE350" s="8">
        <v>0</v>
      </c>
      <c r="AG350" s="8">
        <v>1000</v>
      </c>
      <c r="AK350" s="8">
        <f t="shared" si="24"/>
        <v>1000</v>
      </c>
      <c r="AM350" s="8">
        <f t="shared" si="25"/>
        <v>16391891</v>
      </c>
    </row>
    <row r="351" spans="1:40">
      <c r="A351" s="13" t="s">
        <v>460</v>
      </c>
      <c r="B351" s="13"/>
      <c r="C351" s="13" t="s">
        <v>41</v>
      </c>
      <c r="D351" s="13"/>
      <c r="E351" s="32">
        <v>45492</v>
      </c>
      <c r="G351" s="8">
        <v>64844632</v>
      </c>
      <c r="I351" s="8">
        <v>0</v>
      </c>
      <c r="K351" s="8">
        <v>33395296</v>
      </c>
      <c r="M351" s="8">
        <v>1327173</v>
      </c>
      <c r="O351" s="8">
        <v>1454041</v>
      </c>
      <c r="Q351" s="8">
        <v>347807</v>
      </c>
      <c r="S351" s="8">
        <v>154534</v>
      </c>
      <c r="U351" s="8">
        <v>0</v>
      </c>
      <c r="W351" s="8">
        <f>103749+46019+34787</f>
        <v>184555</v>
      </c>
      <c r="Y351" s="3">
        <f t="shared" si="23"/>
        <v>101708038</v>
      </c>
      <c r="AA351" s="8">
        <v>0</v>
      </c>
      <c r="AE351" s="8">
        <v>0</v>
      </c>
      <c r="AG351" s="8">
        <v>0</v>
      </c>
      <c r="AK351" s="8">
        <f t="shared" si="24"/>
        <v>0</v>
      </c>
      <c r="AM351" s="8">
        <f t="shared" si="25"/>
        <v>101708038</v>
      </c>
    </row>
    <row r="352" spans="1:40">
      <c r="A352" s="13" t="s">
        <v>537</v>
      </c>
      <c r="B352" s="13"/>
      <c r="C352" s="13" t="s">
        <v>48</v>
      </c>
      <c r="D352" s="13"/>
      <c r="E352" s="32">
        <v>48629</v>
      </c>
      <c r="G352" s="8">
        <v>3126433</v>
      </c>
      <c r="I352" s="8">
        <v>1644494</v>
      </c>
      <c r="K352" s="8">
        <v>5453000</v>
      </c>
      <c r="M352" s="8">
        <v>26183</v>
      </c>
      <c r="O352" s="8">
        <v>499218</v>
      </c>
      <c r="Q352" s="8">
        <v>2040</v>
      </c>
      <c r="S352" s="8">
        <v>0</v>
      </c>
      <c r="U352" s="8">
        <v>2887</v>
      </c>
      <c r="W352" s="8">
        <f>16611+3663+537</f>
        <v>20811</v>
      </c>
      <c r="Y352" s="3">
        <f t="shared" si="23"/>
        <v>10775066</v>
      </c>
      <c r="AA352" s="8">
        <v>0</v>
      </c>
      <c r="AE352" s="8">
        <v>0</v>
      </c>
      <c r="AG352" s="8">
        <v>0</v>
      </c>
      <c r="AK352" s="8">
        <f t="shared" si="24"/>
        <v>0</v>
      </c>
      <c r="AM352" s="8">
        <f t="shared" si="25"/>
        <v>10775066</v>
      </c>
    </row>
    <row r="353" spans="1:40">
      <c r="A353" s="13" t="s">
        <v>350</v>
      </c>
      <c r="B353" s="13"/>
      <c r="C353" s="13" t="s">
        <v>26</v>
      </c>
      <c r="D353" s="13"/>
      <c r="E353" s="32">
        <v>46920</v>
      </c>
      <c r="G353" s="8">
        <v>10384763</v>
      </c>
      <c r="I353" s="8">
        <v>0</v>
      </c>
      <c r="K353" s="8">
        <v>11857035</v>
      </c>
      <c r="M353" s="8">
        <v>110222</v>
      </c>
      <c r="O353" s="8">
        <v>1139869</v>
      </c>
      <c r="Q353" s="8">
        <v>4082</v>
      </c>
      <c r="S353" s="8">
        <v>0</v>
      </c>
      <c r="U353" s="8">
        <v>0</v>
      </c>
      <c r="W353" s="8">
        <f>2831955+617369</f>
        <v>3449324</v>
      </c>
      <c r="Y353" s="3">
        <f t="shared" si="23"/>
        <v>26945295</v>
      </c>
      <c r="AA353" s="8">
        <v>0</v>
      </c>
      <c r="AE353" s="8">
        <v>14467</v>
      </c>
      <c r="AG353" s="8">
        <v>0</v>
      </c>
      <c r="AK353" s="8">
        <f t="shared" si="24"/>
        <v>14467</v>
      </c>
      <c r="AM353" s="8">
        <f t="shared" si="25"/>
        <v>26959762</v>
      </c>
    </row>
    <row r="354" spans="1:40">
      <c r="A354" s="13" t="s">
        <v>551</v>
      </c>
      <c r="B354" s="13"/>
      <c r="C354" s="13" t="s">
        <v>50</v>
      </c>
      <c r="D354" s="13"/>
      <c r="E354" s="32">
        <v>44396</v>
      </c>
      <c r="G354" s="8">
        <v>24658576</v>
      </c>
      <c r="I354" s="8">
        <v>0</v>
      </c>
      <c r="K354" s="8">
        <v>17347191</v>
      </c>
      <c r="M354" s="8">
        <v>502327</v>
      </c>
      <c r="O354" s="8">
        <v>431636</v>
      </c>
      <c r="Q354" s="8">
        <v>0</v>
      </c>
      <c r="S354" s="8">
        <v>0</v>
      </c>
      <c r="U354" s="8">
        <v>0</v>
      </c>
      <c r="W354" s="8">
        <v>529988</v>
      </c>
      <c r="Y354" s="3">
        <f t="shared" si="23"/>
        <v>43469718</v>
      </c>
      <c r="AA354" s="8">
        <v>0</v>
      </c>
      <c r="AE354" s="8">
        <v>0</v>
      </c>
      <c r="AG354" s="8">
        <v>0</v>
      </c>
      <c r="AK354" s="8">
        <f t="shared" si="24"/>
        <v>0</v>
      </c>
      <c r="AM354" s="8">
        <f t="shared" si="25"/>
        <v>43469718</v>
      </c>
    </row>
    <row r="355" spans="1:40">
      <c r="A355" s="13" t="s">
        <v>247</v>
      </c>
      <c r="B355" s="13"/>
      <c r="C355" s="13" t="s">
        <v>242</v>
      </c>
      <c r="D355" s="13"/>
      <c r="E355" s="32">
        <v>44404</v>
      </c>
      <c r="F355" s="11"/>
      <c r="G355" s="8">
        <v>16554530</v>
      </c>
      <c r="I355" s="8">
        <v>0</v>
      </c>
      <c r="K355" s="8">
        <f>29413303+620342</f>
        <v>30033645</v>
      </c>
      <c r="M355" s="8">
        <v>162755</v>
      </c>
      <c r="O355" s="8">
        <v>490773</v>
      </c>
      <c r="Q355" s="8">
        <v>28503</v>
      </c>
      <c r="S355" s="8">
        <v>0</v>
      </c>
      <c r="U355" s="8">
        <v>250</v>
      </c>
      <c r="W355" s="8">
        <f>29576+75461+2325+79182+97003</f>
        <v>283547</v>
      </c>
      <c r="Y355" s="3">
        <f t="shared" si="23"/>
        <v>47554003</v>
      </c>
      <c r="AA355" s="8">
        <v>0</v>
      </c>
      <c r="AE355" s="8">
        <v>439170</v>
      </c>
      <c r="AG355" s="8">
        <v>0</v>
      </c>
      <c r="AK355" s="8">
        <f t="shared" si="24"/>
        <v>439170</v>
      </c>
      <c r="AM355" s="8">
        <f t="shared" si="25"/>
        <v>47993173</v>
      </c>
    </row>
    <row r="356" spans="1:40">
      <c r="A356" s="13" t="s">
        <v>491</v>
      </c>
      <c r="B356" s="13"/>
      <c r="C356" s="13" t="s">
        <v>44</v>
      </c>
      <c r="D356" s="13"/>
      <c r="E356" s="32">
        <v>48173</v>
      </c>
      <c r="G356" s="8">
        <v>10007151</v>
      </c>
      <c r="I356" s="8">
        <v>0</v>
      </c>
      <c r="K356" s="8">
        <v>15112529</v>
      </c>
      <c r="M356" s="8">
        <v>127940</v>
      </c>
      <c r="O356" s="8">
        <v>118468</v>
      </c>
      <c r="Q356" s="8">
        <v>0</v>
      </c>
      <c r="S356" s="8">
        <v>0</v>
      </c>
      <c r="U356" s="8">
        <v>0</v>
      </c>
      <c r="W356" s="8">
        <f>36472+200483</f>
        <v>236955</v>
      </c>
      <c r="Y356" s="3">
        <f t="shared" si="23"/>
        <v>25603043</v>
      </c>
      <c r="AA356" s="8">
        <v>0</v>
      </c>
      <c r="AE356" s="8">
        <v>0</v>
      </c>
      <c r="AG356" s="8">
        <v>465</v>
      </c>
      <c r="AK356" s="8">
        <f t="shared" si="24"/>
        <v>465</v>
      </c>
      <c r="AM356" s="8">
        <f t="shared" si="25"/>
        <v>25603508</v>
      </c>
      <c r="AN356" s="8" t="s">
        <v>956</v>
      </c>
    </row>
    <row r="357" spans="1:40">
      <c r="A357" s="13" t="s">
        <v>270</v>
      </c>
      <c r="B357" s="13"/>
      <c r="C357" s="13" t="s">
        <v>115</v>
      </c>
      <c r="D357" s="13"/>
      <c r="E357" s="32">
        <v>45500</v>
      </c>
      <c r="F357" s="11"/>
      <c r="G357" s="8">
        <v>30357899</v>
      </c>
      <c r="I357" s="8">
        <v>0</v>
      </c>
      <c r="K357" s="8">
        <v>23783130</v>
      </c>
      <c r="M357" s="8">
        <v>243027</v>
      </c>
      <c r="O357" s="8">
        <v>175602</v>
      </c>
      <c r="Q357" s="8">
        <v>119534</v>
      </c>
      <c r="S357" s="8">
        <v>1051697</v>
      </c>
      <c r="U357" s="8">
        <v>0</v>
      </c>
      <c r="W357" s="8">
        <v>536014</v>
      </c>
      <c r="Y357" s="3">
        <f t="shared" si="23"/>
        <v>56266903</v>
      </c>
      <c r="AA357" s="8">
        <v>0</v>
      </c>
      <c r="AE357" s="8">
        <v>44103</v>
      </c>
      <c r="AG357" s="8">
        <v>0</v>
      </c>
      <c r="AK357" s="8">
        <f t="shared" si="24"/>
        <v>44103</v>
      </c>
      <c r="AM357" s="8">
        <f t="shared" si="25"/>
        <v>56311006</v>
      </c>
    </row>
    <row r="358" spans="1:40" hidden="1">
      <c r="A358" s="12" t="s">
        <v>833</v>
      </c>
      <c r="B358" s="13"/>
      <c r="C358" s="13" t="s">
        <v>727</v>
      </c>
      <c r="D358" s="13"/>
      <c r="E358" s="32">
        <v>50633</v>
      </c>
      <c r="G358" s="8">
        <v>1439988</v>
      </c>
      <c r="I358" s="8">
        <v>583374</v>
      </c>
      <c r="K358" s="8">
        <v>3234650</v>
      </c>
      <c r="M358" s="8">
        <v>32989</v>
      </c>
      <c r="O358" s="8">
        <v>485359</v>
      </c>
      <c r="U358" s="8">
        <v>1072</v>
      </c>
      <c r="W358" s="8">
        <f>34111+228</f>
        <v>34339</v>
      </c>
      <c r="Y358" s="3">
        <f t="shared" si="23"/>
        <v>5811771</v>
      </c>
      <c r="AK358" s="8">
        <f t="shared" si="24"/>
        <v>0</v>
      </c>
      <c r="AM358" s="8">
        <f t="shared" si="25"/>
        <v>5811771</v>
      </c>
    </row>
    <row r="359" spans="1:40" hidden="1">
      <c r="A359" s="88" t="s">
        <v>1001</v>
      </c>
      <c r="B359" s="13"/>
      <c r="C359" s="13" t="s">
        <v>603</v>
      </c>
      <c r="D359" s="13"/>
      <c r="E359" s="32">
        <v>49361</v>
      </c>
      <c r="Y359" s="3">
        <f t="shared" si="23"/>
        <v>0</v>
      </c>
      <c r="AK359" s="8">
        <f t="shared" si="24"/>
        <v>0</v>
      </c>
      <c r="AM359" s="8">
        <f t="shared" si="25"/>
        <v>0</v>
      </c>
      <c r="AN359" s="8" t="s">
        <v>967</v>
      </c>
    </row>
    <row r="360" spans="1:40">
      <c r="A360" s="13" t="s">
        <v>538</v>
      </c>
      <c r="B360" s="13"/>
      <c r="C360" s="13" t="s">
        <v>48</v>
      </c>
      <c r="D360" s="13"/>
      <c r="E360" s="32">
        <v>45518</v>
      </c>
      <c r="G360" s="8">
        <v>5008228</v>
      </c>
      <c r="I360" s="8">
        <v>0</v>
      </c>
      <c r="K360" s="8">
        <f>7417188+111598</f>
        <v>7528786</v>
      </c>
      <c r="M360" s="8">
        <v>210857</v>
      </c>
      <c r="O360" s="8">
        <v>694998</v>
      </c>
      <c r="Q360" s="8">
        <v>1994</v>
      </c>
      <c r="S360" s="8">
        <v>0</v>
      </c>
      <c r="U360" s="8">
        <v>0</v>
      </c>
      <c r="W360" s="8">
        <v>8745</v>
      </c>
      <c r="Y360" s="3">
        <f t="shared" si="23"/>
        <v>13453608</v>
      </c>
      <c r="AA360" s="8">
        <v>0</v>
      </c>
      <c r="AE360" s="8">
        <v>11075</v>
      </c>
      <c r="AG360" s="8">
        <v>0</v>
      </c>
      <c r="AK360" s="8">
        <f t="shared" si="24"/>
        <v>11075</v>
      </c>
      <c r="AM360" s="8">
        <f t="shared" si="25"/>
        <v>13464683</v>
      </c>
    </row>
    <row r="361" spans="1:40">
      <c r="A361" s="13" t="s">
        <v>657</v>
      </c>
      <c r="B361" s="13"/>
      <c r="C361" s="13" t="s">
        <v>62</v>
      </c>
      <c r="D361" s="13"/>
      <c r="E361" s="32">
        <v>49890</v>
      </c>
      <c r="G361" s="8">
        <v>5077904</v>
      </c>
      <c r="I361" s="8">
        <v>0</v>
      </c>
      <c r="K361" s="8">
        <v>10477474</v>
      </c>
      <c r="M361" s="8">
        <v>9718</v>
      </c>
      <c r="O361" s="8">
        <v>815377</v>
      </c>
      <c r="Q361" s="8">
        <v>0</v>
      </c>
      <c r="S361" s="8">
        <v>0</v>
      </c>
      <c r="U361" s="8">
        <v>74</v>
      </c>
      <c r="W361" s="8">
        <f>24975+31874</f>
        <v>56849</v>
      </c>
      <c r="Y361" s="3">
        <f t="shared" si="23"/>
        <v>16437396</v>
      </c>
      <c r="AA361" s="8">
        <v>0</v>
      </c>
      <c r="AE361" s="8">
        <v>22398</v>
      </c>
      <c r="AG361" s="8">
        <v>0</v>
      </c>
      <c r="AK361" s="8">
        <f t="shared" si="24"/>
        <v>22398</v>
      </c>
      <c r="AM361" s="8">
        <f t="shared" si="25"/>
        <v>16459794</v>
      </c>
    </row>
    <row r="362" spans="1:40">
      <c r="A362" s="13" t="s">
        <v>629</v>
      </c>
      <c r="B362" s="13"/>
      <c r="C362" s="13" t="s">
        <v>59</v>
      </c>
      <c r="D362" s="13"/>
      <c r="E362" s="32">
        <v>49627</v>
      </c>
      <c r="G362" s="8">
        <v>1541626</v>
      </c>
      <c r="I362" s="8">
        <v>0</v>
      </c>
      <c r="K362" s="8">
        <v>9521200</v>
      </c>
      <c r="M362" s="8">
        <v>7786</v>
      </c>
      <c r="O362" s="8">
        <v>1656123</v>
      </c>
      <c r="Q362" s="8">
        <v>188438</v>
      </c>
      <c r="S362" s="8">
        <v>0</v>
      </c>
      <c r="U362" s="8">
        <v>15316</v>
      </c>
      <c r="W362" s="8">
        <f>135871+935</f>
        <v>136806</v>
      </c>
      <c r="Y362" s="3">
        <f t="shared" si="23"/>
        <v>13067295</v>
      </c>
      <c r="AA362" s="8">
        <v>0</v>
      </c>
      <c r="AE362" s="8">
        <v>0</v>
      </c>
      <c r="AG362" s="8">
        <v>3495</v>
      </c>
      <c r="AK362" s="8">
        <f t="shared" si="24"/>
        <v>3495</v>
      </c>
      <c r="AM362" s="8">
        <f t="shared" si="25"/>
        <v>13070790</v>
      </c>
    </row>
    <row r="363" spans="1:40">
      <c r="A363" s="13" t="s">
        <v>226</v>
      </c>
      <c r="B363" s="13"/>
      <c r="C363" s="13" t="s">
        <v>14</v>
      </c>
      <c r="D363" s="13"/>
      <c r="E363" s="32">
        <v>45948</v>
      </c>
      <c r="F363" s="11"/>
      <c r="G363" s="8">
        <v>3706313</v>
      </c>
      <c r="I363" s="8">
        <v>572808</v>
      </c>
      <c r="K363" s="8">
        <v>3681695</v>
      </c>
      <c r="M363" s="8">
        <v>24641</v>
      </c>
      <c r="O363" s="8">
        <v>108597</v>
      </c>
      <c r="Q363" s="8">
        <v>0</v>
      </c>
      <c r="S363" s="8">
        <v>0</v>
      </c>
      <c r="U363" s="8">
        <v>2619</v>
      </c>
      <c r="W363" s="8">
        <v>100810</v>
      </c>
      <c r="Y363" s="3">
        <f t="shared" si="23"/>
        <v>8197483</v>
      </c>
      <c r="AA363" s="8">
        <v>0</v>
      </c>
      <c r="AE363" s="8">
        <v>0</v>
      </c>
      <c r="AG363" s="8">
        <v>0</v>
      </c>
      <c r="AK363" s="8">
        <f t="shared" si="24"/>
        <v>0</v>
      </c>
      <c r="AM363" s="8">
        <f t="shared" si="25"/>
        <v>8197483</v>
      </c>
    </row>
    <row r="364" spans="1:40" hidden="1">
      <c r="A364" s="12" t="s">
        <v>884</v>
      </c>
      <c r="B364" s="13"/>
      <c r="C364" s="13" t="s">
        <v>21</v>
      </c>
      <c r="D364" s="13"/>
      <c r="E364" s="32">
        <v>46672</v>
      </c>
      <c r="G364" s="8">
        <v>987597</v>
      </c>
      <c r="I364" s="8">
        <v>959820</v>
      </c>
      <c r="K364" s="8">
        <v>4227863</v>
      </c>
      <c r="M364" s="8">
        <v>44052</v>
      </c>
      <c r="O364" s="8">
        <v>340032</v>
      </c>
      <c r="U364" s="8">
        <v>1100</v>
      </c>
      <c r="W364" s="8">
        <f>75+111120</f>
        <v>111195</v>
      </c>
      <c r="Y364" s="3">
        <f t="shared" si="23"/>
        <v>6671659</v>
      </c>
      <c r="AK364" s="8">
        <f t="shared" si="24"/>
        <v>0</v>
      </c>
      <c r="AM364" s="8">
        <f t="shared" si="25"/>
        <v>6671659</v>
      </c>
    </row>
    <row r="365" spans="1:40">
      <c r="A365" s="13" t="s">
        <v>667</v>
      </c>
      <c r="B365" s="13"/>
      <c r="C365" s="13" t="s">
        <v>63</v>
      </c>
      <c r="D365" s="13"/>
      <c r="E365" s="32">
        <v>50039</v>
      </c>
      <c r="G365" s="8">
        <v>2986841</v>
      </c>
      <c r="I365" s="8">
        <v>0</v>
      </c>
      <c r="K365" s="8">
        <v>3896970</v>
      </c>
      <c r="M365" s="8">
        <v>203019</v>
      </c>
      <c r="O365" s="8">
        <v>1179690</v>
      </c>
      <c r="Q365" s="8">
        <v>0</v>
      </c>
      <c r="S365" s="8">
        <v>0</v>
      </c>
      <c r="U365" s="8">
        <v>14478</v>
      </c>
      <c r="W365" s="8">
        <v>5404</v>
      </c>
      <c r="Y365" s="3">
        <f t="shared" si="23"/>
        <v>8286402</v>
      </c>
      <c r="AA365" s="8">
        <v>0</v>
      </c>
      <c r="AE365" s="8">
        <v>0</v>
      </c>
      <c r="AG365" s="8">
        <v>0</v>
      </c>
      <c r="AK365" s="8">
        <f t="shared" si="24"/>
        <v>0</v>
      </c>
      <c r="AM365" s="8">
        <f t="shared" si="25"/>
        <v>8286402</v>
      </c>
    </row>
    <row r="366" spans="1:40" hidden="1">
      <c r="A366" s="12" t="s">
        <v>842</v>
      </c>
      <c r="B366" s="13"/>
      <c r="C366" s="13" t="s">
        <v>740</v>
      </c>
      <c r="D366" s="13"/>
      <c r="E366" s="32">
        <v>50740</v>
      </c>
      <c r="G366" s="8">
        <v>3212957</v>
      </c>
      <c r="K366" s="8">
        <f>4745966+6153</f>
        <v>4752119</v>
      </c>
      <c r="M366" s="8">
        <v>19733</v>
      </c>
      <c r="O366" s="8">
        <v>675998</v>
      </c>
      <c r="Q366" s="8">
        <v>68005</v>
      </c>
      <c r="W366" s="8">
        <f>29100+40821</f>
        <v>69921</v>
      </c>
      <c r="Y366" s="3">
        <f t="shared" si="23"/>
        <v>8798733</v>
      </c>
      <c r="AK366" s="8">
        <f t="shared" ref="AK366:AK373" si="26">SUM(AA366:AJ366)</f>
        <v>0</v>
      </c>
      <c r="AM366" s="8">
        <f t="shared" si="25"/>
        <v>8798733</v>
      </c>
    </row>
    <row r="367" spans="1:40">
      <c r="A367" s="13" t="s">
        <v>248</v>
      </c>
      <c r="B367" s="13"/>
      <c r="C367" s="13" t="s">
        <v>242</v>
      </c>
      <c r="D367" s="13"/>
      <c r="E367" s="32">
        <v>139303</v>
      </c>
      <c r="F367" s="11"/>
      <c r="G367" s="8">
        <v>5884999</v>
      </c>
      <c r="I367" s="8">
        <v>0</v>
      </c>
      <c r="K367" s="8">
        <v>6138791</v>
      </c>
      <c r="M367" s="8">
        <v>42699</v>
      </c>
      <c r="O367" s="8">
        <v>874207</v>
      </c>
      <c r="Q367" s="8">
        <v>0</v>
      </c>
      <c r="S367" s="8">
        <v>674093</v>
      </c>
      <c r="U367" s="8">
        <v>3590</v>
      </c>
      <c r="W367" s="8">
        <f>182006+7802+5809</f>
        <v>195617</v>
      </c>
      <c r="Y367" s="3">
        <f t="shared" si="23"/>
        <v>13813996</v>
      </c>
      <c r="AA367" s="8">
        <v>0</v>
      </c>
      <c r="AE367" s="8">
        <v>0</v>
      </c>
      <c r="AG367" s="8">
        <v>0</v>
      </c>
      <c r="AK367" s="8">
        <f t="shared" si="26"/>
        <v>0</v>
      </c>
      <c r="AM367" s="8">
        <f t="shared" si="25"/>
        <v>13813996</v>
      </c>
    </row>
    <row r="368" spans="1:40">
      <c r="A368" s="13" t="s">
        <v>444</v>
      </c>
      <c r="B368" s="13"/>
      <c r="C368" s="13" t="s">
        <v>37</v>
      </c>
      <c r="D368" s="13"/>
      <c r="E368" s="32">
        <v>47712</v>
      </c>
      <c r="G368" s="8">
        <v>2228220</v>
      </c>
      <c r="I368" s="8">
        <v>0</v>
      </c>
      <c r="K368" s="8">
        <v>2933794</v>
      </c>
      <c r="M368" s="8">
        <v>45241</v>
      </c>
      <c r="O368" s="8">
        <v>245530</v>
      </c>
      <c r="Q368" s="8">
        <v>0</v>
      </c>
      <c r="S368" s="8">
        <v>0</v>
      </c>
      <c r="U368" s="8">
        <v>0</v>
      </c>
      <c r="W368" s="8">
        <f>37273+44860+651</f>
        <v>82784</v>
      </c>
      <c r="Y368" s="3">
        <f t="shared" si="23"/>
        <v>5535569</v>
      </c>
      <c r="AA368" s="8">
        <v>0</v>
      </c>
      <c r="AE368" s="8">
        <v>163050</v>
      </c>
      <c r="AG368" s="8">
        <v>0</v>
      </c>
      <c r="AK368" s="8">
        <f t="shared" si="26"/>
        <v>163050</v>
      </c>
      <c r="AM368" s="8">
        <f t="shared" ref="AM368:AM386" si="27">+AK368+Y368</f>
        <v>5698619</v>
      </c>
    </row>
    <row r="369" spans="1:40">
      <c r="A369" s="13" t="s">
        <v>731</v>
      </c>
      <c r="B369" s="13"/>
      <c r="C369" s="13" t="s">
        <v>727</v>
      </c>
      <c r="D369" s="13"/>
      <c r="E369" s="32">
        <v>45526</v>
      </c>
      <c r="G369" s="8">
        <v>2009192</v>
      </c>
      <c r="I369" s="8">
        <v>705887</v>
      </c>
      <c r="K369" s="8">
        <v>5745770</v>
      </c>
      <c r="M369" s="8">
        <v>67604</v>
      </c>
      <c r="O369" s="8">
        <v>445038</v>
      </c>
      <c r="Q369" s="8">
        <v>160</v>
      </c>
      <c r="S369" s="8">
        <v>0</v>
      </c>
      <c r="U369" s="8">
        <v>11681</v>
      </c>
      <c r="W369" s="8">
        <f>148638+49815+8897</f>
        <v>207350</v>
      </c>
      <c r="Y369" s="3">
        <f t="shared" si="23"/>
        <v>9192682</v>
      </c>
      <c r="AA369" s="8">
        <v>0</v>
      </c>
      <c r="AE369" s="8">
        <v>0</v>
      </c>
      <c r="AG369" s="8">
        <v>5970</v>
      </c>
      <c r="AK369" s="8">
        <f t="shared" si="26"/>
        <v>5970</v>
      </c>
      <c r="AM369" s="8">
        <f t="shared" si="27"/>
        <v>9198652</v>
      </c>
    </row>
    <row r="370" spans="1:40">
      <c r="A370" s="13" t="s">
        <v>558</v>
      </c>
      <c r="B370" s="13"/>
      <c r="C370" s="13" t="s">
        <v>559</v>
      </c>
      <c r="D370" s="13"/>
      <c r="E370" s="32">
        <v>48777</v>
      </c>
      <c r="G370" s="8">
        <v>3456850</v>
      </c>
      <c r="I370" s="8">
        <v>0</v>
      </c>
      <c r="K370" s="8">
        <v>14592209</v>
      </c>
      <c r="M370" s="8">
        <v>286205</v>
      </c>
      <c r="O370" s="8">
        <v>197084</v>
      </c>
      <c r="Q370" s="8">
        <v>0</v>
      </c>
      <c r="S370" s="8">
        <v>0</v>
      </c>
      <c r="U370" s="8">
        <v>0</v>
      </c>
      <c r="W370" s="8">
        <f>94419+37974</f>
        <v>132393</v>
      </c>
      <c r="Y370" s="3">
        <f t="shared" si="23"/>
        <v>18664741</v>
      </c>
      <c r="AA370" s="8">
        <v>0</v>
      </c>
      <c r="AE370" s="8">
        <v>0</v>
      </c>
      <c r="AG370" s="8">
        <v>0</v>
      </c>
      <c r="AK370" s="8">
        <f t="shared" si="26"/>
        <v>0</v>
      </c>
      <c r="AM370" s="8">
        <f t="shared" si="27"/>
        <v>18664741</v>
      </c>
    </row>
    <row r="371" spans="1:40">
      <c r="A371" s="13" t="s">
        <v>858</v>
      </c>
      <c r="B371" s="13"/>
      <c r="C371" s="13" t="s">
        <v>78</v>
      </c>
      <c r="D371" s="13"/>
      <c r="E371" s="32">
        <v>45534</v>
      </c>
      <c r="G371" s="8">
        <v>3653314</v>
      </c>
      <c r="I371" s="8">
        <v>0</v>
      </c>
      <c r="K371" s="8">
        <v>6332459</v>
      </c>
      <c r="M371" s="8">
        <v>76669</v>
      </c>
      <c r="O371" s="8">
        <v>781394</v>
      </c>
      <c r="Q371" s="8">
        <v>0</v>
      </c>
      <c r="S371" s="8">
        <v>0</v>
      </c>
      <c r="U371" s="8">
        <v>0</v>
      </c>
      <c r="W371" s="8">
        <f>309668+76610</f>
        <v>386278</v>
      </c>
      <c r="Y371" s="3">
        <f t="shared" si="23"/>
        <v>11230114</v>
      </c>
      <c r="AA371" s="8">
        <v>0</v>
      </c>
      <c r="AE371" s="8">
        <v>0</v>
      </c>
      <c r="AG371" s="8">
        <v>0</v>
      </c>
      <c r="AK371" s="8">
        <f t="shared" si="26"/>
        <v>0</v>
      </c>
      <c r="AM371" s="8">
        <f t="shared" si="27"/>
        <v>11230114</v>
      </c>
    </row>
    <row r="372" spans="1:40">
      <c r="A372" s="13" t="s">
        <v>457</v>
      </c>
      <c r="B372" s="13"/>
      <c r="C372" s="13" t="s">
        <v>40</v>
      </c>
      <c r="D372" s="13"/>
      <c r="E372" s="32">
        <v>44420</v>
      </c>
      <c r="G372" s="8">
        <v>14287534</v>
      </c>
      <c r="I372" s="8">
        <v>0</v>
      </c>
      <c r="K372" s="8">
        <v>16133083</v>
      </c>
      <c r="M372" s="8">
        <v>143649</v>
      </c>
      <c r="O372" s="8">
        <v>1182860</v>
      </c>
      <c r="Q372" s="8">
        <v>0</v>
      </c>
      <c r="S372" s="8">
        <v>633929</v>
      </c>
      <c r="U372" s="8">
        <v>318</v>
      </c>
      <c r="W372" s="8">
        <f>33343+7877+673</f>
        <v>41893</v>
      </c>
      <c r="Y372" s="3">
        <f t="shared" si="23"/>
        <v>32423266</v>
      </c>
      <c r="AA372" s="8">
        <v>0</v>
      </c>
      <c r="AE372" s="8">
        <v>0</v>
      </c>
      <c r="AG372" s="8">
        <v>46385</v>
      </c>
      <c r="AK372" s="8">
        <f t="shared" si="26"/>
        <v>46385</v>
      </c>
      <c r="AM372" s="8">
        <f t="shared" si="27"/>
        <v>32469651</v>
      </c>
    </row>
    <row r="373" spans="1:40">
      <c r="A373" s="13" t="s">
        <v>1057</v>
      </c>
      <c r="B373" s="13"/>
      <c r="C373" s="13" t="s">
        <v>32</v>
      </c>
      <c r="D373" s="13"/>
      <c r="E373" s="32">
        <v>44412</v>
      </c>
      <c r="G373" s="8">
        <v>11713760</v>
      </c>
      <c r="I373" s="8">
        <v>0</v>
      </c>
      <c r="K373" s="8">
        <v>20667828</v>
      </c>
      <c r="M373" s="8">
        <v>149959</v>
      </c>
      <c r="O373" s="8">
        <v>857821</v>
      </c>
      <c r="Q373" s="8">
        <v>21845</v>
      </c>
      <c r="S373" s="8">
        <v>0</v>
      </c>
      <c r="U373" s="8">
        <v>0</v>
      </c>
      <c r="W373" s="8">
        <v>69873</v>
      </c>
      <c r="Y373" s="3">
        <f t="shared" si="23"/>
        <v>33481086</v>
      </c>
      <c r="AA373" s="8">
        <v>0</v>
      </c>
      <c r="AE373" s="8">
        <v>0</v>
      </c>
      <c r="AG373" s="8">
        <v>0</v>
      </c>
      <c r="AK373" s="8">
        <f t="shared" si="26"/>
        <v>0</v>
      </c>
      <c r="AM373" s="8">
        <f t="shared" si="27"/>
        <v>33481086</v>
      </c>
      <c r="AN373" s="15" t="s">
        <v>905</v>
      </c>
    </row>
    <row r="374" spans="1:40">
      <c r="A374" s="13" t="s">
        <v>432</v>
      </c>
      <c r="B374" s="13"/>
      <c r="C374" s="13" t="s">
        <v>34</v>
      </c>
      <c r="D374" s="13"/>
      <c r="E374" s="32">
        <v>44438</v>
      </c>
      <c r="G374" s="8">
        <v>7888964</v>
      </c>
      <c r="I374" s="8">
        <v>0</v>
      </c>
      <c r="K374" s="8">
        <v>11870546</v>
      </c>
      <c r="M374" s="8">
        <v>265020</v>
      </c>
      <c r="O374" s="8">
        <v>636073</v>
      </c>
      <c r="Q374" s="8">
        <v>0</v>
      </c>
      <c r="S374" s="8">
        <v>222800</v>
      </c>
      <c r="U374" s="8">
        <v>0</v>
      </c>
      <c r="W374" s="8">
        <f>3840+55335+22706</f>
        <v>81881</v>
      </c>
      <c r="Y374" s="3">
        <f t="shared" ref="Y374:Y386" si="28">SUM(G374:X374)</f>
        <v>20965284</v>
      </c>
      <c r="AA374" s="8">
        <v>0</v>
      </c>
      <c r="AC374" s="8">
        <v>0</v>
      </c>
      <c r="AE374" s="8">
        <v>488694</v>
      </c>
      <c r="AG374" s="8">
        <v>10018</v>
      </c>
      <c r="AI374" s="8">
        <v>0</v>
      </c>
      <c r="AK374" s="8">
        <f t="shared" ref="AK374:AK386" si="29">SUM(AA374:AJ374)</f>
        <v>498712</v>
      </c>
      <c r="AM374" s="8">
        <f t="shared" si="27"/>
        <v>21463996</v>
      </c>
    </row>
    <row r="375" spans="1:40">
      <c r="A375" s="13" t="s">
        <v>224</v>
      </c>
      <c r="B375" s="13"/>
      <c r="C375" s="13" t="s">
        <v>13</v>
      </c>
      <c r="D375" s="13"/>
      <c r="E375" s="32">
        <v>44446</v>
      </c>
      <c r="F375" s="11"/>
      <c r="G375" s="8">
        <v>1907286</v>
      </c>
      <c r="I375" s="8">
        <v>0</v>
      </c>
      <c r="K375" s="8">
        <v>8075254</v>
      </c>
      <c r="M375" s="8">
        <v>58262</v>
      </c>
      <c r="O375" s="8">
        <v>609385</v>
      </c>
      <c r="Q375" s="8">
        <v>0</v>
      </c>
      <c r="S375" s="8">
        <v>0</v>
      </c>
      <c r="U375" s="8">
        <v>124012</v>
      </c>
      <c r="W375" s="8">
        <v>34626</v>
      </c>
      <c r="Y375" s="3">
        <f t="shared" si="28"/>
        <v>10808825</v>
      </c>
      <c r="AA375" s="8">
        <v>0</v>
      </c>
      <c r="AC375" s="8">
        <v>0</v>
      </c>
      <c r="AE375" s="8">
        <v>0</v>
      </c>
      <c r="AG375" s="8">
        <v>0</v>
      </c>
      <c r="AK375" s="8">
        <f>SUM(AA375:AJ375)</f>
        <v>0</v>
      </c>
      <c r="AM375" s="8">
        <f t="shared" si="27"/>
        <v>10808825</v>
      </c>
    </row>
    <row r="376" spans="1:40">
      <c r="A376" s="13" t="s">
        <v>826</v>
      </c>
      <c r="B376" s="13"/>
      <c r="C376" s="13" t="s">
        <v>27</v>
      </c>
      <c r="D376" s="13"/>
      <c r="E376" s="32">
        <v>44461</v>
      </c>
      <c r="G376" s="8">
        <v>39751050</v>
      </c>
      <c r="I376" s="8">
        <v>0</v>
      </c>
      <c r="K376" s="8">
        <f>7318302+25555</f>
        <v>7343857</v>
      </c>
      <c r="M376" s="8">
        <v>347355</v>
      </c>
      <c r="O376" s="8">
        <v>249564</v>
      </c>
      <c r="Q376" s="8">
        <v>55505</v>
      </c>
      <c r="S376" s="8">
        <v>0</v>
      </c>
      <c r="U376" s="8">
        <v>0</v>
      </c>
      <c r="W376" s="8">
        <v>1184667</v>
      </c>
      <c r="Y376" s="3">
        <f t="shared" si="28"/>
        <v>48931998</v>
      </c>
      <c r="AA376" s="8">
        <v>0</v>
      </c>
      <c r="AC376" s="8">
        <v>0</v>
      </c>
      <c r="AE376" s="8">
        <v>0</v>
      </c>
      <c r="AG376" s="8">
        <v>0</v>
      </c>
      <c r="AI376" s="8">
        <v>0</v>
      </c>
      <c r="AK376" s="8">
        <f t="shared" si="29"/>
        <v>0</v>
      </c>
      <c r="AM376" s="8">
        <f t="shared" si="27"/>
        <v>48931998</v>
      </c>
    </row>
    <row r="377" spans="1:40">
      <c r="A377" s="13" t="s">
        <v>630</v>
      </c>
      <c r="B377" s="13"/>
      <c r="C377" s="13" t="s">
        <v>59</v>
      </c>
      <c r="D377" s="13"/>
      <c r="E377" s="32">
        <v>44461</v>
      </c>
      <c r="G377" s="8">
        <v>1036005</v>
      </c>
      <c r="I377" s="8">
        <v>0</v>
      </c>
      <c r="K377" s="8">
        <v>1635623</v>
      </c>
      <c r="M377" s="8">
        <v>25718</v>
      </c>
      <c r="O377" s="8">
        <v>932077</v>
      </c>
      <c r="Q377" s="8">
        <v>0</v>
      </c>
      <c r="S377" s="8">
        <v>0</v>
      </c>
      <c r="U377" s="8">
        <v>11345</v>
      </c>
      <c r="W377" s="8">
        <v>184935</v>
      </c>
      <c r="Y377" s="3">
        <f t="shared" si="28"/>
        <v>3825703</v>
      </c>
      <c r="AA377" s="8">
        <v>0</v>
      </c>
      <c r="AE377" s="8">
        <v>0</v>
      </c>
      <c r="AG377" s="8">
        <v>0</v>
      </c>
      <c r="AK377" s="8">
        <f t="shared" si="29"/>
        <v>0</v>
      </c>
      <c r="AM377" s="8">
        <f t="shared" si="27"/>
        <v>3825703</v>
      </c>
    </row>
    <row r="378" spans="1:40">
      <c r="A378" s="13" t="s">
        <v>227</v>
      </c>
      <c r="B378" s="13"/>
      <c r="C378" s="13" t="s">
        <v>14</v>
      </c>
      <c r="D378" s="13"/>
      <c r="E378" s="32">
        <v>45955</v>
      </c>
      <c r="F378" s="11"/>
      <c r="G378" s="8">
        <v>2165913</v>
      </c>
      <c r="I378" s="8">
        <v>1420610</v>
      </c>
      <c r="K378" s="8">
        <v>4212221</v>
      </c>
      <c r="M378" s="8">
        <v>170654</v>
      </c>
      <c r="O378" s="8">
        <v>178137</v>
      </c>
      <c r="Q378" s="8">
        <v>0</v>
      </c>
      <c r="S378" s="8">
        <v>30429</v>
      </c>
      <c r="U378" s="8">
        <v>0</v>
      </c>
      <c r="W378" s="8">
        <f>12997+3545</f>
        <v>16542</v>
      </c>
      <c r="Y378" s="3">
        <f t="shared" si="28"/>
        <v>8194506</v>
      </c>
      <c r="AA378" s="8">
        <v>0</v>
      </c>
      <c r="AC378" s="8">
        <v>0</v>
      </c>
      <c r="AE378" s="8">
        <v>0</v>
      </c>
      <c r="AG378" s="8">
        <v>0</v>
      </c>
      <c r="AI378" s="8">
        <v>0</v>
      </c>
      <c r="AK378" s="8">
        <f t="shared" si="29"/>
        <v>0</v>
      </c>
      <c r="AM378" s="8">
        <f t="shared" si="27"/>
        <v>8194506</v>
      </c>
    </row>
    <row r="379" spans="1:40" hidden="1">
      <c r="A379" s="12" t="s">
        <v>1041</v>
      </c>
      <c r="B379" s="13"/>
      <c r="C379" s="13" t="s">
        <v>14</v>
      </c>
      <c r="D379" s="13"/>
      <c r="E379" s="32">
        <v>45963</v>
      </c>
      <c r="F379" s="11"/>
      <c r="Y379" s="3">
        <f t="shared" si="28"/>
        <v>0</v>
      </c>
      <c r="AK379" s="8">
        <f t="shared" si="29"/>
        <v>0</v>
      </c>
      <c r="AM379" s="8">
        <f t="shared" si="27"/>
        <v>0</v>
      </c>
    </row>
    <row r="380" spans="1:40">
      <c r="A380" s="13" t="s">
        <v>552</v>
      </c>
      <c r="B380" s="13"/>
      <c r="C380" s="13" t="s">
        <v>50</v>
      </c>
      <c r="D380" s="13"/>
      <c r="E380" s="32">
        <v>48710</v>
      </c>
      <c r="G380" s="8">
        <v>3645940</v>
      </c>
      <c r="I380" s="8">
        <v>0</v>
      </c>
      <c r="K380" s="8">
        <v>6269359</v>
      </c>
      <c r="M380" s="8">
        <v>85048</v>
      </c>
      <c r="O380" s="8">
        <v>291996</v>
      </c>
      <c r="Q380" s="8">
        <v>22990</v>
      </c>
      <c r="S380" s="8">
        <v>0</v>
      </c>
      <c r="U380" s="8">
        <v>0</v>
      </c>
      <c r="W380" s="8">
        <f>37862+16151</f>
        <v>54013</v>
      </c>
      <c r="Y380" s="3">
        <f t="shared" si="28"/>
        <v>10369346</v>
      </c>
      <c r="AA380" s="8">
        <v>0</v>
      </c>
      <c r="AC380" s="8">
        <v>0</v>
      </c>
      <c r="AE380" s="8">
        <v>0</v>
      </c>
      <c r="AG380" s="8">
        <v>8550</v>
      </c>
      <c r="AI380" s="8">
        <v>0</v>
      </c>
      <c r="AK380" s="8">
        <f t="shared" si="29"/>
        <v>8550</v>
      </c>
      <c r="AM380" s="8">
        <f t="shared" si="27"/>
        <v>10377896</v>
      </c>
    </row>
    <row r="381" spans="1:40" hidden="1">
      <c r="A381" s="13" t="s">
        <v>580</v>
      </c>
      <c r="B381" s="13"/>
      <c r="C381" s="13" t="s">
        <v>579</v>
      </c>
      <c r="D381" s="13"/>
      <c r="E381" s="32">
        <v>44479</v>
      </c>
      <c r="Y381" s="3">
        <f t="shared" si="28"/>
        <v>0</v>
      </c>
      <c r="AK381" s="8">
        <f t="shared" si="29"/>
        <v>0</v>
      </c>
      <c r="AM381" s="8">
        <f t="shared" si="27"/>
        <v>0</v>
      </c>
    </row>
    <row r="382" spans="1:40">
      <c r="A382" s="13" t="s">
        <v>445</v>
      </c>
      <c r="B382" s="13"/>
      <c r="C382" s="13" t="s">
        <v>37</v>
      </c>
      <c r="D382" s="13"/>
      <c r="E382" s="32">
        <v>47720</v>
      </c>
      <c r="G382" s="8">
        <v>2825591</v>
      </c>
      <c r="I382" s="8">
        <v>0</v>
      </c>
      <c r="K382" s="8">
        <v>5796429</v>
      </c>
      <c r="M382" s="8">
        <v>37134</v>
      </c>
      <c r="O382" s="8">
        <v>354191</v>
      </c>
      <c r="Q382" s="8">
        <v>0</v>
      </c>
      <c r="S382" s="8">
        <v>0</v>
      </c>
      <c r="U382" s="8">
        <v>0</v>
      </c>
      <c r="W382" s="8">
        <f>26642+37865</f>
        <v>64507</v>
      </c>
      <c r="Y382" s="3">
        <f t="shared" si="28"/>
        <v>9077852</v>
      </c>
      <c r="AA382" s="8">
        <v>0</v>
      </c>
      <c r="AC382" s="8">
        <v>0</v>
      </c>
      <c r="AE382" s="8">
        <v>58389</v>
      </c>
      <c r="AG382" s="8">
        <v>0</v>
      </c>
      <c r="AI382" s="8">
        <v>0</v>
      </c>
      <c r="AK382" s="8">
        <f t="shared" si="29"/>
        <v>58389</v>
      </c>
      <c r="AM382" s="8">
        <f t="shared" si="27"/>
        <v>9136241</v>
      </c>
    </row>
    <row r="383" spans="1:40">
      <c r="A383" s="13" t="s">
        <v>249</v>
      </c>
      <c r="B383" s="13"/>
      <c r="C383" s="13" t="s">
        <v>242</v>
      </c>
      <c r="D383" s="13"/>
      <c r="E383" s="32">
        <v>46136</v>
      </c>
      <c r="F383" s="11"/>
      <c r="G383" s="8">
        <v>1408736</v>
      </c>
      <c r="I383" s="8">
        <v>0</v>
      </c>
      <c r="K383" s="8">
        <v>4410305</v>
      </c>
      <c r="M383" s="8">
        <v>31009</v>
      </c>
      <c r="O383" s="8">
        <v>1955</v>
      </c>
      <c r="Q383" s="8">
        <v>0</v>
      </c>
      <c r="S383" s="8">
        <v>0</v>
      </c>
      <c r="U383" s="8">
        <v>0</v>
      </c>
      <c r="W383" s="8">
        <v>98915</v>
      </c>
      <c r="Y383" s="3">
        <f t="shared" si="28"/>
        <v>5950920</v>
      </c>
      <c r="AA383" s="8">
        <v>0</v>
      </c>
      <c r="AC383" s="8">
        <v>0</v>
      </c>
      <c r="AE383" s="8">
        <v>0</v>
      </c>
      <c r="AG383" s="8">
        <v>0</v>
      </c>
      <c r="AI383" s="8">
        <v>0</v>
      </c>
      <c r="AK383" s="8">
        <f t="shared" si="29"/>
        <v>0</v>
      </c>
      <c r="AM383" s="8">
        <f t="shared" si="27"/>
        <v>5950920</v>
      </c>
    </row>
    <row r="384" spans="1:40">
      <c r="A384" s="13" t="s">
        <v>698</v>
      </c>
      <c r="B384" s="13"/>
      <c r="C384" s="13" t="s">
        <v>65</v>
      </c>
      <c r="D384" s="13"/>
      <c r="E384" s="32">
        <v>44487</v>
      </c>
      <c r="G384" s="8">
        <v>11299872</v>
      </c>
      <c r="I384" s="8">
        <v>0</v>
      </c>
      <c r="K384" s="8">
        <v>10408447</v>
      </c>
      <c r="M384" s="8">
        <v>151880</v>
      </c>
      <c r="O384" s="8">
        <v>98557</v>
      </c>
      <c r="Q384" s="8">
        <v>0</v>
      </c>
      <c r="S384" s="8">
        <v>0</v>
      </c>
      <c r="U384" s="8">
        <v>0</v>
      </c>
      <c r="W384" s="8">
        <f>5106+908384</f>
        <v>913490</v>
      </c>
      <c r="Y384" s="3">
        <f t="shared" si="28"/>
        <v>22872246</v>
      </c>
      <c r="AA384" s="8">
        <v>0</v>
      </c>
      <c r="AC384" s="8">
        <v>0</v>
      </c>
      <c r="AE384" s="8">
        <v>0</v>
      </c>
      <c r="AG384" s="8">
        <v>0</v>
      </c>
      <c r="AI384" s="8">
        <v>0</v>
      </c>
      <c r="AK384" s="8">
        <f t="shared" si="29"/>
        <v>0</v>
      </c>
      <c r="AM384" s="8">
        <f t="shared" si="27"/>
        <v>22872246</v>
      </c>
    </row>
    <row r="385" spans="1:39">
      <c r="A385" s="13" t="s">
        <v>271</v>
      </c>
      <c r="B385" s="13"/>
      <c r="C385" s="13" t="s">
        <v>115</v>
      </c>
      <c r="D385" s="13"/>
      <c r="E385" s="32">
        <v>45559</v>
      </c>
      <c r="F385" s="11"/>
      <c r="G385" s="8">
        <v>11540670</v>
      </c>
      <c r="I385" s="8">
        <v>0</v>
      </c>
      <c r="K385" s="8">
        <v>13170983</v>
      </c>
      <c r="M385" s="8">
        <v>904438</v>
      </c>
      <c r="O385" s="8">
        <v>844611</v>
      </c>
      <c r="Q385" s="8">
        <v>0</v>
      </c>
      <c r="S385" s="8">
        <v>0</v>
      </c>
      <c r="U385" s="8">
        <v>0</v>
      </c>
      <c r="W385" s="8">
        <v>55538</v>
      </c>
      <c r="Y385" s="3">
        <f t="shared" si="28"/>
        <v>26516240</v>
      </c>
      <c r="AA385" s="8">
        <v>0</v>
      </c>
      <c r="AC385" s="8">
        <v>0</v>
      </c>
      <c r="AE385" s="8">
        <v>0</v>
      </c>
      <c r="AG385" s="8">
        <v>0</v>
      </c>
      <c r="AI385" s="8">
        <v>0</v>
      </c>
      <c r="AK385" s="8">
        <f t="shared" si="29"/>
        <v>0</v>
      </c>
      <c r="AM385" s="8">
        <f t="shared" si="27"/>
        <v>26516240</v>
      </c>
    </row>
    <row r="386" spans="1:39" hidden="1">
      <c r="A386" s="13" t="s">
        <v>637</v>
      </c>
      <c r="B386" s="13"/>
      <c r="C386" s="13" t="s">
        <v>60</v>
      </c>
      <c r="D386" s="13"/>
      <c r="E386" s="32">
        <v>49718</v>
      </c>
      <c r="Y386" s="3">
        <f t="shared" si="28"/>
        <v>0</v>
      </c>
      <c r="AK386" s="8">
        <f t="shared" si="29"/>
        <v>0</v>
      </c>
      <c r="AM386" s="8">
        <f t="shared" si="27"/>
        <v>0</v>
      </c>
    </row>
    <row r="387" spans="1:39">
      <c r="A387" s="13" t="s">
        <v>478</v>
      </c>
      <c r="B387" s="13"/>
      <c r="C387" s="13" t="s">
        <v>42</v>
      </c>
      <c r="D387" s="13"/>
      <c r="E387" s="13">
        <v>44453</v>
      </c>
      <c r="G387" s="8">
        <v>22366217</v>
      </c>
      <c r="I387" s="8">
        <v>0</v>
      </c>
      <c r="K387" s="8">
        <f>4125+26722261</f>
        <v>26726386</v>
      </c>
      <c r="M387" s="8">
        <v>347082</v>
      </c>
      <c r="O387" s="8">
        <v>621504</v>
      </c>
      <c r="Q387" s="8">
        <v>218000</v>
      </c>
      <c r="S387" s="8">
        <v>0</v>
      </c>
      <c r="U387" s="8">
        <v>0</v>
      </c>
      <c r="W387" s="8">
        <f>106068+151117+542667</f>
        <v>799852</v>
      </c>
      <c r="Y387" s="3">
        <f>SUM(G387:X387)</f>
        <v>51079041</v>
      </c>
      <c r="AA387" s="8">
        <v>0</v>
      </c>
      <c r="AC387" s="8">
        <v>0</v>
      </c>
      <c r="AE387" s="8">
        <v>0</v>
      </c>
      <c r="AG387" s="8">
        <v>0</v>
      </c>
      <c r="AI387" s="8">
        <v>0</v>
      </c>
      <c r="AK387" s="8">
        <f>SUM(AA387:AJ387)</f>
        <v>0</v>
      </c>
      <c r="AM387" s="8">
        <f>+AK387+Y387</f>
        <v>51079041</v>
      </c>
    </row>
    <row r="388" spans="1:39" s="35" customFormat="1">
      <c r="A388" s="34" t="s">
        <v>382</v>
      </c>
      <c r="B388" s="34"/>
      <c r="C388" s="34" t="s">
        <v>30</v>
      </c>
      <c r="D388" s="34"/>
      <c r="E388" s="32">
        <v>47217</v>
      </c>
      <c r="G388" s="8">
        <v>4421767</v>
      </c>
      <c r="H388" s="8"/>
      <c r="I388" s="8">
        <v>0</v>
      </c>
      <c r="J388" s="8"/>
      <c r="K388" s="8">
        <v>2266688</v>
      </c>
      <c r="L388" s="8"/>
      <c r="M388" s="8">
        <v>71162</v>
      </c>
      <c r="N388" s="8"/>
      <c r="O388" s="8">
        <v>236846</v>
      </c>
      <c r="P388" s="8"/>
      <c r="Q388" s="8">
        <v>35131</v>
      </c>
      <c r="R388" s="8"/>
      <c r="S388" s="8">
        <v>0</v>
      </c>
      <c r="T388" s="8"/>
      <c r="U388" s="8">
        <v>0</v>
      </c>
      <c r="V388" s="8"/>
      <c r="W388" s="8">
        <f>25349+2288</f>
        <v>27637</v>
      </c>
      <c r="X388" s="8"/>
      <c r="Y388" s="3">
        <f t="shared" ref="Y388:Y400" si="30">SUM(G388:X388)</f>
        <v>7059231</v>
      </c>
      <c r="Z388" s="8"/>
      <c r="AA388" s="8">
        <v>0</v>
      </c>
      <c r="AB388" s="8"/>
      <c r="AC388" s="8">
        <v>0</v>
      </c>
      <c r="AD388" s="8"/>
      <c r="AE388" s="8">
        <v>0</v>
      </c>
      <c r="AF388" s="8"/>
      <c r="AG388" s="8">
        <v>0</v>
      </c>
      <c r="AH388" s="8"/>
      <c r="AI388" s="8">
        <v>0</v>
      </c>
      <c r="AJ388" s="8"/>
      <c r="AK388" s="8">
        <v>0</v>
      </c>
      <c r="AL388" s="8"/>
      <c r="AM388" s="8">
        <f t="shared" ref="AM388:AM400" si="31">+AK388+Y388</f>
        <v>7059231</v>
      </c>
    </row>
    <row r="389" spans="1:39">
      <c r="A389" s="13" t="s">
        <v>699</v>
      </c>
      <c r="B389" s="13"/>
      <c r="C389" s="13" t="s">
        <v>65</v>
      </c>
      <c r="D389" s="13"/>
      <c r="E389" s="32">
        <v>45542</v>
      </c>
      <c r="G389" s="8">
        <v>2681116</v>
      </c>
      <c r="I389" s="8">
        <v>0</v>
      </c>
      <c r="K389" s="8">
        <v>6071569</v>
      </c>
      <c r="M389" s="8">
        <v>16556</v>
      </c>
      <c r="O389" s="8">
        <v>656902</v>
      </c>
      <c r="Q389" s="8">
        <v>0</v>
      </c>
      <c r="S389" s="8">
        <v>0</v>
      </c>
      <c r="U389" s="8">
        <v>0</v>
      </c>
      <c r="W389" s="8">
        <v>115019</v>
      </c>
      <c r="Y389" s="3">
        <f t="shared" si="30"/>
        <v>9541162</v>
      </c>
      <c r="AA389" s="8">
        <v>0</v>
      </c>
      <c r="AC389" s="8">
        <v>0</v>
      </c>
      <c r="AE389" s="8">
        <v>0</v>
      </c>
      <c r="AG389" s="8">
        <v>0</v>
      </c>
      <c r="AI389" s="8">
        <v>0</v>
      </c>
      <c r="AK389" s="8">
        <f t="shared" ref="AK389:AK400" si="32">SUM(AA389:AJ389)</f>
        <v>0</v>
      </c>
      <c r="AM389" s="8">
        <f t="shared" si="31"/>
        <v>9541162</v>
      </c>
    </row>
    <row r="390" spans="1:39">
      <c r="A390" s="13" t="s">
        <v>690</v>
      </c>
      <c r="B390" s="13"/>
      <c r="C390" s="13" t="s">
        <v>64</v>
      </c>
      <c r="D390" s="13"/>
      <c r="E390" s="32">
        <v>45567</v>
      </c>
      <c r="G390" s="8">
        <v>2679774</v>
      </c>
      <c r="I390" s="8">
        <v>0</v>
      </c>
      <c r="K390" s="8">
        <v>8326684</v>
      </c>
      <c r="M390" s="8">
        <v>18993</v>
      </c>
      <c r="O390" s="8">
        <v>325410</v>
      </c>
      <c r="Q390" s="8">
        <v>0</v>
      </c>
      <c r="S390" s="8">
        <v>0</v>
      </c>
      <c r="U390" s="8">
        <v>5000</v>
      </c>
      <c r="W390" s="8">
        <f>176433+1400</f>
        <v>177833</v>
      </c>
      <c r="Y390" s="3">
        <f t="shared" si="30"/>
        <v>11533694</v>
      </c>
      <c r="AA390" s="8">
        <v>0</v>
      </c>
      <c r="AC390" s="8">
        <v>0</v>
      </c>
      <c r="AE390" s="8">
        <v>0</v>
      </c>
      <c r="AG390" s="8">
        <v>0</v>
      </c>
      <c r="AI390" s="8">
        <v>0</v>
      </c>
      <c r="AK390" s="8">
        <f t="shared" si="32"/>
        <v>0</v>
      </c>
      <c r="AM390" s="8">
        <f t="shared" si="31"/>
        <v>11533694</v>
      </c>
    </row>
    <row r="391" spans="1:39">
      <c r="A391" s="13" t="s">
        <v>539</v>
      </c>
      <c r="B391" s="13"/>
      <c r="C391" s="13" t="s">
        <v>48</v>
      </c>
      <c r="D391" s="13"/>
      <c r="E391" s="32">
        <v>48637</v>
      </c>
      <c r="G391" s="8">
        <v>1060967</v>
      </c>
      <c r="I391" s="8">
        <v>1179732</v>
      </c>
      <c r="K391" s="8">
        <f>2470321+7575</f>
        <v>2477896</v>
      </c>
      <c r="M391" s="8">
        <v>27949</v>
      </c>
      <c r="O391" s="8">
        <v>365301</v>
      </c>
      <c r="Q391" s="8">
        <v>0</v>
      </c>
      <c r="S391" s="8">
        <v>0</v>
      </c>
      <c r="U391" s="8">
        <v>0</v>
      </c>
      <c r="W391" s="8">
        <f>521+833</f>
        <v>1354</v>
      </c>
      <c r="Y391" s="3">
        <f t="shared" si="30"/>
        <v>5113199</v>
      </c>
      <c r="AA391" s="8">
        <v>0</v>
      </c>
      <c r="AC391" s="8">
        <v>0</v>
      </c>
      <c r="AE391" s="8">
        <v>0</v>
      </c>
      <c r="AG391" s="8">
        <v>0</v>
      </c>
      <c r="AI391" s="8">
        <v>0</v>
      </c>
      <c r="AK391" s="8">
        <f t="shared" si="32"/>
        <v>0</v>
      </c>
      <c r="AM391" s="8">
        <f t="shared" si="31"/>
        <v>5113199</v>
      </c>
    </row>
    <row r="392" spans="1:39">
      <c r="A392" s="13" t="s">
        <v>820</v>
      </c>
      <c r="B392" s="13"/>
      <c r="C392" s="13" t="s">
        <v>64</v>
      </c>
      <c r="D392" s="13"/>
      <c r="E392" s="32"/>
      <c r="G392" s="8">
        <v>7130683</v>
      </c>
      <c r="I392" s="8">
        <v>0</v>
      </c>
      <c r="K392" s="8">
        <v>14484076</v>
      </c>
      <c r="M392" s="8">
        <v>46546</v>
      </c>
      <c r="O392" s="8">
        <v>681394</v>
      </c>
      <c r="Q392" s="8">
        <v>0</v>
      </c>
      <c r="S392" s="8">
        <v>0</v>
      </c>
      <c r="U392" s="8">
        <v>0</v>
      </c>
      <c r="W392" s="8">
        <f>101628+24100+422311</f>
        <v>548039</v>
      </c>
      <c r="Y392" s="3">
        <f t="shared" si="30"/>
        <v>22890738</v>
      </c>
      <c r="AA392" s="8">
        <v>0</v>
      </c>
      <c r="AC392" s="8">
        <v>0</v>
      </c>
      <c r="AE392" s="8">
        <v>0</v>
      </c>
      <c r="AG392" s="8">
        <v>0</v>
      </c>
      <c r="AI392" s="8">
        <v>0</v>
      </c>
      <c r="AK392" s="8">
        <f t="shared" si="32"/>
        <v>0</v>
      </c>
      <c r="AM392" s="8">
        <f t="shared" si="31"/>
        <v>22890738</v>
      </c>
    </row>
    <row r="393" spans="1:39">
      <c r="A393" s="13" t="s">
        <v>570</v>
      </c>
      <c r="B393" s="13"/>
      <c r="C393" s="13" t="s">
        <v>52</v>
      </c>
      <c r="D393" s="13"/>
      <c r="E393" s="32">
        <v>48900</v>
      </c>
      <c r="G393" s="8">
        <v>2356471</v>
      </c>
      <c r="I393" s="8">
        <v>0</v>
      </c>
      <c r="K393" s="8">
        <v>6090046</v>
      </c>
      <c r="M393" s="8">
        <v>32761</v>
      </c>
      <c r="O393" s="8">
        <v>601498</v>
      </c>
      <c r="Q393" s="8">
        <v>2424</v>
      </c>
      <c r="S393" s="8">
        <v>0</v>
      </c>
      <c r="U393" s="8">
        <v>500</v>
      </c>
      <c r="W393" s="8">
        <f>2000+38465</f>
        <v>40465</v>
      </c>
      <c r="Y393" s="3">
        <f t="shared" si="30"/>
        <v>9124165</v>
      </c>
      <c r="AA393" s="8">
        <v>0</v>
      </c>
      <c r="AC393" s="8">
        <v>0</v>
      </c>
      <c r="AE393" s="8">
        <v>0</v>
      </c>
      <c r="AG393" s="8">
        <v>1525</v>
      </c>
      <c r="AI393" s="8">
        <v>0</v>
      </c>
      <c r="AK393" s="8">
        <f t="shared" si="32"/>
        <v>1525</v>
      </c>
      <c r="AM393" s="8">
        <f t="shared" si="31"/>
        <v>9125690</v>
      </c>
    </row>
    <row r="394" spans="1:39">
      <c r="A394" s="13" t="s">
        <v>668</v>
      </c>
      <c r="B394" s="13"/>
      <c r="C394" s="13" t="s">
        <v>63</v>
      </c>
      <c r="D394" s="13"/>
      <c r="E394" s="32">
        <v>50047</v>
      </c>
      <c r="G394" s="8">
        <v>26010809</v>
      </c>
      <c r="I394" s="8">
        <v>0</v>
      </c>
      <c r="K394" s="8">
        <v>11383152</v>
      </c>
      <c r="M394" s="8">
        <v>324200</v>
      </c>
      <c r="O394" s="8">
        <v>220125</v>
      </c>
      <c r="Q394" s="8">
        <v>253050</v>
      </c>
      <c r="S394" s="8">
        <v>0</v>
      </c>
      <c r="U394" s="8">
        <v>0</v>
      </c>
      <c r="W394" s="8">
        <f>126771+62972</f>
        <v>189743</v>
      </c>
      <c r="Y394" s="3">
        <f t="shared" si="30"/>
        <v>38381079</v>
      </c>
      <c r="AA394" s="8">
        <v>0</v>
      </c>
      <c r="AC394" s="8">
        <v>0</v>
      </c>
      <c r="AE394" s="8">
        <v>0</v>
      </c>
      <c r="AG394" s="8">
        <v>173988</v>
      </c>
      <c r="AI394" s="8">
        <v>0</v>
      </c>
      <c r="AK394" s="8">
        <f t="shared" si="32"/>
        <v>173988</v>
      </c>
      <c r="AM394" s="8">
        <f t="shared" si="31"/>
        <v>38555067</v>
      </c>
    </row>
    <row r="395" spans="1:39">
      <c r="A395" s="13" t="s">
        <v>735</v>
      </c>
      <c r="B395" s="13"/>
      <c r="C395" s="13" t="s">
        <v>72</v>
      </c>
      <c r="D395" s="13"/>
      <c r="E395" s="32">
        <v>50708</v>
      </c>
      <c r="G395" s="8">
        <v>2462813</v>
      </c>
      <c r="I395" s="8">
        <v>0</v>
      </c>
      <c r="K395" s="8">
        <v>4422059</v>
      </c>
      <c r="M395" s="8">
        <v>27989</v>
      </c>
      <c r="O395" s="8">
        <v>154731</v>
      </c>
      <c r="Q395" s="8">
        <v>0</v>
      </c>
      <c r="S395" s="8">
        <v>0</v>
      </c>
      <c r="U395" s="8">
        <v>0</v>
      </c>
      <c r="W395" s="8">
        <v>39405</v>
      </c>
      <c r="Y395" s="3">
        <f t="shared" si="30"/>
        <v>7106997</v>
      </c>
      <c r="AA395" s="8">
        <v>569003</v>
      </c>
      <c r="AC395" s="8">
        <v>0</v>
      </c>
      <c r="AE395" s="8">
        <v>0</v>
      </c>
      <c r="AG395" s="8">
        <v>0</v>
      </c>
      <c r="AI395" s="8">
        <v>0</v>
      </c>
      <c r="AK395" s="8">
        <f t="shared" si="32"/>
        <v>569003</v>
      </c>
      <c r="AM395" s="8">
        <f t="shared" si="31"/>
        <v>7676000</v>
      </c>
    </row>
    <row r="396" spans="1:39" hidden="1">
      <c r="A396" s="13" t="s">
        <v>574</v>
      </c>
      <c r="B396" s="13"/>
      <c r="C396" s="13" t="s">
        <v>53</v>
      </c>
      <c r="D396" s="13"/>
      <c r="E396" s="32">
        <v>48967</v>
      </c>
      <c r="Y396" s="3">
        <f t="shared" si="30"/>
        <v>0</v>
      </c>
      <c r="AK396" s="8">
        <f t="shared" si="32"/>
        <v>0</v>
      </c>
      <c r="AM396" s="8">
        <f t="shared" si="31"/>
        <v>0</v>
      </c>
    </row>
    <row r="397" spans="1:39">
      <c r="A397" s="13" t="s">
        <v>658</v>
      </c>
      <c r="B397" s="13"/>
      <c r="C397" s="13" t="s">
        <v>62</v>
      </c>
      <c r="D397" s="13"/>
      <c r="E397" s="32">
        <v>44503</v>
      </c>
      <c r="G397" s="8">
        <v>20133606</v>
      </c>
      <c r="I397" s="8">
        <v>0</v>
      </c>
      <c r="K397" s="8">
        <v>18263071</v>
      </c>
      <c r="M397" s="8">
        <v>65833</v>
      </c>
      <c r="O397" s="8">
        <v>410734</v>
      </c>
      <c r="Q397" s="8">
        <v>12835</v>
      </c>
      <c r="S397" s="8">
        <v>0</v>
      </c>
      <c r="U397" s="8">
        <v>0</v>
      </c>
      <c r="W397" s="8">
        <f>161015+51398+135511+15</f>
        <v>347939</v>
      </c>
      <c r="Y397" s="3">
        <f t="shared" si="30"/>
        <v>39234018</v>
      </c>
      <c r="AA397" s="8">
        <v>0</v>
      </c>
      <c r="AC397" s="8">
        <v>0</v>
      </c>
      <c r="AE397" s="8">
        <v>0</v>
      </c>
      <c r="AG397" s="8">
        <v>0</v>
      </c>
      <c r="AI397" s="8">
        <v>0</v>
      </c>
      <c r="AK397" s="8">
        <f t="shared" si="32"/>
        <v>0</v>
      </c>
      <c r="AM397" s="8">
        <f t="shared" si="31"/>
        <v>39234018</v>
      </c>
    </row>
    <row r="398" spans="1:39" hidden="1">
      <c r="A398" s="13" t="s">
        <v>722</v>
      </c>
      <c r="B398" s="13"/>
      <c r="C398" s="13" t="s">
        <v>727</v>
      </c>
      <c r="D398" s="13"/>
      <c r="E398" s="32">
        <v>50641</v>
      </c>
      <c r="Y398" s="3">
        <f t="shared" si="30"/>
        <v>0</v>
      </c>
      <c r="AK398" s="8">
        <f t="shared" si="32"/>
        <v>0</v>
      </c>
      <c r="AM398" s="8">
        <f t="shared" si="31"/>
        <v>0</v>
      </c>
    </row>
    <row r="399" spans="1:39">
      <c r="A399" s="13" t="s">
        <v>401</v>
      </c>
      <c r="B399" s="13"/>
      <c r="C399" s="13" t="s">
        <v>32</v>
      </c>
      <c r="D399" s="13"/>
      <c r="E399" s="32">
        <v>44511</v>
      </c>
      <c r="G399" s="8">
        <v>3809616</v>
      </c>
      <c r="I399" s="8">
        <v>0</v>
      </c>
      <c r="K399" s="8">
        <v>6939524</v>
      </c>
      <c r="M399" s="8">
        <v>-44402</v>
      </c>
      <c r="O399" s="8">
        <v>93400</v>
      </c>
      <c r="Q399" s="8">
        <v>0</v>
      </c>
      <c r="S399" s="8">
        <v>0</v>
      </c>
      <c r="U399" s="8">
        <v>0</v>
      </c>
      <c r="W399" s="8">
        <f>109483+4953</f>
        <v>114436</v>
      </c>
      <c r="Y399" s="3">
        <f t="shared" si="30"/>
        <v>10912574</v>
      </c>
      <c r="AA399" s="8">
        <v>0</v>
      </c>
      <c r="AE399" s="8">
        <v>0</v>
      </c>
      <c r="AG399" s="8">
        <v>0</v>
      </c>
      <c r="AK399" s="8">
        <f t="shared" si="32"/>
        <v>0</v>
      </c>
      <c r="AM399" s="8">
        <f t="shared" si="31"/>
        <v>10912574</v>
      </c>
    </row>
    <row r="400" spans="1:39">
      <c r="A400" s="13" t="s">
        <v>479</v>
      </c>
      <c r="B400" s="13"/>
      <c r="C400" s="13" t="s">
        <v>42</v>
      </c>
      <c r="D400" s="13"/>
      <c r="E400" s="32">
        <v>48025</v>
      </c>
      <c r="G400" s="8">
        <v>5333598</v>
      </c>
      <c r="I400" s="8">
        <v>0</v>
      </c>
      <c r="K400" s="8">
        <v>9338538</v>
      </c>
      <c r="M400" s="8">
        <v>88744</v>
      </c>
      <c r="O400" s="8">
        <v>549920</v>
      </c>
      <c r="Q400" s="8">
        <v>0</v>
      </c>
      <c r="S400" s="8">
        <v>0</v>
      </c>
      <c r="U400" s="8">
        <v>0</v>
      </c>
      <c r="W400" s="8">
        <f>169+46691</f>
        <v>46860</v>
      </c>
      <c r="Y400" s="3">
        <f t="shared" si="30"/>
        <v>15357660</v>
      </c>
      <c r="AA400" s="8">
        <v>0</v>
      </c>
      <c r="AC400" s="8">
        <v>0</v>
      </c>
      <c r="AE400" s="8">
        <v>0</v>
      </c>
      <c r="AG400" s="8">
        <v>8171</v>
      </c>
      <c r="AI400" s="8">
        <v>0</v>
      </c>
      <c r="AK400" s="8">
        <f t="shared" si="32"/>
        <v>8171</v>
      </c>
      <c r="AM400" s="8">
        <f t="shared" si="31"/>
        <v>15365831</v>
      </c>
    </row>
    <row r="401" spans="1:39">
      <c r="A401" s="13" t="s">
        <v>313</v>
      </c>
      <c r="B401" s="13"/>
      <c r="C401" s="13" t="s">
        <v>20</v>
      </c>
      <c r="D401" s="13"/>
      <c r="E401" s="32">
        <v>44529</v>
      </c>
      <c r="G401" s="8">
        <v>34473970</v>
      </c>
      <c r="I401" s="8">
        <v>0</v>
      </c>
      <c r="K401" s="8">
        <v>12850423</v>
      </c>
      <c r="M401" s="8">
        <v>292094</v>
      </c>
      <c r="O401" s="8">
        <v>690452</v>
      </c>
      <c r="Q401" s="8">
        <v>0</v>
      </c>
      <c r="S401" s="8">
        <v>0</v>
      </c>
      <c r="U401" s="8">
        <v>0</v>
      </c>
      <c r="W401" s="8">
        <v>332029</v>
      </c>
      <c r="Y401" s="3">
        <f t="shared" ref="Y401:Y408" si="33">SUM(G401:X401)</f>
        <v>48638968</v>
      </c>
      <c r="AA401" s="8">
        <v>0</v>
      </c>
      <c r="AC401" s="8">
        <v>0</v>
      </c>
      <c r="AE401" s="8">
        <v>0</v>
      </c>
      <c r="AG401" s="8">
        <v>0</v>
      </c>
      <c r="AI401" s="8">
        <v>0</v>
      </c>
      <c r="AK401" s="8">
        <f t="shared" ref="AK401:AK408" si="34">SUM(AA401:AJ401)</f>
        <v>0</v>
      </c>
      <c r="AM401" s="8">
        <f t="shared" ref="AM401:AM455" si="35">+AK401+Y401</f>
        <v>48638968</v>
      </c>
    </row>
    <row r="402" spans="1:39">
      <c r="A402" s="13" t="s">
        <v>492</v>
      </c>
      <c r="B402" s="13"/>
      <c r="C402" s="13" t="s">
        <v>44</v>
      </c>
      <c r="D402" s="13"/>
      <c r="E402" s="32">
        <v>44537</v>
      </c>
      <c r="G402" s="8">
        <v>11938070</v>
      </c>
      <c r="I402" s="8">
        <v>0</v>
      </c>
      <c r="K402" s="8">
        <v>11338562</v>
      </c>
      <c r="M402" s="8">
        <v>106466</v>
      </c>
      <c r="O402" s="8">
        <v>323750</v>
      </c>
      <c r="Q402" s="8">
        <v>0</v>
      </c>
      <c r="S402" s="8">
        <v>0</v>
      </c>
      <c r="U402" s="8">
        <v>0</v>
      </c>
      <c r="W402" s="8">
        <v>320724</v>
      </c>
      <c r="Y402" s="3">
        <f t="shared" si="33"/>
        <v>24027572</v>
      </c>
      <c r="AA402" s="8">
        <v>0</v>
      </c>
      <c r="AC402" s="8">
        <v>0</v>
      </c>
      <c r="AE402" s="8">
        <v>0</v>
      </c>
      <c r="AG402" s="8">
        <v>0</v>
      </c>
      <c r="AI402" s="8">
        <v>0</v>
      </c>
      <c r="AK402" s="8">
        <f t="shared" si="34"/>
        <v>0</v>
      </c>
      <c r="AM402" s="8">
        <f t="shared" si="35"/>
        <v>24027572</v>
      </c>
    </row>
    <row r="403" spans="1:39">
      <c r="A403" s="13" t="s">
        <v>314</v>
      </c>
      <c r="B403" s="13"/>
      <c r="C403" s="13" t="s">
        <v>20</v>
      </c>
      <c r="D403" s="13"/>
      <c r="E403" s="32">
        <v>44545</v>
      </c>
      <c r="G403" s="8">
        <v>30862693</v>
      </c>
      <c r="I403" s="8">
        <v>0</v>
      </c>
      <c r="K403" s="8">
        <v>10759786</v>
      </c>
      <c r="M403" s="8">
        <v>478936</v>
      </c>
      <c r="O403" s="8">
        <v>289637</v>
      </c>
      <c r="Q403" s="8">
        <v>46539</v>
      </c>
      <c r="S403" s="8">
        <v>0</v>
      </c>
      <c r="U403" s="8">
        <v>0</v>
      </c>
      <c r="W403" s="8">
        <f>37355+77340</f>
        <v>114695</v>
      </c>
      <c r="Y403" s="3">
        <f t="shared" si="33"/>
        <v>42552286</v>
      </c>
      <c r="AA403" s="8">
        <v>0</v>
      </c>
      <c r="AC403" s="8">
        <v>0</v>
      </c>
      <c r="AE403" s="8">
        <v>0</v>
      </c>
      <c r="AG403" s="8">
        <v>4755</v>
      </c>
      <c r="AI403" s="8">
        <v>0</v>
      </c>
      <c r="AK403" s="8">
        <f t="shared" si="34"/>
        <v>4755</v>
      </c>
      <c r="AM403" s="8">
        <f t="shared" si="35"/>
        <v>42557041</v>
      </c>
    </row>
    <row r="404" spans="1:39">
      <c r="A404" s="13"/>
      <c r="B404" s="13"/>
      <c r="C404" s="13"/>
      <c r="D404" s="13"/>
      <c r="E404" s="32"/>
      <c r="Y404" s="3"/>
    </row>
    <row r="405" spans="1:39">
      <c r="A405" s="13"/>
      <c r="B405" s="13"/>
      <c r="C405" s="13"/>
      <c r="D405" s="13"/>
      <c r="E405" s="32"/>
      <c r="Y405" s="3"/>
      <c r="AM405" s="8" t="s">
        <v>805</v>
      </c>
    </row>
    <row r="406" spans="1:39">
      <c r="A406" s="13"/>
      <c r="B406" s="13"/>
      <c r="C406" s="13"/>
      <c r="D406" s="13"/>
      <c r="E406" s="32"/>
      <c r="Y406" s="3"/>
    </row>
    <row r="407" spans="1:39">
      <c r="A407" s="13" t="s">
        <v>704</v>
      </c>
      <c r="B407" s="13"/>
      <c r="C407" s="13" t="s">
        <v>66</v>
      </c>
      <c r="D407" s="13"/>
      <c r="E407" s="32">
        <v>50336</v>
      </c>
      <c r="G407" s="35">
        <v>3619896</v>
      </c>
      <c r="H407" s="35"/>
      <c r="I407" s="35">
        <v>1654250</v>
      </c>
      <c r="K407" s="35">
        <v>7971265</v>
      </c>
      <c r="L407" s="35"/>
      <c r="M407" s="35">
        <v>793081</v>
      </c>
      <c r="N407" s="35"/>
      <c r="O407" s="35">
        <v>386132</v>
      </c>
      <c r="P407" s="35"/>
      <c r="Q407" s="35">
        <v>0</v>
      </c>
      <c r="R407" s="35"/>
      <c r="S407" s="35">
        <v>0</v>
      </c>
      <c r="T407" s="35"/>
      <c r="U407" s="35">
        <v>0</v>
      </c>
      <c r="V407" s="35"/>
      <c r="W407" s="35">
        <v>29626</v>
      </c>
      <c r="X407" s="35"/>
      <c r="Y407" s="42">
        <f t="shared" si="33"/>
        <v>14454250</v>
      </c>
      <c r="Z407" s="35"/>
      <c r="AA407" s="35">
        <v>0</v>
      </c>
      <c r="AB407" s="35"/>
      <c r="AC407" s="35">
        <v>0</v>
      </c>
      <c r="AD407" s="35"/>
      <c r="AE407" s="35">
        <v>0</v>
      </c>
      <c r="AF407" s="35"/>
      <c r="AG407" s="35">
        <v>0</v>
      </c>
      <c r="AH407" s="35"/>
      <c r="AI407" s="35">
        <v>0</v>
      </c>
      <c r="AJ407" s="35"/>
      <c r="AK407" s="35">
        <f t="shared" si="34"/>
        <v>0</v>
      </c>
      <c r="AL407" s="35"/>
      <c r="AM407" s="35">
        <f t="shared" si="35"/>
        <v>14454250</v>
      </c>
    </row>
    <row r="408" spans="1:39">
      <c r="A408" s="13" t="s">
        <v>262</v>
      </c>
      <c r="B408" s="13"/>
      <c r="C408" s="13" t="s">
        <v>17</v>
      </c>
      <c r="D408" s="13"/>
      <c r="E408" s="32">
        <v>46250</v>
      </c>
      <c r="F408" s="11"/>
      <c r="G408" s="8">
        <v>12234425</v>
      </c>
      <c r="I408" s="8">
        <v>0</v>
      </c>
      <c r="K408" s="8">
        <v>15918765</v>
      </c>
      <c r="M408" s="8">
        <v>185711</v>
      </c>
      <c r="O408" s="8">
        <v>1836500</v>
      </c>
      <c r="Q408" s="8">
        <v>0</v>
      </c>
      <c r="S408" s="8">
        <v>0</v>
      </c>
      <c r="U408" s="8">
        <v>100</v>
      </c>
      <c r="W408" s="8">
        <f>12995+6137+560</f>
        <v>19692</v>
      </c>
      <c r="Y408" s="3">
        <f t="shared" si="33"/>
        <v>30195193</v>
      </c>
      <c r="AA408" s="8">
        <v>0</v>
      </c>
      <c r="AC408" s="8">
        <v>0</v>
      </c>
      <c r="AE408" s="8">
        <v>0</v>
      </c>
      <c r="AG408" s="8">
        <f>79527+4245</f>
        <v>83772</v>
      </c>
      <c r="AI408" s="8">
        <v>0</v>
      </c>
      <c r="AK408" s="8">
        <f t="shared" si="34"/>
        <v>83772</v>
      </c>
      <c r="AM408" s="8">
        <f t="shared" si="35"/>
        <v>30278965</v>
      </c>
    </row>
    <row r="409" spans="1:39" s="35" customFormat="1" hidden="1">
      <c r="A409" s="34" t="s">
        <v>262</v>
      </c>
      <c r="B409" s="34"/>
      <c r="C409" s="34" t="s">
        <v>22</v>
      </c>
      <c r="D409" s="34"/>
      <c r="E409" s="34">
        <v>46722</v>
      </c>
      <c r="Y409" s="42">
        <f t="shared" ref="Y409:Y455" si="36">SUM(G409:X409)</f>
        <v>0</v>
      </c>
      <c r="AK409" s="35">
        <f t="shared" ref="AK409:AK434" si="37">SUM(AA409:AJ409)</f>
        <v>0</v>
      </c>
      <c r="AM409" s="35">
        <f t="shared" si="35"/>
        <v>0</v>
      </c>
    </row>
    <row r="410" spans="1:39">
      <c r="A410" s="13" t="s">
        <v>553</v>
      </c>
      <c r="B410" s="13"/>
      <c r="C410" s="13" t="s">
        <v>50</v>
      </c>
      <c r="D410" s="13"/>
      <c r="E410" s="32">
        <v>48728</v>
      </c>
      <c r="G410" s="8">
        <v>23200050</v>
      </c>
      <c r="I410" s="8">
        <v>0</v>
      </c>
      <c r="K410" s="8">
        <v>25389375</v>
      </c>
      <c r="M410" s="8">
        <v>103517</v>
      </c>
      <c r="O410" s="8">
        <v>596683</v>
      </c>
      <c r="Q410" s="8">
        <v>0</v>
      </c>
      <c r="S410" s="8">
        <v>0</v>
      </c>
      <c r="U410" s="8">
        <v>0</v>
      </c>
      <c r="W410" s="8">
        <v>30726</v>
      </c>
      <c r="Y410" s="3">
        <f t="shared" si="36"/>
        <v>49320351</v>
      </c>
      <c r="AA410" s="8">
        <v>0</v>
      </c>
      <c r="AC410" s="8">
        <v>0</v>
      </c>
      <c r="AE410" s="8">
        <v>0</v>
      </c>
      <c r="AG410" s="8">
        <v>153300</v>
      </c>
      <c r="AI410" s="8">
        <v>0</v>
      </c>
      <c r="AK410" s="8">
        <f t="shared" si="37"/>
        <v>153300</v>
      </c>
      <c r="AM410" s="8">
        <f t="shared" si="35"/>
        <v>49473651</v>
      </c>
    </row>
    <row r="411" spans="1:39">
      <c r="A411" s="13" t="s">
        <v>562</v>
      </c>
      <c r="B411" s="13"/>
      <c r="C411" s="13" t="s">
        <v>78</v>
      </c>
      <c r="D411" s="13"/>
      <c r="E411" s="32">
        <v>48819</v>
      </c>
      <c r="G411" s="8">
        <v>2624213</v>
      </c>
      <c r="I411" s="8">
        <v>1367847</v>
      </c>
      <c r="K411" s="8">
        <v>5681231</v>
      </c>
      <c r="M411" s="8">
        <v>32430</v>
      </c>
      <c r="O411" s="8">
        <v>688486</v>
      </c>
      <c r="Q411" s="8">
        <v>0</v>
      </c>
      <c r="S411" s="8">
        <v>0</v>
      </c>
      <c r="U411" s="8">
        <v>0</v>
      </c>
      <c r="W411" s="8">
        <f>31155+264+27711</f>
        <v>59130</v>
      </c>
      <c r="Y411" s="3">
        <f t="shared" si="36"/>
        <v>10453337</v>
      </c>
      <c r="AA411" s="8">
        <v>0</v>
      </c>
      <c r="AC411" s="8">
        <v>0</v>
      </c>
      <c r="AE411" s="8">
        <v>0</v>
      </c>
      <c r="AG411" s="8">
        <v>0</v>
      </c>
      <c r="AI411" s="8">
        <v>0</v>
      </c>
      <c r="AK411" s="8">
        <f t="shared" si="37"/>
        <v>0</v>
      </c>
      <c r="AM411" s="8">
        <f t="shared" si="35"/>
        <v>10453337</v>
      </c>
    </row>
    <row r="412" spans="1:39">
      <c r="A412" s="13" t="s">
        <v>480</v>
      </c>
      <c r="B412" s="13"/>
      <c r="C412" s="12" t="s">
        <v>50</v>
      </c>
      <c r="D412" s="13"/>
      <c r="E412" s="32">
        <v>48033</v>
      </c>
      <c r="G412" s="8">
        <v>7320371</v>
      </c>
      <c r="I412" s="8">
        <v>0</v>
      </c>
      <c r="K412" s="8">
        <v>9011796</v>
      </c>
      <c r="M412" s="8">
        <v>228246</v>
      </c>
      <c r="O412" s="8">
        <v>815034</v>
      </c>
      <c r="Q412" s="8">
        <v>3030</v>
      </c>
      <c r="S412" s="8">
        <v>0</v>
      </c>
      <c r="U412" s="8">
        <v>0</v>
      </c>
      <c r="W412" s="8">
        <f>87730+41728</f>
        <v>129458</v>
      </c>
      <c r="Y412" s="3">
        <f t="shared" si="36"/>
        <v>17507935</v>
      </c>
      <c r="AA412" s="8">
        <v>0</v>
      </c>
      <c r="AC412" s="8">
        <v>0</v>
      </c>
      <c r="AE412" s="8">
        <v>0</v>
      </c>
      <c r="AG412" s="8">
        <v>0</v>
      </c>
      <c r="AI412" s="8">
        <v>0</v>
      </c>
      <c r="AK412" s="8">
        <f t="shared" si="37"/>
        <v>0</v>
      </c>
      <c r="AM412" s="8">
        <f t="shared" si="35"/>
        <v>17507935</v>
      </c>
    </row>
    <row r="413" spans="1:39">
      <c r="A413" s="13" t="s">
        <v>480</v>
      </c>
      <c r="B413" s="13"/>
      <c r="C413" s="13" t="s">
        <v>42</v>
      </c>
      <c r="D413" s="13"/>
      <c r="E413" s="32">
        <v>48736</v>
      </c>
      <c r="G413" s="8">
        <v>3906058</v>
      </c>
      <c r="I413" s="8">
        <v>1966675</v>
      </c>
      <c r="K413" s="8">
        <v>5324739</v>
      </c>
      <c r="M413" s="8">
        <v>38287</v>
      </c>
      <c r="O413" s="8">
        <v>599616</v>
      </c>
      <c r="Q413" s="8">
        <v>66133</v>
      </c>
      <c r="S413" s="8">
        <v>0</v>
      </c>
      <c r="U413" s="8">
        <v>0</v>
      </c>
      <c r="W413" s="8">
        <f>14000+8805</f>
        <v>22805</v>
      </c>
      <c r="Y413" s="3">
        <f t="shared" si="36"/>
        <v>11924313</v>
      </c>
      <c r="AA413" s="8">
        <v>0</v>
      </c>
      <c r="AC413" s="8">
        <v>0</v>
      </c>
      <c r="AE413" s="8">
        <v>0</v>
      </c>
      <c r="AG413" s="8">
        <v>19812</v>
      </c>
      <c r="AI413" s="8">
        <v>0</v>
      </c>
      <c r="AK413" s="8">
        <f t="shared" si="37"/>
        <v>19812</v>
      </c>
      <c r="AM413" s="8">
        <f t="shared" si="35"/>
        <v>11944125</v>
      </c>
    </row>
    <row r="414" spans="1:39">
      <c r="A414" s="13" t="s">
        <v>402</v>
      </c>
      <c r="B414" s="13"/>
      <c r="C414" s="13" t="s">
        <v>32</v>
      </c>
      <c r="D414" s="13"/>
      <c r="E414" s="32">
        <v>47365</v>
      </c>
      <c r="G414" s="8">
        <v>38976570</v>
      </c>
      <c r="I414" s="8">
        <v>0</v>
      </c>
      <c r="K414" s="8">
        <v>36994078</v>
      </c>
      <c r="M414" s="8">
        <v>425923</v>
      </c>
      <c r="O414" s="8">
        <v>908960</v>
      </c>
      <c r="Q414" s="8">
        <v>0</v>
      </c>
      <c r="S414" s="8">
        <v>2974827</v>
      </c>
      <c r="U414" s="8">
        <v>0</v>
      </c>
      <c r="W414" s="8">
        <f>740046+1451098</f>
        <v>2191144</v>
      </c>
      <c r="Y414" s="3">
        <f t="shared" si="36"/>
        <v>82471502</v>
      </c>
      <c r="AA414" s="8">
        <v>0</v>
      </c>
      <c r="AC414" s="8">
        <v>0</v>
      </c>
      <c r="AE414" s="8">
        <v>0</v>
      </c>
      <c r="AG414" s="8">
        <v>59561</v>
      </c>
      <c r="AI414" s="8">
        <v>0</v>
      </c>
      <c r="AK414" s="8">
        <f t="shared" si="37"/>
        <v>59561</v>
      </c>
      <c r="AM414" s="8">
        <f t="shared" si="35"/>
        <v>82531063</v>
      </c>
    </row>
    <row r="415" spans="1:39">
      <c r="A415" s="13" t="s">
        <v>402</v>
      </c>
      <c r="B415" s="13"/>
      <c r="C415" s="13" t="s">
        <v>59</v>
      </c>
      <c r="D415" s="13"/>
      <c r="E415" s="32">
        <v>49635</v>
      </c>
      <c r="G415" s="8">
        <v>1637493</v>
      </c>
      <c r="I415" s="8">
        <v>0</v>
      </c>
      <c r="K415" s="8">
        <v>11493970</v>
      </c>
      <c r="M415" s="8">
        <v>26690</v>
      </c>
      <c r="O415" s="8">
        <v>8657</v>
      </c>
      <c r="Q415" s="8">
        <v>0</v>
      </c>
      <c r="S415" s="8">
        <v>0</v>
      </c>
      <c r="U415" s="8">
        <v>0</v>
      </c>
      <c r="W415" s="8">
        <f>71871+39496</f>
        <v>111367</v>
      </c>
      <c r="Y415" s="3">
        <f t="shared" si="36"/>
        <v>13278177</v>
      </c>
      <c r="AA415" s="8">
        <v>0</v>
      </c>
      <c r="AE415" s="8">
        <v>0</v>
      </c>
      <c r="AG415" s="8">
        <v>0</v>
      </c>
      <c r="AK415" s="8">
        <f t="shared" si="37"/>
        <v>0</v>
      </c>
      <c r="AM415" s="8">
        <f t="shared" si="35"/>
        <v>13278177</v>
      </c>
    </row>
    <row r="416" spans="1:39">
      <c r="A416" s="13" t="s">
        <v>402</v>
      </c>
      <c r="B416" s="13"/>
      <c r="C416" s="13" t="s">
        <v>62</v>
      </c>
      <c r="D416" s="13"/>
      <c r="E416" s="32">
        <v>49908</v>
      </c>
      <c r="G416" s="8">
        <v>6483561</v>
      </c>
      <c r="I416" s="8">
        <v>0</v>
      </c>
      <c r="K416" s="8">
        <v>10377815</v>
      </c>
      <c r="M416" s="8">
        <v>6416</v>
      </c>
      <c r="O416" s="8">
        <v>518483</v>
      </c>
      <c r="Q416" s="8">
        <v>28363</v>
      </c>
      <c r="S416" s="8">
        <v>0</v>
      </c>
      <c r="U416" s="8">
        <v>0</v>
      </c>
      <c r="W416" s="8">
        <f>27586+159535</f>
        <v>187121</v>
      </c>
      <c r="Y416" s="3">
        <f t="shared" si="36"/>
        <v>17601759</v>
      </c>
      <c r="AA416" s="8">
        <v>0</v>
      </c>
      <c r="AC416" s="8">
        <v>0</v>
      </c>
      <c r="AE416" s="8">
        <v>0</v>
      </c>
      <c r="AG416" s="8">
        <v>180</v>
      </c>
      <c r="AI416" s="8">
        <v>0</v>
      </c>
      <c r="AK416" s="8">
        <f t="shared" si="37"/>
        <v>180</v>
      </c>
      <c r="AM416" s="8">
        <f t="shared" si="35"/>
        <v>17601939</v>
      </c>
    </row>
    <row r="417" spans="1:39">
      <c r="A417" s="13" t="s">
        <v>263</v>
      </c>
      <c r="B417" s="13"/>
      <c r="C417" s="13" t="s">
        <v>17</v>
      </c>
      <c r="D417" s="13"/>
      <c r="E417" s="13">
        <v>46268</v>
      </c>
      <c r="G417" s="8">
        <v>5799359</v>
      </c>
      <c r="I417" s="8">
        <v>0</v>
      </c>
      <c r="K417" s="8">
        <v>7429051</v>
      </c>
      <c r="M417" s="8">
        <v>102379</v>
      </c>
      <c r="O417" s="8">
        <v>1079433</v>
      </c>
      <c r="Q417" s="8">
        <v>0</v>
      </c>
      <c r="S417" s="8">
        <v>0</v>
      </c>
      <c r="U417" s="8">
        <v>0</v>
      </c>
      <c r="W417" s="8">
        <f>12843+11945</f>
        <v>24788</v>
      </c>
      <c r="Y417" s="3">
        <f t="shared" si="36"/>
        <v>14435010</v>
      </c>
      <c r="AA417" s="8">
        <v>0</v>
      </c>
      <c r="AC417" s="8">
        <v>0</v>
      </c>
      <c r="AE417" s="8">
        <v>0</v>
      </c>
      <c r="AG417" s="8">
        <v>1275</v>
      </c>
      <c r="AI417" s="8">
        <v>0</v>
      </c>
      <c r="AK417" s="8">
        <f t="shared" si="37"/>
        <v>1275</v>
      </c>
      <c r="AM417" s="8">
        <f t="shared" si="35"/>
        <v>14436285</v>
      </c>
    </row>
    <row r="418" spans="1:39">
      <c r="A418" s="13" t="s">
        <v>736</v>
      </c>
      <c r="B418" s="13"/>
      <c r="C418" s="13" t="s">
        <v>72</v>
      </c>
      <c r="D418" s="13"/>
      <c r="E418" s="32">
        <v>50716</v>
      </c>
      <c r="G418" s="8">
        <v>6219288</v>
      </c>
      <c r="I418" s="8">
        <v>0</v>
      </c>
      <c r="K418" s="8">
        <v>3849538</v>
      </c>
      <c r="M418" s="8">
        <v>37457</v>
      </c>
      <c r="O418" s="8">
        <v>263602</v>
      </c>
      <c r="Q418" s="8">
        <v>0</v>
      </c>
      <c r="S418" s="8">
        <v>33388</v>
      </c>
      <c r="U418" s="8">
        <v>4000</v>
      </c>
      <c r="W418" s="8">
        <v>62994</v>
      </c>
      <c r="Y418" s="3">
        <f t="shared" si="36"/>
        <v>10470267</v>
      </c>
      <c r="AA418" s="8">
        <v>0</v>
      </c>
      <c r="AC418" s="8">
        <v>0</v>
      </c>
      <c r="AE418" s="8">
        <v>0</v>
      </c>
      <c r="AG418" s="8">
        <v>0</v>
      </c>
      <c r="AI418" s="8">
        <v>0</v>
      </c>
      <c r="AK418" s="8">
        <f t="shared" si="37"/>
        <v>0</v>
      </c>
      <c r="AM418" s="8">
        <f t="shared" si="35"/>
        <v>10470267</v>
      </c>
    </row>
    <row r="419" spans="1:39">
      <c r="A419" s="13" t="s">
        <v>669</v>
      </c>
      <c r="B419" s="13"/>
      <c r="C419" s="13" t="s">
        <v>63</v>
      </c>
      <c r="D419" s="13"/>
      <c r="E419" s="32">
        <v>44552</v>
      </c>
      <c r="G419" s="8">
        <v>8270648</v>
      </c>
      <c r="I419" s="8">
        <v>0</v>
      </c>
      <c r="K419" s="8">
        <v>9235239</v>
      </c>
      <c r="M419" s="8">
        <v>88823</v>
      </c>
      <c r="O419" s="8">
        <v>2361713</v>
      </c>
      <c r="Q419" s="8">
        <v>0</v>
      </c>
      <c r="S419" s="8">
        <v>0</v>
      </c>
      <c r="U419" s="8">
        <v>1100</v>
      </c>
      <c r="W419" s="8">
        <f>2503+289218</f>
        <v>291721</v>
      </c>
      <c r="Y419" s="3">
        <f t="shared" si="36"/>
        <v>20249244</v>
      </c>
      <c r="AA419" s="8">
        <v>21174</v>
      </c>
      <c r="AC419" s="8">
        <v>0</v>
      </c>
      <c r="AE419" s="8">
        <v>0</v>
      </c>
      <c r="AG419" s="8">
        <v>0</v>
      </c>
      <c r="AI419" s="8">
        <v>0</v>
      </c>
      <c r="AK419" s="8">
        <f t="shared" si="37"/>
        <v>21174</v>
      </c>
      <c r="AM419" s="8">
        <f t="shared" si="35"/>
        <v>20270418</v>
      </c>
    </row>
    <row r="420" spans="1:39">
      <c r="A420" s="13" t="s">
        <v>446</v>
      </c>
      <c r="B420" s="13"/>
      <c r="C420" s="13" t="s">
        <v>37</v>
      </c>
      <c r="D420" s="13"/>
      <c r="E420" s="32">
        <v>44560</v>
      </c>
      <c r="G420" s="8">
        <v>6102266</v>
      </c>
      <c r="I420" s="8">
        <v>1782939</v>
      </c>
      <c r="K420" s="8">
        <v>13053038</v>
      </c>
      <c r="M420" s="8">
        <v>406844</v>
      </c>
      <c r="O420" s="8">
        <v>597170</v>
      </c>
      <c r="Q420" s="8">
        <v>29863</v>
      </c>
      <c r="S420" s="8">
        <v>0</v>
      </c>
      <c r="U420" s="8">
        <v>8541</v>
      </c>
      <c r="W420" s="8">
        <f>161467+63065+9205</f>
        <v>233737</v>
      </c>
      <c r="Y420" s="3">
        <f t="shared" si="36"/>
        <v>22214398</v>
      </c>
      <c r="AA420" s="8">
        <v>0</v>
      </c>
      <c r="AE420" s="8">
        <v>0</v>
      </c>
      <c r="AG420" s="8">
        <v>0</v>
      </c>
      <c r="AK420" s="8">
        <f t="shared" si="37"/>
        <v>0</v>
      </c>
      <c r="AM420" s="8">
        <f t="shared" si="35"/>
        <v>22214398</v>
      </c>
    </row>
    <row r="421" spans="1:39">
      <c r="A421" s="13" t="s">
        <v>865</v>
      </c>
      <c r="B421" s="13"/>
      <c r="C421" s="13" t="s">
        <v>32</v>
      </c>
      <c r="D421" s="13"/>
      <c r="E421" s="32">
        <v>44578</v>
      </c>
      <c r="G421" s="8">
        <v>11133228</v>
      </c>
      <c r="I421" s="8">
        <v>0</v>
      </c>
      <c r="K421" s="8">
        <v>10966434</v>
      </c>
      <c r="M421" s="8">
        <v>131966</v>
      </c>
      <c r="O421" s="8">
        <v>65896</v>
      </c>
      <c r="Q421" s="8">
        <v>0</v>
      </c>
      <c r="S421" s="8">
        <v>326999</v>
      </c>
      <c r="U421" s="8">
        <v>0</v>
      </c>
      <c r="W421" s="8">
        <f>179157+289109</f>
        <v>468266</v>
      </c>
      <c r="Y421" s="3">
        <f t="shared" si="36"/>
        <v>23092789</v>
      </c>
      <c r="AA421" s="8">
        <v>0</v>
      </c>
      <c r="AE421" s="8">
        <v>0</v>
      </c>
      <c r="AG421" s="8">
        <v>0</v>
      </c>
      <c r="AK421" s="8">
        <f t="shared" si="37"/>
        <v>0</v>
      </c>
      <c r="AM421" s="8">
        <f t="shared" si="35"/>
        <v>23092789</v>
      </c>
    </row>
    <row r="422" spans="1:39">
      <c r="A422" s="13" t="s">
        <v>404</v>
      </c>
      <c r="B422" s="13"/>
      <c r="C422" s="13" t="s">
        <v>32</v>
      </c>
      <c r="D422" s="13"/>
      <c r="E422" s="32">
        <v>47373</v>
      </c>
      <c r="G422" s="8">
        <v>21841837</v>
      </c>
      <c r="I422" s="8">
        <v>0</v>
      </c>
      <c r="K422" s="8">
        <v>29257774</v>
      </c>
      <c r="M422" s="8">
        <v>802888</v>
      </c>
      <c r="O422" s="8">
        <v>1373289</v>
      </c>
      <c r="Q422" s="8">
        <v>213595</v>
      </c>
      <c r="S422" s="8">
        <v>8451191</v>
      </c>
      <c r="U422" s="8">
        <v>0</v>
      </c>
      <c r="W422" s="8">
        <v>293822</v>
      </c>
      <c r="Y422" s="3">
        <f t="shared" si="36"/>
        <v>62234396</v>
      </c>
      <c r="AA422" s="8">
        <v>0</v>
      </c>
      <c r="AE422" s="8">
        <v>0</v>
      </c>
      <c r="AG422" s="8">
        <v>7798</v>
      </c>
      <c r="AK422" s="8">
        <f t="shared" si="37"/>
        <v>7798</v>
      </c>
      <c r="AM422" s="8">
        <f t="shared" si="35"/>
        <v>62242194</v>
      </c>
    </row>
    <row r="423" spans="1:39">
      <c r="A423" s="13" t="s">
        <v>554</v>
      </c>
      <c r="B423" s="13"/>
      <c r="C423" s="13" t="s">
        <v>50</v>
      </c>
      <c r="D423" s="13"/>
      <c r="E423" s="32">
        <v>44586</v>
      </c>
      <c r="G423" s="8">
        <v>14054512</v>
      </c>
      <c r="I423" s="8">
        <v>0</v>
      </c>
      <c r="K423" s="8">
        <v>7904979</v>
      </c>
      <c r="M423" s="8">
        <v>56081</v>
      </c>
      <c r="O423" s="8">
        <v>80696</v>
      </c>
      <c r="Q423" s="8">
        <v>4153</v>
      </c>
      <c r="S423" s="8">
        <v>0</v>
      </c>
      <c r="U423" s="8">
        <v>0</v>
      </c>
      <c r="W423" s="8">
        <v>291948</v>
      </c>
      <c r="Y423" s="3">
        <f t="shared" si="36"/>
        <v>22392369</v>
      </c>
      <c r="AA423" s="8">
        <v>2317974</v>
      </c>
      <c r="AE423" s="8">
        <v>0</v>
      </c>
      <c r="AG423" s="8">
        <v>0</v>
      </c>
      <c r="AK423" s="8">
        <f t="shared" si="37"/>
        <v>2317974</v>
      </c>
      <c r="AM423" s="8">
        <f t="shared" si="35"/>
        <v>24710343</v>
      </c>
    </row>
    <row r="424" spans="1:39">
      <c r="A424" s="13" t="s">
        <v>493</v>
      </c>
      <c r="B424" s="13"/>
      <c r="C424" s="13" t="s">
        <v>44</v>
      </c>
      <c r="D424" s="13"/>
      <c r="E424" s="32">
        <v>44594</v>
      </c>
      <c r="G424" s="8">
        <v>7446622</v>
      </c>
      <c r="I424" s="8">
        <v>0</v>
      </c>
      <c r="K424" s="8">
        <v>4230049</v>
      </c>
      <c r="M424" s="8">
        <v>51840</v>
      </c>
      <c r="O424" s="8">
        <v>346204</v>
      </c>
      <c r="Q424" s="8">
        <v>0</v>
      </c>
      <c r="S424" s="8">
        <v>0</v>
      </c>
      <c r="U424" s="8">
        <v>0</v>
      </c>
      <c r="W424" s="8">
        <v>41027</v>
      </c>
      <c r="Y424" s="3">
        <f t="shared" si="36"/>
        <v>12115742</v>
      </c>
      <c r="AA424" s="8">
        <v>0</v>
      </c>
      <c r="AE424" s="8">
        <v>0</v>
      </c>
      <c r="AG424" s="8">
        <v>0</v>
      </c>
      <c r="AK424" s="8">
        <f t="shared" si="37"/>
        <v>0</v>
      </c>
      <c r="AM424" s="8">
        <f t="shared" si="35"/>
        <v>12115742</v>
      </c>
    </row>
    <row r="425" spans="1:39" hidden="1">
      <c r="A425" s="13" t="s">
        <v>834</v>
      </c>
      <c r="B425" s="13"/>
      <c r="C425" s="13" t="s">
        <v>60</v>
      </c>
      <c r="D425" s="13"/>
      <c r="E425" s="32">
        <v>49726</v>
      </c>
      <c r="Y425" s="3">
        <f t="shared" si="36"/>
        <v>0</v>
      </c>
      <c r="AK425" s="8">
        <f t="shared" si="37"/>
        <v>0</v>
      </c>
      <c r="AM425" s="8">
        <f t="shared" si="35"/>
        <v>0</v>
      </c>
    </row>
    <row r="426" spans="1:39">
      <c r="A426" s="13" t="s">
        <v>335</v>
      </c>
      <c r="B426" s="13"/>
      <c r="C426" s="13" t="s">
        <v>23</v>
      </c>
      <c r="D426" s="13"/>
      <c r="E426" s="32">
        <v>46763</v>
      </c>
      <c r="G426" s="8">
        <v>88941081</v>
      </c>
      <c r="I426" s="8">
        <v>0</v>
      </c>
      <c r="K426" s="8">
        <f>22815088+131013</f>
        <v>22946101</v>
      </c>
      <c r="M426" s="8">
        <v>1111556</v>
      </c>
      <c r="O426" s="8">
        <v>529745</v>
      </c>
      <c r="Q426" s="8">
        <v>0</v>
      </c>
      <c r="S426" s="8">
        <v>10941327</v>
      </c>
      <c r="U426" s="8">
        <v>0</v>
      </c>
      <c r="W426" s="8">
        <v>562552</v>
      </c>
      <c r="Y426" s="3">
        <f t="shared" si="36"/>
        <v>125032362</v>
      </c>
      <c r="AA426" s="8">
        <v>0</v>
      </c>
      <c r="AC426" s="8">
        <v>0</v>
      </c>
      <c r="AE426" s="8">
        <v>0</v>
      </c>
      <c r="AG426" s="8">
        <v>41586</v>
      </c>
      <c r="AK426" s="8">
        <f t="shared" si="37"/>
        <v>41586</v>
      </c>
      <c r="AM426" s="8">
        <f t="shared" si="35"/>
        <v>125073948</v>
      </c>
    </row>
    <row r="427" spans="1:39">
      <c r="A427" s="13" t="s">
        <v>315</v>
      </c>
      <c r="B427" s="13"/>
      <c r="C427" s="13" t="s">
        <v>20</v>
      </c>
      <c r="D427" s="13"/>
      <c r="E427" s="32">
        <v>46573</v>
      </c>
      <c r="G427" s="8">
        <v>19277712</v>
      </c>
      <c r="I427" s="8">
        <v>0</v>
      </c>
      <c r="K427" s="8">
        <v>14702082</v>
      </c>
      <c r="M427" s="8">
        <v>257120</v>
      </c>
      <c r="O427" s="8">
        <v>151148</v>
      </c>
      <c r="Q427" s="8">
        <v>0</v>
      </c>
      <c r="S427" s="8">
        <v>0</v>
      </c>
      <c r="U427" s="8">
        <v>0</v>
      </c>
      <c r="W427" s="8">
        <f>227107+6997+196053</f>
        <v>430157</v>
      </c>
      <c r="Y427" s="3">
        <f t="shared" si="36"/>
        <v>34818219</v>
      </c>
      <c r="AA427" s="8">
        <v>0</v>
      </c>
      <c r="AC427" s="8">
        <v>0</v>
      </c>
      <c r="AE427" s="8">
        <v>1333000</v>
      </c>
      <c r="AG427" s="8">
        <v>0</v>
      </c>
      <c r="AK427" s="8">
        <f t="shared" si="37"/>
        <v>1333000</v>
      </c>
      <c r="AM427" s="8">
        <f t="shared" si="35"/>
        <v>36151219</v>
      </c>
    </row>
    <row r="428" spans="1:39">
      <c r="A428" s="13" t="s">
        <v>613</v>
      </c>
      <c r="B428" s="13"/>
      <c r="C428" s="13" t="s">
        <v>112</v>
      </c>
      <c r="D428" s="13"/>
      <c r="E428" s="32">
        <v>49478</v>
      </c>
      <c r="G428" s="8">
        <v>9272792</v>
      </c>
      <c r="I428" s="8">
        <v>0</v>
      </c>
      <c r="K428" s="8">
        <f>5117316+1195</f>
        <v>5118511</v>
      </c>
      <c r="M428" s="8">
        <v>308991</v>
      </c>
      <c r="O428" s="8">
        <v>180546</v>
      </c>
      <c r="Q428" s="8">
        <v>0</v>
      </c>
      <c r="S428" s="8">
        <v>0</v>
      </c>
      <c r="U428" s="8">
        <v>0</v>
      </c>
      <c r="W428" s="8">
        <f>23509+116238+24455</f>
        <v>164202</v>
      </c>
      <c r="Y428" s="3">
        <f t="shared" si="36"/>
        <v>15045042</v>
      </c>
      <c r="AA428" s="8">
        <v>0</v>
      </c>
      <c r="AC428" s="8">
        <v>0</v>
      </c>
      <c r="AE428" s="8">
        <v>0</v>
      </c>
      <c r="AG428" s="8">
        <v>0</v>
      </c>
      <c r="AK428" s="8">
        <f t="shared" si="37"/>
        <v>0</v>
      </c>
      <c r="AM428" s="8">
        <f t="shared" si="35"/>
        <v>15045042</v>
      </c>
    </row>
    <row r="429" spans="1:39">
      <c r="A429" s="13" t="s">
        <v>316</v>
      </c>
      <c r="B429" s="13"/>
      <c r="C429" s="13" t="s">
        <v>20</v>
      </c>
      <c r="D429" s="13"/>
      <c r="E429" s="32">
        <v>46581</v>
      </c>
      <c r="G429" s="8">
        <v>35963383</v>
      </c>
      <c r="I429" s="8">
        <v>0</v>
      </c>
      <c r="K429" s="8">
        <v>8420285</v>
      </c>
      <c r="M429" s="8">
        <v>1482244</v>
      </c>
      <c r="O429" s="8">
        <v>3465610</v>
      </c>
      <c r="Q429" s="8">
        <v>0</v>
      </c>
      <c r="S429" s="8">
        <v>0</v>
      </c>
      <c r="U429" s="8">
        <v>1400</v>
      </c>
      <c r="W429" s="8">
        <f>6685+2945+57101+57270</f>
        <v>124001</v>
      </c>
      <c r="Y429" s="3">
        <f t="shared" si="36"/>
        <v>49456923</v>
      </c>
      <c r="AA429" s="8">
        <v>0</v>
      </c>
      <c r="AC429" s="8">
        <v>0</v>
      </c>
      <c r="AE429" s="8">
        <v>0</v>
      </c>
      <c r="AG429" s="8">
        <v>760</v>
      </c>
      <c r="AK429" s="8">
        <f t="shared" si="37"/>
        <v>760</v>
      </c>
      <c r="AM429" s="8">
        <f t="shared" si="35"/>
        <v>49457683</v>
      </c>
    </row>
    <row r="430" spans="1:39">
      <c r="A430" s="13" t="s">
        <v>498</v>
      </c>
      <c r="B430" s="13"/>
      <c r="C430" s="13" t="s">
        <v>117</v>
      </c>
      <c r="D430" s="13"/>
      <c r="E430" s="32">
        <v>44602</v>
      </c>
      <c r="G430" s="8">
        <v>21113039</v>
      </c>
      <c r="I430" s="8">
        <v>0</v>
      </c>
      <c r="K430" s="8">
        <f>17439556+14602</f>
        <v>17454158</v>
      </c>
      <c r="M430" s="8">
        <v>89568</v>
      </c>
      <c r="O430" s="8">
        <v>481855</v>
      </c>
      <c r="Q430" s="8">
        <v>46206</v>
      </c>
      <c r="S430" s="8">
        <v>358508</v>
      </c>
      <c r="U430" s="8">
        <v>0</v>
      </c>
      <c r="W430" s="8">
        <f>154881+28935</f>
        <v>183816</v>
      </c>
      <c r="Y430" s="3">
        <f t="shared" si="36"/>
        <v>39727150</v>
      </c>
      <c r="AA430" s="8">
        <v>0</v>
      </c>
      <c r="AC430" s="8">
        <v>0</v>
      </c>
      <c r="AE430" s="8">
        <v>0</v>
      </c>
      <c r="AG430" s="8">
        <v>54167</v>
      </c>
      <c r="AK430" s="8">
        <f t="shared" si="37"/>
        <v>54167</v>
      </c>
      <c r="AM430" s="8">
        <f t="shared" si="35"/>
        <v>39781317</v>
      </c>
    </row>
    <row r="431" spans="1:39">
      <c r="A431" s="13" t="s">
        <v>723</v>
      </c>
      <c r="B431" s="13"/>
      <c r="C431" s="13" t="s">
        <v>71</v>
      </c>
      <c r="D431" s="13"/>
      <c r="E431" s="32">
        <v>44610</v>
      </c>
      <c r="G431" s="8">
        <v>6297416</v>
      </c>
      <c r="I431" s="8">
        <v>0</v>
      </c>
      <c r="K431" s="8">
        <v>7213691</v>
      </c>
      <c r="M431" s="8">
        <v>56179</v>
      </c>
      <c r="O431" s="8">
        <v>307054</v>
      </c>
      <c r="Q431" s="8">
        <v>19048</v>
      </c>
      <c r="S431" s="8">
        <v>0</v>
      </c>
      <c r="U431" s="8">
        <v>29723</v>
      </c>
      <c r="W431" s="8">
        <f>23399+753</f>
        <v>24152</v>
      </c>
      <c r="Y431" s="3">
        <f t="shared" si="36"/>
        <v>13947263</v>
      </c>
      <c r="AA431" s="8">
        <v>0</v>
      </c>
      <c r="AE431" s="8">
        <v>0</v>
      </c>
      <c r="AG431" s="8">
        <v>0</v>
      </c>
      <c r="AK431" s="8">
        <f t="shared" si="37"/>
        <v>0</v>
      </c>
      <c r="AM431" s="8">
        <f t="shared" si="35"/>
        <v>13947263</v>
      </c>
    </row>
    <row r="432" spans="1:39">
      <c r="A432" s="13" t="s">
        <v>659</v>
      </c>
      <c r="B432" s="13"/>
      <c r="C432" s="13" t="s">
        <v>62</v>
      </c>
      <c r="D432" s="13"/>
      <c r="E432" s="32">
        <v>49916</v>
      </c>
      <c r="G432" s="8">
        <v>2148066</v>
      </c>
      <c r="I432" s="8">
        <v>0</v>
      </c>
      <c r="K432" s="8">
        <v>4345156</v>
      </c>
      <c r="M432" s="8">
        <v>121150</v>
      </c>
      <c r="O432" s="8">
        <v>465449</v>
      </c>
      <c r="Q432" s="8">
        <v>0</v>
      </c>
      <c r="S432" s="8">
        <v>0</v>
      </c>
      <c r="U432" s="8">
        <v>0</v>
      </c>
      <c r="W432" s="8">
        <f>30083+56429</f>
        <v>86512</v>
      </c>
      <c r="Y432" s="3">
        <f t="shared" si="36"/>
        <v>7166333</v>
      </c>
      <c r="AA432" s="8">
        <v>0</v>
      </c>
      <c r="AE432" s="8">
        <v>0</v>
      </c>
      <c r="AG432" s="8">
        <v>8660</v>
      </c>
      <c r="AK432" s="8">
        <f t="shared" si="37"/>
        <v>8660</v>
      </c>
      <c r="AM432" s="8">
        <f t="shared" si="35"/>
        <v>7174993</v>
      </c>
    </row>
    <row r="433" spans="1:40">
      <c r="A433" s="13" t="s">
        <v>737</v>
      </c>
      <c r="B433" s="13"/>
      <c r="C433" s="13" t="s">
        <v>72</v>
      </c>
      <c r="D433" s="13"/>
      <c r="E433" s="32">
        <v>50724</v>
      </c>
      <c r="G433" s="8">
        <v>4093929</v>
      </c>
      <c r="I433" s="8">
        <v>2301665</v>
      </c>
      <c r="K433" s="8">
        <v>6535008</v>
      </c>
      <c r="M433" s="8">
        <v>39864</v>
      </c>
      <c r="O433" s="8">
        <v>620481</v>
      </c>
      <c r="Q433" s="8">
        <v>24965</v>
      </c>
      <c r="S433" s="8">
        <v>0</v>
      </c>
      <c r="U433" s="8">
        <v>1612</v>
      </c>
      <c r="W433" s="8">
        <v>57418</v>
      </c>
      <c r="Y433" s="3">
        <f t="shared" si="36"/>
        <v>13674942</v>
      </c>
      <c r="AA433" s="8">
        <v>0</v>
      </c>
      <c r="AE433" s="8">
        <v>0</v>
      </c>
      <c r="AG433" s="8">
        <v>0</v>
      </c>
      <c r="AK433" s="8">
        <f t="shared" si="37"/>
        <v>0</v>
      </c>
      <c r="AM433" s="8">
        <f t="shared" si="35"/>
        <v>13674942</v>
      </c>
    </row>
    <row r="434" spans="1:40">
      <c r="A434" s="13" t="s">
        <v>499</v>
      </c>
      <c r="B434" s="13"/>
      <c r="C434" s="13" t="s">
        <v>117</v>
      </c>
      <c r="D434" s="13"/>
      <c r="E434" s="32">
        <v>48215</v>
      </c>
      <c r="G434" s="8">
        <v>9115608</v>
      </c>
      <c r="I434" s="8">
        <v>0</v>
      </c>
      <c r="K434" s="8">
        <v>3163188</v>
      </c>
      <c r="M434" s="8">
        <v>248464</v>
      </c>
      <c r="O434" s="8">
        <v>82751</v>
      </c>
      <c r="Q434" s="8">
        <v>53773</v>
      </c>
      <c r="S434" s="8">
        <v>0</v>
      </c>
      <c r="U434" s="8">
        <v>0</v>
      </c>
      <c r="W434" s="8">
        <f>18546+44667+2224</f>
        <v>65437</v>
      </c>
      <c r="Y434" s="3">
        <f t="shared" si="36"/>
        <v>12729221</v>
      </c>
      <c r="AA434" s="8">
        <v>0</v>
      </c>
      <c r="AE434" s="8">
        <v>17465</v>
      </c>
      <c r="AG434" s="8">
        <v>0</v>
      </c>
      <c r="AK434" s="8">
        <f t="shared" si="37"/>
        <v>17465</v>
      </c>
      <c r="AM434" s="8">
        <f t="shared" si="35"/>
        <v>12746686</v>
      </c>
    </row>
    <row r="435" spans="1:40" hidden="1">
      <c r="A435" s="108" t="s">
        <v>1047</v>
      </c>
      <c r="B435" s="13"/>
      <c r="C435" s="13" t="s">
        <v>603</v>
      </c>
      <c r="D435" s="13"/>
      <c r="E435" s="32">
        <v>49379</v>
      </c>
      <c r="Y435" s="3">
        <f t="shared" si="36"/>
        <v>0</v>
      </c>
      <c r="AK435" s="8">
        <f t="shared" ref="AK435:AK483" si="38">SUM(AA435:AJ435)</f>
        <v>0</v>
      </c>
      <c r="AM435" s="8">
        <f t="shared" si="35"/>
        <v>0</v>
      </c>
    </row>
    <row r="436" spans="1:40" hidden="1">
      <c r="A436" s="108" t="s">
        <v>1046</v>
      </c>
      <c r="B436" s="13"/>
      <c r="C436" s="13" t="s">
        <v>603</v>
      </c>
      <c r="D436" s="13"/>
      <c r="E436" s="32">
        <v>49387</v>
      </c>
      <c r="Y436" s="3">
        <f t="shared" si="36"/>
        <v>0</v>
      </c>
      <c r="AK436" s="8">
        <f t="shared" si="38"/>
        <v>0</v>
      </c>
      <c r="AM436" s="8">
        <f t="shared" si="35"/>
        <v>0</v>
      </c>
    </row>
    <row r="437" spans="1:40">
      <c r="A437" s="13" t="s">
        <v>461</v>
      </c>
      <c r="B437" s="13"/>
      <c r="C437" s="13" t="s">
        <v>41</v>
      </c>
      <c r="D437" s="13"/>
      <c r="E437" s="32">
        <v>44628</v>
      </c>
      <c r="G437" s="8">
        <v>8951177</v>
      </c>
      <c r="I437" s="8">
        <v>0</v>
      </c>
      <c r="K437" s="8">
        <v>18299491</v>
      </c>
      <c r="M437" s="8">
        <v>268266</v>
      </c>
      <c r="O437" s="8">
        <v>809336</v>
      </c>
      <c r="Q437" s="8">
        <v>2321</v>
      </c>
      <c r="S437" s="8">
        <v>0</v>
      </c>
      <c r="U437" s="8">
        <v>0</v>
      </c>
      <c r="W437" s="8">
        <v>340838</v>
      </c>
      <c r="Y437" s="3">
        <f t="shared" si="36"/>
        <v>28671429</v>
      </c>
      <c r="AA437" s="8">
        <v>0</v>
      </c>
      <c r="AE437" s="8">
        <v>40000</v>
      </c>
      <c r="AG437" s="8">
        <v>0</v>
      </c>
      <c r="AK437" s="8">
        <f t="shared" si="38"/>
        <v>40000</v>
      </c>
      <c r="AM437" s="8">
        <f t="shared" si="35"/>
        <v>28711429</v>
      </c>
    </row>
    <row r="438" spans="1:40" hidden="1">
      <c r="A438" s="12" t="s">
        <v>1003</v>
      </c>
      <c r="B438" s="13"/>
      <c r="C438" s="13" t="s">
        <v>41</v>
      </c>
      <c r="D438" s="13"/>
      <c r="E438" s="32">
        <v>47894</v>
      </c>
      <c r="Y438" s="3">
        <f t="shared" si="36"/>
        <v>0</v>
      </c>
      <c r="AK438" s="8">
        <f t="shared" si="38"/>
        <v>0</v>
      </c>
      <c r="AM438" s="8">
        <f t="shared" si="35"/>
        <v>0</v>
      </c>
      <c r="AN438" s="8" t="s">
        <v>1029</v>
      </c>
    </row>
    <row r="439" spans="1:40">
      <c r="A439" s="13" t="s">
        <v>619</v>
      </c>
      <c r="B439" s="13"/>
      <c r="C439" s="13" t="s">
        <v>58</v>
      </c>
      <c r="D439" s="13"/>
      <c r="E439" s="32">
        <v>49510</v>
      </c>
      <c r="G439" s="8">
        <v>1466961</v>
      </c>
      <c r="I439" s="8">
        <v>0</v>
      </c>
      <c r="K439" s="8">
        <v>7158259</v>
      </c>
      <c r="M439" s="8">
        <v>61331</v>
      </c>
      <c r="O439" s="8">
        <v>555489</v>
      </c>
      <c r="Q439" s="8">
        <v>0</v>
      </c>
      <c r="S439" s="8">
        <v>0</v>
      </c>
      <c r="U439" s="8">
        <v>4353</v>
      </c>
      <c r="W439" s="8">
        <f>18313+740</f>
        <v>19053</v>
      </c>
      <c r="Y439" s="3">
        <f t="shared" si="36"/>
        <v>9265446</v>
      </c>
      <c r="AA439" s="8">
        <v>0</v>
      </c>
      <c r="AE439" s="8">
        <v>0</v>
      </c>
      <c r="AG439" s="8">
        <v>0</v>
      </c>
      <c r="AK439" s="8">
        <f t="shared" si="38"/>
        <v>0</v>
      </c>
      <c r="AM439" s="8">
        <f t="shared" si="35"/>
        <v>9265446</v>
      </c>
      <c r="AN439" s="8" t="s">
        <v>956</v>
      </c>
    </row>
    <row r="440" spans="1:40" hidden="1">
      <c r="A440" s="91" t="s">
        <v>1004</v>
      </c>
      <c r="B440" s="13"/>
      <c r="C440" s="13" t="s">
        <v>603</v>
      </c>
      <c r="D440" s="13"/>
      <c r="E440" s="32">
        <v>49395</v>
      </c>
      <c r="Y440" s="3">
        <f t="shared" si="36"/>
        <v>0</v>
      </c>
      <c r="AK440" s="8">
        <f t="shared" si="38"/>
        <v>0</v>
      </c>
      <c r="AM440" s="8">
        <f t="shared" si="35"/>
        <v>0</v>
      </c>
    </row>
    <row r="441" spans="1:40" hidden="1">
      <c r="A441" s="12" t="s">
        <v>1005</v>
      </c>
      <c r="B441" s="13"/>
      <c r="C441" s="13" t="s">
        <v>534</v>
      </c>
      <c r="D441" s="13"/>
      <c r="E441" s="32">
        <v>48579</v>
      </c>
      <c r="G441" s="8">
        <v>1875303</v>
      </c>
      <c r="I441" s="8">
        <v>1104878</v>
      </c>
      <c r="K441" s="8">
        <v>5928301</v>
      </c>
      <c r="M441" s="8">
        <v>65705</v>
      </c>
      <c r="O441" s="8">
        <v>447146</v>
      </c>
      <c r="U441" s="8">
        <v>24</v>
      </c>
      <c r="W441" s="8">
        <f>25548+1705</f>
        <v>27253</v>
      </c>
      <c r="Y441" s="3">
        <f t="shared" si="36"/>
        <v>9448610</v>
      </c>
      <c r="AK441" s="8">
        <f t="shared" si="38"/>
        <v>0</v>
      </c>
      <c r="AM441" s="8">
        <f t="shared" si="35"/>
        <v>9448610</v>
      </c>
    </row>
    <row r="442" spans="1:40">
      <c r="A442" s="13" t="s">
        <v>317</v>
      </c>
      <c r="B442" s="13"/>
      <c r="C442" s="13" t="s">
        <v>20</v>
      </c>
      <c r="D442" s="13"/>
      <c r="E442" s="32">
        <v>44636</v>
      </c>
      <c r="G442" s="8">
        <v>83125800</v>
      </c>
      <c r="I442" s="8">
        <v>0</v>
      </c>
      <c r="K442" s="8">
        <v>39441942</v>
      </c>
      <c r="M442" s="8">
        <v>426363</v>
      </c>
      <c r="O442" s="8">
        <v>2313978</v>
      </c>
      <c r="Q442" s="8">
        <v>298735</v>
      </c>
      <c r="S442" s="8">
        <v>0</v>
      </c>
      <c r="U442" s="8">
        <v>145033</v>
      </c>
      <c r="W442" s="8">
        <f>449205+2189520+305857</f>
        <v>2944582</v>
      </c>
      <c r="Y442" s="3">
        <f t="shared" si="36"/>
        <v>128696433</v>
      </c>
      <c r="AA442" s="8">
        <v>0</v>
      </c>
      <c r="AE442" s="8">
        <v>16567</v>
      </c>
      <c r="AG442" s="8">
        <v>0</v>
      </c>
      <c r="AK442" s="8">
        <f t="shared" si="38"/>
        <v>16567</v>
      </c>
      <c r="AM442" s="8">
        <f t="shared" si="35"/>
        <v>128713000</v>
      </c>
    </row>
    <row r="443" spans="1:40">
      <c r="A443" s="13" t="s">
        <v>433</v>
      </c>
      <c r="B443" s="13"/>
      <c r="C443" s="13" t="s">
        <v>34</v>
      </c>
      <c r="D443" s="13"/>
      <c r="E443" s="32">
        <v>47597</v>
      </c>
      <c r="G443" s="8">
        <v>2471888</v>
      </c>
      <c r="I443" s="8">
        <v>1801622</v>
      </c>
      <c r="K443" s="8">
        <v>5371961</v>
      </c>
      <c r="M443" s="8">
        <v>25232</v>
      </c>
      <c r="O443" s="8">
        <v>388107</v>
      </c>
      <c r="Q443" s="8">
        <v>0</v>
      </c>
      <c r="S443" s="8">
        <v>0</v>
      </c>
      <c r="U443" s="8">
        <v>0</v>
      </c>
      <c r="W443" s="8">
        <f>1524+2369</f>
        <v>3893</v>
      </c>
      <c r="Y443" s="3">
        <f t="shared" si="36"/>
        <v>10062703</v>
      </c>
      <c r="AA443" s="8">
        <v>0</v>
      </c>
      <c r="AE443" s="8">
        <v>55480</v>
      </c>
      <c r="AG443" s="8">
        <v>0</v>
      </c>
      <c r="AK443" s="8">
        <f t="shared" si="38"/>
        <v>55480</v>
      </c>
      <c r="AM443" s="8">
        <f t="shared" si="35"/>
        <v>10118183</v>
      </c>
    </row>
    <row r="444" spans="1:40" hidden="1">
      <c r="A444" s="12" t="s">
        <v>1007</v>
      </c>
      <c r="B444" s="13"/>
      <c r="C444" s="13" t="s">
        <v>576</v>
      </c>
      <c r="D444" s="13"/>
      <c r="E444" s="32">
        <v>45575</v>
      </c>
      <c r="G444" s="8">
        <v>3012190</v>
      </c>
      <c r="I444" s="8">
        <v>1720822</v>
      </c>
      <c r="K444" s="8">
        <v>9607367</v>
      </c>
      <c r="M444" s="8">
        <v>59205</v>
      </c>
      <c r="O444" s="8">
        <v>87051</v>
      </c>
      <c r="S444" s="8">
        <v>9625</v>
      </c>
      <c r="W444" s="8">
        <v>122811</v>
      </c>
      <c r="Y444" s="3">
        <f t="shared" si="36"/>
        <v>14619071</v>
      </c>
      <c r="AK444" s="8">
        <f t="shared" si="38"/>
        <v>0</v>
      </c>
      <c r="AM444" s="8">
        <f t="shared" si="35"/>
        <v>14619071</v>
      </c>
    </row>
    <row r="445" spans="1:40">
      <c r="A445" s="13" t="s">
        <v>340</v>
      </c>
      <c r="B445" s="13"/>
      <c r="C445" s="13" t="s">
        <v>24</v>
      </c>
      <c r="D445" s="13"/>
      <c r="E445" s="32">
        <v>46813</v>
      </c>
      <c r="G445" s="8">
        <v>12702056</v>
      </c>
      <c r="I445" s="8">
        <v>0</v>
      </c>
      <c r="K445" s="8">
        <v>7432871</v>
      </c>
      <c r="M445" s="8">
        <v>125160</v>
      </c>
      <c r="O445" s="8">
        <v>1405000</v>
      </c>
      <c r="Q445" s="8">
        <v>36760</v>
      </c>
      <c r="S445" s="8">
        <v>0</v>
      </c>
      <c r="U445" s="8">
        <v>0</v>
      </c>
      <c r="W445" s="8">
        <f>88282+102972+11393</f>
        <v>202647</v>
      </c>
      <c r="Y445" s="3">
        <f t="shared" si="36"/>
        <v>21904494</v>
      </c>
      <c r="AA445" s="8">
        <v>0</v>
      </c>
      <c r="AE445" s="8">
        <v>0</v>
      </c>
      <c r="AG445" s="8">
        <v>0</v>
      </c>
      <c r="AK445" s="8">
        <f t="shared" si="38"/>
        <v>0</v>
      </c>
      <c r="AM445" s="8">
        <f t="shared" si="35"/>
        <v>21904494</v>
      </c>
    </row>
    <row r="446" spans="1:40" hidden="1">
      <c r="A446" s="12" t="s">
        <v>1008</v>
      </c>
      <c r="B446" s="12"/>
      <c r="C446" s="12" t="s">
        <v>10</v>
      </c>
      <c r="D446" s="13"/>
      <c r="E446" s="32"/>
      <c r="G446" s="8">
        <v>2624237</v>
      </c>
      <c r="K446" s="8">
        <v>2233146</v>
      </c>
      <c r="M446" s="8">
        <v>59006</v>
      </c>
      <c r="O446" s="8">
        <v>1599100</v>
      </c>
      <c r="U446" s="8">
        <v>57</v>
      </c>
      <c r="W446" s="8">
        <v>22861</v>
      </c>
      <c r="Y446" s="3">
        <f t="shared" si="36"/>
        <v>6538407</v>
      </c>
      <c r="AM446" s="8">
        <f t="shared" si="35"/>
        <v>6538407</v>
      </c>
    </row>
    <row r="447" spans="1:40">
      <c r="A447" s="13" t="s">
        <v>211</v>
      </c>
      <c r="B447" s="13"/>
      <c r="C447" s="13" t="s">
        <v>41</v>
      </c>
      <c r="D447" s="13"/>
      <c r="E447" s="32">
        <v>47902</v>
      </c>
      <c r="G447" s="8">
        <v>14466126</v>
      </c>
      <c r="I447" s="8">
        <v>0</v>
      </c>
      <c r="K447" s="8">
        <v>11885001</v>
      </c>
      <c r="M447" s="8">
        <v>0</v>
      </c>
      <c r="O447" s="8">
        <v>503996</v>
      </c>
      <c r="Q447" s="8">
        <v>16217</v>
      </c>
      <c r="S447" s="8">
        <v>0</v>
      </c>
      <c r="U447" s="8">
        <v>0</v>
      </c>
      <c r="W447" s="8">
        <f>529119+28140</f>
        <v>557259</v>
      </c>
      <c r="Y447" s="3">
        <f t="shared" si="36"/>
        <v>27428599</v>
      </c>
      <c r="AA447" s="8">
        <v>0</v>
      </c>
      <c r="AE447" s="8">
        <v>0</v>
      </c>
      <c r="AG447" s="8">
        <v>0</v>
      </c>
      <c r="AK447" s="8">
        <f t="shared" si="38"/>
        <v>0</v>
      </c>
      <c r="AM447" s="8">
        <f t="shared" si="35"/>
        <v>27428599</v>
      </c>
    </row>
    <row r="448" spans="1:40">
      <c r="A448" s="13" t="s">
        <v>211</v>
      </c>
      <c r="B448" s="13"/>
      <c r="C448" s="13" t="s">
        <v>62</v>
      </c>
      <c r="D448" s="13"/>
      <c r="E448" s="32">
        <v>49924</v>
      </c>
      <c r="G448" s="8">
        <v>18764295</v>
      </c>
      <c r="I448" s="8">
        <v>0</v>
      </c>
      <c r="K448" s="8">
        <v>20098552</v>
      </c>
      <c r="M448" s="8">
        <v>598083</v>
      </c>
      <c r="O448" s="8">
        <v>1722225</v>
      </c>
      <c r="Q448" s="8">
        <v>24445</v>
      </c>
      <c r="S448" s="8">
        <v>0</v>
      </c>
      <c r="U448" s="8">
        <v>12100</v>
      </c>
      <c r="W448" s="8">
        <f>319235+15447</f>
        <v>334682</v>
      </c>
      <c r="Y448" s="3">
        <f t="shared" si="36"/>
        <v>41554382</v>
      </c>
      <c r="AA448" s="8">
        <v>0</v>
      </c>
      <c r="AE448" s="8">
        <v>15358</v>
      </c>
      <c r="AG448" s="8">
        <v>0</v>
      </c>
      <c r="AK448" s="8">
        <f t="shared" si="38"/>
        <v>15358</v>
      </c>
      <c r="AM448" s="8">
        <f t="shared" si="35"/>
        <v>41569740</v>
      </c>
    </row>
    <row r="449" spans="1:40" ht="11.25" customHeight="1">
      <c r="A449" s="13" t="s">
        <v>738</v>
      </c>
      <c r="B449" s="13"/>
      <c r="C449" s="13" t="s">
        <v>72</v>
      </c>
      <c r="D449" s="13"/>
      <c r="E449" s="13">
        <v>45583</v>
      </c>
      <c r="G449" s="8">
        <v>24714832</v>
      </c>
      <c r="I449" s="8">
        <v>0</v>
      </c>
      <c r="K449" s="8">
        <v>12836538</v>
      </c>
      <c r="M449" s="8">
        <v>144448</v>
      </c>
      <c r="O449" s="8">
        <v>185032</v>
      </c>
      <c r="Q449" s="8">
        <v>0</v>
      </c>
      <c r="S449" s="8">
        <v>0</v>
      </c>
      <c r="U449" s="8">
        <v>0</v>
      </c>
      <c r="W449" s="8">
        <v>648998</v>
      </c>
      <c r="Y449" s="3">
        <f t="shared" si="36"/>
        <v>38529848</v>
      </c>
      <c r="AA449" s="8">
        <v>0</v>
      </c>
      <c r="AE449" s="8">
        <v>0</v>
      </c>
      <c r="AG449" s="8">
        <v>0</v>
      </c>
      <c r="AK449" s="8">
        <f t="shared" si="38"/>
        <v>0</v>
      </c>
      <c r="AM449" s="8">
        <f t="shared" si="35"/>
        <v>38529848</v>
      </c>
    </row>
    <row r="450" spans="1:40">
      <c r="A450" s="13" t="s">
        <v>371</v>
      </c>
      <c r="B450" s="13"/>
      <c r="C450" s="13" t="s">
        <v>28</v>
      </c>
      <c r="D450" s="13"/>
      <c r="E450" s="32">
        <v>47076</v>
      </c>
      <c r="G450" s="8">
        <v>1053898</v>
      </c>
      <c r="I450" s="8">
        <v>414306</v>
      </c>
      <c r="K450" s="8">
        <v>2253972</v>
      </c>
      <c r="M450" s="8">
        <v>16184</v>
      </c>
      <c r="O450" s="8">
        <v>927660</v>
      </c>
      <c r="Q450" s="8">
        <v>0</v>
      </c>
      <c r="S450" s="8">
        <v>0</v>
      </c>
      <c r="U450" s="8">
        <v>2</v>
      </c>
      <c r="W450" s="8">
        <f>525+2304</f>
        <v>2829</v>
      </c>
      <c r="Y450" s="3">
        <f t="shared" si="36"/>
        <v>4668851</v>
      </c>
      <c r="AA450" s="8">
        <v>0</v>
      </c>
      <c r="AE450" s="8">
        <v>0</v>
      </c>
      <c r="AG450" s="8">
        <v>0</v>
      </c>
      <c r="AK450" s="8">
        <f t="shared" si="38"/>
        <v>0</v>
      </c>
      <c r="AM450" s="8">
        <f t="shared" si="35"/>
        <v>4668851</v>
      </c>
      <c r="AN450" s="8" t="s">
        <v>956</v>
      </c>
    </row>
    <row r="451" spans="1:40">
      <c r="A451" s="13" t="s">
        <v>349</v>
      </c>
      <c r="B451" s="13"/>
      <c r="C451" s="13" t="s">
        <v>25</v>
      </c>
      <c r="D451" s="13"/>
      <c r="E451" s="32">
        <v>46896</v>
      </c>
      <c r="G451" s="8">
        <v>28007904</v>
      </c>
      <c r="I451" s="8">
        <v>12707691</v>
      </c>
      <c r="K451" s="8">
        <v>50175109</v>
      </c>
      <c r="M451" s="8">
        <v>855758</v>
      </c>
      <c r="O451" s="8">
        <v>422997</v>
      </c>
      <c r="Q451" s="8">
        <v>0</v>
      </c>
      <c r="S451" s="8">
        <v>0</v>
      </c>
      <c r="U451" s="8">
        <v>0</v>
      </c>
      <c r="W451" s="8">
        <f>51244+57210</f>
        <v>108454</v>
      </c>
      <c r="Y451" s="3">
        <f t="shared" si="36"/>
        <v>92277913</v>
      </c>
      <c r="AA451" s="8">
        <v>0</v>
      </c>
      <c r="AE451" s="8">
        <v>0</v>
      </c>
      <c r="AG451" s="8">
        <v>162</v>
      </c>
      <c r="AK451" s="8">
        <f t="shared" si="38"/>
        <v>162</v>
      </c>
      <c r="AM451" s="8">
        <f t="shared" si="35"/>
        <v>92278075</v>
      </c>
    </row>
    <row r="452" spans="1:40">
      <c r="A452" s="13" t="s">
        <v>372</v>
      </c>
      <c r="B452" s="13"/>
      <c r="C452" s="13" t="s">
        <v>28</v>
      </c>
      <c r="D452" s="13"/>
      <c r="E452" s="32">
        <v>47084</v>
      </c>
      <c r="G452" s="8">
        <v>3334791</v>
      </c>
      <c r="I452" s="8">
        <v>0</v>
      </c>
      <c r="K452" s="8">
        <v>7508039</v>
      </c>
      <c r="M452" s="8">
        <v>242525</v>
      </c>
      <c r="O452" s="8">
        <v>691596</v>
      </c>
      <c r="Q452" s="8">
        <v>4571</v>
      </c>
      <c r="S452" s="8">
        <v>103030</v>
      </c>
      <c r="U452" s="8">
        <v>0</v>
      </c>
      <c r="W452" s="8">
        <v>90748</v>
      </c>
      <c r="Y452" s="3">
        <f t="shared" si="36"/>
        <v>11975300</v>
      </c>
      <c r="AA452" s="8">
        <v>0</v>
      </c>
      <c r="AE452" s="8">
        <v>0</v>
      </c>
      <c r="AG452" s="8">
        <v>2100</v>
      </c>
      <c r="AK452" s="8">
        <f t="shared" si="38"/>
        <v>2100</v>
      </c>
      <c r="AM452" s="8">
        <f t="shared" si="35"/>
        <v>11977400</v>
      </c>
    </row>
    <row r="453" spans="1:40">
      <c r="A453" s="13" t="s">
        <v>540</v>
      </c>
      <c r="B453" s="13"/>
      <c r="C453" s="13" t="s">
        <v>48</v>
      </c>
      <c r="D453" s="13"/>
      <c r="E453" s="32">
        <v>44644</v>
      </c>
      <c r="G453" s="8">
        <v>13428018</v>
      </c>
      <c r="I453" s="8">
        <v>0</v>
      </c>
      <c r="K453" s="8">
        <f>15246938+90329</f>
        <v>15337267</v>
      </c>
      <c r="M453" s="8">
        <v>94815</v>
      </c>
      <c r="O453" s="8">
        <v>5030</v>
      </c>
      <c r="Q453" s="8">
        <v>0</v>
      </c>
      <c r="S453" s="8">
        <v>0</v>
      </c>
      <c r="U453" s="8">
        <v>0</v>
      </c>
      <c r="W453" s="8">
        <f>198037+40722+135222+37192</f>
        <v>411173</v>
      </c>
      <c r="Y453" s="3">
        <f t="shared" si="36"/>
        <v>29276303</v>
      </c>
      <c r="AA453" s="8">
        <v>0</v>
      </c>
      <c r="AE453" s="8">
        <v>0</v>
      </c>
      <c r="AG453" s="8">
        <v>0</v>
      </c>
      <c r="AK453" s="8">
        <f t="shared" si="38"/>
        <v>0</v>
      </c>
      <c r="AM453" s="8">
        <f t="shared" si="35"/>
        <v>29276303</v>
      </c>
    </row>
    <row r="454" spans="1:40" hidden="1">
      <c r="A454" s="77" t="s">
        <v>1010</v>
      </c>
      <c r="B454" s="13"/>
      <c r="C454" s="13" t="s">
        <v>27</v>
      </c>
      <c r="D454" s="13"/>
      <c r="E454" s="32">
        <v>46995</v>
      </c>
      <c r="Y454" s="3">
        <f t="shared" si="36"/>
        <v>0</v>
      </c>
      <c r="AK454" s="8">
        <f t="shared" si="38"/>
        <v>0</v>
      </c>
      <c r="AM454" s="8">
        <f t="shared" si="35"/>
        <v>0</v>
      </c>
      <c r="AN454" s="8" t="s">
        <v>1011</v>
      </c>
    </row>
    <row r="455" spans="1:40">
      <c r="A455" s="13" t="s">
        <v>361</v>
      </c>
      <c r="B455" s="13"/>
      <c r="C455" s="13" t="s">
        <v>62</v>
      </c>
      <c r="D455" s="13"/>
      <c r="E455" s="32">
        <v>49932</v>
      </c>
      <c r="G455" s="8">
        <v>21440967</v>
      </c>
      <c r="I455" s="8">
        <v>0</v>
      </c>
      <c r="K455" s="8">
        <v>20790856</v>
      </c>
      <c r="M455" s="8">
        <v>332457</v>
      </c>
      <c r="O455" s="8">
        <v>759886</v>
      </c>
      <c r="Q455" s="8">
        <v>292849</v>
      </c>
      <c r="S455" s="8">
        <v>0</v>
      </c>
      <c r="U455" s="8">
        <v>0</v>
      </c>
      <c r="W455" s="8">
        <f>232121+205318+92472</f>
        <v>529911</v>
      </c>
      <c r="Y455" s="3">
        <f t="shared" si="36"/>
        <v>44146926</v>
      </c>
      <c r="AA455" s="8">
        <v>0</v>
      </c>
      <c r="AE455" s="8">
        <v>0</v>
      </c>
      <c r="AG455" s="8">
        <v>715</v>
      </c>
      <c r="AK455" s="8">
        <f t="shared" si="38"/>
        <v>715</v>
      </c>
      <c r="AM455" s="8">
        <f t="shared" si="35"/>
        <v>44147641</v>
      </c>
    </row>
    <row r="456" spans="1:40">
      <c r="A456" s="13" t="s">
        <v>522</v>
      </c>
      <c r="B456" s="13"/>
      <c r="C456" s="13" t="s">
        <v>46</v>
      </c>
      <c r="D456" s="13"/>
      <c r="E456" s="32">
        <v>48421</v>
      </c>
      <c r="G456" s="8">
        <v>4022558</v>
      </c>
      <c r="I456" s="8">
        <v>0</v>
      </c>
      <c r="K456" s="8">
        <v>4834642</v>
      </c>
      <c r="M456" s="8">
        <v>122252</v>
      </c>
      <c r="O456" s="8">
        <v>1911338</v>
      </c>
      <c r="Q456" s="8">
        <v>14050</v>
      </c>
      <c r="S456" s="8">
        <v>0</v>
      </c>
      <c r="U456" s="8">
        <v>1370</v>
      </c>
      <c r="W456" s="8">
        <f>80257+50865</f>
        <v>131122</v>
      </c>
      <c r="Y456" s="3">
        <f t="shared" ref="Y456:Y483" si="39">SUM(G456:X456)</f>
        <v>11037332</v>
      </c>
      <c r="AA456" s="8">
        <v>0</v>
      </c>
      <c r="AE456" s="8">
        <v>0</v>
      </c>
      <c r="AG456" s="8">
        <v>1500</v>
      </c>
      <c r="AK456" s="8">
        <f t="shared" si="38"/>
        <v>1500</v>
      </c>
      <c r="AM456" s="8">
        <f t="shared" ref="AM456:AM483" si="40">+AK456+Y456</f>
        <v>11038832</v>
      </c>
    </row>
    <row r="457" spans="1:40">
      <c r="A457" s="13" t="s">
        <v>614</v>
      </c>
      <c r="B457" s="13"/>
      <c r="C457" s="13" t="s">
        <v>112</v>
      </c>
      <c r="D457" s="13"/>
      <c r="E457" s="32">
        <v>49460</v>
      </c>
      <c r="G457" s="8">
        <v>1444390</v>
      </c>
      <c r="I457" s="8">
        <v>732810</v>
      </c>
      <c r="K457" s="8">
        <v>5346274</v>
      </c>
      <c r="M457" s="8">
        <v>53030</v>
      </c>
      <c r="O457" s="8">
        <v>352712</v>
      </c>
      <c r="Q457" s="8">
        <v>0</v>
      </c>
      <c r="S457" s="8">
        <v>0</v>
      </c>
      <c r="U457" s="8">
        <v>0</v>
      </c>
      <c r="W457" s="8">
        <f>25480+262+6948</f>
        <v>32690</v>
      </c>
      <c r="Y457" s="3">
        <f t="shared" si="39"/>
        <v>7961906</v>
      </c>
      <c r="AA457" s="8">
        <v>0</v>
      </c>
      <c r="AE457" s="8">
        <v>0</v>
      </c>
      <c r="AG457" s="8">
        <v>0</v>
      </c>
      <c r="AK457" s="8">
        <f t="shared" si="38"/>
        <v>0</v>
      </c>
      <c r="AM457" s="8">
        <f t="shared" si="40"/>
        <v>7961906</v>
      </c>
    </row>
    <row r="458" spans="1:40">
      <c r="A458" s="12" t="s">
        <v>514</v>
      </c>
      <c r="B458" s="13"/>
      <c r="C458" s="13" t="s">
        <v>45</v>
      </c>
      <c r="D458" s="13"/>
      <c r="E458" s="32">
        <v>48348</v>
      </c>
      <c r="G458" s="8">
        <v>10641403</v>
      </c>
      <c r="I458" s="8">
        <v>0</v>
      </c>
      <c r="K458" s="8">
        <v>7946513</v>
      </c>
      <c r="M458" s="8">
        <v>119067</v>
      </c>
      <c r="O458" s="8">
        <v>91984</v>
      </c>
      <c r="Q458" s="8">
        <v>0</v>
      </c>
      <c r="S458" s="8">
        <v>0</v>
      </c>
      <c r="U458" s="8">
        <v>0</v>
      </c>
      <c r="W458" s="8">
        <f>12707+20741</f>
        <v>33448</v>
      </c>
      <c r="Y458" s="3">
        <f t="shared" si="39"/>
        <v>18832415</v>
      </c>
      <c r="AA458" s="8">
        <v>0</v>
      </c>
      <c r="AE458" s="8">
        <v>338000</v>
      </c>
      <c r="AG458" s="8">
        <v>0</v>
      </c>
      <c r="AK458" s="8">
        <f t="shared" si="38"/>
        <v>338000</v>
      </c>
      <c r="AM458" s="8">
        <f t="shared" si="40"/>
        <v>19170415</v>
      </c>
      <c r="AN458" s="15" t="s">
        <v>1012</v>
      </c>
    </row>
    <row r="459" spans="1:40">
      <c r="A459" s="13" t="s">
        <v>575</v>
      </c>
      <c r="B459" s="13"/>
      <c r="C459" s="13" t="s">
        <v>53</v>
      </c>
      <c r="D459" s="13"/>
      <c r="E459" s="32">
        <v>44651</v>
      </c>
      <c r="G459" s="8">
        <v>13403623</v>
      </c>
      <c r="I459" s="8">
        <v>0</v>
      </c>
      <c r="K459" s="8">
        <f>6416753+8547</f>
        <v>6425300</v>
      </c>
      <c r="M459" s="8">
        <v>338759</v>
      </c>
      <c r="O459" s="8">
        <v>304935</v>
      </c>
      <c r="Q459" s="8">
        <v>0</v>
      </c>
      <c r="S459" s="8">
        <v>0</v>
      </c>
      <c r="U459" s="8">
        <v>62</v>
      </c>
      <c r="W459" s="8">
        <f>31819+4866+18229</f>
        <v>54914</v>
      </c>
      <c r="Y459" s="3">
        <f t="shared" si="39"/>
        <v>20527593</v>
      </c>
      <c r="AA459" s="8">
        <v>0</v>
      </c>
      <c r="AE459" s="8">
        <v>0</v>
      </c>
      <c r="AG459" s="8">
        <v>0</v>
      </c>
      <c r="AK459" s="8">
        <f t="shared" si="38"/>
        <v>0</v>
      </c>
      <c r="AM459" s="8">
        <f t="shared" si="40"/>
        <v>20527593</v>
      </c>
    </row>
    <row r="460" spans="1:40">
      <c r="A460" s="13" t="s">
        <v>631</v>
      </c>
      <c r="B460" s="13"/>
      <c r="C460" s="13" t="s">
        <v>59</v>
      </c>
      <c r="D460" s="13"/>
      <c r="E460" s="32">
        <v>44669</v>
      </c>
      <c r="G460" s="8">
        <v>4476676</v>
      </c>
      <c r="I460" s="8">
        <v>0</v>
      </c>
      <c r="K460" s="8">
        <v>17339970</v>
      </c>
      <c r="M460" s="8">
        <v>61371</v>
      </c>
      <c r="O460" s="8">
        <v>726023</v>
      </c>
      <c r="Q460" s="8">
        <v>42851</v>
      </c>
      <c r="S460" s="8">
        <v>0</v>
      </c>
      <c r="U460" s="8">
        <v>16206</v>
      </c>
      <c r="W460" s="8">
        <f>128527+25454+30462</f>
        <v>184443</v>
      </c>
      <c r="Y460" s="3">
        <f t="shared" si="39"/>
        <v>22847540</v>
      </c>
      <c r="AA460" s="8">
        <v>0</v>
      </c>
      <c r="AE460" s="8">
        <v>223240</v>
      </c>
      <c r="AG460" s="8">
        <v>0</v>
      </c>
      <c r="AK460" s="8">
        <f t="shared" si="38"/>
        <v>223240</v>
      </c>
      <c r="AM460" s="8">
        <f t="shared" si="40"/>
        <v>23070780</v>
      </c>
    </row>
    <row r="461" spans="1:40" hidden="1">
      <c r="A461" s="12" t="s">
        <v>1013</v>
      </c>
      <c r="B461" s="13"/>
      <c r="C461" s="13" t="s">
        <v>57</v>
      </c>
      <c r="D461" s="13"/>
      <c r="E461" s="32">
        <v>49288</v>
      </c>
      <c r="G461" s="8">
        <v>2730411</v>
      </c>
      <c r="I461" s="8">
        <v>3043799</v>
      </c>
      <c r="K461" s="8">
        <v>7532338</v>
      </c>
      <c r="M461" s="8">
        <v>114116</v>
      </c>
      <c r="O461" s="8">
        <v>295000</v>
      </c>
      <c r="Q461" s="8">
        <v>41002</v>
      </c>
      <c r="U461" s="8">
        <v>169</v>
      </c>
      <c r="W461" s="8">
        <v>12789</v>
      </c>
      <c r="Y461" s="3">
        <f t="shared" si="39"/>
        <v>13769624</v>
      </c>
      <c r="AK461" s="8">
        <f t="shared" si="38"/>
        <v>0</v>
      </c>
      <c r="AM461" s="8">
        <f t="shared" si="40"/>
        <v>13769624</v>
      </c>
    </row>
    <row r="462" spans="1:40">
      <c r="A462" s="13" t="s">
        <v>405</v>
      </c>
      <c r="B462" s="13"/>
      <c r="C462" s="13" t="s">
        <v>32</v>
      </c>
      <c r="D462" s="13"/>
      <c r="E462" s="32">
        <v>44677</v>
      </c>
      <c r="G462" s="8">
        <v>45421290</v>
      </c>
      <c r="I462" s="8">
        <v>0</v>
      </c>
      <c r="K462" s="8">
        <v>23348075</v>
      </c>
      <c r="M462" s="8">
        <v>1018012</v>
      </c>
      <c r="O462" s="8">
        <v>1639115</v>
      </c>
      <c r="Q462" s="8">
        <v>0</v>
      </c>
      <c r="S462" s="8">
        <v>0</v>
      </c>
      <c r="U462" s="8">
        <v>0</v>
      </c>
      <c r="W462" s="8">
        <f>11200+1237672</f>
        <v>1248872</v>
      </c>
      <c r="Y462" s="3">
        <f t="shared" si="39"/>
        <v>72675364</v>
      </c>
      <c r="AA462" s="8">
        <v>0</v>
      </c>
      <c r="AE462" s="8">
        <v>77030</v>
      </c>
      <c r="AG462" s="8">
        <v>0</v>
      </c>
      <c r="AK462" s="8">
        <f t="shared" si="38"/>
        <v>77030</v>
      </c>
      <c r="AM462" s="8">
        <f t="shared" si="40"/>
        <v>72752394</v>
      </c>
    </row>
    <row r="463" spans="1:40">
      <c r="A463" s="13" t="s">
        <v>222</v>
      </c>
      <c r="B463" s="13"/>
      <c r="C463" s="13" t="s">
        <v>12</v>
      </c>
      <c r="D463" s="13"/>
      <c r="E463" s="32">
        <v>45880</v>
      </c>
      <c r="F463" s="11"/>
      <c r="G463" s="8">
        <v>3407425</v>
      </c>
      <c r="I463" s="8">
        <v>0</v>
      </c>
      <c r="K463" s="8">
        <v>7662187</v>
      </c>
      <c r="M463" s="8">
        <v>26533</v>
      </c>
      <c r="O463" s="8">
        <v>257861</v>
      </c>
      <c r="Q463" s="8">
        <v>0</v>
      </c>
      <c r="S463" s="8">
        <v>0</v>
      </c>
      <c r="U463" s="8">
        <v>0</v>
      </c>
      <c r="W463" s="8">
        <f>37908+965</f>
        <v>38873</v>
      </c>
      <c r="Y463" s="3">
        <f t="shared" si="39"/>
        <v>11392879</v>
      </c>
      <c r="AA463" s="8">
        <v>0</v>
      </c>
      <c r="AE463" s="8">
        <v>0</v>
      </c>
      <c r="AG463" s="8">
        <v>0</v>
      </c>
      <c r="AK463" s="8">
        <f t="shared" si="38"/>
        <v>0</v>
      </c>
      <c r="AM463" s="8">
        <f t="shared" si="40"/>
        <v>11392879</v>
      </c>
    </row>
    <row r="464" spans="1:40">
      <c r="A464" s="12" t="s">
        <v>866</v>
      </c>
      <c r="B464" s="12"/>
      <c r="C464" s="12" t="s">
        <v>56</v>
      </c>
      <c r="D464" s="12"/>
      <c r="E464" s="32"/>
      <c r="G464" s="8">
        <v>10774422</v>
      </c>
      <c r="I464" s="8">
        <v>0</v>
      </c>
      <c r="K464" s="8">
        <v>15580920</v>
      </c>
      <c r="M464" s="8">
        <v>154433</v>
      </c>
      <c r="O464" s="8">
        <v>645649</v>
      </c>
      <c r="Q464" s="8">
        <v>0</v>
      </c>
      <c r="S464" s="8">
        <v>0</v>
      </c>
      <c r="U464" s="8">
        <v>100</v>
      </c>
      <c r="W464" s="8">
        <f>174716+15938+22693</f>
        <v>213347</v>
      </c>
      <c r="Y464" s="3">
        <f t="shared" si="39"/>
        <v>27368871</v>
      </c>
      <c r="AA464" s="8">
        <v>0</v>
      </c>
      <c r="AE464" s="8">
        <v>0</v>
      </c>
      <c r="AG464" s="8">
        <v>0</v>
      </c>
      <c r="AK464" s="8">
        <f t="shared" si="38"/>
        <v>0</v>
      </c>
      <c r="AM464" s="8">
        <f t="shared" si="40"/>
        <v>27368871</v>
      </c>
    </row>
    <row r="465" spans="1:40">
      <c r="A465" s="13" t="s">
        <v>406</v>
      </c>
      <c r="B465" s="13"/>
      <c r="C465" s="13" t="s">
        <v>32</v>
      </c>
      <c r="D465" s="13"/>
      <c r="E465" s="32">
        <v>44693</v>
      </c>
      <c r="G465" s="8">
        <v>6983870</v>
      </c>
      <c r="I465" s="8">
        <v>0</v>
      </c>
      <c r="K465" s="8">
        <v>5405445</v>
      </c>
      <c r="M465" s="8">
        <v>52249</v>
      </c>
      <c r="O465" s="8">
        <v>909465</v>
      </c>
      <c r="Q465" s="8">
        <v>0</v>
      </c>
      <c r="S465" s="8">
        <v>0</v>
      </c>
      <c r="U465" s="8">
        <v>2500</v>
      </c>
      <c r="W465" s="8">
        <f>17522+12352+101848</f>
        <v>131722</v>
      </c>
      <c r="Y465" s="3">
        <f t="shared" si="39"/>
        <v>13485251</v>
      </c>
      <c r="AA465" s="8">
        <v>0</v>
      </c>
      <c r="AE465" s="8">
        <v>0</v>
      </c>
      <c r="AG465" s="8">
        <v>0</v>
      </c>
      <c r="AK465" s="8">
        <f t="shared" si="38"/>
        <v>0</v>
      </c>
      <c r="AM465" s="8">
        <f t="shared" si="40"/>
        <v>13485251</v>
      </c>
    </row>
    <row r="466" spans="1:40">
      <c r="A466" s="13" t="s">
        <v>670</v>
      </c>
      <c r="B466" s="13"/>
      <c r="C466" s="13" t="s">
        <v>63</v>
      </c>
      <c r="D466" s="13"/>
      <c r="E466" s="32">
        <v>50054</v>
      </c>
      <c r="G466" s="8">
        <v>22881656</v>
      </c>
      <c r="I466" s="8">
        <v>0</v>
      </c>
      <c r="K466" s="8">
        <v>6627974</v>
      </c>
      <c r="M466" s="8">
        <v>473182</v>
      </c>
      <c r="O466" s="8">
        <v>59565</v>
      </c>
      <c r="Q466" s="8">
        <v>0</v>
      </c>
      <c r="S466" s="8">
        <v>0</v>
      </c>
      <c r="U466" s="8">
        <v>0</v>
      </c>
      <c r="W466" s="8">
        <f>87431+51123</f>
        <v>138554</v>
      </c>
      <c r="Y466" s="3">
        <f t="shared" si="39"/>
        <v>30180931</v>
      </c>
      <c r="AA466" s="8">
        <v>0</v>
      </c>
      <c r="AE466" s="8">
        <v>0</v>
      </c>
      <c r="AG466" s="8">
        <v>250</v>
      </c>
      <c r="AK466" s="8">
        <f t="shared" si="38"/>
        <v>250</v>
      </c>
      <c r="AM466" s="8">
        <f t="shared" si="40"/>
        <v>30181181</v>
      </c>
    </row>
    <row r="467" spans="1:40">
      <c r="A467" s="13" t="s">
        <v>362</v>
      </c>
      <c r="B467" s="13"/>
      <c r="C467" s="13" t="s">
        <v>27</v>
      </c>
      <c r="D467" s="13"/>
      <c r="E467" s="32">
        <v>47001</v>
      </c>
      <c r="G467" s="8">
        <v>22352819</v>
      </c>
      <c r="I467" s="8">
        <v>0</v>
      </c>
      <c r="K467" s="8">
        <f>29372466+295736</f>
        <v>29668202</v>
      </c>
      <c r="M467" s="8">
        <v>510056</v>
      </c>
      <c r="O467" s="8">
        <v>470363</v>
      </c>
      <c r="Q467" s="8">
        <v>14213</v>
      </c>
      <c r="S467" s="8">
        <v>622412</v>
      </c>
      <c r="U467" s="8">
        <v>0</v>
      </c>
      <c r="W467" s="8">
        <f>234773+175047+231877</f>
        <v>641697</v>
      </c>
      <c r="Y467" s="3">
        <f t="shared" si="39"/>
        <v>54279762</v>
      </c>
      <c r="AA467" s="8">
        <v>0</v>
      </c>
      <c r="AE467" s="8">
        <v>0</v>
      </c>
      <c r="AG467" s="8">
        <v>15</v>
      </c>
      <c r="AK467" s="8">
        <f t="shared" si="38"/>
        <v>15</v>
      </c>
      <c r="AM467" s="8">
        <f t="shared" si="40"/>
        <v>54279777</v>
      </c>
    </row>
    <row r="468" spans="1:40">
      <c r="A468" s="13" t="s">
        <v>318</v>
      </c>
      <c r="B468" s="13"/>
      <c r="C468" s="13" t="s">
        <v>20</v>
      </c>
      <c r="D468" s="13"/>
      <c r="E468" s="32">
        <v>46599</v>
      </c>
      <c r="G468" s="8">
        <v>7756868</v>
      </c>
      <c r="I468" s="8">
        <v>0</v>
      </c>
      <c r="K468" s="8">
        <v>3351552</v>
      </c>
      <c r="M468" s="8">
        <v>27575</v>
      </c>
      <c r="O468" s="8">
        <v>206110</v>
      </c>
      <c r="Q468" s="8">
        <v>3500</v>
      </c>
      <c r="S468" s="8">
        <v>0</v>
      </c>
      <c r="U468" s="8">
        <v>125</v>
      </c>
      <c r="W468" s="8">
        <f>41775+384</f>
        <v>42159</v>
      </c>
      <c r="Y468" s="3">
        <f t="shared" si="39"/>
        <v>11387889</v>
      </c>
      <c r="AA468" s="8">
        <v>0</v>
      </c>
      <c r="AE468" s="8">
        <v>83527</v>
      </c>
      <c r="AG468" s="8">
        <v>0</v>
      </c>
      <c r="AK468" s="8">
        <f t="shared" si="38"/>
        <v>83527</v>
      </c>
      <c r="AM468" s="8">
        <f t="shared" si="40"/>
        <v>11471416</v>
      </c>
    </row>
    <row r="469" spans="1:40">
      <c r="A469" s="13" t="s">
        <v>523</v>
      </c>
      <c r="B469" s="13"/>
      <c r="C469" s="13" t="s">
        <v>46</v>
      </c>
      <c r="D469" s="13"/>
      <c r="E469" s="32">
        <v>48439</v>
      </c>
      <c r="G469" s="8">
        <v>2686179</v>
      </c>
      <c r="I469" s="8">
        <v>0</v>
      </c>
      <c r="K469" s="8">
        <v>3905062</v>
      </c>
      <c r="M469" s="8">
        <v>41437</v>
      </c>
      <c r="O469" s="8">
        <v>1303248</v>
      </c>
      <c r="Q469" s="8">
        <v>14155</v>
      </c>
      <c r="S469" s="8">
        <v>285893</v>
      </c>
      <c r="U469" s="8">
        <v>0</v>
      </c>
      <c r="W469" s="8">
        <f>43273+55500</f>
        <v>98773</v>
      </c>
      <c r="Y469" s="3">
        <f t="shared" si="39"/>
        <v>8334747</v>
      </c>
      <c r="AA469" s="8">
        <v>10000</v>
      </c>
      <c r="AE469" s="8">
        <v>0</v>
      </c>
      <c r="AG469" s="8">
        <v>0</v>
      </c>
      <c r="AK469" s="8">
        <f t="shared" si="38"/>
        <v>10000</v>
      </c>
      <c r="AM469" s="8">
        <f t="shared" si="40"/>
        <v>8344747</v>
      </c>
    </row>
    <row r="470" spans="1:40">
      <c r="A470" s="13" t="s">
        <v>1058</v>
      </c>
      <c r="B470" s="13"/>
      <c r="C470" s="13" t="s">
        <v>421</v>
      </c>
      <c r="D470" s="13"/>
      <c r="E470" s="32">
        <v>47506</v>
      </c>
      <c r="G470" s="8">
        <v>964369</v>
      </c>
      <c r="I470" s="8">
        <v>513583</v>
      </c>
      <c r="K470" s="8">
        <v>2696296</v>
      </c>
      <c r="M470" s="8">
        <v>22711</v>
      </c>
      <c r="O470" s="8">
        <v>584425</v>
      </c>
      <c r="Q470" s="8">
        <v>0</v>
      </c>
      <c r="S470" s="8">
        <v>0</v>
      </c>
      <c r="U470" s="8">
        <v>0</v>
      </c>
      <c r="W470" s="8">
        <f>2243+42796</f>
        <v>45039</v>
      </c>
      <c r="Y470" s="3">
        <f t="shared" si="39"/>
        <v>4826423</v>
      </c>
      <c r="AA470" s="8">
        <v>0</v>
      </c>
      <c r="AE470" s="8">
        <v>0</v>
      </c>
      <c r="AG470" s="8">
        <v>1007</v>
      </c>
      <c r="AK470" s="8">
        <f t="shared" si="38"/>
        <v>1007</v>
      </c>
      <c r="AM470" s="8">
        <f t="shared" si="40"/>
        <v>4827430</v>
      </c>
      <c r="AN470" s="15" t="s">
        <v>905</v>
      </c>
    </row>
    <row r="471" spans="1:40">
      <c r="A471" s="13" t="s">
        <v>288</v>
      </c>
      <c r="B471" s="13"/>
      <c r="C471" s="13" t="s">
        <v>19</v>
      </c>
      <c r="D471" s="13"/>
      <c r="E471" s="32">
        <v>46474</v>
      </c>
      <c r="F471" s="11"/>
      <c r="G471" s="8">
        <v>2249321</v>
      </c>
      <c r="I471" s="8">
        <v>0</v>
      </c>
      <c r="K471" s="8">
        <v>7843193</v>
      </c>
      <c r="M471" s="8">
        <v>83752</v>
      </c>
      <c r="O471" s="8">
        <v>233242</v>
      </c>
      <c r="Q471" s="8">
        <v>0</v>
      </c>
      <c r="S471" s="8">
        <v>0</v>
      </c>
      <c r="U471" s="8">
        <v>0</v>
      </c>
      <c r="W471" s="8">
        <f>81212+8259</f>
        <v>89471</v>
      </c>
      <c r="Y471" s="3">
        <f t="shared" si="39"/>
        <v>10498979</v>
      </c>
      <c r="AA471" s="8">
        <v>0</v>
      </c>
      <c r="AE471" s="8">
        <v>42895</v>
      </c>
      <c r="AG471" s="8">
        <v>0</v>
      </c>
      <c r="AK471" s="8">
        <f t="shared" si="38"/>
        <v>42895</v>
      </c>
      <c r="AM471" s="8">
        <f t="shared" si="40"/>
        <v>10541874</v>
      </c>
      <c r="AN471" s="8" t="s">
        <v>1014</v>
      </c>
    </row>
    <row r="472" spans="1:40">
      <c r="A472" s="13" t="s">
        <v>867</v>
      </c>
      <c r="B472" s="13"/>
      <c r="C472" s="13" t="s">
        <v>77</v>
      </c>
      <c r="D472" s="13"/>
      <c r="E472" s="32">
        <v>46078</v>
      </c>
      <c r="F472" s="11"/>
      <c r="G472" s="8">
        <v>1995245</v>
      </c>
      <c r="I472" s="8">
        <v>0</v>
      </c>
      <c r="K472" s="8">
        <v>7366371</v>
      </c>
      <c r="M472" s="8">
        <v>37201</v>
      </c>
      <c r="O472" s="8">
        <v>355739</v>
      </c>
      <c r="Q472" s="8">
        <v>0</v>
      </c>
      <c r="S472" s="8">
        <v>0</v>
      </c>
      <c r="U472" s="8">
        <v>2930</v>
      </c>
      <c r="W472" s="8">
        <f>33135+7694</f>
        <v>40829</v>
      </c>
      <c r="Y472" s="3">
        <f t="shared" si="39"/>
        <v>9798315</v>
      </c>
      <c r="AA472" s="8">
        <v>0</v>
      </c>
      <c r="AE472" s="8">
        <v>0</v>
      </c>
      <c r="AG472" s="8">
        <v>1400</v>
      </c>
      <c r="AK472" s="8">
        <f t="shared" si="38"/>
        <v>1400</v>
      </c>
      <c r="AM472" s="8">
        <f t="shared" si="40"/>
        <v>9799715</v>
      </c>
    </row>
    <row r="473" spans="1:40">
      <c r="A473" s="13" t="s">
        <v>724</v>
      </c>
      <c r="B473" s="13"/>
      <c r="C473" s="13" t="s">
        <v>71</v>
      </c>
      <c r="D473" s="13"/>
      <c r="E473" s="32">
        <v>45591</v>
      </c>
      <c r="G473" s="8">
        <v>3231543</v>
      </c>
      <c r="I473" s="8">
        <v>0</v>
      </c>
      <c r="K473" s="8">
        <v>5585601</v>
      </c>
      <c r="M473" s="8">
        <v>62579</v>
      </c>
      <c r="O473" s="8">
        <v>229341</v>
      </c>
      <c r="Q473" s="8">
        <v>17676</v>
      </c>
      <c r="S473" s="8">
        <v>0</v>
      </c>
      <c r="U473" s="8">
        <v>0</v>
      </c>
      <c r="W473" s="8">
        <f>4707+10330</f>
        <v>15037</v>
      </c>
      <c r="Y473" s="3">
        <f t="shared" si="39"/>
        <v>9141777</v>
      </c>
      <c r="AA473" s="8">
        <v>0</v>
      </c>
      <c r="AE473" s="8">
        <v>0</v>
      </c>
      <c r="AG473" s="8">
        <v>0</v>
      </c>
      <c r="AK473" s="8">
        <f t="shared" si="38"/>
        <v>0</v>
      </c>
      <c r="AM473" s="8">
        <f t="shared" si="40"/>
        <v>9141777</v>
      </c>
    </row>
    <row r="474" spans="1:40">
      <c r="A474" s="13" t="s">
        <v>524</v>
      </c>
      <c r="B474" s="13"/>
      <c r="C474" s="13" t="s">
        <v>46</v>
      </c>
      <c r="D474" s="13"/>
      <c r="E474" s="32">
        <v>48447</v>
      </c>
      <c r="G474" s="8">
        <v>5765723</v>
      </c>
      <c r="I474" s="8">
        <v>0</v>
      </c>
      <c r="K474" s="8">
        <v>6664278</v>
      </c>
      <c r="M474" s="8">
        <v>73896</v>
      </c>
      <c r="O474" s="8">
        <v>2559168</v>
      </c>
      <c r="Q474" s="8">
        <v>0</v>
      </c>
      <c r="S474" s="8">
        <v>188753</v>
      </c>
      <c r="U474" s="8">
        <v>0</v>
      </c>
      <c r="W474" s="8">
        <v>250119</v>
      </c>
      <c r="Y474" s="3">
        <f t="shared" si="39"/>
        <v>15501937</v>
      </c>
      <c r="AA474" s="8">
        <v>0</v>
      </c>
      <c r="AE474" s="8">
        <v>0</v>
      </c>
      <c r="AG474" s="8">
        <v>0</v>
      </c>
      <c r="AK474" s="8">
        <f t="shared" si="38"/>
        <v>0</v>
      </c>
      <c r="AM474" s="8">
        <f t="shared" si="40"/>
        <v>15501937</v>
      </c>
    </row>
    <row r="475" spans="1:40">
      <c r="A475" s="13" t="s">
        <v>289</v>
      </c>
      <c r="B475" s="13"/>
      <c r="C475" s="13" t="s">
        <v>19</v>
      </c>
      <c r="D475" s="13"/>
      <c r="E475" s="32">
        <v>46482</v>
      </c>
      <c r="F475" s="11"/>
      <c r="G475" s="8">
        <v>7378415</v>
      </c>
      <c r="I475" s="8">
        <v>0</v>
      </c>
      <c r="K475" s="8">
        <v>9888467</v>
      </c>
      <c r="M475" s="8">
        <v>135919</v>
      </c>
      <c r="O475" s="8">
        <v>583163</v>
      </c>
      <c r="Q475" s="8">
        <v>91710</v>
      </c>
      <c r="S475" s="8">
        <v>0</v>
      </c>
      <c r="U475" s="8">
        <v>5318</v>
      </c>
      <c r="W475" s="8">
        <f>136215+9647+2554</f>
        <v>148416</v>
      </c>
      <c r="Y475" s="3">
        <f t="shared" si="39"/>
        <v>18231408</v>
      </c>
      <c r="AA475" s="8">
        <v>0</v>
      </c>
      <c r="AE475" s="8">
        <v>22066</v>
      </c>
      <c r="AG475" s="8">
        <v>0</v>
      </c>
      <c r="AK475" s="8">
        <f t="shared" si="38"/>
        <v>22066</v>
      </c>
      <c r="AM475" s="8">
        <f t="shared" si="40"/>
        <v>18253474</v>
      </c>
    </row>
    <row r="476" spans="1:40" s="35" customFormat="1">
      <c r="A476" s="34" t="s">
        <v>425</v>
      </c>
      <c r="B476" s="34"/>
      <c r="C476" s="34" t="s">
        <v>421</v>
      </c>
      <c r="D476" s="34"/>
      <c r="E476" s="32">
        <v>47514</v>
      </c>
      <c r="G476" s="8">
        <v>1859826</v>
      </c>
      <c r="H476" s="8"/>
      <c r="I476" s="8">
        <v>1033361</v>
      </c>
      <c r="J476" s="8"/>
      <c r="K476" s="8">
        <v>5888413</v>
      </c>
      <c r="L476" s="8"/>
      <c r="M476" s="8">
        <v>18909</v>
      </c>
      <c r="N476" s="8"/>
      <c r="O476" s="8">
        <v>369227</v>
      </c>
      <c r="P476" s="8"/>
      <c r="Q476" s="8">
        <v>0</v>
      </c>
      <c r="R476" s="8"/>
      <c r="S476" s="8">
        <v>0</v>
      </c>
      <c r="T476" s="8"/>
      <c r="U476" s="8">
        <v>501</v>
      </c>
      <c r="V476" s="8"/>
      <c r="W476" s="8">
        <f>11430+72229</f>
        <v>83659</v>
      </c>
      <c r="X476" s="8"/>
      <c r="Y476" s="3">
        <f t="shared" si="39"/>
        <v>9253896</v>
      </c>
      <c r="Z476" s="8"/>
      <c r="AA476" s="8">
        <v>0</v>
      </c>
      <c r="AB476" s="8"/>
      <c r="AC476" s="8"/>
      <c r="AD476" s="8"/>
      <c r="AE476" s="8">
        <v>0</v>
      </c>
      <c r="AF476" s="8"/>
      <c r="AG476" s="35">
        <v>0</v>
      </c>
      <c r="AH476" s="8"/>
      <c r="AI476" s="8"/>
      <c r="AJ476" s="8"/>
      <c r="AK476" s="8">
        <f t="shared" si="38"/>
        <v>0</v>
      </c>
      <c r="AL476" s="8"/>
      <c r="AM476" s="8">
        <f>+AK476+Y476</f>
        <v>9253896</v>
      </c>
    </row>
    <row r="477" spans="1:40" s="35" customFormat="1">
      <c r="A477" s="34" t="s">
        <v>482</v>
      </c>
      <c r="B477" s="34"/>
      <c r="C477" s="34" t="s">
        <v>41</v>
      </c>
      <c r="D477" s="34"/>
      <c r="E477" s="32"/>
      <c r="G477" s="8">
        <v>26559887</v>
      </c>
      <c r="H477" s="8"/>
      <c r="I477" s="8">
        <v>0</v>
      </c>
      <c r="J477" s="8"/>
      <c r="K477" s="8">
        <v>12292458</v>
      </c>
      <c r="L477" s="8"/>
      <c r="M477" s="8">
        <v>151095</v>
      </c>
      <c r="N477" s="8"/>
      <c r="O477" s="8">
        <v>511251</v>
      </c>
      <c r="P477" s="8"/>
      <c r="Q477" s="8">
        <v>0</v>
      </c>
      <c r="R477" s="8"/>
      <c r="S477" s="8">
        <v>0</v>
      </c>
      <c r="T477" s="8"/>
      <c r="U477" s="8">
        <v>0</v>
      </c>
      <c r="V477" s="8"/>
      <c r="W477" s="8">
        <f>92593+347999+95560</f>
        <v>536152</v>
      </c>
      <c r="X477" s="8"/>
      <c r="Y477" s="3">
        <f t="shared" si="39"/>
        <v>40050843</v>
      </c>
      <c r="Z477" s="8"/>
      <c r="AA477" s="8">
        <v>0</v>
      </c>
      <c r="AB477" s="8"/>
      <c r="AC477" s="8"/>
      <c r="AD477" s="8"/>
      <c r="AE477" s="8">
        <v>13041</v>
      </c>
      <c r="AF477" s="8"/>
      <c r="AG477" s="35">
        <v>0</v>
      </c>
      <c r="AH477" s="8"/>
      <c r="AI477" s="8"/>
      <c r="AJ477" s="8"/>
      <c r="AK477" s="8">
        <f t="shared" si="38"/>
        <v>13041</v>
      </c>
      <c r="AL477" s="8"/>
      <c r="AM477" s="8">
        <f>+AK477+Y477</f>
        <v>40063884</v>
      </c>
    </row>
    <row r="478" spans="1:40">
      <c r="A478" s="13" t="s">
        <v>482</v>
      </c>
      <c r="B478" s="13"/>
      <c r="C478" s="13" t="s">
        <v>43</v>
      </c>
      <c r="D478" s="13"/>
      <c r="E478" s="32">
        <v>48090</v>
      </c>
      <c r="G478" s="8">
        <v>1119818</v>
      </c>
      <c r="I478" s="8">
        <v>498774</v>
      </c>
      <c r="K478" s="8">
        <f>4246445+2048</f>
        <v>4248493</v>
      </c>
      <c r="M478" s="8">
        <v>27484</v>
      </c>
      <c r="O478" s="8">
        <v>518499</v>
      </c>
      <c r="Q478" s="8">
        <v>0</v>
      </c>
      <c r="S478" s="8">
        <v>0</v>
      </c>
      <c r="U478" s="8">
        <v>0</v>
      </c>
      <c r="W478" s="8">
        <f>25920+35377+155+21926+4480</f>
        <v>87858</v>
      </c>
      <c r="Y478" s="3">
        <f t="shared" si="39"/>
        <v>6500926</v>
      </c>
      <c r="AA478" s="8">
        <v>0</v>
      </c>
      <c r="AE478" s="8">
        <v>0</v>
      </c>
      <c r="AG478" s="8">
        <v>0</v>
      </c>
      <c r="AK478" s="8">
        <f t="shared" si="38"/>
        <v>0</v>
      </c>
      <c r="AM478" s="8">
        <f t="shared" si="40"/>
        <v>6500926</v>
      </c>
    </row>
    <row r="479" spans="1:40">
      <c r="A479" s="13" t="s">
        <v>470</v>
      </c>
      <c r="B479" s="13"/>
      <c r="C479" s="13" t="s">
        <v>466</v>
      </c>
      <c r="D479" s="13"/>
      <c r="E479" s="32">
        <v>47944</v>
      </c>
      <c r="G479" s="8">
        <v>1952066</v>
      </c>
      <c r="I479" s="8">
        <v>0</v>
      </c>
      <c r="K479" s="8">
        <v>12892928</v>
      </c>
      <c r="M479" s="8">
        <v>79819</v>
      </c>
      <c r="O479" s="8">
        <v>898946</v>
      </c>
      <c r="Q479" s="8">
        <v>0</v>
      </c>
      <c r="S479" s="8">
        <v>0</v>
      </c>
      <c r="U479" s="8">
        <v>0</v>
      </c>
      <c r="W479" s="8">
        <v>219644</v>
      </c>
      <c r="Y479" s="3">
        <f t="shared" si="39"/>
        <v>16043403</v>
      </c>
      <c r="AA479" s="8">
        <v>493290</v>
      </c>
      <c r="AE479" s="8">
        <v>0</v>
      </c>
      <c r="AG479" s="8">
        <v>0</v>
      </c>
      <c r="AK479" s="8">
        <f t="shared" si="38"/>
        <v>493290</v>
      </c>
      <c r="AM479" s="8">
        <f t="shared" si="40"/>
        <v>16536693</v>
      </c>
      <c r="AN479" s="8" t="s">
        <v>956</v>
      </c>
    </row>
    <row r="480" spans="1:40">
      <c r="A480" s="13" t="s">
        <v>319</v>
      </c>
      <c r="B480" s="13"/>
      <c r="C480" s="13" t="s">
        <v>20</v>
      </c>
      <c r="D480" s="13"/>
      <c r="E480" s="32">
        <v>44701</v>
      </c>
      <c r="G480" s="8">
        <v>25018311</v>
      </c>
      <c r="I480" s="8">
        <v>0</v>
      </c>
      <c r="K480" s="8">
        <v>5580351</v>
      </c>
      <c r="M480" s="8">
        <v>134301</v>
      </c>
      <c r="O480" s="8">
        <v>73480</v>
      </c>
      <c r="Q480" s="8">
        <v>0</v>
      </c>
      <c r="S480" s="8">
        <v>0</v>
      </c>
      <c r="U480" s="8">
        <v>1500</v>
      </c>
      <c r="W480" s="8">
        <f>145022+24720+39344+3480</f>
        <v>212566</v>
      </c>
      <c r="Y480" s="3">
        <f t="shared" si="39"/>
        <v>31020509</v>
      </c>
      <c r="AA480" s="8">
        <v>0</v>
      </c>
      <c r="AE480" s="8">
        <v>0</v>
      </c>
      <c r="AG480" s="8">
        <v>0</v>
      </c>
      <c r="AK480" s="8">
        <f t="shared" si="38"/>
        <v>0</v>
      </c>
      <c r="AM480" s="8">
        <f t="shared" si="40"/>
        <v>31020509</v>
      </c>
      <c r="AN480" s="8" t="s">
        <v>905</v>
      </c>
    </row>
    <row r="481" spans="1:40">
      <c r="A481" s="13" t="s">
        <v>391</v>
      </c>
      <c r="B481" s="13"/>
      <c r="C481" s="13" t="s">
        <v>31</v>
      </c>
      <c r="D481" s="13"/>
      <c r="E481" s="32">
        <v>47308</v>
      </c>
      <c r="G481" s="8">
        <v>4504735</v>
      </c>
      <c r="I481" s="8">
        <v>0</v>
      </c>
      <c r="K481" s="8">
        <v>10613865</v>
      </c>
      <c r="M481" s="8">
        <v>37103</v>
      </c>
      <c r="O481" s="8">
        <v>411268</v>
      </c>
      <c r="Q481" s="8">
        <v>0</v>
      </c>
      <c r="S481" s="8">
        <v>0</v>
      </c>
      <c r="U481" s="8">
        <v>79394</v>
      </c>
      <c r="W481" s="8">
        <f>32629+5306</f>
        <v>37935</v>
      </c>
      <c r="Y481" s="3">
        <f t="shared" si="39"/>
        <v>15684300</v>
      </c>
      <c r="AA481" s="8">
        <v>0</v>
      </c>
      <c r="AE481" s="8">
        <v>0</v>
      </c>
      <c r="AG481" s="8">
        <v>0</v>
      </c>
      <c r="AK481" s="8">
        <f t="shared" si="38"/>
        <v>0</v>
      </c>
      <c r="AM481" s="8">
        <f t="shared" si="40"/>
        <v>15684300</v>
      </c>
    </row>
    <row r="482" spans="1:40">
      <c r="A482" s="13" t="s">
        <v>593</v>
      </c>
      <c r="B482" s="13"/>
      <c r="C482" s="13" t="s">
        <v>56</v>
      </c>
      <c r="D482" s="13"/>
      <c r="E482" s="32">
        <v>49213</v>
      </c>
      <c r="G482" s="8">
        <v>4820102</v>
      </c>
      <c r="I482" s="8">
        <v>0</v>
      </c>
      <c r="K482" s="8">
        <v>5657116</v>
      </c>
      <c r="M482" s="8">
        <v>24731</v>
      </c>
      <c r="O482" s="8">
        <v>347826</v>
      </c>
      <c r="Q482" s="8">
        <v>0</v>
      </c>
      <c r="S482" s="8">
        <v>0</v>
      </c>
      <c r="U482" s="8">
        <v>11000</v>
      </c>
      <c r="W482" s="8">
        <v>6936</v>
      </c>
      <c r="Y482" s="3">
        <f t="shared" si="39"/>
        <v>10867711</v>
      </c>
      <c r="AA482" s="8">
        <v>0</v>
      </c>
      <c r="AE482" s="8">
        <v>0</v>
      </c>
      <c r="AG482" s="8">
        <v>0</v>
      </c>
      <c r="AK482" s="8">
        <f t="shared" si="38"/>
        <v>0</v>
      </c>
      <c r="AM482" s="8">
        <f t="shared" si="40"/>
        <v>10867711</v>
      </c>
    </row>
    <row r="483" spans="1:40" ht="12" customHeight="1">
      <c r="A483" s="12" t="s">
        <v>250</v>
      </c>
      <c r="B483" s="13"/>
      <c r="C483" s="13" t="s">
        <v>242</v>
      </c>
      <c r="D483" s="13"/>
      <c r="E483" s="32">
        <v>46144</v>
      </c>
      <c r="F483" s="11"/>
      <c r="G483" s="8">
        <v>6538185</v>
      </c>
      <c r="I483" s="8">
        <v>2917782</v>
      </c>
      <c r="K483" s="8">
        <v>12318598</v>
      </c>
      <c r="M483" s="8">
        <v>99608</v>
      </c>
      <c r="O483" s="8">
        <v>91898</v>
      </c>
      <c r="Q483" s="8">
        <v>57376</v>
      </c>
      <c r="S483" s="8">
        <v>0</v>
      </c>
      <c r="U483" s="8">
        <v>0</v>
      </c>
      <c r="W483" s="8">
        <v>250336</v>
      </c>
      <c r="Y483" s="3">
        <f t="shared" si="39"/>
        <v>22273783</v>
      </c>
      <c r="AA483" s="8">
        <v>0</v>
      </c>
      <c r="AE483" s="8">
        <v>0</v>
      </c>
      <c r="AG483" s="8">
        <v>0</v>
      </c>
      <c r="AK483" s="8">
        <f t="shared" si="38"/>
        <v>0</v>
      </c>
      <c r="AM483" s="8">
        <f t="shared" si="40"/>
        <v>22273783</v>
      </c>
      <c r="AN483" s="8" t="s">
        <v>905</v>
      </c>
    </row>
    <row r="484" spans="1:40" ht="12" customHeight="1">
      <c r="A484" s="12"/>
      <c r="B484" s="13"/>
      <c r="C484" s="13"/>
      <c r="D484" s="13"/>
      <c r="E484" s="32"/>
      <c r="F484" s="11"/>
      <c r="Y484" s="3"/>
    </row>
    <row r="485" spans="1:40" ht="12" customHeight="1">
      <c r="A485" s="12"/>
      <c r="B485" s="13"/>
      <c r="C485" s="13"/>
      <c r="D485" s="13"/>
      <c r="E485" s="32"/>
      <c r="F485" s="11"/>
      <c r="Y485" s="3"/>
      <c r="AM485" s="8" t="s">
        <v>805</v>
      </c>
    </row>
    <row r="486" spans="1:40" ht="12" customHeight="1">
      <c r="A486" s="12"/>
      <c r="B486" s="13"/>
      <c r="C486" s="13"/>
      <c r="D486" s="13"/>
      <c r="E486" s="32"/>
      <c r="F486" s="11"/>
      <c r="Y486" s="3"/>
    </row>
    <row r="487" spans="1:40">
      <c r="A487" s="13" t="s">
        <v>739</v>
      </c>
      <c r="B487" s="13"/>
      <c r="C487" s="13" t="s">
        <v>72</v>
      </c>
      <c r="D487" s="13"/>
      <c r="E487" s="32">
        <v>45609</v>
      </c>
      <c r="G487" s="35">
        <v>13913356</v>
      </c>
      <c r="H487" s="35"/>
      <c r="I487" s="35">
        <v>0</v>
      </c>
      <c r="J487" s="35"/>
      <c r="K487" s="35">
        <v>8004498</v>
      </c>
      <c r="L487" s="35"/>
      <c r="M487" s="35">
        <v>153611</v>
      </c>
      <c r="N487" s="35"/>
      <c r="O487" s="35">
        <v>477863</v>
      </c>
      <c r="P487" s="35"/>
      <c r="Q487" s="35">
        <v>21561</v>
      </c>
      <c r="R487" s="35"/>
      <c r="S487" s="35">
        <v>669802</v>
      </c>
      <c r="T487" s="35"/>
      <c r="U487" s="35">
        <v>1152729</v>
      </c>
      <c r="V487" s="35"/>
      <c r="W487" s="35">
        <v>63605</v>
      </c>
      <c r="X487" s="35"/>
      <c r="Y487" s="42">
        <f>SUM(G487:X487)</f>
        <v>24457025</v>
      </c>
      <c r="Z487" s="35"/>
      <c r="AA487" s="35">
        <v>0</v>
      </c>
      <c r="AB487" s="35"/>
      <c r="AC487" s="35"/>
      <c r="AD487" s="35"/>
      <c r="AE487" s="35">
        <v>0</v>
      </c>
      <c r="AF487" s="35"/>
      <c r="AG487" s="35">
        <v>0</v>
      </c>
      <c r="AH487" s="35"/>
      <c r="AI487" s="35"/>
      <c r="AJ487" s="35"/>
      <c r="AK487" s="35">
        <f>SUM(AA487:AJ487)</f>
        <v>0</v>
      </c>
      <c r="AL487" s="35"/>
      <c r="AM487" s="35">
        <f>+AK487+Y487</f>
        <v>24457025</v>
      </c>
    </row>
    <row r="488" spans="1:40">
      <c r="A488" s="13" t="s">
        <v>646</v>
      </c>
      <c r="B488" s="13"/>
      <c r="C488" s="13" t="s">
        <v>61</v>
      </c>
      <c r="D488" s="13"/>
      <c r="E488" s="13">
        <v>49817</v>
      </c>
      <c r="G488" s="8">
        <v>852144</v>
      </c>
      <c r="I488" s="8">
        <v>338934</v>
      </c>
      <c r="K488" s="8">
        <v>2277624</v>
      </c>
      <c r="M488" s="8">
        <v>11266</v>
      </c>
      <c r="O488" s="8">
        <v>314643</v>
      </c>
      <c r="Q488" s="8">
        <v>3693</v>
      </c>
      <c r="S488" s="8">
        <v>0</v>
      </c>
      <c r="U488" s="8">
        <v>2726</v>
      </c>
      <c r="W488" s="8">
        <f>75+19595</f>
        <v>19670</v>
      </c>
      <c r="Y488" s="3">
        <f>SUM(G488:X488)</f>
        <v>3820700</v>
      </c>
      <c r="AA488" s="8">
        <v>0</v>
      </c>
      <c r="AE488" s="8">
        <v>0</v>
      </c>
      <c r="AG488" s="8">
        <v>0</v>
      </c>
      <c r="AK488" s="8">
        <f>SUM(AA488:AJ488)</f>
        <v>0</v>
      </c>
      <c r="AM488" s="8">
        <f>+AK488+Y488</f>
        <v>3820700</v>
      </c>
    </row>
    <row r="489" spans="1:40">
      <c r="A489" s="12" t="s">
        <v>822</v>
      </c>
      <c r="B489" s="12"/>
      <c r="C489" s="12" t="s">
        <v>114</v>
      </c>
      <c r="D489" s="12"/>
      <c r="E489" s="32"/>
      <c r="G489" s="8">
        <v>8517426</v>
      </c>
      <c r="I489" s="8">
        <v>15175</v>
      </c>
      <c r="K489" s="8">
        <f>9595943+36615</f>
        <v>9632558</v>
      </c>
      <c r="M489" s="8">
        <v>12172</v>
      </c>
      <c r="O489" s="8">
        <v>327458</v>
      </c>
      <c r="Q489" s="8">
        <v>0</v>
      </c>
      <c r="S489" s="8">
        <v>0</v>
      </c>
      <c r="U489" s="8">
        <v>3171</v>
      </c>
      <c r="W489" s="8">
        <f>311003+5330+30</f>
        <v>316363</v>
      </c>
      <c r="Y489" s="3">
        <f t="shared" ref="Y489:Y539" si="41">SUM(G489:X489)</f>
        <v>18824323</v>
      </c>
      <c r="AA489" s="8">
        <v>402771</v>
      </c>
      <c r="AE489" s="8">
        <v>0</v>
      </c>
      <c r="AG489" s="8">
        <v>0</v>
      </c>
      <c r="AK489" s="8">
        <f t="shared" ref="AK489:AK506" si="42">SUM(AA489:AJ489)</f>
        <v>402771</v>
      </c>
      <c r="AM489" s="8">
        <f t="shared" ref="AM489:AM539" si="43">+AK489+Y489</f>
        <v>19227094</v>
      </c>
    </row>
    <row r="490" spans="1:40">
      <c r="A490" s="13" t="s">
        <v>341</v>
      </c>
      <c r="B490" s="13"/>
      <c r="C490" s="13" t="s">
        <v>24</v>
      </c>
      <c r="D490" s="13"/>
      <c r="E490" s="32">
        <v>44743</v>
      </c>
      <c r="G490" s="8">
        <v>18053251</v>
      </c>
      <c r="I490" s="8">
        <v>0</v>
      </c>
      <c r="K490" s="8">
        <v>20444923</v>
      </c>
      <c r="M490" s="8">
        <v>133564</v>
      </c>
      <c r="O490" s="8">
        <v>263570</v>
      </c>
      <c r="Q490" s="8">
        <v>7246</v>
      </c>
      <c r="S490" s="8">
        <v>0</v>
      </c>
      <c r="U490" s="8">
        <v>0</v>
      </c>
      <c r="W490" s="8">
        <f>94704+385457+50614</f>
        <v>530775</v>
      </c>
      <c r="Y490" s="3">
        <f t="shared" si="41"/>
        <v>39433329</v>
      </c>
      <c r="AA490" s="8">
        <v>0</v>
      </c>
      <c r="AE490" s="8">
        <v>15371</v>
      </c>
      <c r="AG490" s="8">
        <v>0</v>
      </c>
      <c r="AK490" s="8">
        <f t="shared" si="42"/>
        <v>15371</v>
      </c>
      <c r="AM490" s="8">
        <f t="shared" si="43"/>
        <v>39448700</v>
      </c>
    </row>
    <row r="491" spans="1:40">
      <c r="A491" s="13" t="s">
        <v>660</v>
      </c>
      <c r="B491" s="13"/>
      <c r="C491" s="13" t="s">
        <v>62</v>
      </c>
      <c r="D491" s="13"/>
      <c r="E491" s="32">
        <v>49940</v>
      </c>
      <c r="G491" s="8">
        <v>3314616</v>
      </c>
      <c r="I491" s="8">
        <v>0</v>
      </c>
      <c r="K491" s="8">
        <f>14227+8603999</f>
        <v>8618226</v>
      </c>
      <c r="M491" s="8">
        <v>51533</v>
      </c>
      <c r="O491" s="8">
        <v>502576</v>
      </c>
      <c r="Q491" s="8">
        <v>0</v>
      </c>
      <c r="S491" s="8">
        <v>0</v>
      </c>
      <c r="U491" s="8">
        <v>0</v>
      </c>
      <c r="W491" s="8">
        <f>84850+36290+11672</f>
        <v>132812</v>
      </c>
      <c r="Y491" s="3">
        <f t="shared" si="41"/>
        <v>12619763</v>
      </c>
      <c r="AA491" s="8">
        <v>0</v>
      </c>
      <c r="AE491" s="8">
        <v>0</v>
      </c>
      <c r="AG491" s="8">
        <v>0</v>
      </c>
      <c r="AK491" s="8">
        <f t="shared" si="42"/>
        <v>0</v>
      </c>
      <c r="AM491" s="8">
        <f t="shared" si="43"/>
        <v>12619763</v>
      </c>
    </row>
    <row r="492" spans="1:40">
      <c r="A492" s="13" t="s">
        <v>585</v>
      </c>
      <c r="B492" s="13"/>
      <c r="C492" s="13" t="s">
        <v>55</v>
      </c>
      <c r="D492" s="13"/>
      <c r="E492" s="32">
        <v>49130</v>
      </c>
      <c r="G492" s="8">
        <v>1827949</v>
      </c>
      <c r="I492" s="8">
        <v>0</v>
      </c>
      <c r="K492" s="8">
        <v>9951592</v>
      </c>
      <c r="M492" s="8">
        <v>176399</v>
      </c>
      <c r="O492" s="8">
        <v>520666</v>
      </c>
      <c r="Q492" s="8">
        <v>0</v>
      </c>
      <c r="S492" s="8">
        <v>0</v>
      </c>
      <c r="U492" s="8">
        <v>0</v>
      </c>
      <c r="W492" s="8">
        <f>65557+16867</f>
        <v>82424</v>
      </c>
      <c r="Y492" s="3">
        <f t="shared" si="41"/>
        <v>12559030</v>
      </c>
      <c r="AA492" s="8">
        <v>0</v>
      </c>
      <c r="AE492" s="8">
        <v>0</v>
      </c>
      <c r="AG492" s="8">
        <v>8501</v>
      </c>
      <c r="AK492" s="8">
        <f t="shared" si="42"/>
        <v>8501</v>
      </c>
      <c r="AM492" s="8">
        <f t="shared" si="43"/>
        <v>12567531</v>
      </c>
    </row>
    <row r="493" spans="1:40">
      <c r="A493" s="13" t="s">
        <v>515</v>
      </c>
      <c r="B493" s="13"/>
      <c r="C493" s="13" t="s">
        <v>45</v>
      </c>
      <c r="D493" s="13"/>
      <c r="E493" s="32">
        <v>48355</v>
      </c>
      <c r="G493" s="8">
        <v>1119561</v>
      </c>
      <c r="I493" s="8">
        <v>411472</v>
      </c>
      <c r="K493" s="8">
        <v>4393870</v>
      </c>
      <c r="M493" s="8">
        <v>23550</v>
      </c>
      <c r="O493" s="8">
        <v>358569</v>
      </c>
      <c r="Q493" s="8">
        <v>0</v>
      </c>
      <c r="S493" s="8">
        <v>0</v>
      </c>
      <c r="U493" s="8">
        <v>3950</v>
      </c>
      <c r="W493" s="8">
        <f>8173+813</f>
        <v>8986</v>
      </c>
      <c r="Y493" s="3">
        <f t="shared" si="41"/>
        <v>6319958</v>
      </c>
      <c r="AA493" s="8">
        <v>0</v>
      </c>
      <c r="AE493" s="8">
        <v>0</v>
      </c>
      <c r="AG493" s="8">
        <v>0</v>
      </c>
      <c r="AK493" s="8">
        <f t="shared" si="42"/>
        <v>0</v>
      </c>
      <c r="AM493" s="8">
        <f t="shared" si="43"/>
        <v>6319958</v>
      </c>
    </row>
    <row r="494" spans="1:40">
      <c r="A494" s="13" t="s">
        <v>639</v>
      </c>
      <c r="B494" s="13"/>
      <c r="C494" s="13" t="s">
        <v>60</v>
      </c>
      <c r="D494" s="13"/>
      <c r="E494" s="32">
        <v>49684</v>
      </c>
      <c r="G494" s="8">
        <v>1343604</v>
      </c>
      <c r="I494" s="8">
        <v>1271767</v>
      </c>
      <c r="K494" s="8">
        <v>4579849</v>
      </c>
      <c r="M494" s="8">
        <v>39248</v>
      </c>
      <c r="O494" s="8">
        <v>681438</v>
      </c>
      <c r="Q494" s="8">
        <v>0</v>
      </c>
      <c r="S494" s="8">
        <v>0</v>
      </c>
      <c r="U494" s="8">
        <v>0</v>
      </c>
      <c r="W494" s="8">
        <f>20501+10917+5923+44135</f>
        <v>81476</v>
      </c>
      <c r="Y494" s="3">
        <f t="shared" si="41"/>
        <v>7997382</v>
      </c>
      <c r="AA494" s="8">
        <v>0</v>
      </c>
      <c r="AE494" s="8">
        <v>0</v>
      </c>
      <c r="AG494" s="8">
        <v>0</v>
      </c>
      <c r="AK494" s="8">
        <f t="shared" si="42"/>
        <v>0</v>
      </c>
      <c r="AM494" s="8">
        <f t="shared" si="43"/>
        <v>7997382</v>
      </c>
    </row>
    <row r="495" spans="1:40">
      <c r="A495" s="13" t="s">
        <v>234</v>
      </c>
      <c r="B495" s="13"/>
      <c r="C495" s="13" t="s">
        <v>15</v>
      </c>
      <c r="D495" s="13"/>
      <c r="E495" s="32">
        <v>46003</v>
      </c>
      <c r="F495" s="11"/>
      <c r="G495" s="8">
        <v>2534908</v>
      </c>
      <c r="I495" s="8">
        <v>0</v>
      </c>
      <c r="K495" s="8">
        <v>2977333</v>
      </c>
      <c r="M495" s="8">
        <v>7574</v>
      </c>
      <c r="O495" s="8">
        <v>905375</v>
      </c>
      <c r="Q495" s="8">
        <v>0</v>
      </c>
      <c r="S495" s="8">
        <v>0</v>
      </c>
      <c r="U495" s="8">
        <v>4831</v>
      </c>
      <c r="W495" s="8">
        <f>10047+12</f>
        <v>10059</v>
      </c>
      <c r="Y495" s="3">
        <f t="shared" si="41"/>
        <v>6440080</v>
      </c>
      <c r="AA495" s="8">
        <v>0</v>
      </c>
      <c r="AE495" s="8">
        <v>0</v>
      </c>
      <c r="AG495" s="8">
        <v>0</v>
      </c>
      <c r="AK495" s="8">
        <f t="shared" si="42"/>
        <v>0</v>
      </c>
      <c r="AM495" s="8">
        <f t="shared" si="43"/>
        <v>6440080</v>
      </c>
    </row>
    <row r="496" spans="1:40">
      <c r="A496" s="12" t="s">
        <v>320</v>
      </c>
      <c r="B496" s="13"/>
      <c r="C496" s="13" t="s">
        <v>20</v>
      </c>
      <c r="D496" s="13"/>
      <c r="E496" s="32">
        <v>44750</v>
      </c>
      <c r="G496" s="8">
        <v>56542652</v>
      </c>
      <c r="I496" s="8">
        <v>0</v>
      </c>
      <c r="K496" s="8">
        <v>24685415</v>
      </c>
      <c r="M496" s="8">
        <v>524915</v>
      </c>
      <c r="O496" s="8">
        <v>1198827</v>
      </c>
      <c r="Q496" s="8">
        <v>0</v>
      </c>
      <c r="S496" s="8">
        <v>0</v>
      </c>
      <c r="U496" s="8">
        <v>195</v>
      </c>
      <c r="W496" s="8">
        <f>103773+52526+165650</f>
        <v>321949</v>
      </c>
      <c r="Y496" s="3">
        <f t="shared" si="41"/>
        <v>83273953</v>
      </c>
      <c r="AA496" s="8">
        <v>0</v>
      </c>
      <c r="AE496" s="8">
        <v>0</v>
      </c>
      <c r="AG496" s="8">
        <v>0</v>
      </c>
      <c r="AK496" s="8">
        <f t="shared" si="42"/>
        <v>0</v>
      </c>
      <c r="AM496" s="8">
        <f t="shared" si="43"/>
        <v>83273953</v>
      </c>
      <c r="AN496" s="8" t="s">
        <v>905</v>
      </c>
    </row>
    <row r="497" spans="1:40" hidden="1">
      <c r="A497" s="12" t="s">
        <v>1034</v>
      </c>
      <c r="B497" s="12"/>
      <c r="C497" s="12" t="s">
        <v>10</v>
      </c>
      <c r="D497" s="13"/>
      <c r="E497" s="32"/>
      <c r="G497" s="8">
        <v>14206426</v>
      </c>
      <c r="K497" s="8">
        <v>8321056</v>
      </c>
      <c r="M497" s="8">
        <v>619080</v>
      </c>
      <c r="O497" s="8">
        <v>1132861</v>
      </c>
      <c r="U497" s="8">
        <v>180</v>
      </c>
      <c r="W497" s="8">
        <f>4475+9603+14266</f>
        <v>28344</v>
      </c>
      <c r="Y497" s="3">
        <f t="shared" si="41"/>
        <v>24307947</v>
      </c>
      <c r="AM497" s="8">
        <f t="shared" si="43"/>
        <v>24307947</v>
      </c>
      <c r="AN497" s="15"/>
    </row>
    <row r="498" spans="1:40">
      <c r="A498" s="13" t="s">
        <v>494</v>
      </c>
      <c r="B498" s="13"/>
      <c r="C498" s="13" t="s">
        <v>44</v>
      </c>
      <c r="D498" s="13"/>
      <c r="E498" s="32">
        <v>44768</v>
      </c>
      <c r="G498" s="8">
        <v>9781722</v>
      </c>
      <c r="I498" s="8">
        <v>0</v>
      </c>
      <c r="K498" s="8">
        <v>7612774</v>
      </c>
      <c r="M498" s="8">
        <v>142747</v>
      </c>
      <c r="O498" s="8">
        <v>985517</v>
      </c>
      <c r="Q498" s="8">
        <v>0</v>
      </c>
      <c r="S498" s="8">
        <v>0</v>
      </c>
      <c r="U498" s="8">
        <v>0</v>
      </c>
      <c r="W498" s="8">
        <v>58938</v>
      </c>
      <c r="Y498" s="3">
        <f t="shared" si="41"/>
        <v>18581698</v>
      </c>
      <c r="AA498" s="8">
        <v>0</v>
      </c>
      <c r="AE498" s="8">
        <v>0</v>
      </c>
      <c r="AG498" s="8">
        <v>0</v>
      </c>
      <c r="AK498" s="8">
        <f t="shared" si="42"/>
        <v>0</v>
      </c>
      <c r="AM498" s="8">
        <f t="shared" si="43"/>
        <v>18581698</v>
      </c>
    </row>
    <row r="499" spans="1:40">
      <c r="A499" s="13" t="s">
        <v>615</v>
      </c>
      <c r="B499" s="13"/>
      <c r="C499" s="13" t="s">
        <v>112</v>
      </c>
      <c r="D499" s="13"/>
      <c r="E499" s="32">
        <v>44776</v>
      </c>
      <c r="G499" s="8">
        <v>5610070</v>
      </c>
      <c r="I499" s="8">
        <v>2449991</v>
      </c>
      <c r="K499" s="8">
        <f>10121640+5129</f>
        <v>10126769</v>
      </c>
      <c r="M499" s="8">
        <v>84438</v>
      </c>
      <c r="O499" s="8">
        <v>334857</v>
      </c>
      <c r="Q499" s="8">
        <v>0</v>
      </c>
      <c r="S499" s="8">
        <v>0</v>
      </c>
      <c r="U499" s="8">
        <v>0</v>
      </c>
      <c r="W499" s="8">
        <f>247436+16180+31685</f>
        <v>295301</v>
      </c>
      <c r="Y499" s="3">
        <f t="shared" si="41"/>
        <v>18901426</v>
      </c>
      <c r="AA499" s="8">
        <v>169486</v>
      </c>
      <c r="AE499" s="8">
        <v>222829</v>
      </c>
      <c r="AG499" s="8">
        <v>0</v>
      </c>
      <c r="AK499" s="8">
        <f t="shared" si="42"/>
        <v>392315</v>
      </c>
      <c r="AM499" s="8">
        <f t="shared" si="43"/>
        <v>19293741</v>
      </c>
    </row>
    <row r="500" spans="1:40">
      <c r="A500" s="12" t="s">
        <v>647</v>
      </c>
      <c r="B500" s="13"/>
      <c r="C500" s="13" t="s">
        <v>61</v>
      </c>
      <c r="D500" s="13"/>
      <c r="E500" s="32">
        <v>44784</v>
      </c>
      <c r="G500" s="8">
        <v>11833115</v>
      </c>
      <c r="I500" s="8">
        <v>0</v>
      </c>
      <c r="K500" s="8">
        <v>18370998</v>
      </c>
      <c r="M500" s="8">
        <v>88440</v>
      </c>
      <c r="O500" s="8">
        <v>821949</v>
      </c>
      <c r="Q500" s="8">
        <v>1827</v>
      </c>
      <c r="S500" s="8">
        <v>162820</v>
      </c>
      <c r="U500" s="8">
        <v>5992</v>
      </c>
      <c r="W500" s="8">
        <v>351476</v>
      </c>
      <c r="Y500" s="3">
        <f t="shared" si="41"/>
        <v>31636617</v>
      </c>
      <c r="AA500" s="8">
        <v>0</v>
      </c>
      <c r="AE500" s="8">
        <v>413901</v>
      </c>
      <c r="AG500" s="8">
        <v>0</v>
      </c>
      <c r="AK500" s="8">
        <f t="shared" si="42"/>
        <v>413901</v>
      </c>
      <c r="AM500" s="8">
        <f t="shared" si="43"/>
        <v>32050518</v>
      </c>
    </row>
    <row r="501" spans="1:40">
      <c r="A501" s="13" t="s">
        <v>321</v>
      </c>
      <c r="B501" s="13"/>
      <c r="C501" s="13" t="s">
        <v>20</v>
      </c>
      <c r="D501" s="13"/>
      <c r="E501" s="32">
        <v>46607</v>
      </c>
      <c r="G501" s="8">
        <v>44854281</v>
      </c>
      <c r="I501" s="8">
        <v>0</v>
      </c>
      <c r="K501" s="8">
        <v>15838640</v>
      </c>
      <c r="M501" s="8">
        <v>601505</v>
      </c>
      <c r="O501" s="8">
        <v>1023962</v>
      </c>
      <c r="Q501" s="8">
        <v>0</v>
      </c>
      <c r="S501" s="8">
        <v>100000</v>
      </c>
      <c r="U501" s="8">
        <v>0</v>
      </c>
      <c r="W501" s="8">
        <f>92659+180989+72849</f>
        <v>346497</v>
      </c>
      <c r="Y501" s="3">
        <f t="shared" si="41"/>
        <v>62764885</v>
      </c>
      <c r="AA501" s="8">
        <v>0</v>
      </c>
      <c r="AE501" s="8">
        <v>35572</v>
      </c>
      <c r="AG501" s="8">
        <v>0</v>
      </c>
      <c r="AK501" s="8">
        <f t="shared" si="42"/>
        <v>35572</v>
      </c>
      <c r="AM501" s="8">
        <f t="shared" si="43"/>
        <v>62800457</v>
      </c>
    </row>
    <row r="502" spans="1:40" ht="12.75" customHeight="1">
      <c r="A502" s="13" t="s">
        <v>868</v>
      </c>
      <c r="B502" s="13"/>
      <c r="C502" s="13" t="s">
        <v>37</v>
      </c>
      <c r="D502" s="13"/>
      <c r="E502" s="32"/>
      <c r="G502" s="8">
        <v>2110421</v>
      </c>
      <c r="I502" s="8">
        <v>0</v>
      </c>
      <c r="K502" s="8">
        <v>5090934</v>
      </c>
      <c r="M502" s="8">
        <v>57035</v>
      </c>
      <c r="O502" s="8">
        <v>274510</v>
      </c>
      <c r="Q502" s="8">
        <v>0</v>
      </c>
      <c r="S502" s="8">
        <v>0</v>
      </c>
      <c r="U502" s="8">
        <v>0</v>
      </c>
      <c r="W502" s="8">
        <f>14859+29253</f>
        <v>44112</v>
      </c>
      <c r="Y502" s="3">
        <f t="shared" si="41"/>
        <v>7577012</v>
      </c>
      <c r="AA502" s="8">
        <v>0</v>
      </c>
      <c r="AE502" s="8">
        <v>0</v>
      </c>
      <c r="AG502" s="8">
        <v>0</v>
      </c>
      <c r="AK502" s="8">
        <f t="shared" si="42"/>
        <v>0</v>
      </c>
      <c r="AM502" s="8">
        <f t="shared" si="43"/>
        <v>7577012</v>
      </c>
    </row>
    <row r="503" spans="1:40">
      <c r="A503" s="13" t="s">
        <v>322</v>
      </c>
      <c r="B503" s="13"/>
      <c r="C503" s="13" t="s">
        <v>20</v>
      </c>
      <c r="D503" s="13"/>
      <c r="E503" s="32">
        <v>44792</v>
      </c>
      <c r="G503" s="8">
        <v>40902872</v>
      </c>
      <c r="I503" s="8">
        <v>0</v>
      </c>
      <c r="K503" s="8">
        <v>14568632</v>
      </c>
      <c r="M503" s="8">
        <v>198311</v>
      </c>
      <c r="O503" s="8">
        <v>1698443</v>
      </c>
      <c r="Q503" s="8">
        <v>128222</v>
      </c>
      <c r="S503" s="8">
        <v>310589</v>
      </c>
      <c r="U503" s="8">
        <v>0</v>
      </c>
      <c r="W503" s="8">
        <f>810790+88489+76058</f>
        <v>975337</v>
      </c>
      <c r="Y503" s="3">
        <f t="shared" si="41"/>
        <v>58782406</v>
      </c>
      <c r="AA503" s="8">
        <v>0</v>
      </c>
      <c r="AE503" s="8">
        <v>0</v>
      </c>
      <c r="AG503" s="8">
        <v>3389</v>
      </c>
      <c r="AK503" s="8">
        <f t="shared" si="42"/>
        <v>3389</v>
      </c>
      <c r="AM503" s="8">
        <f t="shared" si="43"/>
        <v>58785795</v>
      </c>
    </row>
    <row r="504" spans="1:40">
      <c r="A504" s="13" t="s">
        <v>471</v>
      </c>
      <c r="B504" s="13"/>
      <c r="C504" s="13" t="s">
        <v>466</v>
      </c>
      <c r="D504" s="13"/>
      <c r="E504" s="32">
        <v>47951</v>
      </c>
      <c r="G504" s="8">
        <v>3112270</v>
      </c>
      <c r="I504" s="8">
        <v>0</v>
      </c>
      <c r="K504" s="8">
        <v>10752503</v>
      </c>
      <c r="M504" s="8">
        <v>79263</v>
      </c>
      <c r="O504" s="8">
        <v>154591</v>
      </c>
      <c r="Q504" s="8">
        <v>0</v>
      </c>
      <c r="S504" s="8">
        <v>0</v>
      </c>
      <c r="U504" s="8">
        <v>50</v>
      </c>
      <c r="W504" s="8">
        <v>242992</v>
      </c>
      <c r="Y504" s="3">
        <f t="shared" si="41"/>
        <v>14341669</v>
      </c>
      <c r="AA504" s="8">
        <v>0</v>
      </c>
      <c r="AE504" s="8">
        <v>0</v>
      </c>
      <c r="AG504" s="8">
        <v>0</v>
      </c>
      <c r="AK504" s="8">
        <f t="shared" si="42"/>
        <v>0</v>
      </c>
      <c r="AM504" s="8">
        <f t="shared" si="43"/>
        <v>14341669</v>
      </c>
    </row>
    <row r="505" spans="1:40">
      <c r="A505" s="13" t="s">
        <v>516</v>
      </c>
      <c r="B505" s="13"/>
      <c r="C505" s="13" t="s">
        <v>45</v>
      </c>
      <c r="D505" s="13"/>
      <c r="E505" s="32">
        <v>48363</v>
      </c>
      <c r="G505" s="8">
        <v>4903238</v>
      </c>
      <c r="I505" s="8">
        <v>0</v>
      </c>
      <c r="K505" s="8">
        <v>6129109</v>
      </c>
      <c r="M505" s="8">
        <v>85810</v>
      </c>
      <c r="O505" s="8">
        <v>40979</v>
      </c>
      <c r="Q505" s="8">
        <v>0</v>
      </c>
      <c r="S505" s="8">
        <v>0</v>
      </c>
      <c r="U505" s="8">
        <v>0</v>
      </c>
      <c r="W505" s="8">
        <f>217354+24777</f>
        <v>242131</v>
      </c>
      <c r="Y505" s="3">
        <f t="shared" si="41"/>
        <v>11401267</v>
      </c>
      <c r="AA505" s="8">
        <v>0</v>
      </c>
      <c r="AE505" s="8">
        <v>0</v>
      </c>
      <c r="AG505" s="8">
        <v>0</v>
      </c>
      <c r="AK505" s="8">
        <f t="shared" si="42"/>
        <v>0</v>
      </c>
      <c r="AM505" s="8">
        <f t="shared" si="43"/>
        <v>11401267</v>
      </c>
    </row>
    <row r="506" spans="1:40">
      <c r="A506" s="13" t="s">
        <v>594</v>
      </c>
      <c r="B506" s="13"/>
      <c r="C506" s="13" t="s">
        <v>56</v>
      </c>
      <c r="D506" s="13"/>
      <c r="E506" s="32">
        <v>49221</v>
      </c>
      <c r="G506" s="8">
        <v>6131707</v>
      </c>
      <c r="I506" s="8">
        <v>0</v>
      </c>
      <c r="K506" s="8">
        <v>12227652</v>
      </c>
      <c r="M506" s="8">
        <v>71305</v>
      </c>
      <c r="O506" s="8">
        <v>74541</v>
      </c>
      <c r="Q506" s="8">
        <v>0</v>
      </c>
      <c r="S506" s="8">
        <v>0</v>
      </c>
      <c r="U506" s="8">
        <v>25</v>
      </c>
      <c r="W506" s="8">
        <f>50065+3148</f>
        <v>53213</v>
      </c>
      <c r="Y506" s="3">
        <f t="shared" si="41"/>
        <v>18558443</v>
      </c>
      <c r="AA506" s="8">
        <v>0</v>
      </c>
      <c r="AE506" s="8">
        <v>59300</v>
      </c>
      <c r="AG506" s="8">
        <v>0</v>
      </c>
      <c r="AK506" s="8">
        <f t="shared" si="42"/>
        <v>59300</v>
      </c>
      <c r="AM506" s="8">
        <f t="shared" si="43"/>
        <v>18617743</v>
      </c>
    </row>
    <row r="507" spans="1:40" s="35" customFormat="1">
      <c r="A507" s="34" t="s">
        <v>594</v>
      </c>
      <c r="B507" s="34"/>
      <c r="C507" s="34" t="s">
        <v>71</v>
      </c>
      <c r="D507" s="34"/>
      <c r="E507" s="34">
        <v>50583</v>
      </c>
      <c r="G507" s="8">
        <v>6105730</v>
      </c>
      <c r="H507" s="8"/>
      <c r="I507" s="8">
        <v>0</v>
      </c>
      <c r="K507" s="8">
        <v>6128213</v>
      </c>
      <c r="L507" s="8"/>
      <c r="M507" s="8">
        <v>49728</v>
      </c>
      <c r="N507" s="8"/>
      <c r="O507" s="8">
        <v>804806</v>
      </c>
      <c r="P507" s="8"/>
      <c r="Q507" s="8">
        <v>0</v>
      </c>
      <c r="R507" s="8"/>
      <c r="S507" s="8">
        <v>0</v>
      </c>
      <c r="T507" s="8"/>
      <c r="U507" s="8">
        <v>0</v>
      </c>
      <c r="V507" s="8"/>
      <c r="W507" s="8">
        <f>5230+32144</f>
        <v>37374</v>
      </c>
      <c r="X507" s="8"/>
      <c r="Y507" s="3">
        <f t="shared" si="41"/>
        <v>13125851</v>
      </c>
      <c r="Z507" s="8"/>
      <c r="AA507" s="8">
        <v>0</v>
      </c>
      <c r="AB507" s="8"/>
      <c r="AC507" s="8"/>
      <c r="AD507" s="8"/>
      <c r="AE507" s="8">
        <v>0</v>
      </c>
      <c r="AF507" s="8"/>
      <c r="AG507" s="8">
        <v>0</v>
      </c>
      <c r="AH507" s="8"/>
      <c r="AI507" s="8"/>
      <c r="AJ507" s="8"/>
      <c r="AK507" s="8">
        <f t="shared" ref="AK507:AK539" si="44">SUM(AA507:AJ507)</f>
        <v>0</v>
      </c>
      <c r="AL507" s="8"/>
      <c r="AM507" s="8">
        <f t="shared" si="43"/>
        <v>13125851</v>
      </c>
    </row>
    <row r="508" spans="1:40">
      <c r="A508" s="13" t="s">
        <v>264</v>
      </c>
      <c r="B508" s="13"/>
      <c r="C508" s="13" t="s">
        <v>17</v>
      </c>
      <c r="D508" s="13"/>
      <c r="E508" s="32">
        <v>46276</v>
      </c>
      <c r="F508" s="11"/>
      <c r="G508" s="8">
        <v>2325553</v>
      </c>
      <c r="I508" s="8">
        <v>991751</v>
      </c>
      <c r="K508" s="8">
        <v>3808673</v>
      </c>
      <c r="M508" s="8">
        <v>0</v>
      </c>
      <c r="O508" s="8">
        <v>408533</v>
      </c>
      <c r="Q508" s="8">
        <v>0</v>
      </c>
      <c r="S508" s="8">
        <v>0</v>
      </c>
      <c r="U508" s="8">
        <v>0</v>
      </c>
      <c r="W508" s="8">
        <v>6708</v>
      </c>
      <c r="Y508" s="3">
        <f t="shared" si="41"/>
        <v>7541218</v>
      </c>
      <c r="AA508" s="8">
        <v>0</v>
      </c>
      <c r="AE508" s="8">
        <v>103275</v>
      </c>
      <c r="AG508" s="8">
        <v>0</v>
      </c>
      <c r="AK508" s="8">
        <f t="shared" si="44"/>
        <v>103275</v>
      </c>
      <c r="AM508" s="8">
        <f t="shared" si="43"/>
        <v>7644493</v>
      </c>
    </row>
    <row r="509" spans="1:40">
      <c r="A509" s="13" t="s">
        <v>264</v>
      </c>
      <c r="B509" s="13"/>
      <c r="C509" s="13" t="s">
        <v>58</v>
      </c>
      <c r="D509" s="13"/>
      <c r="E509" s="32">
        <v>49528</v>
      </c>
      <c r="G509" s="8">
        <v>1511701</v>
      </c>
      <c r="I509" s="8">
        <v>63768</v>
      </c>
      <c r="K509" s="8">
        <v>7362110</v>
      </c>
      <c r="M509" s="8">
        <v>144681</v>
      </c>
      <c r="O509" s="8">
        <v>677328</v>
      </c>
      <c r="Q509" s="8">
        <v>0</v>
      </c>
      <c r="S509" s="8">
        <v>0</v>
      </c>
      <c r="U509" s="8">
        <v>0</v>
      </c>
      <c r="W509" s="8">
        <f>34975+59413</f>
        <v>94388</v>
      </c>
      <c r="Y509" s="3">
        <f t="shared" si="41"/>
        <v>9853976</v>
      </c>
      <c r="AA509" s="8">
        <v>0</v>
      </c>
      <c r="AE509" s="8">
        <v>0</v>
      </c>
      <c r="AG509" s="8">
        <v>500</v>
      </c>
      <c r="AK509" s="8">
        <f t="shared" si="44"/>
        <v>500</v>
      </c>
      <c r="AM509" s="8">
        <f t="shared" si="43"/>
        <v>9854476</v>
      </c>
    </row>
    <row r="510" spans="1:40">
      <c r="A510" s="13" t="s">
        <v>284</v>
      </c>
      <c r="B510" s="13"/>
      <c r="C510" s="13" t="s">
        <v>114</v>
      </c>
      <c r="D510" s="13"/>
      <c r="E510" s="32">
        <v>46441</v>
      </c>
      <c r="F510" s="11"/>
      <c r="G510" s="8">
        <v>1551756</v>
      </c>
      <c r="I510" s="8">
        <v>0</v>
      </c>
      <c r="K510" s="8">
        <v>6657789</v>
      </c>
      <c r="M510" s="8">
        <v>7774</v>
      </c>
      <c r="O510" s="8">
        <v>343438</v>
      </c>
      <c r="Q510" s="8">
        <v>0</v>
      </c>
      <c r="S510" s="8">
        <v>0</v>
      </c>
      <c r="U510" s="8">
        <v>0</v>
      </c>
      <c r="W510" s="8">
        <v>91621</v>
      </c>
      <c r="Y510" s="3">
        <f>SUM(G510:X510)</f>
        <v>8652378</v>
      </c>
      <c r="AA510" s="8">
        <v>0</v>
      </c>
      <c r="AE510" s="8">
        <v>0</v>
      </c>
      <c r="AG510" s="8">
        <v>0</v>
      </c>
      <c r="AK510" s="8">
        <f>SUM(AA510:AJ510)</f>
        <v>0</v>
      </c>
      <c r="AM510" s="8">
        <f>+AK510+Y510</f>
        <v>8652378</v>
      </c>
    </row>
    <row r="511" spans="1:40">
      <c r="A511" s="13" t="s">
        <v>284</v>
      </c>
      <c r="B511" s="13"/>
      <c r="C511" s="13" t="s">
        <v>531</v>
      </c>
      <c r="D511" s="13"/>
      <c r="E511" s="32">
        <v>46441</v>
      </c>
      <c r="F511" s="11"/>
      <c r="G511" s="8">
        <v>1547788</v>
      </c>
      <c r="I511" s="8">
        <v>0</v>
      </c>
      <c r="K511" s="8">
        <v>4263341</v>
      </c>
      <c r="M511" s="8">
        <v>38077</v>
      </c>
      <c r="O511" s="8">
        <v>233754</v>
      </c>
      <c r="Q511" s="8">
        <v>0</v>
      </c>
      <c r="S511" s="8">
        <v>0</v>
      </c>
      <c r="U511" s="8">
        <v>0</v>
      </c>
      <c r="W511" s="8">
        <v>6614</v>
      </c>
      <c r="Y511" s="3">
        <f t="shared" si="41"/>
        <v>6089574</v>
      </c>
      <c r="AA511" s="8">
        <v>0</v>
      </c>
      <c r="AE511" s="8">
        <v>0</v>
      </c>
      <c r="AG511" s="8">
        <v>25245</v>
      </c>
      <c r="AK511" s="8">
        <f t="shared" si="44"/>
        <v>25245</v>
      </c>
      <c r="AM511" s="8">
        <f t="shared" si="43"/>
        <v>6114819</v>
      </c>
    </row>
    <row r="512" spans="1:40" hidden="1">
      <c r="A512" s="13" t="s">
        <v>1035</v>
      </c>
      <c r="B512" s="13"/>
      <c r="C512" s="13" t="s">
        <v>579</v>
      </c>
      <c r="D512" s="13"/>
      <c r="E512" s="32"/>
      <c r="F512" s="11"/>
      <c r="G512" s="8">
        <v>809440</v>
      </c>
      <c r="K512" s="8">
        <v>6549029</v>
      </c>
      <c r="M512" s="8">
        <v>12237</v>
      </c>
      <c r="O512" s="8">
        <v>199951</v>
      </c>
      <c r="W512" s="8">
        <f>5400+63874</f>
        <v>69274</v>
      </c>
      <c r="Y512" s="3">
        <f t="shared" si="41"/>
        <v>7639931</v>
      </c>
      <c r="AK512" s="8">
        <f t="shared" si="44"/>
        <v>0</v>
      </c>
      <c r="AM512" s="8">
        <f t="shared" si="43"/>
        <v>7639931</v>
      </c>
    </row>
    <row r="513" spans="1:40">
      <c r="A513" s="13" t="s">
        <v>691</v>
      </c>
      <c r="B513" s="13"/>
      <c r="C513" s="13" t="s">
        <v>64</v>
      </c>
      <c r="D513" s="13"/>
      <c r="E513" s="32">
        <v>50237</v>
      </c>
      <c r="G513" s="8">
        <v>1391853</v>
      </c>
      <c r="I513" s="8">
        <v>0</v>
      </c>
      <c r="K513" s="8">
        <v>2863775</v>
      </c>
      <c r="M513" s="8">
        <v>41107</v>
      </c>
      <c r="O513" s="8">
        <v>381659</v>
      </c>
      <c r="Q513" s="8">
        <v>0</v>
      </c>
      <c r="S513" s="8">
        <v>0</v>
      </c>
      <c r="U513" s="8">
        <v>0</v>
      </c>
      <c r="W513" s="8">
        <f>205+39634</f>
        <v>39839</v>
      </c>
      <c r="Y513" s="3">
        <f t="shared" si="41"/>
        <v>4718233</v>
      </c>
      <c r="AA513" s="8">
        <v>0</v>
      </c>
      <c r="AE513" s="8">
        <v>0</v>
      </c>
      <c r="AG513" s="8">
        <v>0</v>
      </c>
      <c r="AK513" s="8">
        <f t="shared" si="44"/>
        <v>0</v>
      </c>
      <c r="AM513" s="8">
        <f t="shared" si="43"/>
        <v>4718233</v>
      </c>
    </row>
    <row r="514" spans="1:40">
      <c r="A514" s="13" t="s">
        <v>481</v>
      </c>
      <c r="B514" s="13"/>
      <c r="C514" s="13" t="s">
        <v>42</v>
      </c>
      <c r="D514" s="13"/>
      <c r="E514" s="32">
        <v>48041</v>
      </c>
      <c r="G514" s="8">
        <v>12973834</v>
      </c>
      <c r="I514" s="8">
        <v>4336795</v>
      </c>
      <c r="K514" s="8">
        <v>13611220</v>
      </c>
      <c r="M514" s="8">
        <v>347273</v>
      </c>
      <c r="O514" s="8">
        <v>505084</v>
      </c>
      <c r="Q514" s="8">
        <v>109390</v>
      </c>
      <c r="S514" s="8">
        <v>84871</v>
      </c>
      <c r="U514" s="8">
        <v>0</v>
      </c>
      <c r="W514" s="8">
        <f>173212+159307</f>
        <v>332519</v>
      </c>
      <c r="Y514" s="3">
        <f t="shared" si="41"/>
        <v>32300986</v>
      </c>
      <c r="AA514" s="8">
        <v>0</v>
      </c>
      <c r="AE514" s="8">
        <v>0</v>
      </c>
      <c r="AG514" s="8">
        <v>1265</v>
      </c>
      <c r="AK514" s="8">
        <f t="shared" si="44"/>
        <v>1265</v>
      </c>
      <c r="AM514" s="8">
        <f t="shared" si="43"/>
        <v>32302251</v>
      </c>
    </row>
    <row r="515" spans="1:40">
      <c r="A515" s="13" t="s">
        <v>407</v>
      </c>
      <c r="B515" s="13"/>
      <c r="C515" s="13" t="s">
        <v>32</v>
      </c>
      <c r="D515" s="13"/>
      <c r="E515" s="32">
        <v>47381</v>
      </c>
      <c r="G515" s="8">
        <v>13829887</v>
      </c>
      <c r="I515" s="8">
        <v>0</v>
      </c>
      <c r="K515" s="8">
        <v>16928034</v>
      </c>
      <c r="M515" s="8">
        <v>140817</v>
      </c>
      <c r="O515" s="8">
        <v>74378</v>
      </c>
      <c r="Q515" s="8">
        <v>0</v>
      </c>
      <c r="S515" s="8">
        <v>112084</v>
      </c>
      <c r="U515" s="8">
        <v>0</v>
      </c>
      <c r="W515" s="8">
        <v>123632</v>
      </c>
      <c r="Y515" s="3">
        <f t="shared" si="41"/>
        <v>31208832</v>
      </c>
      <c r="AA515" s="8">
        <v>0</v>
      </c>
      <c r="AE515" s="8">
        <v>130217</v>
      </c>
      <c r="AG515" s="8">
        <v>0</v>
      </c>
      <c r="AK515" s="8">
        <f t="shared" si="44"/>
        <v>130217</v>
      </c>
      <c r="AM515" s="8">
        <f t="shared" si="43"/>
        <v>31339049</v>
      </c>
    </row>
    <row r="516" spans="1:40">
      <c r="A516" s="13" t="s">
        <v>363</v>
      </c>
      <c r="B516" s="13"/>
      <c r="C516" s="13" t="s">
        <v>27</v>
      </c>
      <c r="D516" s="13"/>
      <c r="E516" s="32">
        <v>44800</v>
      </c>
      <c r="G516" s="8">
        <v>82321235</v>
      </c>
      <c r="I516" s="8">
        <v>0</v>
      </c>
      <c r="K516" s="8">
        <f>105988974+1035938</f>
        <v>107024912</v>
      </c>
      <c r="M516" s="8">
        <v>966609</v>
      </c>
      <c r="O516" s="8">
        <v>772824</v>
      </c>
      <c r="Q516" s="8">
        <v>0</v>
      </c>
      <c r="S516" s="8">
        <v>0</v>
      </c>
      <c r="U516" s="8">
        <v>0</v>
      </c>
      <c r="W516" s="8">
        <v>3734391</v>
      </c>
      <c r="Y516" s="3">
        <f t="shared" si="41"/>
        <v>194819971</v>
      </c>
      <c r="AA516" s="8">
        <v>0</v>
      </c>
      <c r="AE516" s="8">
        <v>51855</v>
      </c>
      <c r="AG516" s="8">
        <v>0</v>
      </c>
      <c r="AK516" s="8">
        <f t="shared" si="44"/>
        <v>51855</v>
      </c>
      <c r="AM516" s="8">
        <f t="shared" si="43"/>
        <v>194871826</v>
      </c>
    </row>
    <row r="517" spans="1:40" hidden="1">
      <c r="A517" s="12" t="s">
        <v>1037</v>
      </c>
      <c r="B517" s="13"/>
      <c r="C517" s="13" t="s">
        <v>10</v>
      </c>
      <c r="D517" s="13"/>
      <c r="E517" s="32">
        <v>45807</v>
      </c>
      <c r="F517" s="11"/>
      <c r="G517" s="8">
        <v>1596037</v>
      </c>
      <c r="I517" s="8">
        <v>1070732</v>
      </c>
      <c r="K517" s="8">
        <v>4776138</v>
      </c>
      <c r="M517" s="8">
        <v>35671</v>
      </c>
      <c r="O517" s="8">
        <v>473649</v>
      </c>
      <c r="W517" s="8">
        <f>3457+3429</f>
        <v>6886</v>
      </c>
      <c r="Y517" s="3">
        <f t="shared" si="41"/>
        <v>7959113</v>
      </c>
      <c r="AK517" s="8">
        <f t="shared" si="44"/>
        <v>0</v>
      </c>
      <c r="AM517" s="8">
        <f t="shared" si="43"/>
        <v>7959113</v>
      </c>
    </row>
    <row r="518" spans="1:40" hidden="1">
      <c r="A518" s="12" t="s">
        <v>1036</v>
      </c>
      <c r="B518" s="13"/>
      <c r="C518" s="13" t="s">
        <v>69</v>
      </c>
      <c r="D518" s="13"/>
      <c r="E518" s="32">
        <v>50427</v>
      </c>
      <c r="G518" s="8">
        <v>25665105</v>
      </c>
      <c r="K518" s="8">
        <v>15500902</v>
      </c>
      <c r="M518" s="8">
        <v>120930</v>
      </c>
      <c r="O518" s="8">
        <v>156465</v>
      </c>
      <c r="Q518" s="8">
        <v>339533</v>
      </c>
      <c r="U518" s="8">
        <v>21885</v>
      </c>
      <c r="W518" s="8">
        <f>424434+529257+111446</f>
        <v>1065137</v>
      </c>
      <c r="Y518" s="3">
        <f t="shared" si="41"/>
        <v>42869957</v>
      </c>
      <c r="AK518" s="8">
        <f t="shared" si="44"/>
        <v>0</v>
      </c>
      <c r="AM518" s="8">
        <f t="shared" si="43"/>
        <v>42869957</v>
      </c>
    </row>
    <row r="519" spans="1:40">
      <c r="A519" s="12" t="s">
        <v>862</v>
      </c>
      <c r="B519" s="12"/>
      <c r="C519" s="12" t="s">
        <v>17</v>
      </c>
      <c r="D519" s="12"/>
      <c r="E519" s="32"/>
      <c r="G519" s="8">
        <v>22559480</v>
      </c>
      <c r="I519" s="8">
        <v>0</v>
      </c>
      <c r="K519" s="8">
        <v>50035099</v>
      </c>
      <c r="M519" s="8">
        <v>399298</v>
      </c>
      <c r="O519" s="8">
        <v>848443</v>
      </c>
      <c r="Q519" s="8">
        <v>40974</v>
      </c>
      <c r="S519" s="8">
        <v>0</v>
      </c>
      <c r="U519" s="8">
        <v>0</v>
      </c>
      <c r="W519" s="8">
        <f>294491+19912+4</f>
        <v>314407</v>
      </c>
      <c r="Y519" s="3">
        <f t="shared" si="41"/>
        <v>74197701</v>
      </c>
      <c r="AA519" s="8">
        <v>0</v>
      </c>
      <c r="AE519" s="8">
        <v>0</v>
      </c>
      <c r="AG519" s="8">
        <v>0</v>
      </c>
      <c r="AK519" s="8">
        <f t="shared" si="44"/>
        <v>0</v>
      </c>
      <c r="AM519" s="8">
        <f t="shared" si="43"/>
        <v>74197701</v>
      </c>
    </row>
    <row r="520" spans="1:40">
      <c r="A520" s="12" t="s">
        <v>500</v>
      </c>
      <c r="B520" s="13"/>
      <c r="C520" s="13" t="s">
        <v>117</v>
      </c>
      <c r="D520" s="13"/>
      <c r="E520" s="32">
        <v>48223</v>
      </c>
      <c r="G520" s="8">
        <v>23267044</v>
      </c>
      <c r="I520" s="8">
        <v>0</v>
      </c>
      <c r="K520" s="8">
        <v>9225680</v>
      </c>
      <c r="M520" s="8">
        <v>113674</v>
      </c>
      <c r="O520" s="8">
        <v>1103350</v>
      </c>
      <c r="Q520" s="8">
        <v>0</v>
      </c>
      <c r="S520" s="8">
        <v>0</v>
      </c>
      <c r="U520" s="8">
        <v>7050</v>
      </c>
      <c r="W520" s="8">
        <f>133156+35391+38693</f>
        <v>207240</v>
      </c>
      <c r="Y520" s="3">
        <f t="shared" si="41"/>
        <v>33924038</v>
      </c>
      <c r="AA520" s="8">
        <v>0</v>
      </c>
      <c r="AE520" s="8">
        <v>0</v>
      </c>
      <c r="AG520" s="8">
        <v>1750</v>
      </c>
      <c r="AK520" s="8">
        <f t="shared" si="44"/>
        <v>1750</v>
      </c>
      <c r="AM520" s="8">
        <f t="shared" si="43"/>
        <v>33925788</v>
      </c>
      <c r="AN520" s="15" t="s">
        <v>905</v>
      </c>
    </row>
    <row r="521" spans="1:40">
      <c r="A521" s="13" t="s">
        <v>500</v>
      </c>
      <c r="B521" s="13"/>
      <c r="C521" s="13" t="s">
        <v>45</v>
      </c>
      <c r="D521" s="13"/>
      <c r="E521" s="13">
        <v>48371</v>
      </c>
      <c r="G521" s="8">
        <v>2700984</v>
      </c>
      <c r="I521" s="8">
        <v>1673500</v>
      </c>
      <c r="K521" s="8">
        <v>5246540</v>
      </c>
      <c r="M521" s="8">
        <v>51902</v>
      </c>
      <c r="O521" s="8">
        <v>4280</v>
      </c>
      <c r="Q521" s="8">
        <v>0</v>
      </c>
      <c r="S521" s="8">
        <v>0</v>
      </c>
      <c r="U521" s="8">
        <v>3500</v>
      </c>
      <c r="W521" s="8">
        <f>28415+345+5000+24541</f>
        <v>58301</v>
      </c>
      <c r="Y521" s="3">
        <f t="shared" si="41"/>
        <v>9739007</v>
      </c>
      <c r="AA521" s="8">
        <v>0</v>
      </c>
      <c r="AE521" s="8">
        <v>0</v>
      </c>
      <c r="AG521" s="8">
        <v>0</v>
      </c>
      <c r="AK521" s="8">
        <f t="shared" si="44"/>
        <v>0</v>
      </c>
      <c r="AM521" s="8">
        <f t="shared" si="43"/>
        <v>9739007</v>
      </c>
    </row>
    <row r="522" spans="1:40">
      <c r="A522" s="13" t="s">
        <v>500</v>
      </c>
      <c r="B522" s="13"/>
      <c r="C522" s="13" t="s">
        <v>63</v>
      </c>
      <c r="D522" s="13"/>
      <c r="E522" s="13">
        <v>50062</v>
      </c>
      <c r="G522" s="8">
        <v>11368341</v>
      </c>
      <c r="I522" s="8">
        <v>0</v>
      </c>
      <c r="K522" s="8">
        <v>10913035</v>
      </c>
      <c r="M522" s="8">
        <v>36515</v>
      </c>
      <c r="O522" s="8">
        <v>1856696</v>
      </c>
      <c r="Q522" s="8">
        <v>0</v>
      </c>
      <c r="S522" s="8">
        <v>0</v>
      </c>
      <c r="U522" s="8">
        <v>78735</v>
      </c>
      <c r="W522" s="8">
        <f>20522+44197</f>
        <v>64719</v>
      </c>
      <c r="Y522" s="3">
        <f t="shared" si="41"/>
        <v>24318041</v>
      </c>
      <c r="AA522" s="8">
        <v>0</v>
      </c>
      <c r="AE522" s="8">
        <v>0</v>
      </c>
      <c r="AG522" s="8">
        <v>3424</v>
      </c>
      <c r="AK522" s="8">
        <f t="shared" si="44"/>
        <v>3424</v>
      </c>
      <c r="AM522" s="8">
        <f t="shared" si="43"/>
        <v>24321465</v>
      </c>
    </row>
    <row r="523" spans="1:40">
      <c r="A523" s="13" t="s">
        <v>871</v>
      </c>
      <c r="B523" s="13"/>
      <c r="C523" s="13" t="s">
        <v>32</v>
      </c>
      <c r="D523" s="13"/>
      <c r="E523" s="32">
        <v>44719</v>
      </c>
      <c r="G523" s="8">
        <v>5452044</v>
      </c>
      <c r="I523" s="8">
        <v>0</v>
      </c>
      <c r="K523" s="8">
        <v>5247365</v>
      </c>
      <c r="M523" s="8">
        <v>55190</v>
      </c>
      <c r="O523" s="8">
        <v>50601</v>
      </c>
      <c r="Q523" s="8">
        <v>0</v>
      </c>
      <c r="S523" s="8">
        <v>0</v>
      </c>
      <c r="U523" s="8">
        <v>0</v>
      </c>
      <c r="W523" s="8">
        <v>237574</v>
      </c>
      <c r="Y523" s="3">
        <f t="shared" si="41"/>
        <v>11042774</v>
      </c>
      <c r="AA523" s="8">
        <v>0</v>
      </c>
      <c r="AE523" s="8">
        <v>0</v>
      </c>
      <c r="AG523" s="8">
        <v>0</v>
      </c>
      <c r="AK523" s="8">
        <f t="shared" si="44"/>
        <v>0</v>
      </c>
      <c r="AM523" s="8">
        <f t="shared" si="43"/>
        <v>11042774</v>
      </c>
    </row>
    <row r="524" spans="1:40">
      <c r="A524" s="13" t="s">
        <v>870</v>
      </c>
      <c r="B524" s="13"/>
      <c r="C524" s="13" t="s">
        <v>15</v>
      </c>
      <c r="D524" s="13"/>
      <c r="E524" s="32">
        <v>45997</v>
      </c>
      <c r="F524" s="11"/>
      <c r="G524" s="8">
        <v>6123882</v>
      </c>
      <c r="I524" s="8">
        <v>0</v>
      </c>
      <c r="K524" s="8">
        <v>4987035</v>
      </c>
      <c r="M524" s="8">
        <v>47059</v>
      </c>
      <c r="O524" s="8">
        <v>1010931</v>
      </c>
      <c r="Q524" s="8">
        <v>0</v>
      </c>
      <c r="S524" s="8">
        <v>0</v>
      </c>
      <c r="U524" s="8">
        <v>6143</v>
      </c>
      <c r="W524" s="8">
        <f>112366+61295</f>
        <v>173661</v>
      </c>
      <c r="Y524" s="3">
        <f t="shared" si="41"/>
        <v>12348711</v>
      </c>
      <c r="AA524" s="8">
        <v>0</v>
      </c>
      <c r="AE524" s="8">
        <v>0</v>
      </c>
      <c r="AG524" s="8">
        <v>0</v>
      </c>
      <c r="AK524" s="8">
        <f t="shared" si="44"/>
        <v>0</v>
      </c>
      <c r="AM524" s="8">
        <f t="shared" si="43"/>
        <v>12348711</v>
      </c>
    </row>
    <row r="525" spans="1:40" hidden="1">
      <c r="A525" s="12" t="s">
        <v>1038</v>
      </c>
      <c r="B525" s="13"/>
      <c r="C525" s="13" t="s">
        <v>534</v>
      </c>
      <c r="D525" s="13"/>
      <c r="E525" s="32">
        <v>48587</v>
      </c>
      <c r="G525" s="8">
        <v>2246146</v>
      </c>
      <c r="K525" s="8">
        <v>5934191</v>
      </c>
      <c r="M525" s="8">
        <v>55336</v>
      </c>
      <c r="O525" s="8">
        <v>108955</v>
      </c>
      <c r="S525" s="8">
        <v>37913</v>
      </c>
      <c r="U525" s="8">
        <v>10350</v>
      </c>
      <c r="W525" s="8">
        <f>9392+7323</f>
        <v>16715</v>
      </c>
      <c r="Y525" s="3">
        <f t="shared" si="41"/>
        <v>8409606</v>
      </c>
      <c r="AK525" s="8">
        <f t="shared" si="44"/>
        <v>0</v>
      </c>
      <c r="AM525" s="8">
        <f t="shared" si="43"/>
        <v>8409606</v>
      </c>
    </row>
    <row r="526" spans="1:40" hidden="1">
      <c r="A526" s="12" t="s">
        <v>1039</v>
      </c>
      <c r="B526" s="13"/>
      <c r="C526" s="13" t="s">
        <v>14</v>
      </c>
      <c r="D526" s="13"/>
      <c r="E526" s="32">
        <v>44727</v>
      </c>
      <c r="F526" s="11"/>
      <c r="G526" s="8">
        <v>6188817</v>
      </c>
      <c r="K526" s="8">
        <v>12315666</v>
      </c>
      <c r="M526" s="8">
        <v>119955</v>
      </c>
      <c r="O526" s="8">
        <v>691191</v>
      </c>
      <c r="U526" s="8">
        <v>1200</v>
      </c>
      <c r="W526" s="8">
        <v>193130</v>
      </c>
      <c r="Y526" s="3">
        <f t="shared" si="41"/>
        <v>19509959</v>
      </c>
      <c r="AK526" s="8">
        <f t="shared" si="44"/>
        <v>0</v>
      </c>
      <c r="AM526" s="8">
        <f t="shared" si="43"/>
        <v>19509959</v>
      </c>
    </row>
    <row r="527" spans="1:40">
      <c r="A527" s="13" t="s">
        <v>452</v>
      </c>
      <c r="B527" s="13"/>
      <c r="C527" s="13" t="s">
        <v>39</v>
      </c>
      <c r="D527" s="13"/>
      <c r="E527" s="32">
        <v>44826</v>
      </c>
      <c r="G527" s="8">
        <v>3234381</v>
      </c>
      <c r="I527" s="8">
        <v>0</v>
      </c>
      <c r="K527" s="8">
        <v>11096174</v>
      </c>
      <c r="M527" s="8">
        <v>137137</v>
      </c>
      <c r="O527" s="8">
        <v>2748498</v>
      </c>
      <c r="Q527" s="8">
        <v>0</v>
      </c>
      <c r="S527" s="8">
        <v>0</v>
      </c>
      <c r="U527" s="8">
        <v>1722</v>
      </c>
      <c r="W527" s="8">
        <f>81074+4578</f>
        <v>85652</v>
      </c>
      <c r="Y527" s="3">
        <f t="shared" si="41"/>
        <v>17303564</v>
      </c>
      <c r="AA527" s="8">
        <v>0</v>
      </c>
      <c r="AE527" s="8">
        <v>0</v>
      </c>
      <c r="AG527" s="8">
        <v>6415</v>
      </c>
      <c r="AK527" s="8">
        <f t="shared" si="44"/>
        <v>6415</v>
      </c>
      <c r="AM527" s="8">
        <f t="shared" si="43"/>
        <v>17309979</v>
      </c>
    </row>
    <row r="528" spans="1:40">
      <c r="A528" s="13" t="s">
        <v>671</v>
      </c>
      <c r="B528" s="13"/>
      <c r="C528" s="13" t="s">
        <v>63</v>
      </c>
      <c r="D528" s="13"/>
      <c r="E528" s="32">
        <v>44834</v>
      </c>
      <c r="G528" s="8">
        <v>29624284</v>
      </c>
      <c r="I528" s="8">
        <v>0</v>
      </c>
      <c r="K528" s="8">
        <f>24395+20523481+39000</f>
        <v>20586876</v>
      </c>
      <c r="M528" s="8">
        <v>270564</v>
      </c>
      <c r="O528" s="8">
        <v>1267229</v>
      </c>
      <c r="Q528" s="8">
        <v>233832</v>
      </c>
      <c r="S528" s="8">
        <v>0</v>
      </c>
      <c r="U528" s="8">
        <v>0</v>
      </c>
      <c r="W528" s="8">
        <v>304808</v>
      </c>
      <c r="Y528" s="3">
        <f t="shared" si="41"/>
        <v>52287593</v>
      </c>
      <c r="AA528" s="8">
        <v>0</v>
      </c>
      <c r="AE528" s="8">
        <v>0</v>
      </c>
      <c r="AG528" s="8">
        <v>0</v>
      </c>
      <c r="AK528" s="8">
        <f t="shared" si="44"/>
        <v>0</v>
      </c>
      <c r="AM528" s="8">
        <f t="shared" si="43"/>
        <v>52287593</v>
      </c>
    </row>
    <row r="529" spans="1:40" hidden="1">
      <c r="A529" s="13" t="s">
        <v>1040</v>
      </c>
      <c r="B529" s="13"/>
      <c r="C529" s="13" t="s">
        <v>65</v>
      </c>
      <c r="D529" s="13"/>
      <c r="E529" s="32">
        <v>50294</v>
      </c>
      <c r="Y529" s="3">
        <f t="shared" si="41"/>
        <v>0</v>
      </c>
      <c r="AK529" s="8">
        <f t="shared" si="44"/>
        <v>0</v>
      </c>
      <c r="AM529" s="8">
        <f t="shared" si="43"/>
        <v>0</v>
      </c>
      <c r="AN529" s="8" t="s">
        <v>967</v>
      </c>
    </row>
    <row r="530" spans="1:40">
      <c r="A530" s="13" t="s">
        <v>595</v>
      </c>
      <c r="B530" s="13"/>
      <c r="C530" s="13" t="s">
        <v>56</v>
      </c>
      <c r="D530" s="13"/>
      <c r="E530" s="32">
        <v>49239</v>
      </c>
      <c r="G530" s="8">
        <v>13234111</v>
      </c>
      <c r="I530" s="8">
        <v>0</v>
      </c>
      <c r="K530" s="8">
        <v>7823004</v>
      </c>
      <c r="M530" s="8">
        <v>44683</v>
      </c>
      <c r="O530" s="8">
        <v>188416</v>
      </c>
      <c r="Q530" s="8">
        <v>95511</v>
      </c>
      <c r="S530" s="8">
        <v>203403</v>
      </c>
      <c r="U530" s="8">
        <v>0</v>
      </c>
      <c r="W530" s="8">
        <f>221381+1074</f>
        <v>222455</v>
      </c>
      <c r="Y530" s="3">
        <f t="shared" si="41"/>
        <v>21811583</v>
      </c>
      <c r="AA530" s="8">
        <v>0</v>
      </c>
      <c r="AE530" s="8">
        <v>0</v>
      </c>
      <c r="AG530" s="8">
        <v>0</v>
      </c>
      <c r="AK530" s="8">
        <f t="shared" si="44"/>
        <v>0</v>
      </c>
      <c r="AM530" s="8">
        <f t="shared" si="43"/>
        <v>21811583</v>
      </c>
    </row>
    <row r="531" spans="1:40">
      <c r="A531" s="13" t="s">
        <v>323</v>
      </c>
      <c r="B531" s="13"/>
      <c r="C531" s="13" t="s">
        <v>20</v>
      </c>
      <c r="D531" s="13"/>
      <c r="E531" s="32">
        <v>44842</v>
      </c>
      <c r="G531" s="8">
        <v>51869445</v>
      </c>
      <c r="I531" s="8">
        <v>0</v>
      </c>
      <c r="K531" s="8">
        <v>21394191</v>
      </c>
      <c r="M531" s="8">
        <v>210862</v>
      </c>
      <c r="O531" s="8">
        <v>314446</v>
      </c>
      <c r="Q531" s="8">
        <v>0</v>
      </c>
      <c r="S531" s="8">
        <v>0</v>
      </c>
      <c r="U531" s="8">
        <v>0</v>
      </c>
      <c r="W531" s="8">
        <v>544936</v>
      </c>
      <c r="Y531" s="3">
        <f t="shared" si="41"/>
        <v>74333880</v>
      </c>
      <c r="AA531" s="8">
        <v>0</v>
      </c>
      <c r="AE531" s="8">
        <v>0</v>
      </c>
      <c r="AG531" s="8">
        <v>21739</v>
      </c>
      <c r="AK531" s="8">
        <f t="shared" si="44"/>
        <v>21739</v>
      </c>
      <c r="AM531" s="8">
        <f t="shared" si="43"/>
        <v>74355619</v>
      </c>
    </row>
    <row r="532" spans="1:40">
      <c r="A532" s="13" t="s">
        <v>517</v>
      </c>
      <c r="B532" s="13"/>
      <c r="C532" s="13" t="s">
        <v>45</v>
      </c>
      <c r="D532" s="13"/>
      <c r="E532" s="32">
        <v>44859</v>
      </c>
      <c r="G532" s="8">
        <v>4406194</v>
      </c>
      <c r="I532" s="8">
        <v>0</v>
      </c>
      <c r="K532" s="8">
        <v>10517397</v>
      </c>
      <c r="M532" s="8">
        <v>57688</v>
      </c>
      <c r="O532" s="8">
        <v>1115064</v>
      </c>
      <c r="Q532" s="8">
        <v>0</v>
      </c>
      <c r="S532" s="8">
        <v>0</v>
      </c>
      <c r="U532" s="8">
        <v>500</v>
      </c>
      <c r="W532" s="8">
        <f>59566+18517</f>
        <v>78083</v>
      </c>
      <c r="Y532" s="3">
        <f t="shared" si="41"/>
        <v>16174926</v>
      </c>
      <c r="AA532" s="8">
        <v>0</v>
      </c>
      <c r="AE532" s="8">
        <v>0</v>
      </c>
      <c r="AG532" s="8">
        <v>0</v>
      </c>
      <c r="AK532" s="8">
        <f t="shared" si="44"/>
        <v>0</v>
      </c>
      <c r="AM532" s="8">
        <f t="shared" si="43"/>
        <v>16174926</v>
      </c>
    </row>
    <row r="533" spans="1:40">
      <c r="A533" s="13" t="s">
        <v>732</v>
      </c>
      <c r="B533" s="13"/>
      <c r="C533" s="13" t="s">
        <v>727</v>
      </c>
      <c r="D533" s="13"/>
      <c r="E533" s="32">
        <v>50658</v>
      </c>
      <c r="G533" s="8">
        <v>1111374</v>
      </c>
      <c r="I533" s="8">
        <v>634390</v>
      </c>
      <c r="K533" s="8">
        <v>2386807</v>
      </c>
      <c r="M533" s="8">
        <v>27742</v>
      </c>
      <c r="O533" s="8">
        <v>158744</v>
      </c>
      <c r="Q533" s="8">
        <v>0</v>
      </c>
      <c r="S533" s="8">
        <v>0</v>
      </c>
      <c r="U533" s="8">
        <v>3433</v>
      </c>
      <c r="W533" s="8">
        <v>77003</v>
      </c>
      <c r="Y533" s="3">
        <f t="shared" si="41"/>
        <v>4399493</v>
      </c>
      <c r="AA533" s="8">
        <v>0</v>
      </c>
      <c r="AE533" s="8">
        <v>71735</v>
      </c>
      <c r="AG533" s="8">
        <v>0</v>
      </c>
      <c r="AK533" s="8">
        <f t="shared" si="44"/>
        <v>71735</v>
      </c>
      <c r="AM533" s="8">
        <f t="shared" si="43"/>
        <v>4471228</v>
      </c>
    </row>
    <row r="534" spans="1:40">
      <c r="A534" s="13" t="s">
        <v>387</v>
      </c>
      <c r="B534" s="13"/>
      <c r="C534" s="13" t="s">
        <v>116</v>
      </c>
      <c r="D534" s="13"/>
      <c r="E534" s="32">
        <v>47274</v>
      </c>
      <c r="G534" s="8">
        <v>12883907</v>
      </c>
      <c r="I534" s="8">
        <v>0</v>
      </c>
      <c r="K534" s="8">
        <v>8292562</v>
      </c>
      <c r="M534" s="8">
        <v>25576</v>
      </c>
      <c r="O534" s="8">
        <v>389520</v>
      </c>
      <c r="Q534" s="8">
        <v>0</v>
      </c>
      <c r="S534" s="8">
        <v>0</v>
      </c>
      <c r="U534" s="8">
        <v>0</v>
      </c>
      <c r="W534" s="8">
        <v>224828</v>
      </c>
      <c r="Y534" s="3">
        <f t="shared" si="41"/>
        <v>21816393</v>
      </c>
      <c r="AA534" s="8">
        <v>0</v>
      </c>
      <c r="AE534" s="8">
        <v>134332</v>
      </c>
      <c r="AG534" s="8">
        <v>0</v>
      </c>
      <c r="AK534" s="8">
        <f t="shared" si="44"/>
        <v>134332</v>
      </c>
      <c r="AM534" s="8">
        <f t="shared" si="43"/>
        <v>21950725</v>
      </c>
    </row>
    <row r="535" spans="1:40">
      <c r="A535" s="13" t="s">
        <v>373</v>
      </c>
      <c r="B535" s="13"/>
      <c r="C535" s="13" t="s">
        <v>28</v>
      </c>
      <c r="D535" s="13"/>
      <c r="E535" s="32">
        <v>47092</v>
      </c>
      <c r="G535" s="8">
        <v>5410207</v>
      </c>
      <c r="I535" s="8">
        <v>2328174</v>
      </c>
      <c r="K535" s="8">
        <v>5534046</v>
      </c>
      <c r="M535" s="8">
        <v>319595</v>
      </c>
      <c r="O535" s="8">
        <v>656162</v>
      </c>
      <c r="Q535" s="8">
        <v>0</v>
      </c>
      <c r="S535" s="8">
        <v>0</v>
      </c>
      <c r="U535" s="8">
        <v>11663</v>
      </c>
      <c r="W535" s="8">
        <v>116398</v>
      </c>
      <c r="Y535" s="3">
        <f t="shared" si="41"/>
        <v>14376245</v>
      </c>
      <c r="AA535" s="8">
        <v>0</v>
      </c>
      <c r="AE535" s="8">
        <v>0</v>
      </c>
      <c r="AG535" s="8">
        <v>0</v>
      </c>
      <c r="AK535" s="8">
        <f t="shared" si="44"/>
        <v>0</v>
      </c>
      <c r="AM535" s="8">
        <f t="shared" si="43"/>
        <v>14376245</v>
      </c>
    </row>
    <row r="536" spans="1:40">
      <c r="A536" s="13" t="s">
        <v>861</v>
      </c>
      <c r="B536" s="13"/>
      <c r="C536" s="13" t="s">
        <v>49</v>
      </c>
      <c r="D536" s="13"/>
      <c r="E536" s="32">
        <v>48652</v>
      </c>
      <c r="G536" s="8">
        <v>6667725</v>
      </c>
      <c r="I536" s="8">
        <v>0</v>
      </c>
      <c r="K536" s="8">
        <v>14551079</v>
      </c>
      <c r="M536" s="8">
        <v>24049</v>
      </c>
      <c r="O536" s="8">
        <v>187719</v>
      </c>
      <c r="Q536" s="8">
        <v>5600</v>
      </c>
      <c r="S536" s="8">
        <v>0</v>
      </c>
      <c r="U536" s="8">
        <v>6600</v>
      </c>
      <c r="W536" s="8">
        <f>95870+325</f>
        <v>96195</v>
      </c>
      <c r="Y536" s="3">
        <f t="shared" si="41"/>
        <v>21538967</v>
      </c>
      <c r="AA536" s="8">
        <v>0</v>
      </c>
      <c r="AE536" s="8">
        <v>0</v>
      </c>
      <c r="AG536" s="8">
        <v>1138</v>
      </c>
      <c r="AK536" s="8">
        <f t="shared" si="44"/>
        <v>1138</v>
      </c>
      <c r="AM536" s="8">
        <f t="shared" si="43"/>
        <v>21540105</v>
      </c>
    </row>
    <row r="537" spans="1:40">
      <c r="A537" s="13" t="s">
        <v>409</v>
      </c>
      <c r="B537" s="13"/>
      <c r="C537" s="13" t="s">
        <v>32</v>
      </c>
      <c r="D537" s="13"/>
      <c r="E537" s="32">
        <v>44867</v>
      </c>
      <c r="G537" s="8">
        <v>56887832</v>
      </c>
      <c r="I537" s="8">
        <v>0</v>
      </c>
      <c r="K537" s="8">
        <v>17598983</v>
      </c>
      <c r="M537" s="8">
        <v>1308555</v>
      </c>
      <c r="O537" s="8">
        <v>838806</v>
      </c>
      <c r="Q537" s="8">
        <v>0</v>
      </c>
      <c r="S537" s="8">
        <v>0</v>
      </c>
      <c r="U537" s="8">
        <v>0</v>
      </c>
      <c r="W537" s="8">
        <f>37234+304167</f>
        <v>341401</v>
      </c>
      <c r="Y537" s="3">
        <f t="shared" si="41"/>
        <v>76975577</v>
      </c>
      <c r="AA537" s="8">
        <v>0</v>
      </c>
      <c r="AE537" s="8">
        <v>0</v>
      </c>
      <c r="AG537" s="8">
        <v>195</v>
      </c>
      <c r="AK537" s="8">
        <f t="shared" si="44"/>
        <v>195</v>
      </c>
      <c r="AM537" s="8">
        <f t="shared" si="43"/>
        <v>76975772</v>
      </c>
    </row>
    <row r="538" spans="1:40">
      <c r="A538" s="13" t="s">
        <v>501</v>
      </c>
      <c r="B538" s="13"/>
      <c r="C538" s="13" t="s">
        <v>117</v>
      </c>
      <c r="D538" s="13"/>
      <c r="E538" s="32">
        <v>44875</v>
      </c>
      <c r="G538" s="8">
        <v>49842324</v>
      </c>
      <c r="I538" s="8">
        <v>0</v>
      </c>
      <c r="K538" s="8">
        <v>24712551</v>
      </c>
      <c r="M538" s="8">
        <v>470430</v>
      </c>
      <c r="O538" s="8">
        <v>623148</v>
      </c>
      <c r="Q538" s="8">
        <v>0</v>
      </c>
      <c r="S538" s="8">
        <v>0</v>
      </c>
      <c r="U538" s="8">
        <v>30081</v>
      </c>
      <c r="W538" s="8">
        <f>408682+31442+59104+167857+33327</f>
        <v>700412</v>
      </c>
      <c r="Y538" s="3">
        <f t="shared" si="41"/>
        <v>76378946</v>
      </c>
      <c r="AA538" s="8">
        <v>0</v>
      </c>
      <c r="AE538" s="8">
        <v>25674</v>
      </c>
      <c r="AG538" s="8">
        <v>0</v>
      </c>
      <c r="AK538" s="8">
        <f t="shared" si="44"/>
        <v>25674</v>
      </c>
      <c r="AM538" s="8">
        <f t="shared" si="43"/>
        <v>76404620</v>
      </c>
    </row>
    <row r="539" spans="1:40">
      <c r="A539" s="13" t="s">
        <v>472</v>
      </c>
      <c r="B539" s="13"/>
      <c r="C539" s="13" t="s">
        <v>466</v>
      </c>
      <c r="D539" s="13"/>
      <c r="E539" s="32">
        <v>47969</v>
      </c>
      <c r="G539" s="8">
        <v>865207</v>
      </c>
      <c r="I539" s="8">
        <v>0</v>
      </c>
      <c r="K539" s="8">
        <v>5752574</v>
      </c>
      <c r="M539" s="8">
        <v>151963</v>
      </c>
      <c r="O539" s="8">
        <v>525305</v>
      </c>
      <c r="Q539" s="8">
        <v>375</v>
      </c>
      <c r="S539" s="8">
        <v>0</v>
      </c>
      <c r="U539" s="8">
        <v>0</v>
      </c>
      <c r="W539" s="8">
        <v>11489</v>
      </c>
      <c r="Y539" s="3">
        <f t="shared" si="41"/>
        <v>7306913</v>
      </c>
      <c r="AA539" s="8">
        <v>0</v>
      </c>
      <c r="AE539" s="8">
        <v>0</v>
      </c>
      <c r="AG539" s="8">
        <v>0</v>
      </c>
      <c r="AK539" s="8">
        <f t="shared" si="44"/>
        <v>0</v>
      </c>
      <c r="AM539" s="8">
        <f t="shared" si="43"/>
        <v>7306913</v>
      </c>
      <c r="AN539" s="8" t="s">
        <v>956</v>
      </c>
    </row>
    <row r="540" spans="1:40">
      <c r="A540" s="12" t="s">
        <v>251</v>
      </c>
      <c r="B540" s="13"/>
      <c r="C540" s="13" t="s">
        <v>242</v>
      </c>
      <c r="D540" s="13"/>
      <c r="E540" s="32">
        <v>46151</v>
      </c>
      <c r="F540" s="11"/>
      <c r="G540" s="8">
        <v>17703613</v>
      </c>
      <c r="I540" s="8">
        <v>0</v>
      </c>
      <c r="K540" s="8">
        <v>11008493</v>
      </c>
      <c r="M540" s="8">
        <v>332787</v>
      </c>
      <c r="O540" s="8">
        <v>935425</v>
      </c>
      <c r="Q540" s="8">
        <v>0</v>
      </c>
      <c r="S540" s="8">
        <v>0</v>
      </c>
      <c r="U540" s="8">
        <v>0</v>
      </c>
      <c r="W540" s="8">
        <v>135773</v>
      </c>
      <c r="Y540" s="3">
        <f t="shared" ref="Y540:Y554" si="45">SUM(G540:X540)</f>
        <v>30116091</v>
      </c>
      <c r="AA540" s="8">
        <v>0</v>
      </c>
      <c r="AE540" s="8">
        <v>0</v>
      </c>
      <c r="AG540" s="8">
        <v>0</v>
      </c>
      <c r="AK540" s="8">
        <f t="shared" ref="AK540:AK576" si="46">SUM(AA540:AJ540)</f>
        <v>0</v>
      </c>
      <c r="AM540" s="8">
        <f t="shared" ref="AM540:AM554" si="47">+AK540+Y540</f>
        <v>30116091</v>
      </c>
      <c r="AN540" s="8" t="s">
        <v>905</v>
      </c>
    </row>
    <row r="541" spans="1:40">
      <c r="A541" s="13" t="s">
        <v>672</v>
      </c>
      <c r="B541" s="13"/>
      <c r="C541" s="13" t="s">
        <v>63</v>
      </c>
      <c r="D541" s="13"/>
      <c r="E541" s="32">
        <v>44883</v>
      </c>
      <c r="G541" s="8">
        <v>12114841</v>
      </c>
      <c r="I541" s="8">
        <v>0</v>
      </c>
      <c r="K541" s="8">
        <v>10874719</v>
      </c>
      <c r="M541" s="8">
        <v>157469</v>
      </c>
      <c r="O541" s="8">
        <v>403196</v>
      </c>
      <c r="Q541" s="8">
        <v>246470</v>
      </c>
      <c r="S541" s="8">
        <v>0</v>
      </c>
      <c r="U541" s="8">
        <v>0</v>
      </c>
      <c r="W541" s="8">
        <f>7620+10374</f>
        <v>17994</v>
      </c>
      <c r="Y541" s="3">
        <f t="shared" si="45"/>
        <v>23814689</v>
      </c>
      <c r="AA541" s="8">
        <v>0</v>
      </c>
      <c r="AE541" s="8">
        <v>0</v>
      </c>
      <c r="AG541" s="8">
        <v>0</v>
      </c>
      <c r="AK541" s="8">
        <f t="shared" si="46"/>
        <v>0</v>
      </c>
      <c r="AM541" s="8">
        <f t="shared" si="47"/>
        <v>23814689</v>
      </c>
    </row>
    <row r="542" spans="1:40">
      <c r="A542" s="13" t="s">
        <v>583</v>
      </c>
      <c r="B542" s="13"/>
      <c r="C542" s="13" t="s">
        <v>54</v>
      </c>
      <c r="D542" s="13"/>
      <c r="E542" s="32">
        <v>49098</v>
      </c>
      <c r="G542" s="8">
        <v>7070517</v>
      </c>
      <c r="I542" s="8">
        <v>2751211</v>
      </c>
      <c r="K542" s="8">
        <f>97095+17015696+135821</f>
        <v>17248612</v>
      </c>
      <c r="M542" s="8">
        <v>403940</v>
      </c>
      <c r="O542" s="8">
        <v>107823</v>
      </c>
      <c r="Q542" s="8">
        <v>0</v>
      </c>
      <c r="S542" s="8">
        <v>0</v>
      </c>
      <c r="U542" s="8">
        <v>0</v>
      </c>
      <c r="W542" s="8">
        <f>49738+13402+95345</f>
        <v>158485</v>
      </c>
      <c r="Y542" s="3">
        <f t="shared" si="45"/>
        <v>27740588</v>
      </c>
      <c r="AA542" s="8">
        <v>0</v>
      </c>
      <c r="AE542" s="8">
        <v>16850</v>
      </c>
      <c r="AG542" s="8">
        <v>0</v>
      </c>
      <c r="AK542" s="8">
        <f t="shared" si="46"/>
        <v>16850</v>
      </c>
      <c r="AM542" s="8">
        <f t="shared" si="47"/>
        <v>27757438</v>
      </c>
    </row>
    <row r="543" spans="1:40">
      <c r="A543" s="13" t="s">
        <v>265</v>
      </c>
      <c r="B543" s="13"/>
      <c r="C543" s="13" t="s">
        <v>17</v>
      </c>
      <c r="D543" s="13"/>
      <c r="E543" s="32">
        <v>46243</v>
      </c>
      <c r="F543" s="11"/>
      <c r="G543" s="8">
        <v>8398527</v>
      </c>
      <c r="I543" s="8">
        <v>0</v>
      </c>
      <c r="K543" s="8">
        <v>17300532</v>
      </c>
      <c r="M543" s="8">
        <v>111829</v>
      </c>
      <c r="O543" s="8">
        <v>1366293</v>
      </c>
      <c r="Q543" s="8">
        <v>0</v>
      </c>
      <c r="S543" s="8">
        <v>0</v>
      </c>
      <c r="U543" s="8">
        <v>0</v>
      </c>
      <c r="W543" s="8">
        <f>55636+17616+731</f>
        <v>73983</v>
      </c>
      <c r="Y543" s="3">
        <f t="shared" si="45"/>
        <v>27251164</v>
      </c>
      <c r="AA543" s="8">
        <v>0</v>
      </c>
      <c r="AE543" s="8">
        <v>0</v>
      </c>
      <c r="AG543" s="8">
        <v>0</v>
      </c>
      <c r="AK543" s="8">
        <f t="shared" si="46"/>
        <v>0</v>
      </c>
      <c r="AM543" s="8">
        <f t="shared" si="47"/>
        <v>27251164</v>
      </c>
    </row>
    <row r="544" spans="1:40">
      <c r="A544" s="13" t="s">
        <v>1064</v>
      </c>
      <c r="B544" s="13"/>
      <c r="C544" s="13" t="s">
        <v>32</v>
      </c>
      <c r="D544" s="13"/>
      <c r="E544" s="32">
        <v>47399</v>
      </c>
      <c r="G544" s="8">
        <v>12179923</v>
      </c>
      <c r="I544" s="8">
        <v>0</v>
      </c>
      <c r="K544" s="8">
        <v>7087004</v>
      </c>
      <c r="M544" s="8">
        <v>123643</v>
      </c>
      <c r="O544" s="8">
        <v>88280</v>
      </c>
      <c r="Q544" s="8">
        <v>1700</v>
      </c>
      <c r="S544" s="8">
        <v>0</v>
      </c>
      <c r="U544" s="8">
        <v>0</v>
      </c>
      <c r="W544" s="8">
        <f>50089+76790</f>
        <v>126879</v>
      </c>
      <c r="Y544" s="3">
        <f t="shared" si="45"/>
        <v>19607429</v>
      </c>
      <c r="AA544" s="8">
        <v>0</v>
      </c>
      <c r="AE544" s="8">
        <v>0</v>
      </c>
      <c r="AG544" s="8">
        <v>900</v>
      </c>
      <c r="AK544" s="8">
        <f t="shared" si="46"/>
        <v>900</v>
      </c>
      <c r="AM544" s="8">
        <f t="shared" si="47"/>
        <v>19608329</v>
      </c>
      <c r="AN544" s="8" t="s">
        <v>905</v>
      </c>
    </row>
    <row r="545" spans="1:40">
      <c r="A545" s="13" t="s">
        <v>640</v>
      </c>
      <c r="B545" s="13"/>
      <c r="C545" s="13" t="s">
        <v>60</v>
      </c>
      <c r="D545" s="13"/>
      <c r="E545" s="32">
        <v>44891</v>
      </c>
      <c r="G545" s="8">
        <v>8349147</v>
      </c>
      <c r="I545" s="8">
        <v>0</v>
      </c>
      <c r="K545" s="8">
        <v>12382768</v>
      </c>
      <c r="M545" s="8">
        <v>47593</v>
      </c>
      <c r="O545" s="8">
        <v>1233544</v>
      </c>
      <c r="Q545" s="8">
        <v>0</v>
      </c>
      <c r="S545" s="8">
        <v>136907</v>
      </c>
      <c r="U545" s="8">
        <v>0</v>
      </c>
      <c r="W545" s="8">
        <f>155015+510+69410</f>
        <v>224935</v>
      </c>
      <c r="Y545" s="3">
        <f t="shared" si="45"/>
        <v>22374894</v>
      </c>
      <c r="AA545" s="8">
        <v>0</v>
      </c>
      <c r="AE545" s="8">
        <v>0</v>
      </c>
      <c r="AG545" s="8">
        <v>0</v>
      </c>
      <c r="AK545" s="8">
        <f t="shared" si="46"/>
        <v>0</v>
      </c>
      <c r="AM545" s="8">
        <f t="shared" si="47"/>
        <v>22374894</v>
      </c>
    </row>
    <row r="546" spans="1:40">
      <c r="A546" s="13" t="s">
        <v>541</v>
      </c>
      <c r="B546" s="13"/>
      <c r="C546" s="13" t="s">
        <v>48</v>
      </c>
      <c r="D546" s="13"/>
      <c r="E546" s="32">
        <v>45617</v>
      </c>
      <c r="G546" s="8">
        <v>7513782</v>
      </c>
      <c r="I546" s="8">
        <v>0</v>
      </c>
      <c r="K546" s="8">
        <v>9743452</v>
      </c>
      <c r="M546" s="8">
        <v>57849</v>
      </c>
      <c r="O546" s="8">
        <v>90060</v>
      </c>
      <c r="Q546" s="8">
        <v>0</v>
      </c>
      <c r="S546" s="8">
        <v>0</v>
      </c>
      <c r="U546" s="8">
        <v>0</v>
      </c>
      <c r="W546" s="8">
        <v>86876</v>
      </c>
      <c r="Y546" s="3">
        <f t="shared" si="45"/>
        <v>17492019</v>
      </c>
      <c r="AA546" s="8">
        <v>0</v>
      </c>
      <c r="AE546" s="8">
        <v>0</v>
      </c>
      <c r="AG546" s="8">
        <v>4555</v>
      </c>
      <c r="AK546" s="8">
        <f t="shared" si="46"/>
        <v>4555</v>
      </c>
      <c r="AM546" s="8">
        <f t="shared" si="47"/>
        <v>17496574</v>
      </c>
    </row>
    <row r="547" spans="1:40">
      <c r="A547" s="13" t="s">
        <v>502</v>
      </c>
      <c r="B547" s="13"/>
      <c r="C547" s="13" t="s">
        <v>117</v>
      </c>
      <c r="D547" s="13"/>
      <c r="E547" s="32">
        <v>44909</v>
      </c>
      <c r="G547" s="8">
        <v>89208383</v>
      </c>
      <c r="I547" s="8">
        <v>0</v>
      </c>
      <c r="K547" s="8">
        <f>201694496+2038956</f>
        <v>203733452</v>
      </c>
      <c r="M547" s="8">
        <v>968795</v>
      </c>
      <c r="O547" s="8">
        <v>2156496</v>
      </c>
      <c r="Q547" s="8">
        <v>0</v>
      </c>
      <c r="S547" s="8">
        <v>0</v>
      </c>
      <c r="U547" s="8">
        <v>0</v>
      </c>
      <c r="W547" s="8">
        <f>11716032+162939+809245</f>
        <v>12688216</v>
      </c>
      <c r="Y547" s="3">
        <f t="shared" si="45"/>
        <v>308755342</v>
      </c>
      <c r="AA547" s="8">
        <v>0</v>
      </c>
      <c r="AE547" s="8">
        <v>0</v>
      </c>
      <c r="AG547" s="8">
        <v>0</v>
      </c>
      <c r="AK547" s="8">
        <f t="shared" si="46"/>
        <v>0</v>
      </c>
      <c r="AM547" s="8">
        <f t="shared" si="47"/>
        <v>308755342</v>
      </c>
    </row>
    <row r="548" spans="1:40">
      <c r="A548" s="13" t="s">
        <v>1024</v>
      </c>
      <c r="B548" s="13"/>
      <c r="C548" s="13" t="s">
        <v>117</v>
      </c>
      <c r="D548" s="13"/>
      <c r="E548" s="32"/>
      <c r="G548" s="8">
        <v>0</v>
      </c>
      <c r="I548" s="8">
        <v>0</v>
      </c>
      <c r="K548" s="8">
        <v>351146</v>
      </c>
      <c r="M548" s="8">
        <v>19764</v>
      </c>
      <c r="O548" s="8">
        <v>191848</v>
      </c>
      <c r="Q548" s="8">
        <v>0</v>
      </c>
      <c r="S548" s="8">
        <v>0</v>
      </c>
      <c r="U548" s="8">
        <v>472159</v>
      </c>
      <c r="W548" s="8">
        <f>3567481+48284</f>
        <v>3615765</v>
      </c>
      <c r="Y548" s="3">
        <f t="shared" si="45"/>
        <v>4650682</v>
      </c>
      <c r="AA548" s="8">
        <v>0</v>
      </c>
      <c r="AE548" s="8">
        <v>0</v>
      </c>
      <c r="AG548" s="8">
        <v>0</v>
      </c>
      <c r="AK548" s="8">
        <f t="shared" si="46"/>
        <v>0</v>
      </c>
      <c r="AM548" s="8">
        <f t="shared" si="47"/>
        <v>4650682</v>
      </c>
    </row>
    <row r="549" spans="1:40">
      <c r="A549" s="13" t="s">
        <v>453</v>
      </c>
      <c r="B549" s="13"/>
      <c r="C549" s="13" t="s">
        <v>39</v>
      </c>
      <c r="D549" s="13"/>
      <c r="E549" s="13">
        <v>44917</v>
      </c>
      <c r="G549" s="8">
        <v>1476261</v>
      </c>
      <c r="I549" s="8">
        <v>0</v>
      </c>
      <c r="K549" s="8">
        <v>3917589</v>
      </c>
      <c r="M549" s="8">
        <v>84838</v>
      </c>
      <c r="O549" s="8">
        <v>22671</v>
      </c>
      <c r="Q549" s="8">
        <v>0</v>
      </c>
      <c r="S549" s="8">
        <v>0</v>
      </c>
      <c r="U549" s="8">
        <v>0</v>
      </c>
      <c r="W549" s="8">
        <v>114107</v>
      </c>
      <c r="Y549" s="3">
        <f t="shared" si="45"/>
        <v>5615466</v>
      </c>
      <c r="AA549" s="8">
        <v>0</v>
      </c>
      <c r="AE549" s="8">
        <v>72396</v>
      </c>
      <c r="AG549" s="8">
        <v>0</v>
      </c>
      <c r="AK549" s="8">
        <f t="shared" si="46"/>
        <v>72396</v>
      </c>
      <c r="AM549" s="8">
        <f t="shared" si="47"/>
        <v>5687862</v>
      </c>
      <c r="AN549" s="8" t="s">
        <v>905</v>
      </c>
    </row>
    <row r="550" spans="1:40">
      <c r="A550" s="13" t="s">
        <v>257</v>
      </c>
      <c r="B550" s="13"/>
      <c r="C550" s="13" t="s">
        <v>255</v>
      </c>
      <c r="D550" s="13"/>
      <c r="E550" s="13">
        <v>46201</v>
      </c>
      <c r="F550" s="11"/>
      <c r="G550" s="8">
        <v>1551140</v>
      </c>
      <c r="I550" s="8">
        <v>1668094</v>
      </c>
      <c r="K550" s="8">
        <v>5633608</v>
      </c>
      <c r="M550" s="8">
        <v>38268</v>
      </c>
      <c r="O550" s="8">
        <v>396656</v>
      </c>
      <c r="Q550" s="8">
        <v>22038</v>
      </c>
      <c r="S550" s="8">
        <v>0</v>
      </c>
      <c r="U550" s="8">
        <v>103</v>
      </c>
      <c r="W550" s="8">
        <f>6480+4077+32800</f>
        <v>43357</v>
      </c>
      <c r="Y550" s="3">
        <f t="shared" si="45"/>
        <v>9353264</v>
      </c>
      <c r="AA550" s="8">
        <v>0</v>
      </c>
      <c r="AE550" s="8">
        <v>0</v>
      </c>
      <c r="AG550" s="8">
        <v>0</v>
      </c>
      <c r="AK550" s="8">
        <f t="shared" si="46"/>
        <v>0</v>
      </c>
      <c r="AM550" s="8">
        <f t="shared" si="47"/>
        <v>9353264</v>
      </c>
    </row>
    <row r="551" spans="1:40">
      <c r="A551" s="13" t="s">
        <v>600</v>
      </c>
      <c r="B551" s="13"/>
      <c r="C551" s="13" t="s">
        <v>57</v>
      </c>
      <c r="D551" s="13"/>
      <c r="E551" s="32">
        <v>91397</v>
      </c>
      <c r="G551" s="8">
        <v>3590348</v>
      </c>
      <c r="I551" s="8">
        <v>0</v>
      </c>
      <c r="K551" s="8">
        <v>4647148</v>
      </c>
      <c r="M551" s="8">
        <v>160070</v>
      </c>
      <c r="O551" s="8">
        <v>88161</v>
      </c>
      <c r="Q551" s="8">
        <v>0</v>
      </c>
      <c r="S551" s="8">
        <v>0</v>
      </c>
      <c r="U551" s="8">
        <v>9510</v>
      </c>
      <c r="W551" s="8">
        <f>11312+8402</f>
        <v>19714</v>
      </c>
      <c r="Y551" s="3">
        <f t="shared" si="45"/>
        <v>8514951</v>
      </c>
      <c r="AA551" s="8">
        <v>0</v>
      </c>
      <c r="AE551" s="8">
        <v>0</v>
      </c>
      <c r="AG551" s="8">
        <v>0</v>
      </c>
      <c r="AK551" s="8">
        <f t="shared" si="46"/>
        <v>0</v>
      </c>
      <c r="AM551" s="8">
        <f t="shared" si="47"/>
        <v>8514951</v>
      </c>
    </row>
    <row r="552" spans="1:40">
      <c r="A552" s="13" t="s">
        <v>225</v>
      </c>
      <c r="B552" s="13"/>
      <c r="C552" s="13" t="s">
        <v>13</v>
      </c>
      <c r="D552" s="13"/>
      <c r="E552" s="32">
        <v>45922</v>
      </c>
      <c r="F552" s="11"/>
      <c r="G552" s="8">
        <v>760227</v>
      </c>
      <c r="I552" s="8">
        <v>5</v>
      </c>
      <c r="K552" s="8">
        <v>6268336</v>
      </c>
      <c r="M552" s="8">
        <v>5825</v>
      </c>
      <c r="O552" s="8">
        <v>513259</v>
      </c>
      <c r="Q552" s="8">
        <v>0</v>
      </c>
      <c r="S552" s="8">
        <v>0</v>
      </c>
      <c r="U552" s="8">
        <v>1000</v>
      </c>
      <c r="W552" s="8">
        <f>34230+523</f>
        <v>34753</v>
      </c>
      <c r="Y552" s="3">
        <f t="shared" si="45"/>
        <v>7583405</v>
      </c>
      <c r="AA552" s="8">
        <v>0</v>
      </c>
      <c r="AE552" s="8">
        <v>84203</v>
      </c>
      <c r="AG552" s="8">
        <v>0</v>
      </c>
      <c r="AK552" s="8">
        <f t="shared" si="46"/>
        <v>84203</v>
      </c>
      <c r="AM552" s="8">
        <f t="shared" si="47"/>
        <v>7667608</v>
      </c>
    </row>
    <row r="553" spans="1:40">
      <c r="A553" s="13" t="s">
        <v>566</v>
      </c>
      <c r="B553" s="13"/>
      <c r="C553" s="13" t="s">
        <v>51</v>
      </c>
      <c r="D553" s="13"/>
      <c r="E553" s="32">
        <v>48876</v>
      </c>
      <c r="G553" s="8">
        <v>6256072</v>
      </c>
      <c r="I553" s="8">
        <v>0</v>
      </c>
      <c r="K553" s="8">
        <v>17189020</v>
      </c>
      <c r="M553" s="8">
        <v>254384</v>
      </c>
      <c r="O553" s="8">
        <v>700112</v>
      </c>
      <c r="Q553" s="8">
        <v>62692</v>
      </c>
      <c r="S553" s="8">
        <v>24165</v>
      </c>
      <c r="U553" s="8">
        <v>25025</v>
      </c>
      <c r="W553" s="8">
        <f>96521+450</f>
        <v>96971</v>
      </c>
      <c r="Y553" s="3">
        <f t="shared" si="45"/>
        <v>24608441</v>
      </c>
      <c r="AA553" s="8">
        <v>0</v>
      </c>
      <c r="AE553" s="8">
        <v>0</v>
      </c>
      <c r="AG553" s="8">
        <v>9103</v>
      </c>
      <c r="AK553" s="8">
        <f t="shared" si="46"/>
        <v>9103</v>
      </c>
      <c r="AM553" s="8">
        <f t="shared" si="47"/>
        <v>24617544</v>
      </c>
    </row>
    <row r="554" spans="1:40" hidden="1">
      <c r="A554" s="12" t="s">
        <v>1018</v>
      </c>
      <c r="B554" s="13"/>
      <c r="C554" s="13" t="s">
        <v>21</v>
      </c>
      <c r="D554" s="13"/>
      <c r="E554" s="32">
        <v>46680</v>
      </c>
      <c r="G554" s="8">
        <v>1478488</v>
      </c>
      <c r="I554" s="8">
        <v>1079522</v>
      </c>
      <c r="K554" s="8">
        <v>3055731</v>
      </c>
      <c r="M554" s="8">
        <v>43392</v>
      </c>
      <c r="O554" s="8">
        <v>717487</v>
      </c>
      <c r="U554" s="8">
        <v>1900</v>
      </c>
      <c r="W554" s="8">
        <f>7578+229+543</f>
        <v>8350</v>
      </c>
      <c r="Y554" s="3">
        <f t="shared" si="45"/>
        <v>6384870</v>
      </c>
      <c r="AK554" s="8">
        <f t="shared" si="46"/>
        <v>0</v>
      </c>
      <c r="AM554" s="8">
        <f t="shared" si="47"/>
        <v>6384870</v>
      </c>
    </row>
    <row r="555" spans="1:40">
      <c r="A555" s="13" t="s">
        <v>725</v>
      </c>
      <c r="B555" s="13"/>
      <c r="C555" s="13" t="s">
        <v>71</v>
      </c>
      <c r="D555" s="13"/>
      <c r="E555" s="32">
        <v>50591</v>
      </c>
      <c r="G555" s="8">
        <v>6347262</v>
      </c>
      <c r="I555" s="8">
        <v>0</v>
      </c>
      <c r="K555" s="8">
        <f>139433+9365239</f>
        <v>9504672</v>
      </c>
      <c r="M555" s="8">
        <v>46511</v>
      </c>
      <c r="O555" s="8">
        <v>546491</v>
      </c>
      <c r="Q555" s="8">
        <v>0</v>
      </c>
      <c r="S555" s="8">
        <v>0</v>
      </c>
      <c r="U555" s="8">
        <v>0</v>
      </c>
      <c r="W555" s="8">
        <f>7870+607+82803</f>
        <v>91280</v>
      </c>
      <c r="Y555" s="3">
        <f t="shared" ref="Y555:Y599" si="48">SUM(G555:X555)</f>
        <v>16536216</v>
      </c>
      <c r="AA555" s="8">
        <v>0</v>
      </c>
      <c r="AE555" s="8">
        <v>0</v>
      </c>
      <c r="AG555" s="8">
        <v>0</v>
      </c>
      <c r="AK555" s="8">
        <f t="shared" si="46"/>
        <v>0</v>
      </c>
      <c r="AM555" s="8">
        <f t="shared" ref="AM555:AM580" si="49">+AK555+Y555</f>
        <v>16536216</v>
      </c>
    </row>
    <row r="556" spans="1:40">
      <c r="A556" s="13" t="s">
        <v>555</v>
      </c>
      <c r="B556" s="13"/>
      <c r="C556" s="13" t="s">
        <v>50</v>
      </c>
      <c r="D556" s="13"/>
      <c r="E556" s="32">
        <v>48694</v>
      </c>
      <c r="G556" s="8">
        <v>8271286</v>
      </c>
      <c r="I556" s="8">
        <v>0</v>
      </c>
      <c r="K556" s="8">
        <v>21588276</v>
      </c>
      <c r="M556" s="8">
        <v>244149</v>
      </c>
      <c r="O556" s="8">
        <v>836903</v>
      </c>
      <c r="Q556" s="8">
        <v>0</v>
      </c>
      <c r="S556" s="8">
        <v>50704</v>
      </c>
      <c r="U556" s="8">
        <v>0</v>
      </c>
      <c r="W556" s="8">
        <v>567676</v>
      </c>
      <c r="Y556" s="3">
        <f t="shared" si="48"/>
        <v>31558994</v>
      </c>
      <c r="AA556" s="8">
        <v>0</v>
      </c>
      <c r="AE556" s="8">
        <v>0</v>
      </c>
      <c r="AG556" s="8">
        <v>15341</v>
      </c>
      <c r="AK556" s="8">
        <f t="shared" si="46"/>
        <v>15341</v>
      </c>
      <c r="AM556" s="8">
        <f t="shared" si="49"/>
        <v>31574335</v>
      </c>
    </row>
    <row r="557" spans="1:40">
      <c r="A557" s="13" t="s">
        <v>542</v>
      </c>
      <c r="B557" s="13"/>
      <c r="C557" s="13" t="s">
        <v>48</v>
      </c>
      <c r="D557" s="13"/>
      <c r="E557" s="13">
        <v>44925</v>
      </c>
      <c r="G557" s="8">
        <v>23858418</v>
      </c>
      <c r="I557" s="8">
        <v>0</v>
      </c>
      <c r="K557" s="8">
        <v>16536613</v>
      </c>
      <c r="M557" s="8">
        <v>408666</v>
      </c>
      <c r="O557" s="8">
        <v>931738</v>
      </c>
      <c r="Q557" s="8">
        <v>27331</v>
      </c>
      <c r="S557" s="8">
        <v>0</v>
      </c>
      <c r="U557" s="8">
        <v>0</v>
      </c>
      <c r="W557" s="8">
        <v>80795</v>
      </c>
      <c r="Y557" s="3">
        <f t="shared" si="48"/>
        <v>41843561</v>
      </c>
      <c r="AA557" s="8">
        <v>0</v>
      </c>
      <c r="AE557" s="8">
        <v>0</v>
      </c>
      <c r="AG557" s="8">
        <v>0</v>
      </c>
      <c r="AK557" s="8">
        <f t="shared" si="46"/>
        <v>0</v>
      </c>
      <c r="AM557" s="8">
        <f t="shared" si="49"/>
        <v>41843561</v>
      </c>
    </row>
    <row r="558" spans="1:40">
      <c r="A558" s="13" t="s">
        <v>701</v>
      </c>
      <c r="B558" s="13"/>
      <c r="C558" s="13" t="s">
        <v>65</v>
      </c>
      <c r="D558" s="13"/>
      <c r="E558" s="32">
        <v>50302</v>
      </c>
      <c r="G558" s="8">
        <v>5035628</v>
      </c>
      <c r="I558" s="8">
        <v>0</v>
      </c>
      <c r="K558" s="8">
        <v>6656671</v>
      </c>
      <c r="M558" s="8">
        <v>36680</v>
      </c>
      <c r="O558" s="8">
        <v>354739</v>
      </c>
      <c r="Q558" s="8">
        <v>0</v>
      </c>
      <c r="S558" s="8">
        <v>0</v>
      </c>
      <c r="U558" s="8">
        <v>0</v>
      </c>
      <c r="W558" s="8">
        <f>11606+69343</f>
        <v>80949</v>
      </c>
      <c r="Y558" s="3">
        <f t="shared" si="48"/>
        <v>12164667</v>
      </c>
      <c r="AA558" s="8">
        <v>0</v>
      </c>
      <c r="AE558" s="8">
        <v>0</v>
      </c>
      <c r="AG558" s="8">
        <v>0</v>
      </c>
      <c r="AK558" s="8">
        <f t="shared" si="46"/>
        <v>0</v>
      </c>
      <c r="AM558" s="8">
        <f t="shared" si="49"/>
        <v>12164667</v>
      </c>
    </row>
    <row r="559" spans="1:40">
      <c r="A559" s="13" t="s">
        <v>661</v>
      </c>
      <c r="B559" s="13"/>
      <c r="C559" s="13" t="s">
        <v>62</v>
      </c>
      <c r="D559" s="13"/>
      <c r="E559" s="32">
        <v>49957</v>
      </c>
      <c r="G559" s="8">
        <v>3787959</v>
      </c>
      <c r="I559" s="8">
        <v>0</v>
      </c>
      <c r="K559" s="8">
        <v>6688336</v>
      </c>
      <c r="M559" s="8">
        <v>47955</v>
      </c>
      <c r="O559" s="8">
        <v>685140</v>
      </c>
      <c r="Q559" s="8">
        <v>0</v>
      </c>
      <c r="S559" s="8">
        <v>0</v>
      </c>
      <c r="U559" s="8">
        <v>0</v>
      </c>
      <c r="W559" s="8">
        <v>28950</v>
      </c>
      <c r="Y559" s="3">
        <f t="shared" si="48"/>
        <v>11238340</v>
      </c>
      <c r="AA559" s="8">
        <v>0</v>
      </c>
      <c r="AE559" s="8">
        <v>0</v>
      </c>
      <c r="AG559" s="8">
        <v>0</v>
      </c>
      <c r="AK559" s="8">
        <f t="shared" si="46"/>
        <v>0</v>
      </c>
      <c r="AM559" s="8">
        <f t="shared" si="49"/>
        <v>11238340</v>
      </c>
    </row>
    <row r="560" spans="1:40" hidden="1">
      <c r="A560" s="12" t="s">
        <v>1025</v>
      </c>
      <c r="B560" s="13"/>
      <c r="C560" s="13" t="s">
        <v>57</v>
      </c>
      <c r="D560" s="13"/>
      <c r="E560" s="32">
        <v>49296</v>
      </c>
      <c r="G560" s="8">
        <v>2236770</v>
      </c>
      <c r="I560" s="8">
        <v>789332</v>
      </c>
      <c r="K560" s="8">
        <v>4677290</v>
      </c>
      <c r="M560" s="8">
        <v>28982</v>
      </c>
      <c r="O560" s="8">
        <v>100862</v>
      </c>
      <c r="Q560" s="8">
        <v>56967</v>
      </c>
      <c r="W560" s="8">
        <f>28319+45613</f>
        <v>73932</v>
      </c>
      <c r="Y560" s="3">
        <f t="shared" si="48"/>
        <v>7964135</v>
      </c>
      <c r="AK560" s="8">
        <f t="shared" si="46"/>
        <v>0</v>
      </c>
      <c r="AM560" s="8">
        <f t="shared" si="49"/>
        <v>7964135</v>
      </c>
    </row>
    <row r="561" spans="1:39">
      <c r="A561" s="12"/>
      <c r="B561" s="13"/>
      <c r="C561" s="13"/>
      <c r="D561" s="13"/>
      <c r="E561" s="32"/>
      <c r="Y561" s="3"/>
    </row>
    <row r="562" spans="1:39">
      <c r="A562" s="12"/>
      <c r="B562" s="13"/>
      <c r="C562" s="13"/>
      <c r="D562" s="13"/>
      <c r="E562" s="32"/>
      <c r="Y562" s="3"/>
      <c r="AM562" s="8" t="s">
        <v>805</v>
      </c>
    </row>
    <row r="563" spans="1:39">
      <c r="A563" s="12"/>
      <c r="B563" s="13"/>
      <c r="C563" s="13"/>
      <c r="D563" s="13"/>
      <c r="E563" s="32"/>
      <c r="Y563" s="3"/>
    </row>
    <row r="564" spans="1:39">
      <c r="A564" s="13" t="s">
        <v>673</v>
      </c>
      <c r="B564" s="13"/>
      <c r="C564" s="13" t="s">
        <v>63</v>
      </c>
      <c r="D564" s="13"/>
      <c r="E564" s="32">
        <v>50070</v>
      </c>
      <c r="G564" s="35">
        <v>32999861</v>
      </c>
      <c r="H564" s="35"/>
      <c r="I564" s="35">
        <v>0</v>
      </c>
      <c r="J564" s="35"/>
      <c r="K564" s="35">
        <v>13537780</v>
      </c>
      <c r="L564" s="35"/>
      <c r="M564" s="35">
        <v>312289</v>
      </c>
      <c r="N564" s="35"/>
      <c r="O564" s="35">
        <v>395527</v>
      </c>
      <c r="P564" s="35"/>
      <c r="Q564" s="35">
        <v>0</v>
      </c>
      <c r="R564" s="35"/>
      <c r="S564" s="35">
        <v>50261</v>
      </c>
      <c r="T564" s="35"/>
      <c r="U564" s="35">
        <v>0</v>
      </c>
      <c r="V564" s="35"/>
      <c r="W564" s="35">
        <f>91808+44062</f>
        <v>135870</v>
      </c>
      <c r="X564" s="35"/>
      <c r="Y564" s="42">
        <f t="shared" si="48"/>
        <v>47431588</v>
      </c>
      <c r="Z564" s="35"/>
      <c r="AA564" s="35">
        <v>0</v>
      </c>
      <c r="AB564" s="35"/>
      <c r="AC564" s="35"/>
      <c r="AD564" s="35"/>
      <c r="AE564" s="35">
        <v>476349</v>
      </c>
      <c r="AF564" s="35"/>
      <c r="AG564" s="35">
        <v>0</v>
      </c>
      <c r="AH564" s="35"/>
      <c r="AI564" s="35"/>
      <c r="AJ564" s="35"/>
      <c r="AK564" s="35">
        <f t="shared" si="46"/>
        <v>476349</v>
      </c>
      <c r="AL564" s="35"/>
      <c r="AM564" s="35">
        <f t="shared" si="49"/>
        <v>47907937</v>
      </c>
    </row>
    <row r="565" spans="1:39">
      <c r="A565" s="13" t="s">
        <v>236</v>
      </c>
      <c r="B565" s="13"/>
      <c r="C565" s="13" t="s">
        <v>15</v>
      </c>
      <c r="D565" s="13"/>
      <c r="E565" s="32">
        <v>46011</v>
      </c>
      <c r="F565" s="11"/>
      <c r="G565" s="8">
        <v>2379115</v>
      </c>
      <c r="I565" s="8">
        <v>0</v>
      </c>
      <c r="K565" s="8">
        <v>8563077</v>
      </c>
      <c r="M565" s="8">
        <v>11002</v>
      </c>
      <c r="O565" s="8">
        <v>756116</v>
      </c>
      <c r="Q565" s="8">
        <v>0</v>
      </c>
      <c r="S565" s="8">
        <v>0</v>
      </c>
      <c r="U565" s="8">
        <v>6308</v>
      </c>
      <c r="W565" s="8">
        <f>46857+7398</f>
        <v>54255</v>
      </c>
      <c r="Y565" s="3">
        <f t="shared" si="48"/>
        <v>11769873</v>
      </c>
      <c r="AA565" s="8">
        <v>0</v>
      </c>
      <c r="AE565" s="8">
        <v>253000</v>
      </c>
      <c r="AG565" s="8">
        <v>0</v>
      </c>
      <c r="AK565" s="8">
        <f t="shared" si="46"/>
        <v>253000</v>
      </c>
      <c r="AM565" s="8">
        <f t="shared" si="49"/>
        <v>12022873</v>
      </c>
    </row>
    <row r="566" spans="1:39">
      <c r="A566" s="13" t="s">
        <v>620</v>
      </c>
      <c r="B566" s="13"/>
      <c r="C566" s="13" t="s">
        <v>58</v>
      </c>
      <c r="D566" s="13"/>
      <c r="E566" s="32">
        <v>49536</v>
      </c>
      <c r="G566" s="8">
        <v>3200118</v>
      </c>
      <c r="I566" s="8">
        <v>1095388</v>
      </c>
      <c r="K566" s="8">
        <v>9712076</v>
      </c>
      <c r="M566" s="8">
        <v>75653</v>
      </c>
      <c r="O566" s="8">
        <v>2055288</v>
      </c>
      <c r="Q566" s="8">
        <v>0</v>
      </c>
      <c r="S566" s="8">
        <v>0</v>
      </c>
      <c r="U566" s="8">
        <v>17500</v>
      </c>
      <c r="W566" s="8">
        <f>47651+16624+18828</f>
        <v>83103</v>
      </c>
      <c r="Y566" s="3">
        <f t="shared" si="48"/>
        <v>16239126</v>
      </c>
      <c r="AA566" s="8">
        <v>0</v>
      </c>
      <c r="AE566" s="8">
        <v>0</v>
      </c>
      <c r="AG566" s="8">
        <v>0</v>
      </c>
      <c r="AK566" s="8">
        <f t="shared" si="46"/>
        <v>0</v>
      </c>
      <c r="AM566" s="8">
        <f t="shared" si="49"/>
        <v>16239126</v>
      </c>
    </row>
    <row r="567" spans="1:39">
      <c r="A567" s="13" t="s">
        <v>285</v>
      </c>
      <c r="B567" s="13"/>
      <c r="C567" s="13" t="s">
        <v>114</v>
      </c>
      <c r="D567" s="13"/>
      <c r="E567" s="32">
        <v>46458</v>
      </c>
      <c r="F567" s="11"/>
      <c r="G567" s="8">
        <v>2252417</v>
      </c>
      <c r="I567" s="8">
        <v>646790</v>
      </c>
      <c r="K567" s="8">
        <f>7228361+3823</f>
        <v>7232184</v>
      </c>
      <c r="M567" s="8">
        <v>227229</v>
      </c>
      <c r="O567" s="8">
        <v>515577</v>
      </c>
      <c r="Q567" s="8">
        <v>2550</v>
      </c>
      <c r="S567" s="8">
        <v>0</v>
      </c>
      <c r="U567" s="8">
        <v>0</v>
      </c>
      <c r="W567" s="8">
        <f>14948+22563+23324</f>
        <v>60835</v>
      </c>
      <c r="Y567" s="3">
        <f t="shared" si="48"/>
        <v>10937582</v>
      </c>
      <c r="AA567" s="8">
        <v>0</v>
      </c>
      <c r="AE567" s="8">
        <v>0</v>
      </c>
      <c r="AG567" s="8">
        <v>5001</v>
      </c>
      <c r="AK567" s="8">
        <f t="shared" si="46"/>
        <v>5001</v>
      </c>
      <c r="AM567" s="8">
        <f t="shared" si="49"/>
        <v>10942583</v>
      </c>
    </row>
    <row r="568" spans="1:39">
      <c r="A568" s="13" t="s">
        <v>364</v>
      </c>
      <c r="B568" s="13"/>
      <c r="C568" s="13" t="s">
        <v>27</v>
      </c>
      <c r="D568" s="13"/>
      <c r="E568" s="32">
        <v>44933</v>
      </c>
      <c r="G568" s="8">
        <v>65607013</v>
      </c>
      <c r="I568" s="8">
        <v>0</v>
      </c>
      <c r="K568" s="8">
        <f>14237449+20154</f>
        <v>14257603</v>
      </c>
      <c r="M568" s="8">
        <v>1066490</v>
      </c>
      <c r="O568" s="8">
        <v>118003</v>
      </c>
      <c r="Q568" s="8">
        <v>154398</v>
      </c>
      <c r="S568" s="8">
        <v>0</v>
      </c>
      <c r="U568" s="8">
        <v>0</v>
      </c>
      <c r="W568" s="8">
        <v>597539</v>
      </c>
      <c r="Y568" s="3">
        <f t="shared" si="48"/>
        <v>81801046</v>
      </c>
      <c r="AA568" s="8">
        <v>0</v>
      </c>
      <c r="AE568" s="8">
        <v>0</v>
      </c>
      <c r="AG568" s="8">
        <v>0</v>
      </c>
      <c r="AK568" s="8">
        <f t="shared" si="46"/>
        <v>0</v>
      </c>
      <c r="AM568" s="8">
        <f t="shared" si="49"/>
        <v>81801046</v>
      </c>
    </row>
    <row r="569" spans="1:39" hidden="1">
      <c r="A569" s="12" t="s">
        <v>1026</v>
      </c>
      <c r="B569" s="13"/>
      <c r="C569" s="13" t="s">
        <v>740</v>
      </c>
      <c r="D569" s="13"/>
      <c r="E569" s="32">
        <v>45625</v>
      </c>
      <c r="G569" s="8">
        <v>4170105</v>
      </c>
      <c r="I569" s="8">
        <v>2692233</v>
      </c>
      <c r="K569" s="8">
        <v>7111159</v>
      </c>
      <c r="M569" s="8">
        <v>47731</v>
      </c>
      <c r="O569" s="8">
        <v>669038</v>
      </c>
      <c r="S569" s="8">
        <v>52946</v>
      </c>
      <c r="W569" s="8">
        <v>52812</v>
      </c>
      <c r="Y569" s="3">
        <f t="shared" si="48"/>
        <v>14796024</v>
      </c>
      <c r="AK569" s="8">
        <f t="shared" si="46"/>
        <v>0</v>
      </c>
      <c r="AM569" s="8">
        <f t="shared" si="49"/>
        <v>14796024</v>
      </c>
    </row>
    <row r="570" spans="1:39" hidden="1">
      <c r="A570" s="12" t="s">
        <v>1027</v>
      </c>
      <c r="B570" s="13"/>
      <c r="C570" s="13" t="s">
        <v>421</v>
      </c>
      <c r="D570" s="13"/>
      <c r="E570" s="32">
        <v>47522</v>
      </c>
      <c r="G570" s="8">
        <v>1294294</v>
      </c>
      <c r="I570" s="8">
        <v>347867</v>
      </c>
      <c r="K570" s="8">
        <f>2100+4504000</f>
        <v>4506100</v>
      </c>
      <c r="M570" s="8">
        <v>26049</v>
      </c>
      <c r="O570" s="8">
        <v>75343</v>
      </c>
      <c r="W570" s="8">
        <f>34540+340+24014</f>
        <v>58894</v>
      </c>
      <c r="Y570" s="3">
        <f t="shared" si="48"/>
        <v>6308547</v>
      </c>
      <c r="AK570" s="8">
        <f t="shared" si="46"/>
        <v>0</v>
      </c>
      <c r="AM570" s="8">
        <f t="shared" si="49"/>
        <v>6308547</v>
      </c>
    </row>
    <row r="571" spans="1:39">
      <c r="A571" s="13" t="s">
        <v>258</v>
      </c>
      <c r="B571" s="13"/>
      <c r="C571" s="13" t="s">
        <v>255</v>
      </c>
      <c r="D571" s="13"/>
      <c r="E571" s="32">
        <v>44941</v>
      </c>
      <c r="F571" s="11"/>
      <c r="G571" s="8">
        <v>9949612</v>
      </c>
      <c r="I571" s="8">
        <v>0</v>
      </c>
      <c r="K571" s="8">
        <f>53993+11718706</f>
        <v>11772699</v>
      </c>
      <c r="M571" s="8">
        <v>183495</v>
      </c>
      <c r="O571" s="8">
        <v>628035</v>
      </c>
      <c r="Q571" s="8">
        <v>0</v>
      </c>
      <c r="S571" s="8">
        <v>0</v>
      </c>
      <c r="U571" s="8">
        <v>0</v>
      </c>
      <c r="W571" s="8">
        <f>43444+21060</f>
        <v>64504</v>
      </c>
      <c r="Y571" s="3">
        <f t="shared" si="48"/>
        <v>22598345</v>
      </c>
      <c r="AA571" s="8">
        <v>0</v>
      </c>
      <c r="AE571" s="8">
        <v>74797</v>
      </c>
      <c r="AG571" s="8">
        <v>0</v>
      </c>
      <c r="AK571" s="8">
        <f t="shared" si="46"/>
        <v>74797</v>
      </c>
      <c r="AM571" s="8">
        <f t="shared" si="49"/>
        <v>22673142</v>
      </c>
    </row>
    <row r="572" spans="1:39" hidden="1">
      <c r="A572" s="12" t="s">
        <v>1028</v>
      </c>
      <c r="B572" s="13"/>
      <c r="C572" s="13" t="s">
        <v>59</v>
      </c>
      <c r="D572" s="13"/>
      <c r="E572" s="32">
        <v>49643</v>
      </c>
      <c r="G572" s="8">
        <v>1170456</v>
      </c>
      <c r="K572" s="8">
        <v>6881044</v>
      </c>
      <c r="M572" s="8">
        <v>27568</v>
      </c>
      <c r="O572" s="8">
        <v>1272939</v>
      </c>
      <c r="Q572" s="8">
        <v>92326</v>
      </c>
      <c r="U572" s="8">
        <v>14692</v>
      </c>
      <c r="W572" s="8">
        <f>39684+77074+2450</f>
        <v>119208</v>
      </c>
      <c r="Y572" s="3">
        <f t="shared" si="48"/>
        <v>9578233</v>
      </c>
      <c r="AK572" s="8">
        <f t="shared" si="46"/>
        <v>0</v>
      </c>
      <c r="AM572" s="8">
        <f t="shared" si="49"/>
        <v>9578233</v>
      </c>
    </row>
    <row r="573" spans="1:39">
      <c r="A573" s="13" t="s">
        <v>556</v>
      </c>
      <c r="B573" s="13"/>
      <c r="C573" s="13" t="s">
        <v>50</v>
      </c>
      <c r="D573" s="13"/>
      <c r="E573" s="32">
        <v>48744</v>
      </c>
      <c r="F573" s="35"/>
      <c r="G573" s="8">
        <v>4937253</v>
      </c>
      <c r="I573" s="8">
        <v>2922120</v>
      </c>
      <c r="K573" s="8">
        <v>9075823</v>
      </c>
      <c r="M573" s="8">
        <v>406278</v>
      </c>
      <c r="O573" s="8">
        <v>109333</v>
      </c>
      <c r="Q573" s="8">
        <v>39539</v>
      </c>
      <c r="S573" s="8">
        <v>0</v>
      </c>
      <c r="U573" s="8">
        <v>400</v>
      </c>
      <c r="W573" s="8">
        <f>50536+5496+113437+526</f>
        <v>169995</v>
      </c>
      <c r="Y573" s="3">
        <f t="shared" si="48"/>
        <v>17660741</v>
      </c>
      <c r="AA573" s="8">
        <v>0</v>
      </c>
      <c r="AE573" s="8">
        <v>0</v>
      </c>
      <c r="AG573" s="8">
        <v>4729</v>
      </c>
      <c r="AK573" s="8">
        <f t="shared" si="46"/>
        <v>4729</v>
      </c>
      <c r="AM573" s="8">
        <f t="shared" si="49"/>
        <v>17665470</v>
      </c>
    </row>
    <row r="574" spans="1:39">
      <c r="A574" s="13" t="s">
        <v>419</v>
      </c>
      <c r="B574" s="13"/>
      <c r="C574" s="13" t="s">
        <v>33</v>
      </c>
      <c r="D574" s="13"/>
      <c r="E574" s="32">
        <v>47464</v>
      </c>
      <c r="G574" s="8">
        <v>5843645</v>
      </c>
      <c r="I574" s="8">
        <v>0</v>
      </c>
      <c r="K574" s="8">
        <v>3136575</v>
      </c>
      <c r="M574" s="8">
        <v>174988</v>
      </c>
      <c r="O574" s="8">
        <v>614978</v>
      </c>
      <c r="Q574" s="8">
        <v>10170</v>
      </c>
      <c r="S574" s="8">
        <v>97926</v>
      </c>
      <c r="U574" s="8">
        <v>17490</v>
      </c>
      <c r="W574" s="8">
        <v>68270</v>
      </c>
      <c r="Y574" s="3">
        <f t="shared" si="48"/>
        <v>9964042</v>
      </c>
      <c r="AA574" s="8">
        <v>0</v>
      </c>
      <c r="AE574" s="8">
        <v>0</v>
      </c>
      <c r="AG574" s="8">
        <v>0</v>
      </c>
      <c r="AK574" s="8">
        <f t="shared" si="46"/>
        <v>0</v>
      </c>
      <c r="AM574" s="8">
        <f t="shared" si="49"/>
        <v>9964042</v>
      </c>
    </row>
    <row r="575" spans="1:39">
      <c r="A575" s="13" t="s">
        <v>706</v>
      </c>
      <c r="B575" s="13"/>
      <c r="C575" s="13" t="s">
        <v>67</v>
      </c>
      <c r="D575" s="13"/>
      <c r="E575" s="32">
        <v>44966</v>
      </c>
      <c r="G575" s="8">
        <v>5294972</v>
      </c>
      <c r="I575" s="8">
        <v>2226941</v>
      </c>
      <c r="K575" s="8">
        <v>10724827</v>
      </c>
      <c r="M575" s="8">
        <v>109321</v>
      </c>
      <c r="O575" s="8">
        <v>802019</v>
      </c>
      <c r="Q575" s="8">
        <v>0</v>
      </c>
      <c r="S575" s="8">
        <v>198490</v>
      </c>
      <c r="U575" s="8">
        <v>7043</v>
      </c>
      <c r="W575" s="8">
        <f>94824+7024</f>
        <v>101848</v>
      </c>
      <c r="Y575" s="3">
        <f t="shared" si="48"/>
        <v>19465461</v>
      </c>
      <c r="AA575" s="8">
        <v>0</v>
      </c>
      <c r="AE575" s="8">
        <v>0</v>
      </c>
      <c r="AG575" s="8">
        <v>0</v>
      </c>
      <c r="AK575" s="8">
        <f t="shared" si="46"/>
        <v>0</v>
      </c>
      <c r="AM575" s="8">
        <f t="shared" si="49"/>
        <v>19465461</v>
      </c>
    </row>
    <row r="576" spans="1:39">
      <c r="A576" s="13" t="s">
        <v>557</v>
      </c>
      <c r="B576" s="13"/>
      <c r="C576" s="13" t="s">
        <v>50</v>
      </c>
      <c r="D576" s="13"/>
      <c r="E576" s="32">
        <v>44958</v>
      </c>
      <c r="G576" s="8">
        <v>21910877</v>
      </c>
      <c r="I576" s="8">
        <v>0</v>
      </c>
      <c r="K576" s="8">
        <v>11158176</v>
      </c>
      <c r="M576" s="8">
        <v>668701</v>
      </c>
      <c r="O576" s="8">
        <v>604478</v>
      </c>
      <c r="Q576" s="8">
        <v>0</v>
      </c>
      <c r="S576" s="8">
        <v>0</v>
      </c>
      <c r="U576" s="8">
        <v>0</v>
      </c>
      <c r="W576" s="8">
        <f>33018+181960</f>
        <v>214978</v>
      </c>
      <c r="Y576" s="3">
        <f t="shared" si="48"/>
        <v>34557210</v>
      </c>
      <c r="AA576" s="8">
        <v>0</v>
      </c>
      <c r="AE576" s="8">
        <v>250981</v>
      </c>
      <c r="AG576" s="8">
        <v>0</v>
      </c>
      <c r="AK576" s="8">
        <f t="shared" si="46"/>
        <v>250981</v>
      </c>
      <c r="AM576" s="8">
        <f t="shared" si="49"/>
        <v>34808191</v>
      </c>
    </row>
    <row r="577" spans="1:40" hidden="1">
      <c r="A577" s="12" t="s">
        <v>1031</v>
      </c>
      <c r="B577" s="13"/>
      <c r="C577" s="13" t="s">
        <v>33</v>
      </c>
      <c r="D577" s="13"/>
      <c r="E577" s="32">
        <v>47472</v>
      </c>
      <c r="G577" s="8">
        <v>828656</v>
      </c>
      <c r="I577" s="8">
        <v>410926</v>
      </c>
      <c r="K577" s="8">
        <v>1668810</v>
      </c>
      <c r="M577" s="8">
        <v>43639</v>
      </c>
      <c r="O577" s="8">
        <v>280550</v>
      </c>
      <c r="U577" s="8">
        <v>305</v>
      </c>
      <c r="W577" s="8">
        <f>7279+335</f>
        <v>7614</v>
      </c>
      <c r="Y577" s="3">
        <f t="shared" si="48"/>
        <v>3240500</v>
      </c>
      <c r="AK577" s="8">
        <f>SUM(AA577:AJ577)</f>
        <v>0</v>
      </c>
      <c r="AM577" s="8">
        <f t="shared" si="49"/>
        <v>3240500</v>
      </c>
    </row>
    <row r="578" spans="1:40">
      <c r="A578" s="13" t="s">
        <v>342</v>
      </c>
      <c r="B578" s="13"/>
      <c r="C578" s="13" t="s">
        <v>24</v>
      </c>
      <c r="D578" s="13"/>
      <c r="E578" s="32">
        <v>46821</v>
      </c>
      <c r="G578" s="8">
        <v>14907942</v>
      </c>
      <c r="I578" s="8">
        <v>0</v>
      </c>
      <c r="K578" s="8">
        <f>8277657+48763</f>
        <v>8326420</v>
      </c>
      <c r="M578" s="8">
        <v>223053</v>
      </c>
      <c r="O578" s="8">
        <v>515452</v>
      </c>
      <c r="Q578" s="8">
        <v>0</v>
      </c>
      <c r="S578" s="8">
        <v>0</v>
      </c>
      <c r="U578" s="8">
        <v>0</v>
      </c>
      <c r="W578" s="8">
        <f>79394+1105+150</f>
        <v>80649</v>
      </c>
      <c r="Y578" s="3">
        <f t="shared" si="48"/>
        <v>24053516</v>
      </c>
      <c r="AA578" s="8">
        <v>0</v>
      </c>
      <c r="AE578" s="8">
        <v>69615</v>
      </c>
      <c r="AG578" s="8">
        <v>0</v>
      </c>
      <c r="AK578" s="8">
        <f>SUM(AA578:AJ578)</f>
        <v>69615</v>
      </c>
      <c r="AM578" s="8">
        <f t="shared" si="49"/>
        <v>24123131</v>
      </c>
    </row>
    <row r="579" spans="1:40" hidden="1">
      <c r="A579" s="91" t="s">
        <v>1032</v>
      </c>
      <c r="B579" s="12"/>
      <c r="C579" s="12" t="s">
        <v>21</v>
      </c>
      <c r="D579" s="13"/>
      <c r="E579" s="32"/>
      <c r="Y579" s="3"/>
      <c r="AN579" s="8" t="s">
        <v>967</v>
      </c>
    </row>
    <row r="580" spans="1:40">
      <c r="A580" s="13" t="s">
        <v>707</v>
      </c>
      <c r="B580" s="13"/>
      <c r="C580" s="13" t="s">
        <v>68</v>
      </c>
      <c r="D580" s="13"/>
      <c r="E580" s="32">
        <v>50393</v>
      </c>
      <c r="G580" s="8">
        <v>2701983</v>
      </c>
      <c r="I580" s="8">
        <v>120</v>
      </c>
      <c r="K580" s="8">
        <v>16396614</v>
      </c>
      <c r="M580" s="8">
        <v>328491</v>
      </c>
      <c r="O580" s="8">
        <v>370693</v>
      </c>
      <c r="Q580" s="8">
        <v>0</v>
      </c>
      <c r="S580" s="8">
        <v>643653</v>
      </c>
      <c r="U580" s="8">
        <v>50</v>
      </c>
      <c r="W580" s="8">
        <f>48077+196119+150</f>
        <v>244346</v>
      </c>
      <c r="Y580" s="3">
        <f t="shared" si="48"/>
        <v>20685950</v>
      </c>
      <c r="AA580" s="8">
        <v>0</v>
      </c>
      <c r="AE580" s="8">
        <v>8257</v>
      </c>
      <c r="AG580" s="8">
        <v>0</v>
      </c>
      <c r="AK580" s="8">
        <f>SUM(AA580:AJ580)</f>
        <v>8257</v>
      </c>
      <c r="AM580" s="8">
        <f t="shared" si="49"/>
        <v>20694207</v>
      </c>
    </row>
    <row r="581" spans="1:40">
      <c r="A581" s="13" t="s">
        <v>530</v>
      </c>
      <c r="B581" s="13"/>
      <c r="C581" s="13" t="s">
        <v>47</v>
      </c>
      <c r="D581" s="13"/>
      <c r="E581" s="32">
        <v>44974</v>
      </c>
      <c r="G581" s="8">
        <v>17107577</v>
      </c>
      <c r="I581" s="8">
        <v>0</v>
      </c>
      <c r="K581" s="8">
        <v>19721407</v>
      </c>
      <c r="M581" s="8">
        <v>210755</v>
      </c>
      <c r="O581" s="8">
        <v>748890</v>
      </c>
      <c r="Q581" s="8">
        <v>1740</v>
      </c>
      <c r="S581" s="8">
        <v>0</v>
      </c>
      <c r="U581" s="8">
        <v>0</v>
      </c>
      <c r="W581" s="8">
        <f>31800+14676+75739</f>
        <v>122215</v>
      </c>
      <c r="Y581" s="3">
        <f t="shared" si="48"/>
        <v>37912584</v>
      </c>
      <c r="AA581" s="8">
        <v>0</v>
      </c>
      <c r="AE581" s="8">
        <v>0</v>
      </c>
      <c r="AG581" s="8">
        <v>29088</v>
      </c>
      <c r="AK581" s="8">
        <f>SUM(AA581:AJ581)</f>
        <v>29088</v>
      </c>
      <c r="AM581" s="8">
        <f t="shared" ref="AM581:AM631" si="50">+AK581+Y581</f>
        <v>37941672</v>
      </c>
    </row>
    <row r="582" spans="1:40">
      <c r="A582" s="13" t="s">
        <v>692</v>
      </c>
      <c r="B582" s="13"/>
      <c r="C582" s="13" t="s">
        <v>64</v>
      </c>
      <c r="D582" s="13"/>
      <c r="E582" s="32">
        <v>44990</v>
      </c>
      <c r="G582" s="8">
        <v>13536392</v>
      </c>
      <c r="I582" s="8">
        <v>0</v>
      </c>
      <c r="K582" s="8">
        <f>41395843+973812</f>
        <v>42369655</v>
      </c>
      <c r="M582" s="8">
        <v>1366469</v>
      </c>
      <c r="O582" s="8">
        <v>1079273</v>
      </c>
      <c r="Q582" s="8">
        <v>0</v>
      </c>
      <c r="S582" s="8">
        <v>0</v>
      </c>
      <c r="U582" s="8">
        <v>0</v>
      </c>
      <c r="W582" s="8">
        <f>121324+277393</f>
        <v>398717</v>
      </c>
      <c r="Y582" s="3">
        <f t="shared" si="48"/>
        <v>58750506</v>
      </c>
      <c r="AA582" s="8">
        <v>40000</v>
      </c>
      <c r="AE582" s="8">
        <v>0</v>
      </c>
      <c r="AG582" s="8">
        <v>0</v>
      </c>
      <c r="AK582" s="8">
        <f>SUM(AA582:AJ582)</f>
        <v>40000</v>
      </c>
      <c r="AM582" s="8">
        <f t="shared" si="50"/>
        <v>58790506</v>
      </c>
    </row>
    <row r="583" spans="1:40">
      <c r="A583" s="13" t="s">
        <v>719</v>
      </c>
      <c r="B583" s="13"/>
      <c r="C583" s="13" t="s">
        <v>70</v>
      </c>
      <c r="D583" s="13"/>
      <c r="E583" s="32">
        <v>50500</v>
      </c>
      <c r="G583" s="8">
        <v>7146952</v>
      </c>
      <c r="I583" s="8">
        <v>0</v>
      </c>
      <c r="K583" s="8">
        <v>12850787</v>
      </c>
      <c r="M583" s="8">
        <v>4634</v>
      </c>
      <c r="O583" s="8">
        <v>1327032</v>
      </c>
      <c r="Q583" s="8">
        <v>0</v>
      </c>
      <c r="S583" s="8">
        <v>0</v>
      </c>
      <c r="U583" s="8">
        <v>10500</v>
      </c>
      <c r="W583" s="8">
        <v>57343</v>
      </c>
      <c r="Y583" s="3">
        <f t="shared" si="48"/>
        <v>21397248</v>
      </c>
      <c r="AA583" s="8">
        <v>0</v>
      </c>
      <c r="AE583" s="8">
        <v>0</v>
      </c>
      <c r="AG583" s="8">
        <v>14739</v>
      </c>
      <c r="AK583" s="8">
        <f t="shared" ref="AK583:AK631" si="51">SUM(AA583:AJ583)</f>
        <v>14739</v>
      </c>
      <c r="AM583" s="8">
        <f t="shared" si="50"/>
        <v>21411987</v>
      </c>
    </row>
    <row r="584" spans="1:40">
      <c r="A584" s="13" t="s">
        <v>324</v>
      </c>
      <c r="B584" s="13"/>
      <c r="C584" s="13" t="s">
        <v>20</v>
      </c>
      <c r="D584" s="13"/>
      <c r="E584" s="13">
        <v>45005</v>
      </c>
      <c r="G584" s="8">
        <v>16469747</v>
      </c>
      <c r="I584" s="8">
        <v>0</v>
      </c>
      <c r="K584" s="8">
        <v>14042165</v>
      </c>
      <c r="M584" s="8">
        <v>69789</v>
      </c>
      <c r="O584" s="8">
        <v>16172</v>
      </c>
      <c r="Q584" s="8">
        <v>760</v>
      </c>
      <c r="S584" s="8">
        <v>0</v>
      </c>
      <c r="U584" s="8">
        <f>4771+163884</f>
        <v>168655</v>
      </c>
      <c r="W584" s="8">
        <v>0</v>
      </c>
      <c r="Y584" s="3">
        <f>SUM(G584:X584)</f>
        <v>30767288</v>
      </c>
      <c r="AA584" s="8">
        <v>0</v>
      </c>
      <c r="AE584" s="8">
        <v>0</v>
      </c>
      <c r="AG584" s="8">
        <v>0</v>
      </c>
      <c r="AK584" s="8">
        <f>SUM(AA584:AJ584)</f>
        <v>0</v>
      </c>
      <c r="AM584" s="8">
        <f>+AK584+Y584</f>
        <v>30767288</v>
      </c>
    </row>
    <row r="585" spans="1:40">
      <c r="A585" s="13" t="s">
        <v>351</v>
      </c>
      <c r="B585" s="13"/>
      <c r="C585" s="13" t="s">
        <v>26</v>
      </c>
      <c r="D585" s="13"/>
      <c r="E585" s="32">
        <v>45013</v>
      </c>
      <c r="G585" s="8">
        <v>5583165</v>
      </c>
      <c r="I585" s="8">
        <v>0</v>
      </c>
      <c r="K585" s="8">
        <v>12950840</v>
      </c>
      <c r="M585" s="8">
        <v>2319</v>
      </c>
      <c r="O585" s="8">
        <v>520778</v>
      </c>
      <c r="Q585" s="8">
        <v>0</v>
      </c>
      <c r="S585" s="8">
        <v>6673</v>
      </c>
      <c r="U585" s="8">
        <v>0</v>
      </c>
      <c r="W585" s="8">
        <f>114225+91+445</f>
        <v>114761</v>
      </c>
      <c r="Y585" s="3">
        <f t="shared" si="48"/>
        <v>19178536</v>
      </c>
      <c r="AA585" s="8">
        <v>0</v>
      </c>
      <c r="AE585" s="8">
        <v>266763</v>
      </c>
      <c r="AG585" s="8">
        <v>0</v>
      </c>
      <c r="AK585" s="8">
        <f t="shared" si="51"/>
        <v>266763</v>
      </c>
      <c r="AM585" s="8">
        <f t="shared" si="50"/>
        <v>19445299</v>
      </c>
    </row>
    <row r="586" spans="1:40">
      <c r="A586" s="13" t="s">
        <v>503</v>
      </c>
      <c r="B586" s="13"/>
      <c r="C586" s="13" t="s">
        <v>117</v>
      </c>
      <c r="D586" s="13"/>
      <c r="E586" s="32">
        <v>48231</v>
      </c>
      <c r="G586" s="8">
        <v>33756080</v>
      </c>
      <c r="I586" s="8">
        <v>0</v>
      </c>
      <c r="K586" s="8">
        <f>3835115+28922426+165630</f>
        <v>32923171</v>
      </c>
      <c r="M586" s="8">
        <v>763777</v>
      </c>
      <c r="O586" s="8">
        <v>581892</v>
      </c>
      <c r="Q586" s="8">
        <v>0</v>
      </c>
      <c r="S586" s="8">
        <v>0</v>
      </c>
      <c r="U586" s="8">
        <v>0</v>
      </c>
      <c r="W586" s="8">
        <f>128870+115435+41322+147195</f>
        <v>432822</v>
      </c>
      <c r="Y586" s="3">
        <f t="shared" si="48"/>
        <v>68457742</v>
      </c>
      <c r="AA586" s="8">
        <v>0</v>
      </c>
      <c r="AE586" s="8">
        <v>0</v>
      </c>
      <c r="AG586" s="8">
        <v>2943</v>
      </c>
      <c r="AK586" s="8">
        <f t="shared" si="51"/>
        <v>2943</v>
      </c>
      <c r="AM586" s="8">
        <f t="shared" si="50"/>
        <v>68460685</v>
      </c>
    </row>
    <row r="587" spans="1:40">
      <c r="A587" s="13" t="s">
        <v>633</v>
      </c>
      <c r="B587" s="13"/>
      <c r="C587" s="13" t="s">
        <v>59</v>
      </c>
      <c r="D587" s="13"/>
      <c r="E587" s="32">
        <v>49650</v>
      </c>
      <c r="G587" s="8">
        <v>1316434</v>
      </c>
      <c r="I587" s="8">
        <v>0</v>
      </c>
      <c r="K587" s="8">
        <v>9375341</v>
      </c>
      <c r="M587" s="8">
        <f>153470-358</f>
        <v>153112</v>
      </c>
      <c r="O587" s="8">
        <v>1064909</v>
      </c>
      <c r="Q587" s="8">
        <v>0</v>
      </c>
      <c r="S587" s="8">
        <v>0</v>
      </c>
      <c r="U587" s="8">
        <v>10500</v>
      </c>
      <c r="W587" s="8">
        <f>34084+41852</f>
        <v>75936</v>
      </c>
      <c r="Y587" s="3">
        <f t="shared" si="48"/>
        <v>11996232</v>
      </c>
      <c r="AA587" s="8">
        <v>0</v>
      </c>
      <c r="AE587" s="8">
        <v>0</v>
      </c>
      <c r="AG587" s="8">
        <v>0</v>
      </c>
      <c r="AK587" s="8">
        <f t="shared" si="51"/>
        <v>0</v>
      </c>
      <c r="AM587" s="8">
        <f t="shared" si="50"/>
        <v>11996232</v>
      </c>
    </row>
    <row r="588" spans="1:40">
      <c r="A588" s="13" t="s">
        <v>596</v>
      </c>
      <c r="B588" s="13"/>
      <c r="C588" s="13" t="s">
        <v>56</v>
      </c>
      <c r="D588" s="13"/>
      <c r="E588" s="32">
        <v>49247</v>
      </c>
      <c r="G588" s="8">
        <v>3267886</v>
      </c>
      <c r="I588" s="8">
        <v>0</v>
      </c>
      <c r="K588" s="8">
        <v>6794425</v>
      </c>
      <c r="M588" s="8">
        <v>37823</v>
      </c>
      <c r="O588" s="8">
        <v>194214</v>
      </c>
      <c r="Q588" s="8">
        <v>0</v>
      </c>
      <c r="S588" s="8">
        <v>0</v>
      </c>
      <c r="U588" s="8">
        <v>1000</v>
      </c>
      <c r="W588" s="8">
        <f>54806+1076+50338</f>
        <v>106220</v>
      </c>
      <c r="Y588" s="3">
        <f t="shared" si="48"/>
        <v>10401568</v>
      </c>
      <c r="AA588" s="8">
        <v>0</v>
      </c>
      <c r="AE588" s="8">
        <v>0</v>
      </c>
      <c r="AG588" s="8">
        <v>0</v>
      </c>
      <c r="AK588" s="8">
        <f t="shared" si="51"/>
        <v>0</v>
      </c>
      <c r="AM588" s="8">
        <f t="shared" si="50"/>
        <v>10401568</v>
      </c>
    </row>
    <row r="589" spans="1:40">
      <c r="A589" s="13" t="s">
        <v>374</v>
      </c>
      <c r="B589" s="13"/>
      <c r="C589" s="13" t="s">
        <v>28</v>
      </c>
      <c r="D589" s="13"/>
      <c r="E589" s="32">
        <v>45641</v>
      </c>
      <c r="G589" s="8">
        <v>4385207</v>
      </c>
      <c r="I589" s="8">
        <v>0</v>
      </c>
      <c r="K589" s="8">
        <f>9542001+2792</f>
        <v>9544793</v>
      </c>
      <c r="M589" s="8">
        <v>191405</v>
      </c>
      <c r="O589" s="8">
        <v>708313</v>
      </c>
      <c r="Q589" s="8">
        <v>0</v>
      </c>
      <c r="S589" s="8">
        <v>0</v>
      </c>
      <c r="U589" s="8">
        <v>0</v>
      </c>
      <c r="W589" s="8">
        <f>27171+3685+144266</f>
        <v>175122</v>
      </c>
      <c r="Y589" s="3">
        <f t="shared" si="48"/>
        <v>15004840</v>
      </c>
      <c r="AA589" s="8">
        <v>0</v>
      </c>
      <c r="AE589" s="8">
        <v>35200</v>
      </c>
      <c r="AG589" s="8">
        <v>0</v>
      </c>
      <c r="AK589" s="8">
        <f t="shared" si="51"/>
        <v>35200</v>
      </c>
      <c r="AM589" s="8">
        <f t="shared" si="50"/>
        <v>15040040</v>
      </c>
    </row>
    <row r="590" spans="1:40">
      <c r="A590" s="13" t="s">
        <v>586</v>
      </c>
      <c r="B590" s="13"/>
      <c r="C590" s="13" t="s">
        <v>55</v>
      </c>
      <c r="D590" s="13"/>
      <c r="E590" s="32">
        <v>49148</v>
      </c>
      <c r="G590" s="8">
        <v>3171363</v>
      </c>
      <c r="I590" s="8">
        <v>0</v>
      </c>
      <c r="K590" s="8">
        <v>10330430</v>
      </c>
      <c r="M590" s="8">
        <v>88055</v>
      </c>
      <c r="O590" s="8">
        <v>702255</v>
      </c>
      <c r="Q590" s="8">
        <v>0</v>
      </c>
      <c r="S590" s="8">
        <v>16106</v>
      </c>
      <c r="U590" s="8">
        <v>3269</v>
      </c>
      <c r="W590" s="8">
        <f>538+2835</f>
        <v>3373</v>
      </c>
      <c r="Y590" s="3">
        <f t="shared" si="48"/>
        <v>14314851</v>
      </c>
      <c r="AA590" s="8">
        <v>0</v>
      </c>
      <c r="AE590" s="8">
        <v>0</v>
      </c>
      <c r="AG590" s="8">
        <v>2500</v>
      </c>
      <c r="AK590" s="8">
        <f t="shared" si="51"/>
        <v>2500</v>
      </c>
      <c r="AM590" s="8">
        <f t="shared" si="50"/>
        <v>14317351</v>
      </c>
    </row>
    <row r="591" spans="1:40" hidden="1">
      <c r="A591" s="12" t="s">
        <v>1043</v>
      </c>
      <c r="B591" s="13"/>
      <c r="C591" s="13" t="s">
        <v>69</v>
      </c>
      <c r="D591" s="13"/>
      <c r="E591" s="32">
        <v>50468</v>
      </c>
      <c r="Y591" s="3">
        <f t="shared" si="48"/>
        <v>0</v>
      </c>
      <c r="AK591" s="8">
        <f t="shared" si="51"/>
        <v>0</v>
      </c>
      <c r="AM591" s="8">
        <f t="shared" si="50"/>
        <v>0</v>
      </c>
    </row>
    <row r="592" spans="1:40" hidden="1">
      <c r="A592" s="12" t="s">
        <v>846</v>
      </c>
      <c r="B592" s="13"/>
      <c r="C592" s="13" t="s">
        <v>576</v>
      </c>
      <c r="D592" s="13"/>
      <c r="E592" s="32">
        <v>49031</v>
      </c>
      <c r="Y592" s="3">
        <f t="shared" si="48"/>
        <v>0</v>
      </c>
      <c r="AK592" s="8">
        <f t="shared" si="51"/>
        <v>0</v>
      </c>
      <c r="AM592" s="8">
        <f t="shared" si="50"/>
        <v>0</v>
      </c>
    </row>
    <row r="593" spans="1:39" ht="11.25" hidden="1" customHeight="1">
      <c r="A593" s="12" t="s">
        <v>891</v>
      </c>
      <c r="B593" s="13"/>
      <c r="C593" s="13" t="s">
        <v>14</v>
      </c>
      <c r="D593" s="13"/>
      <c r="E593" s="32">
        <v>45971</v>
      </c>
      <c r="F593" s="11"/>
      <c r="Y593" s="3">
        <f t="shared" si="48"/>
        <v>0</v>
      </c>
      <c r="AK593" s="8">
        <f t="shared" si="51"/>
        <v>0</v>
      </c>
      <c r="AM593" s="8">
        <f t="shared" si="50"/>
        <v>0</v>
      </c>
    </row>
    <row r="594" spans="1:39">
      <c r="A594" s="13" t="s">
        <v>693</v>
      </c>
      <c r="B594" s="13"/>
      <c r="C594" s="13" t="s">
        <v>64</v>
      </c>
      <c r="D594" s="13"/>
      <c r="E594" s="32">
        <v>50252</v>
      </c>
      <c r="G594" s="8">
        <v>2869374</v>
      </c>
      <c r="I594" s="8">
        <v>0</v>
      </c>
      <c r="K594" s="8">
        <v>4271424</v>
      </c>
      <c r="M594" s="8">
        <v>63450</v>
      </c>
      <c r="O594" s="8">
        <v>1260470</v>
      </c>
      <c r="Q594" s="8">
        <v>0</v>
      </c>
      <c r="S594" s="8">
        <v>0</v>
      </c>
      <c r="U594" s="8">
        <v>0</v>
      </c>
      <c r="W594" s="8">
        <v>1083</v>
      </c>
      <c r="Y594" s="3">
        <f t="shared" si="48"/>
        <v>8465801</v>
      </c>
      <c r="AA594" s="8">
        <v>0</v>
      </c>
      <c r="AE594" s="8">
        <v>0</v>
      </c>
      <c r="AG594" s="8">
        <v>0</v>
      </c>
      <c r="AK594" s="8">
        <f t="shared" si="51"/>
        <v>0</v>
      </c>
      <c r="AM594" s="8">
        <f t="shared" si="50"/>
        <v>8465801</v>
      </c>
    </row>
    <row r="595" spans="1:39">
      <c r="A595" s="13" t="s">
        <v>495</v>
      </c>
      <c r="B595" s="13"/>
      <c r="C595" s="13" t="s">
        <v>44</v>
      </c>
      <c r="D595" s="13"/>
      <c r="E595" s="32">
        <v>45658</v>
      </c>
      <c r="G595" s="8">
        <v>3493645</v>
      </c>
      <c r="I595" s="8">
        <v>1683885</v>
      </c>
      <c r="K595" s="8">
        <v>6628065</v>
      </c>
      <c r="M595" s="8">
        <v>53651</v>
      </c>
      <c r="O595" s="8">
        <v>306238</v>
      </c>
      <c r="Q595" s="8">
        <v>40368</v>
      </c>
      <c r="S595" s="8">
        <v>0</v>
      </c>
      <c r="U595" s="8">
        <v>0</v>
      </c>
      <c r="W595" s="8">
        <v>105879</v>
      </c>
      <c r="Y595" s="3">
        <f t="shared" si="48"/>
        <v>12311731</v>
      </c>
      <c r="AA595" s="8">
        <v>0</v>
      </c>
      <c r="AE595" s="8">
        <v>0</v>
      </c>
      <c r="AG595" s="8">
        <v>0</v>
      </c>
      <c r="AK595" s="8">
        <f t="shared" si="51"/>
        <v>0</v>
      </c>
      <c r="AM595" s="8">
        <f t="shared" si="50"/>
        <v>12311731</v>
      </c>
    </row>
    <row r="596" spans="1:39">
      <c r="A596" s="13" t="s">
        <v>449</v>
      </c>
      <c r="B596" s="13"/>
      <c r="C596" s="13" t="s">
        <v>38</v>
      </c>
      <c r="D596" s="13"/>
      <c r="E596" s="32">
        <v>45021</v>
      </c>
      <c r="G596" s="8">
        <v>2087923</v>
      </c>
      <c r="I596" s="8">
        <v>0</v>
      </c>
      <c r="K596" s="8">
        <v>10291745</v>
      </c>
      <c r="M596" s="8">
        <v>118432</v>
      </c>
      <c r="O596" s="8">
        <v>488398</v>
      </c>
      <c r="Q596" s="8">
        <v>67</v>
      </c>
      <c r="S596" s="8">
        <v>0</v>
      </c>
      <c r="U596" s="8">
        <v>100</v>
      </c>
      <c r="W596" s="8">
        <f>2403+3777</f>
        <v>6180</v>
      </c>
      <c r="Y596" s="3">
        <f t="shared" si="48"/>
        <v>12992845</v>
      </c>
      <c r="AA596" s="8">
        <v>0</v>
      </c>
      <c r="AE596" s="8">
        <v>93715</v>
      </c>
      <c r="AG596" s="8">
        <v>0</v>
      </c>
      <c r="AK596" s="8">
        <f t="shared" si="51"/>
        <v>93715</v>
      </c>
      <c r="AM596" s="8">
        <f t="shared" si="50"/>
        <v>13086560</v>
      </c>
    </row>
    <row r="597" spans="1:39">
      <c r="A597" s="13" t="s">
        <v>286</v>
      </c>
      <c r="B597" s="13"/>
      <c r="C597" s="13" t="s">
        <v>114</v>
      </c>
      <c r="D597" s="13"/>
      <c r="E597" s="32">
        <v>45039</v>
      </c>
      <c r="F597" s="11"/>
      <c r="G597" s="8">
        <v>861775</v>
      </c>
      <c r="I597" s="8">
        <v>0</v>
      </c>
      <c r="K597" s="8">
        <v>5741454</v>
      </c>
      <c r="M597" s="8">
        <v>67560</v>
      </c>
      <c r="O597" s="8">
        <v>755067</v>
      </c>
      <c r="Q597" s="8">
        <v>104</v>
      </c>
      <c r="S597" s="8">
        <v>0</v>
      </c>
      <c r="U597" s="8">
        <v>1160</v>
      </c>
      <c r="W597" s="8">
        <f>2406+93015</f>
        <v>95421</v>
      </c>
      <c r="Y597" s="3">
        <f t="shared" si="48"/>
        <v>7522541</v>
      </c>
      <c r="AA597" s="8">
        <v>0</v>
      </c>
      <c r="AE597" s="8">
        <v>0</v>
      </c>
      <c r="AG597" s="8">
        <v>0</v>
      </c>
      <c r="AK597" s="8">
        <f t="shared" si="51"/>
        <v>0</v>
      </c>
      <c r="AM597" s="8">
        <f t="shared" si="50"/>
        <v>7522541</v>
      </c>
    </row>
    <row r="598" spans="1:39">
      <c r="A598" s="13" t="s">
        <v>518</v>
      </c>
      <c r="B598" s="13"/>
      <c r="C598" s="13" t="s">
        <v>45</v>
      </c>
      <c r="D598" s="13"/>
      <c r="E598" s="32">
        <v>48389</v>
      </c>
      <c r="G598" s="8">
        <v>4034912</v>
      </c>
      <c r="I598" s="8">
        <v>0</v>
      </c>
      <c r="K598" s="8">
        <f>5579+12895624+77239</f>
        <v>12978442</v>
      </c>
      <c r="M598" s="8">
        <v>58893</v>
      </c>
      <c r="O598" s="8">
        <v>1507654</v>
      </c>
      <c r="Q598" s="8">
        <v>4402</v>
      </c>
      <c r="S598" s="8">
        <v>0</v>
      </c>
      <c r="U598" s="8">
        <v>0</v>
      </c>
      <c r="W598" s="8">
        <f>281231+1679</f>
        <v>282910</v>
      </c>
      <c r="Y598" s="3">
        <f t="shared" si="48"/>
        <v>18867213</v>
      </c>
      <c r="AA598" s="8">
        <v>0</v>
      </c>
      <c r="AE598" s="8">
        <v>0</v>
      </c>
      <c r="AG598" s="8">
        <v>9622</v>
      </c>
      <c r="AK598" s="8">
        <f t="shared" si="51"/>
        <v>9622</v>
      </c>
      <c r="AM598" s="8">
        <f t="shared" si="50"/>
        <v>18876835</v>
      </c>
    </row>
    <row r="599" spans="1:39">
      <c r="A599" s="12" t="s">
        <v>1042</v>
      </c>
      <c r="B599" s="12"/>
      <c r="C599" s="12" t="s">
        <v>50</v>
      </c>
      <c r="D599" s="13"/>
      <c r="E599" s="32"/>
      <c r="G599" s="8">
        <v>16643626</v>
      </c>
      <c r="I599" s="8">
        <v>0</v>
      </c>
      <c r="K599" s="8">
        <f>18658176+153342</f>
        <v>18811518</v>
      </c>
      <c r="M599" s="8">
        <v>810854</v>
      </c>
      <c r="O599" s="8">
        <v>341587</v>
      </c>
      <c r="Q599" s="8">
        <v>22350</v>
      </c>
      <c r="S599" s="8">
        <v>0</v>
      </c>
      <c r="U599" s="8">
        <v>1325</v>
      </c>
      <c r="W599" s="8">
        <f>32269+5270+80570+90445</f>
        <v>208554</v>
      </c>
      <c r="Y599" s="3">
        <f t="shared" si="48"/>
        <v>36839814</v>
      </c>
      <c r="AA599" s="8">
        <v>0</v>
      </c>
      <c r="AE599" s="8">
        <v>0</v>
      </c>
      <c r="AG599" s="8">
        <v>0</v>
      </c>
      <c r="AK599" s="8">
        <f t="shared" si="51"/>
        <v>0</v>
      </c>
      <c r="AM599" s="8">
        <f t="shared" si="50"/>
        <v>36839814</v>
      </c>
    </row>
    <row r="600" spans="1:39">
      <c r="A600" s="13" t="s">
        <v>272</v>
      </c>
      <c r="B600" s="13"/>
      <c r="C600" s="13" t="s">
        <v>115</v>
      </c>
      <c r="D600" s="13"/>
      <c r="E600" s="32">
        <v>46359</v>
      </c>
      <c r="F600" s="11"/>
      <c r="G600" s="8">
        <v>35572450</v>
      </c>
      <c r="I600" s="8">
        <v>0</v>
      </c>
      <c r="K600" s="8">
        <v>32151621</v>
      </c>
      <c r="M600" s="8">
        <v>159491</v>
      </c>
      <c r="O600" s="8">
        <v>235897</v>
      </c>
      <c r="Q600" s="8">
        <v>0</v>
      </c>
      <c r="S600" s="8">
        <v>0</v>
      </c>
      <c r="U600" s="8">
        <v>0</v>
      </c>
      <c r="W600" s="8">
        <f>33259+341939</f>
        <v>375198</v>
      </c>
      <c r="Y600" s="3">
        <f t="shared" ref="Y600:Y631" si="52">SUM(G600:X600)</f>
        <v>68494657</v>
      </c>
      <c r="AA600" s="8">
        <v>0</v>
      </c>
      <c r="AE600" s="8">
        <v>0</v>
      </c>
      <c r="AG600" s="8">
        <v>0</v>
      </c>
      <c r="AK600" s="8">
        <f t="shared" si="51"/>
        <v>0</v>
      </c>
      <c r="AM600" s="8">
        <f t="shared" si="50"/>
        <v>68494657</v>
      </c>
    </row>
    <row r="601" spans="1:39">
      <c r="A601" s="13" t="s">
        <v>383</v>
      </c>
      <c r="B601" s="13"/>
      <c r="C601" s="13" t="s">
        <v>30</v>
      </c>
      <c r="D601" s="13"/>
      <c r="E601" s="32">
        <v>47225</v>
      </c>
      <c r="G601" s="8">
        <v>16499585</v>
      </c>
      <c r="I601" s="8">
        <v>0</v>
      </c>
      <c r="K601" s="8">
        <v>6801850</v>
      </c>
      <c r="M601" s="8">
        <v>237115</v>
      </c>
      <c r="O601" s="8">
        <v>637737</v>
      </c>
      <c r="Q601" s="8">
        <v>800</v>
      </c>
      <c r="S601" s="8">
        <v>0</v>
      </c>
      <c r="U601" s="8">
        <v>0</v>
      </c>
      <c r="W601" s="8">
        <f>16310+6291+6728</f>
        <v>29329</v>
      </c>
      <c r="Y601" s="3">
        <f t="shared" si="52"/>
        <v>24206416</v>
      </c>
      <c r="AA601" s="8">
        <v>0</v>
      </c>
      <c r="AE601" s="8">
        <v>0</v>
      </c>
      <c r="AG601" s="8">
        <v>0</v>
      </c>
      <c r="AK601" s="8">
        <f t="shared" si="51"/>
        <v>0</v>
      </c>
      <c r="AM601" s="8">
        <f t="shared" si="50"/>
        <v>24206416</v>
      </c>
    </row>
    <row r="602" spans="1:39">
      <c r="A602" s="13" t="s">
        <v>442</v>
      </c>
      <c r="B602" s="13"/>
      <c r="C602" s="13" t="s">
        <v>36</v>
      </c>
      <c r="D602" s="13"/>
      <c r="E602" s="32">
        <v>47696</v>
      </c>
      <c r="G602" s="8">
        <v>7822066</v>
      </c>
      <c r="I602" s="8">
        <v>0</v>
      </c>
      <c r="K602" s="8">
        <v>12442619</v>
      </c>
      <c r="M602" s="8">
        <v>315335</v>
      </c>
      <c r="O602" s="8">
        <v>540714</v>
      </c>
      <c r="Q602" s="8">
        <v>51750</v>
      </c>
      <c r="S602" s="8">
        <v>0</v>
      </c>
      <c r="U602" s="8">
        <v>0</v>
      </c>
      <c r="W602" s="8">
        <f>7252+38176</f>
        <v>45428</v>
      </c>
      <c r="Y602" s="3">
        <f t="shared" si="52"/>
        <v>21217912</v>
      </c>
      <c r="AA602" s="8">
        <v>0</v>
      </c>
      <c r="AE602" s="8">
        <v>0</v>
      </c>
      <c r="AG602" s="8">
        <v>0</v>
      </c>
      <c r="AK602" s="8">
        <f t="shared" si="51"/>
        <v>0</v>
      </c>
      <c r="AM602" s="8">
        <f t="shared" si="50"/>
        <v>21217912</v>
      </c>
    </row>
    <row r="603" spans="1:39">
      <c r="A603" s="13" t="s">
        <v>259</v>
      </c>
      <c r="B603" s="13"/>
      <c r="C603" s="13" t="s">
        <v>255</v>
      </c>
      <c r="D603" s="13"/>
      <c r="E603" s="32">
        <v>46219</v>
      </c>
      <c r="F603" s="11"/>
      <c r="G603" s="8">
        <v>2462049</v>
      </c>
      <c r="I603" s="8">
        <v>1762366</v>
      </c>
      <c r="K603" s="8">
        <v>6317897</v>
      </c>
      <c r="M603" s="8">
        <v>93557</v>
      </c>
      <c r="O603" s="8">
        <v>831936</v>
      </c>
      <c r="Q603" s="8">
        <v>0</v>
      </c>
      <c r="S603" s="8">
        <v>0</v>
      </c>
      <c r="U603" s="8">
        <v>0</v>
      </c>
      <c r="W603" s="8">
        <f>6827+44537</f>
        <v>51364</v>
      </c>
      <c r="Y603" s="3">
        <f t="shared" si="52"/>
        <v>11519169</v>
      </c>
      <c r="AA603" s="8">
        <v>0</v>
      </c>
      <c r="AE603" s="8">
        <v>0</v>
      </c>
      <c r="AG603" s="8">
        <v>0</v>
      </c>
      <c r="AK603" s="8">
        <f t="shared" si="51"/>
        <v>0</v>
      </c>
      <c r="AM603" s="8">
        <f t="shared" si="50"/>
        <v>11519169</v>
      </c>
    </row>
    <row r="604" spans="1:39">
      <c r="A604" s="13" t="s">
        <v>567</v>
      </c>
      <c r="B604" s="13"/>
      <c r="C604" s="13" t="s">
        <v>51</v>
      </c>
      <c r="D604" s="13"/>
      <c r="E604" s="32">
        <v>48884</v>
      </c>
      <c r="G604" s="8">
        <v>5522458</v>
      </c>
      <c r="I604" s="8">
        <v>0</v>
      </c>
      <c r="K604" s="8">
        <v>7099724</v>
      </c>
      <c r="M604" s="8">
        <v>59247</v>
      </c>
      <c r="O604" s="8">
        <v>992031</v>
      </c>
      <c r="Q604" s="8">
        <v>0</v>
      </c>
      <c r="S604" s="8">
        <v>0</v>
      </c>
      <c r="U604" s="8">
        <v>13873</v>
      </c>
      <c r="W604" s="8">
        <f>73434+16784</f>
        <v>90218</v>
      </c>
      <c r="Y604" s="3">
        <f t="shared" si="52"/>
        <v>13777551</v>
      </c>
      <c r="AA604" s="8">
        <v>0</v>
      </c>
      <c r="AE604" s="8">
        <v>124570</v>
      </c>
      <c r="AG604" s="8">
        <v>0</v>
      </c>
      <c r="AK604" s="8">
        <f t="shared" si="51"/>
        <v>124570</v>
      </c>
      <c r="AM604" s="8">
        <f t="shared" si="50"/>
        <v>13902121</v>
      </c>
    </row>
    <row r="605" spans="1:39">
      <c r="A605" s="13" t="s">
        <v>240</v>
      </c>
      <c r="B605" s="13"/>
      <c r="C605" s="13" t="s">
        <v>77</v>
      </c>
      <c r="D605" s="13"/>
      <c r="E605" s="32">
        <v>46060</v>
      </c>
      <c r="F605" s="11"/>
      <c r="G605" s="8">
        <v>4300334</v>
      </c>
      <c r="I605" s="8">
        <v>0</v>
      </c>
      <c r="K605" s="8">
        <v>20334717</v>
      </c>
      <c r="M605" s="8">
        <v>137313</v>
      </c>
      <c r="O605" s="8">
        <v>1205817</v>
      </c>
      <c r="Q605" s="8">
        <v>0</v>
      </c>
      <c r="S605" s="8">
        <v>0</v>
      </c>
      <c r="U605" s="8">
        <v>0</v>
      </c>
      <c r="W605" s="8">
        <f>12995+89082</f>
        <v>102077</v>
      </c>
      <c r="Y605" s="3">
        <f t="shared" si="52"/>
        <v>26080258</v>
      </c>
      <c r="AA605" s="8">
        <v>0</v>
      </c>
      <c r="AE605" s="8">
        <v>0</v>
      </c>
      <c r="AG605" s="8">
        <v>0</v>
      </c>
      <c r="AK605" s="8">
        <f t="shared" si="51"/>
        <v>0</v>
      </c>
      <c r="AM605" s="8">
        <f t="shared" si="50"/>
        <v>26080258</v>
      </c>
    </row>
    <row r="606" spans="1:39">
      <c r="A606" s="13" t="s">
        <v>587</v>
      </c>
      <c r="B606" s="13"/>
      <c r="C606" s="13" t="s">
        <v>55</v>
      </c>
      <c r="D606" s="13"/>
      <c r="E606" s="32">
        <v>49155</v>
      </c>
      <c r="G606" s="8">
        <v>669909</v>
      </c>
      <c r="I606" s="8">
        <v>0</v>
      </c>
      <c r="K606" s="8">
        <v>5628815</v>
      </c>
      <c r="M606" s="8">
        <v>75119</v>
      </c>
      <c r="O606" s="8">
        <v>163951</v>
      </c>
      <c r="Q606" s="8">
        <v>0</v>
      </c>
      <c r="S606" s="8">
        <v>0</v>
      </c>
      <c r="U606" s="8">
        <v>7000</v>
      </c>
      <c r="W606" s="8">
        <f>10422+380</f>
        <v>10802</v>
      </c>
      <c r="Y606" s="3">
        <f t="shared" si="52"/>
        <v>6555596</v>
      </c>
      <c r="AA606" s="8">
        <v>0</v>
      </c>
      <c r="AE606" s="8">
        <v>0</v>
      </c>
      <c r="AG606" s="8">
        <v>4297</v>
      </c>
      <c r="AK606" s="8">
        <f t="shared" si="51"/>
        <v>4297</v>
      </c>
      <c r="AM606" s="8">
        <f t="shared" si="50"/>
        <v>6559893</v>
      </c>
    </row>
    <row r="607" spans="1:39">
      <c r="A607" s="13" t="s">
        <v>447</v>
      </c>
      <c r="B607" s="13"/>
      <c r="C607" s="13" t="s">
        <v>37</v>
      </c>
      <c r="D607" s="13"/>
      <c r="E607" s="32">
        <v>47746</v>
      </c>
      <c r="G607" s="8">
        <v>2101689</v>
      </c>
      <c r="I607" s="8">
        <v>1689429</v>
      </c>
      <c r="K607" s="8">
        <f>75313+6858390</f>
        <v>6933703</v>
      </c>
      <c r="M607" s="8">
        <v>34782</v>
      </c>
      <c r="O607" s="8">
        <v>425953</v>
      </c>
      <c r="Q607" s="8">
        <v>460</v>
      </c>
      <c r="S607" s="8">
        <v>0</v>
      </c>
      <c r="U607" s="8">
        <v>0</v>
      </c>
      <c r="W607" s="8">
        <f>67709+14434</f>
        <v>82143</v>
      </c>
      <c r="Y607" s="3">
        <f t="shared" si="52"/>
        <v>11268159</v>
      </c>
      <c r="AA607" s="8">
        <v>0</v>
      </c>
      <c r="AE607" s="8">
        <v>0</v>
      </c>
      <c r="AG607" s="8">
        <v>0</v>
      </c>
      <c r="AK607" s="8">
        <f t="shared" si="51"/>
        <v>0</v>
      </c>
      <c r="AM607" s="8">
        <f t="shared" si="50"/>
        <v>11268159</v>
      </c>
    </row>
    <row r="608" spans="1:39">
      <c r="A608" s="13" t="s">
        <v>447</v>
      </c>
      <c r="B608" s="13"/>
      <c r="C608" s="13" t="s">
        <v>45</v>
      </c>
      <c r="D608" s="13"/>
      <c r="E608" s="13">
        <v>48397</v>
      </c>
      <c r="G608" s="8">
        <v>2571089</v>
      </c>
      <c r="I608" s="8">
        <v>0</v>
      </c>
      <c r="K608" s="8">
        <v>3045550</v>
      </c>
      <c r="M608" s="8">
        <v>37410</v>
      </c>
      <c r="O608" s="8">
        <v>665588</v>
      </c>
      <c r="Q608" s="8">
        <v>1792</v>
      </c>
      <c r="S608" s="8">
        <v>0</v>
      </c>
      <c r="U608" s="8">
        <v>150</v>
      </c>
      <c r="W608" s="8">
        <f>21284+757</f>
        <v>22041</v>
      </c>
      <c r="Y608" s="3">
        <f>SUM(G608:X608)</f>
        <v>6343620</v>
      </c>
      <c r="AA608" s="8">
        <v>0</v>
      </c>
      <c r="AE608" s="8">
        <v>0</v>
      </c>
      <c r="AG608" s="8">
        <v>1103</v>
      </c>
      <c r="AK608" s="8">
        <f>SUM(AA608:AJ608)</f>
        <v>1103</v>
      </c>
      <c r="AM608" s="8">
        <f>+AK608+Y608</f>
        <v>6344723</v>
      </c>
    </row>
    <row r="609" spans="1:39" s="35" customFormat="1">
      <c r="A609" s="34" t="s">
        <v>365</v>
      </c>
      <c r="B609" s="34"/>
      <c r="C609" s="34" t="s">
        <v>27</v>
      </c>
      <c r="D609" s="34"/>
      <c r="E609" s="34">
        <v>45047</v>
      </c>
      <c r="G609" s="8">
        <v>80274462</v>
      </c>
      <c r="H609" s="8"/>
      <c r="I609" s="8">
        <v>0</v>
      </c>
      <c r="K609" s="8">
        <v>47408346</v>
      </c>
      <c r="L609" s="8"/>
      <c r="M609" s="8">
        <v>408504</v>
      </c>
      <c r="N609" s="8"/>
      <c r="O609" s="8">
        <v>1241502</v>
      </c>
      <c r="P609" s="8"/>
      <c r="Q609" s="8">
        <v>245471</v>
      </c>
      <c r="R609" s="8"/>
      <c r="S609" s="8">
        <v>974418</v>
      </c>
      <c r="T609" s="8"/>
      <c r="U609" s="8">
        <v>0</v>
      </c>
      <c r="V609" s="8"/>
      <c r="W609" s="8">
        <v>659792</v>
      </c>
      <c r="X609" s="8"/>
      <c r="Y609" s="3">
        <f t="shared" si="52"/>
        <v>131212495</v>
      </c>
      <c r="Z609" s="8"/>
      <c r="AA609" s="8">
        <v>0</v>
      </c>
      <c r="AB609" s="8"/>
      <c r="AC609" s="8"/>
      <c r="AD609" s="8"/>
      <c r="AE609" s="8">
        <v>0</v>
      </c>
      <c r="AF609" s="8"/>
      <c r="AG609" s="8">
        <v>0</v>
      </c>
      <c r="AH609" s="8"/>
      <c r="AI609" s="8"/>
      <c r="AJ609" s="8"/>
      <c r="AK609" s="8">
        <f t="shared" si="51"/>
        <v>0</v>
      </c>
      <c r="AL609" s="8"/>
      <c r="AM609" s="8">
        <f t="shared" si="50"/>
        <v>131212495</v>
      </c>
    </row>
    <row r="610" spans="1:39">
      <c r="A610" s="13" t="s">
        <v>584</v>
      </c>
      <c r="B610" s="13"/>
      <c r="C610" s="13" t="s">
        <v>54</v>
      </c>
      <c r="D610" s="13"/>
      <c r="E610" s="32">
        <v>49106</v>
      </c>
      <c r="G610" s="8">
        <v>4137511</v>
      </c>
      <c r="I610" s="8">
        <v>0</v>
      </c>
      <c r="K610" s="8">
        <v>8642700</v>
      </c>
      <c r="M610" s="8">
        <v>50321</v>
      </c>
      <c r="O610" s="8">
        <v>481712</v>
      </c>
      <c r="Q610" s="8">
        <v>17189</v>
      </c>
      <c r="S610" s="8">
        <v>505815</v>
      </c>
      <c r="U610" s="8">
        <v>6221</v>
      </c>
      <c r="W610" s="8">
        <v>203594</v>
      </c>
      <c r="Y610" s="3">
        <f t="shared" si="52"/>
        <v>14045063</v>
      </c>
      <c r="AA610" s="8">
        <v>0</v>
      </c>
      <c r="AE610" s="8">
        <v>0</v>
      </c>
      <c r="AG610" s="8">
        <v>0</v>
      </c>
      <c r="AK610" s="8">
        <f t="shared" si="51"/>
        <v>0</v>
      </c>
      <c r="AM610" s="8">
        <f t="shared" si="50"/>
        <v>14045063</v>
      </c>
    </row>
    <row r="611" spans="1:39">
      <c r="A611" s="13" t="s">
        <v>325</v>
      </c>
      <c r="B611" s="13"/>
      <c r="C611" s="13" t="s">
        <v>20</v>
      </c>
      <c r="D611" s="13"/>
      <c r="E611" s="32">
        <v>45062</v>
      </c>
      <c r="G611" s="8">
        <v>40643668</v>
      </c>
      <c r="I611" s="8">
        <v>0</v>
      </c>
      <c r="K611" s="8">
        <v>10254824</v>
      </c>
      <c r="M611" s="8">
        <v>799497</v>
      </c>
      <c r="O611" s="8">
        <v>15510</v>
      </c>
      <c r="Q611" s="8">
        <v>0</v>
      </c>
      <c r="S611" s="8">
        <v>0</v>
      </c>
      <c r="U611" s="8">
        <v>0</v>
      </c>
      <c r="W611" s="8">
        <f>165789+97238+14975+17201</f>
        <v>295203</v>
      </c>
      <c r="Y611" s="3">
        <f t="shared" si="52"/>
        <v>52008702</v>
      </c>
      <c r="AA611" s="8">
        <v>0</v>
      </c>
      <c r="AE611" s="8">
        <v>349158</v>
      </c>
      <c r="AG611" s="8">
        <v>0</v>
      </c>
      <c r="AK611" s="8">
        <f t="shared" si="51"/>
        <v>349158</v>
      </c>
      <c r="AM611" s="8">
        <f t="shared" si="50"/>
        <v>52357860</v>
      </c>
    </row>
    <row r="612" spans="1:39">
      <c r="A612" s="13" t="s">
        <v>634</v>
      </c>
      <c r="B612" s="13"/>
      <c r="C612" s="13" t="s">
        <v>59</v>
      </c>
      <c r="D612" s="13"/>
      <c r="E612" s="32">
        <v>49668</v>
      </c>
      <c r="G612" s="8">
        <v>2728957</v>
      </c>
      <c r="I612" s="8">
        <v>0</v>
      </c>
      <c r="K612" s="8">
        <v>6931782</v>
      </c>
      <c r="M612" s="8">
        <f>91976+37144</f>
        <v>129120</v>
      </c>
      <c r="O612" s="8">
        <v>1463166</v>
      </c>
      <c r="Q612" s="8">
        <v>0</v>
      </c>
      <c r="S612" s="8">
        <v>0</v>
      </c>
      <c r="U612" s="8">
        <v>151</v>
      </c>
      <c r="W612" s="8">
        <f>52948+242</f>
        <v>53190</v>
      </c>
      <c r="Y612" s="3">
        <f t="shared" si="52"/>
        <v>11306366</v>
      </c>
      <c r="AA612" s="8">
        <v>0</v>
      </c>
      <c r="AE612" s="8">
        <v>59860</v>
      </c>
      <c r="AG612" s="8">
        <v>0</v>
      </c>
      <c r="AK612" s="8">
        <f t="shared" si="51"/>
        <v>59860</v>
      </c>
      <c r="AM612" s="8">
        <f t="shared" si="50"/>
        <v>11366226</v>
      </c>
    </row>
    <row r="613" spans="1:39">
      <c r="A613" s="13" t="s">
        <v>366</v>
      </c>
      <c r="B613" s="13"/>
      <c r="C613" s="13" t="s">
        <v>27</v>
      </c>
      <c r="D613" s="13"/>
      <c r="E613" s="32">
        <v>45070</v>
      </c>
      <c r="G613" s="8">
        <v>12615417</v>
      </c>
      <c r="I613" s="8">
        <v>0</v>
      </c>
      <c r="K613" s="8">
        <f>117313+16208193+193850</f>
        <v>16519356</v>
      </c>
      <c r="M613" s="8">
        <v>610885</v>
      </c>
      <c r="O613" s="8">
        <v>173445</v>
      </c>
      <c r="Q613" s="8">
        <v>11354</v>
      </c>
      <c r="S613" s="8">
        <v>0</v>
      </c>
      <c r="U613" s="8">
        <v>0</v>
      </c>
      <c r="W613" s="8">
        <v>93241</v>
      </c>
      <c r="Y613" s="3">
        <f t="shared" si="52"/>
        <v>30023698</v>
      </c>
      <c r="AA613" s="8">
        <v>0</v>
      </c>
      <c r="AE613" s="8">
        <v>35790</v>
      </c>
      <c r="AG613" s="8">
        <v>0</v>
      </c>
      <c r="AK613" s="8">
        <f t="shared" si="51"/>
        <v>35790</v>
      </c>
      <c r="AM613" s="8">
        <f t="shared" si="50"/>
        <v>30059488</v>
      </c>
    </row>
    <row r="614" spans="1:39" hidden="1">
      <c r="A614" s="12" t="s">
        <v>844</v>
      </c>
      <c r="B614" s="13"/>
      <c r="C614" s="13" t="s">
        <v>41</v>
      </c>
      <c r="D614" s="13"/>
      <c r="E614" s="32">
        <v>45088</v>
      </c>
      <c r="Y614" s="3">
        <f t="shared" si="52"/>
        <v>0</v>
      </c>
      <c r="AK614" s="8">
        <f t="shared" si="51"/>
        <v>0</v>
      </c>
      <c r="AM614" s="8">
        <f t="shared" si="50"/>
        <v>0</v>
      </c>
    </row>
    <row r="615" spans="1:39">
      <c r="A615" s="13" t="s">
        <v>448</v>
      </c>
      <c r="B615" s="13"/>
      <c r="C615" s="13" t="s">
        <v>37</v>
      </c>
      <c r="D615" s="13"/>
      <c r="E615" s="32">
        <v>45096</v>
      </c>
      <c r="G615" s="8">
        <v>5035921</v>
      </c>
      <c r="I615" s="8">
        <v>0</v>
      </c>
      <c r="K615" s="8">
        <f>894+10743209+39247</f>
        <v>10783350</v>
      </c>
      <c r="M615" s="8">
        <v>98217</v>
      </c>
      <c r="O615" s="8">
        <v>219902</v>
      </c>
      <c r="Q615" s="8">
        <v>0</v>
      </c>
      <c r="S615" s="8">
        <v>0</v>
      </c>
      <c r="U615" s="8">
        <v>100</v>
      </c>
      <c r="W615" s="8">
        <f>105249+7024+10832+12110</f>
        <v>135215</v>
      </c>
      <c r="Y615" s="3">
        <f t="shared" si="52"/>
        <v>16272705</v>
      </c>
      <c r="AA615" s="8">
        <v>0</v>
      </c>
      <c r="AE615" s="8">
        <v>0</v>
      </c>
      <c r="AG615" s="8">
        <v>6892</v>
      </c>
      <c r="AK615" s="8">
        <f t="shared" si="51"/>
        <v>6892</v>
      </c>
      <c r="AM615" s="8">
        <f t="shared" si="50"/>
        <v>16279597</v>
      </c>
    </row>
    <row r="616" spans="1:39">
      <c r="A616" s="13" t="s">
        <v>273</v>
      </c>
      <c r="B616" s="13"/>
      <c r="C616" s="13" t="s">
        <v>115</v>
      </c>
      <c r="D616" s="13"/>
      <c r="E616" s="32">
        <v>46367</v>
      </c>
      <c r="F616" s="11"/>
      <c r="G616" s="8">
        <v>2906967</v>
      </c>
      <c r="I616" s="8">
        <v>0</v>
      </c>
      <c r="K616" s="8">
        <v>4711873</v>
      </c>
      <c r="M616" s="8">
        <v>90325</v>
      </c>
      <c r="O616" s="8">
        <v>357349</v>
      </c>
      <c r="Q616" s="8">
        <v>0</v>
      </c>
      <c r="S616" s="8">
        <v>153563</v>
      </c>
      <c r="U616" s="8">
        <v>51984</v>
      </c>
      <c r="W616" s="8">
        <f>121293+220557</f>
        <v>341850</v>
      </c>
      <c r="Y616" s="3">
        <f t="shared" si="52"/>
        <v>8613911</v>
      </c>
      <c r="AA616" s="8">
        <v>0</v>
      </c>
      <c r="AE616" s="8">
        <v>0</v>
      </c>
      <c r="AG616" s="8">
        <v>0</v>
      </c>
      <c r="AK616" s="8">
        <f t="shared" si="51"/>
        <v>0</v>
      </c>
      <c r="AM616" s="8">
        <f t="shared" si="50"/>
        <v>8613911</v>
      </c>
    </row>
    <row r="617" spans="1:39">
      <c r="A617" s="13" t="s">
        <v>464</v>
      </c>
      <c r="B617" s="13"/>
      <c r="C617" s="13" t="s">
        <v>41</v>
      </c>
      <c r="D617" s="13"/>
      <c r="E617" s="13">
        <v>45104</v>
      </c>
      <c r="G617" s="8">
        <v>52207504</v>
      </c>
      <c r="I617" s="8">
        <v>0</v>
      </c>
      <c r="K617" s="8">
        <v>27003996</v>
      </c>
      <c r="M617" s="8">
        <v>612750</v>
      </c>
      <c r="O617" s="8">
        <v>2065953</v>
      </c>
      <c r="Q617" s="8">
        <v>0</v>
      </c>
      <c r="S617" s="8">
        <v>0</v>
      </c>
      <c r="U617" s="8">
        <v>0</v>
      </c>
      <c r="W617" s="8">
        <f>209669+42024+473617</f>
        <v>725310</v>
      </c>
      <c r="Y617" s="3">
        <f t="shared" si="52"/>
        <v>82615513</v>
      </c>
      <c r="AA617" s="8">
        <v>0</v>
      </c>
      <c r="AE617" s="8">
        <v>0</v>
      </c>
      <c r="AG617" s="8">
        <v>1030</v>
      </c>
      <c r="AK617" s="8">
        <f t="shared" si="51"/>
        <v>1030</v>
      </c>
      <c r="AM617" s="8">
        <f t="shared" si="50"/>
        <v>82616543</v>
      </c>
    </row>
    <row r="618" spans="1:39">
      <c r="A618" s="13" t="s">
        <v>277</v>
      </c>
      <c r="B618" s="13"/>
      <c r="C618" s="13" t="s">
        <v>18</v>
      </c>
      <c r="D618" s="13"/>
      <c r="E618" s="32">
        <v>45112</v>
      </c>
      <c r="F618" s="11"/>
      <c r="G618" s="8">
        <v>12386696</v>
      </c>
      <c r="I618" s="8">
        <v>0</v>
      </c>
      <c r="K618" s="8">
        <v>10668564</v>
      </c>
      <c r="M618" s="8">
        <v>143053</v>
      </c>
      <c r="O618" s="8">
        <v>676321</v>
      </c>
      <c r="Q618" s="8">
        <v>0</v>
      </c>
      <c r="S618" s="8">
        <v>478529</v>
      </c>
      <c r="U618" s="8">
        <v>0</v>
      </c>
      <c r="W618" s="8">
        <v>29286</v>
      </c>
      <c r="Y618" s="3">
        <f t="shared" si="52"/>
        <v>24382449</v>
      </c>
      <c r="AA618" s="8">
        <v>152578</v>
      </c>
      <c r="AE618" s="8">
        <v>0</v>
      </c>
      <c r="AG618" s="8">
        <v>0</v>
      </c>
      <c r="AK618" s="8">
        <f t="shared" si="51"/>
        <v>152578</v>
      </c>
      <c r="AM618" s="8">
        <f t="shared" si="50"/>
        <v>24535027</v>
      </c>
    </row>
    <row r="619" spans="1:39">
      <c r="A619" s="13" t="s">
        <v>597</v>
      </c>
      <c r="B619" s="13"/>
      <c r="C619" s="13" t="s">
        <v>56</v>
      </c>
      <c r="D619" s="13"/>
      <c r="E619" s="32">
        <v>45666</v>
      </c>
      <c r="G619" s="8">
        <v>1564663</v>
      </c>
      <c r="I619" s="8">
        <v>0</v>
      </c>
      <c r="K619" s="8">
        <f>4595+6129352+52192</f>
        <v>6186139</v>
      </c>
      <c r="M619" s="8">
        <v>12064</v>
      </c>
      <c r="O619" s="8">
        <v>197325</v>
      </c>
      <c r="Q619" s="8">
        <v>0</v>
      </c>
      <c r="S619" s="8">
        <v>0</v>
      </c>
      <c r="U619" s="8">
        <v>0</v>
      </c>
      <c r="W619" s="8">
        <f>45105+3036</f>
        <v>48141</v>
      </c>
      <c r="Y619" s="3">
        <f t="shared" si="52"/>
        <v>8008332</v>
      </c>
      <c r="AA619" s="8">
        <v>0</v>
      </c>
      <c r="AE619" s="8">
        <v>0</v>
      </c>
      <c r="AG619" s="8">
        <v>0</v>
      </c>
      <c r="AK619" s="8">
        <f t="shared" si="51"/>
        <v>0</v>
      </c>
      <c r="AM619" s="8">
        <f t="shared" si="50"/>
        <v>8008332</v>
      </c>
    </row>
    <row r="620" spans="1:39">
      <c r="A620" s="13" t="s">
        <v>411</v>
      </c>
      <c r="B620" s="13"/>
      <c r="C620" s="13" t="s">
        <v>32</v>
      </c>
      <c r="D620" s="13"/>
      <c r="E620" s="32">
        <v>44081</v>
      </c>
      <c r="G620" s="8">
        <v>18943734</v>
      </c>
      <c r="I620" s="8">
        <v>0</v>
      </c>
      <c r="K620" s="8">
        <v>17989869</v>
      </c>
      <c r="M620" s="8">
        <v>139542</v>
      </c>
      <c r="O620" s="8">
        <v>807108</v>
      </c>
      <c r="Q620" s="8">
        <v>67984</v>
      </c>
      <c r="S620" s="8">
        <v>0</v>
      </c>
      <c r="U620" s="8">
        <v>0</v>
      </c>
      <c r="W620" s="8">
        <v>537637</v>
      </c>
      <c r="Y620" s="3">
        <f t="shared" si="52"/>
        <v>38485874</v>
      </c>
      <c r="AA620" s="8">
        <v>0</v>
      </c>
      <c r="AE620" s="8">
        <v>14466</v>
      </c>
      <c r="AG620" s="8">
        <v>0</v>
      </c>
      <c r="AK620" s="8">
        <f t="shared" si="51"/>
        <v>14466</v>
      </c>
      <c r="AM620" s="8">
        <f t="shared" si="50"/>
        <v>38500340</v>
      </c>
    </row>
    <row r="621" spans="1:39">
      <c r="A621" s="13" t="s">
        <v>720</v>
      </c>
      <c r="B621" s="13"/>
      <c r="C621" s="13" t="s">
        <v>70</v>
      </c>
      <c r="D621" s="13"/>
      <c r="E621" s="32">
        <v>50518</v>
      </c>
      <c r="G621" s="8">
        <v>4361200</v>
      </c>
      <c r="I621" s="8">
        <v>0</v>
      </c>
      <c r="K621" s="8">
        <v>2534825</v>
      </c>
      <c r="M621" s="8">
        <v>127765</v>
      </c>
      <c r="O621" s="8">
        <v>273728</v>
      </c>
      <c r="Q621" s="8">
        <v>0</v>
      </c>
      <c r="S621" s="8">
        <v>0</v>
      </c>
      <c r="U621" s="8">
        <v>76678</v>
      </c>
      <c r="W621" s="8">
        <v>1736</v>
      </c>
      <c r="Y621" s="3">
        <f t="shared" si="52"/>
        <v>7375932</v>
      </c>
      <c r="AA621" s="8">
        <v>0</v>
      </c>
      <c r="AE621" s="8">
        <v>0</v>
      </c>
      <c r="AG621" s="8">
        <v>0</v>
      </c>
      <c r="AK621" s="8">
        <f t="shared" si="51"/>
        <v>0</v>
      </c>
      <c r="AM621" s="8">
        <f t="shared" si="50"/>
        <v>7375932</v>
      </c>
    </row>
    <row r="622" spans="1:39">
      <c r="A622" s="13" t="s">
        <v>625</v>
      </c>
      <c r="B622" s="13"/>
      <c r="C622" s="13" t="s">
        <v>79</v>
      </c>
      <c r="D622" s="13"/>
      <c r="E622" s="32">
        <v>49577</v>
      </c>
      <c r="G622" s="8">
        <v>3558810</v>
      </c>
      <c r="I622" s="8">
        <v>0</v>
      </c>
      <c r="K622" s="8">
        <v>4803545</v>
      </c>
      <c r="M622" s="8">
        <v>8395</v>
      </c>
      <c r="O622" s="8">
        <v>265668</v>
      </c>
      <c r="Q622" s="8">
        <v>19320</v>
      </c>
      <c r="S622" s="8">
        <v>194000</v>
      </c>
      <c r="U622" s="8">
        <v>0</v>
      </c>
      <c r="W622" s="8">
        <f>31776+37157</f>
        <v>68933</v>
      </c>
      <c r="Y622" s="3">
        <f t="shared" si="52"/>
        <v>8918671</v>
      </c>
      <c r="AA622" s="8">
        <v>76986</v>
      </c>
      <c r="AE622" s="8">
        <v>0</v>
      </c>
      <c r="AG622" s="8">
        <v>0</v>
      </c>
      <c r="AK622" s="8">
        <f t="shared" si="51"/>
        <v>76986</v>
      </c>
      <c r="AM622" s="8">
        <f t="shared" si="50"/>
        <v>8995657</v>
      </c>
    </row>
    <row r="623" spans="1:39">
      <c r="A623" s="13" t="s">
        <v>674</v>
      </c>
      <c r="B623" s="13"/>
      <c r="C623" s="13" t="s">
        <v>63</v>
      </c>
      <c r="D623" s="13"/>
      <c r="E623" s="32">
        <v>49973</v>
      </c>
      <c r="G623" s="8">
        <v>14513175</v>
      </c>
      <c r="I623" s="8">
        <v>0</v>
      </c>
      <c r="K623" s="8">
        <v>4989895</v>
      </c>
      <c r="M623" s="8">
        <v>218820</v>
      </c>
      <c r="O623" s="8">
        <v>1028979</v>
      </c>
      <c r="Q623" s="8">
        <v>0</v>
      </c>
      <c r="S623" s="8">
        <v>391840</v>
      </c>
      <c r="U623" s="8">
        <v>0</v>
      </c>
      <c r="W623" s="8">
        <f>195+68937</f>
        <v>69132</v>
      </c>
      <c r="Y623" s="3">
        <f t="shared" si="52"/>
        <v>21211841</v>
      </c>
      <c r="AA623" s="8">
        <v>0</v>
      </c>
      <c r="AE623" s="8">
        <v>32000</v>
      </c>
      <c r="AG623" s="8">
        <v>0</v>
      </c>
      <c r="AK623" s="8">
        <f t="shared" si="51"/>
        <v>32000</v>
      </c>
      <c r="AM623" s="8">
        <f t="shared" si="50"/>
        <v>21243841</v>
      </c>
    </row>
    <row r="624" spans="1:39">
      <c r="A624" s="13" t="s">
        <v>845</v>
      </c>
      <c r="B624" s="13"/>
      <c r="C624" s="13" t="s">
        <v>71</v>
      </c>
      <c r="D624" s="13"/>
      <c r="E624" s="32">
        <v>45138</v>
      </c>
      <c r="G624" s="8">
        <v>21328869</v>
      </c>
      <c r="I624" s="8">
        <v>0</v>
      </c>
      <c r="K624" s="8">
        <v>15262203</v>
      </c>
      <c r="M624" s="8">
        <v>424140</v>
      </c>
      <c r="O624" s="8">
        <v>627418</v>
      </c>
      <c r="Q624" s="8">
        <v>122703</v>
      </c>
      <c r="S624" s="8">
        <v>0</v>
      </c>
      <c r="U624" s="8">
        <v>0</v>
      </c>
      <c r="W624" s="8">
        <f>77849+60466</f>
        <v>138315</v>
      </c>
      <c r="Y624" s="3">
        <f t="shared" si="52"/>
        <v>37903648</v>
      </c>
      <c r="AA624" s="8">
        <v>0</v>
      </c>
      <c r="AE624" s="8">
        <v>0</v>
      </c>
      <c r="AG624" s="8">
        <v>450</v>
      </c>
      <c r="AK624" s="8">
        <f t="shared" si="51"/>
        <v>450</v>
      </c>
      <c r="AM624" s="8">
        <f t="shared" si="50"/>
        <v>37904098</v>
      </c>
    </row>
    <row r="625" spans="1:39">
      <c r="A625" s="13" t="s">
        <v>367</v>
      </c>
      <c r="B625" s="13"/>
      <c r="C625" s="13" t="s">
        <v>27</v>
      </c>
      <c r="D625" s="13"/>
      <c r="E625" s="32">
        <v>46524</v>
      </c>
      <c r="G625" s="8">
        <v>74795560</v>
      </c>
      <c r="I625" s="8">
        <v>0</v>
      </c>
      <c r="K625" s="8">
        <v>34760385</v>
      </c>
      <c r="M625" s="8">
        <v>1287382</v>
      </c>
      <c r="O625" s="8">
        <v>1203731</v>
      </c>
      <c r="Q625" s="8">
        <v>0</v>
      </c>
      <c r="S625" s="8">
        <v>0</v>
      </c>
      <c r="U625" s="8">
        <v>0</v>
      </c>
      <c r="W625" s="8">
        <v>408789</v>
      </c>
      <c r="Y625" s="3">
        <f t="shared" si="52"/>
        <v>112455847</v>
      </c>
      <c r="AA625" s="8">
        <v>0</v>
      </c>
      <c r="AE625" s="8">
        <v>12740</v>
      </c>
      <c r="AG625" s="8">
        <v>0</v>
      </c>
      <c r="AK625" s="8">
        <f t="shared" si="51"/>
        <v>12740</v>
      </c>
      <c r="AM625" s="8">
        <f t="shared" si="50"/>
        <v>112468587</v>
      </c>
    </row>
    <row r="626" spans="1:39">
      <c r="A626" s="13" t="s">
        <v>295</v>
      </c>
      <c r="B626" s="13"/>
      <c r="C626" s="13" t="s">
        <v>113</v>
      </c>
      <c r="D626" s="13"/>
      <c r="E626" s="32">
        <v>45146</v>
      </c>
      <c r="G626" s="8">
        <v>3193190</v>
      </c>
      <c r="I626" s="8">
        <v>0</v>
      </c>
      <c r="K626" s="8">
        <v>5756893</v>
      </c>
      <c r="M626" s="8">
        <v>76867</v>
      </c>
      <c r="O626" s="8">
        <v>684507</v>
      </c>
      <c r="Q626" s="8">
        <v>0</v>
      </c>
      <c r="S626" s="8">
        <v>0</v>
      </c>
      <c r="U626" s="8">
        <v>0</v>
      </c>
      <c r="W626" s="8">
        <f>11603+1138+54008</f>
        <v>66749</v>
      </c>
      <c r="Y626" s="3">
        <f t="shared" si="52"/>
        <v>9778206</v>
      </c>
      <c r="AA626" s="8">
        <v>0</v>
      </c>
      <c r="AE626" s="8">
        <v>0</v>
      </c>
      <c r="AG626" s="8">
        <v>0</v>
      </c>
      <c r="AK626" s="8">
        <f t="shared" si="51"/>
        <v>0</v>
      </c>
      <c r="AM626" s="8">
        <f t="shared" si="50"/>
        <v>9778206</v>
      </c>
    </row>
    <row r="627" spans="1:39">
      <c r="A627" s="13" t="s">
        <v>412</v>
      </c>
      <c r="B627" s="13"/>
      <c r="C627" s="13" t="s">
        <v>32</v>
      </c>
      <c r="D627" s="13"/>
      <c r="E627" s="32">
        <v>45153</v>
      </c>
      <c r="G627" s="8">
        <v>14400713</v>
      </c>
      <c r="I627" s="8">
        <v>0</v>
      </c>
      <c r="K627" s="8">
        <v>7030462</v>
      </c>
      <c r="M627" s="8">
        <v>355743</v>
      </c>
      <c r="O627" s="8">
        <v>434214</v>
      </c>
      <c r="Q627" s="8">
        <v>0</v>
      </c>
      <c r="S627" s="8">
        <v>0</v>
      </c>
      <c r="U627" s="8">
        <v>0</v>
      </c>
      <c r="W627" s="8">
        <v>550978</v>
      </c>
      <c r="Y627" s="3">
        <f t="shared" si="52"/>
        <v>22772110</v>
      </c>
      <c r="AA627" s="8">
        <v>0</v>
      </c>
      <c r="AE627" s="8">
        <v>0</v>
      </c>
      <c r="AG627" s="8">
        <v>0</v>
      </c>
      <c r="AK627" s="8">
        <f t="shared" si="51"/>
        <v>0</v>
      </c>
      <c r="AM627" s="8">
        <f t="shared" si="50"/>
        <v>22772110</v>
      </c>
    </row>
    <row r="628" spans="1:39">
      <c r="A628" s="13" t="s">
        <v>388</v>
      </c>
      <c r="B628" s="13"/>
      <c r="C628" s="13" t="s">
        <v>116</v>
      </c>
      <c r="D628" s="13"/>
      <c r="E628" s="32">
        <v>45674</v>
      </c>
      <c r="G628" s="8">
        <v>2286063</v>
      </c>
      <c r="I628" s="8">
        <v>1209837</v>
      </c>
      <c r="K628" s="8">
        <v>1732139</v>
      </c>
      <c r="M628" s="8">
        <v>81600</v>
      </c>
      <c r="O628" s="8">
        <v>959218</v>
      </c>
      <c r="Q628" s="8">
        <v>0</v>
      </c>
      <c r="S628" s="8">
        <v>0</v>
      </c>
      <c r="U628" s="8">
        <v>0</v>
      </c>
      <c r="W628" s="8">
        <f>2520+36488</f>
        <v>39008</v>
      </c>
      <c r="Y628" s="3">
        <f t="shared" si="52"/>
        <v>6307865</v>
      </c>
      <c r="AA628" s="8">
        <v>0</v>
      </c>
      <c r="AE628" s="8">
        <v>0</v>
      </c>
      <c r="AG628" s="8">
        <v>0</v>
      </c>
      <c r="AK628" s="8">
        <f t="shared" si="51"/>
        <v>0</v>
      </c>
      <c r="AM628" s="8">
        <f t="shared" si="50"/>
        <v>6307865</v>
      </c>
    </row>
    <row r="629" spans="1:39">
      <c r="A629" s="13" t="s">
        <v>519</v>
      </c>
      <c r="B629" s="13"/>
      <c r="C629" s="13" t="s">
        <v>45</v>
      </c>
      <c r="D629" s="13"/>
      <c r="E629" s="32">
        <v>45161</v>
      </c>
      <c r="G629" s="8">
        <v>18997047</v>
      </c>
      <c r="I629" s="8">
        <v>0</v>
      </c>
      <c r="K629" s="8">
        <v>74598099</v>
      </c>
      <c r="M629" s="8">
        <v>330053</v>
      </c>
      <c r="O629" s="8">
        <v>1332217</v>
      </c>
      <c r="Q629" s="8">
        <v>0</v>
      </c>
      <c r="S629" s="8">
        <v>0</v>
      </c>
      <c r="U629" s="8">
        <v>0</v>
      </c>
      <c r="W629" s="8">
        <f>33919+245008</f>
        <v>278927</v>
      </c>
      <c r="Y629" s="3">
        <f t="shared" si="52"/>
        <v>95536343</v>
      </c>
      <c r="AA629" s="8">
        <v>0</v>
      </c>
      <c r="AE629" s="8">
        <v>0</v>
      </c>
      <c r="AG629" s="8">
        <v>0</v>
      </c>
      <c r="AK629" s="8">
        <f t="shared" si="51"/>
        <v>0</v>
      </c>
      <c r="AM629" s="8">
        <f t="shared" si="50"/>
        <v>95536343</v>
      </c>
    </row>
    <row r="630" spans="1:39">
      <c r="A630" s="13" t="s">
        <v>621</v>
      </c>
      <c r="B630" s="13"/>
      <c r="C630" s="13" t="s">
        <v>58</v>
      </c>
      <c r="D630" s="13"/>
      <c r="E630" s="32">
        <v>49544</v>
      </c>
      <c r="G630" s="8">
        <v>3838644</v>
      </c>
      <c r="I630" s="8">
        <v>8621</v>
      </c>
      <c r="K630" s="8">
        <v>7549142</v>
      </c>
      <c r="M630" s="8">
        <v>188235</v>
      </c>
      <c r="O630" s="8">
        <v>360616</v>
      </c>
      <c r="Q630" s="8">
        <v>24698</v>
      </c>
      <c r="S630" s="8">
        <v>0</v>
      </c>
      <c r="U630" s="8">
        <v>0</v>
      </c>
      <c r="W630" s="8">
        <f>59011+90966</f>
        <v>149977</v>
      </c>
      <c r="Y630" s="3">
        <f t="shared" si="52"/>
        <v>12119933</v>
      </c>
      <c r="AA630" s="8">
        <v>0</v>
      </c>
      <c r="AE630" s="8">
        <v>0</v>
      </c>
      <c r="AG630" s="8">
        <v>0</v>
      </c>
      <c r="AK630" s="8">
        <f t="shared" si="51"/>
        <v>0</v>
      </c>
      <c r="AM630" s="8">
        <f t="shared" si="50"/>
        <v>12119933</v>
      </c>
    </row>
    <row r="631" spans="1:39">
      <c r="A631" s="13" t="s">
        <v>568</v>
      </c>
      <c r="B631" s="13"/>
      <c r="C631" s="13" t="s">
        <v>51</v>
      </c>
      <c r="D631" s="13"/>
      <c r="E631" s="32">
        <v>45179</v>
      </c>
      <c r="G631" s="8">
        <v>8796979</v>
      </c>
      <c r="I631" s="8">
        <v>0</v>
      </c>
      <c r="K631" s="8">
        <v>21341161</v>
      </c>
      <c r="M631" s="8">
        <v>115643</v>
      </c>
      <c r="O631" s="8">
        <v>1164583</v>
      </c>
      <c r="Q631" s="8">
        <v>0</v>
      </c>
      <c r="S631" s="8">
        <v>30623</v>
      </c>
      <c r="U631" s="8">
        <v>6626</v>
      </c>
      <c r="W631" s="8">
        <f>79918+526</f>
        <v>80444</v>
      </c>
      <c r="Y631" s="3">
        <f t="shared" si="52"/>
        <v>31536059</v>
      </c>
      <c r="AA631" s="8">
        <v>0</v>
      </c>
      <c r="AE631" s="8">
        <v>0</v>
      </c>
      <c r="AG631" s="8">
        <v>0</v>
      </c>
      <c r="AK631" s="8">
        <f t="shared" si="51"/>
        <v>0</v>
      </c>
      <c r="AM631" s="8">
        <f t="shared" si="50"/>
        <v>31536059</v>
      </c>
    </row>
    <row r="632" spans="1:39">
      <c r="A632" s="13"/>
      <c r="B632" s="13"/>
      <c r="C632" s="13"/>
      <c r="D632" s="1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4" spans="1:39">
      <c r="E634" s="8"/>
    </row>
  </sheetData>
  <mergeCells count="1">
    <mergeCell ref="AA6:AG6"/>
  </mergeCells>
  <phoneticPr fontId="3" type="noConversion"/>
  <pageMargins left="0.75" right="0.75" top="0.5" bottom="0.75" header="0.25" footer="0.25"/>
  <pageSetup scale="75" firstPageNumber="96" fitToWidth="2" fitToHeight="18" pageOrder="overThenDown" orientation="portrait" useFirstPageNumber="1" r:id="rId1"/>
  <headerFooter alignWithMargins="0">
    <oddFooter>&amp;C&amp;"Times New Roman,Regular"&amp;12&amp;P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BW636"/>
  <sheetViews>
    <sheetView zoomScaleNormal="100" zoomScaleSheetLayoutView="75" workbookViewId="0">
      <pane xSplit="5" ySplit="9" topLeftCell="P10" activePane="bottomRight" state="frozen"/>
      <selection sqref="A1:IV65536"/>
      <selection pane="topRight" sqref="A1:IV65536"/>
      <selection pane="bottomLeft" sqref="A1:IV65536"/>
      <selection pane="bottomRight" activeCell="AL4" sqref="AL4"/>
    </sheetView>
  </sheetViews>
  <sheetFormatPr defaultColWidth="9.140625" defaultRowHeight="12"/>
  <cols>
    <col min="1" max="1" width="32" style="8" customWidth="1"/>
    <col min="2" max="2" width="1.7109375" style="8" customWidth="1"/>
    <col min="3" max="3" width="11.7109375" style="8" customWidth="1"/>
    <col min="4" max="4" width="1.7109375" style="8" hidden="1" customWidth="1"/>
    <col min="5" max="5" width="11.7109375" style="30" hidden="1" customWidth="1"/>
    <col min="6" max="6" width="1.7109375" style="8" customWidth="1"/>
    <col min="7" max="7" width="11.7109375" style="8" customWidth="1"/>
    <col min="8" max="8" width="1.7109375" style="8" customWidth="1"/>
    <col min="9" max="9" width="11.7109375" style="8" customWidth="1"/>
    <col min="10" max="10" width="1.7109375" style="8" customWidth="1"/>
    <col min="11" max="11" width="11.7109375" style="8" customWidth="1"/>
    <col min="12" max="12" width="1.7109375" style="8" customWidth="1"/>
    <col min="13" max="13" width="11.7109375" style="8" customWidth="1"/>
    <col min="14" max="14" width="1.7109375" style="8" customWidth="1"/>
    <col min="15" max="15" width="11.7109375" style="8" customWidth="1"/>
    <col min="16" max="16" width="1.7109375" style="8" customWidth="1"/>
    <col min="17" max="17" width="11.7109375" style="8" customWidth="1"/>
    <col min="18" max="18" width="1.7109375" style="8" customWidth="1"/>
    <col min="19" max="19" width="11.7109375" style="8" customWidth="1"/>
    <col min="20" max="20" width="1.7109375" style="8" customWidth="1"/>
    <col min="21" max="21" width="11.7109375" style="8" customWidth="1"/>
    <col min="22" max="22" width="1.7109375" style="8" customWidth="1"/>
    <col min="23" max="23" width="11.7109375" style="8" customWidth="1"/>
    <col min="24" max="24" width="1.7109375" style="8" customWidth="1"/>
    <col min="25" max="25" width="11.7109375" style="8" customWidth="1"/>
    <col min="26" max="26" width="1.7109375" style="8" customWidth="1"/>
    <col min="27" max="27" width="11.7109375" style="8" customWidth="1"/>
    <col min="28" max="28" width="1.7109375" style="8" customWidth="1"/>
    <col min="29" max="29" width="11.7109375" style="8" customWidth="1"/>
    <col min="30" max="30" width="1.7109375" style="8" customWidth="1"/>
    <col min="31" max="31" width="11.7109375" style="8" customWidth="1"/>
    <col min="32" max="32" width="1.7109375" style="8" customWidth="1"/>
    <col min="33" max="33" width="11.7109375" style="8" customWidth="1"/>
    <col min="34" max="34" width="1.7109375" style="8" customWidth="1"/>
    <col min="35" max="35" width="11.7109375" style="8" customWidth="1"/>
    <col min="36" max="36" width="32" style="8" customWidth="1"/>
    <col min="37" max="37" width="1.7109375" style="8" customWidth="1"/>
    <col min="38" max="38" width="11.7109375" style="8" customWidth="1"/>
    <col min="39" max="39" width="1.7109375" style="8" customWidth="1"/>
    <col min="40" max="40" width="11.7109375" style="8" customWidth="1"/>
    <col min="41" max="41" width="1.7109375" style="8" customWidth="1"/>
    <col min="42" max="42" width="11.7109375" style="8" customWidth="1"/>
    <col min="43" max="43" width="1.7109375" style="8" hidden="1" customWidth="1"/>
    <col min="44" max="44" width="11.7109375" style="8" hidden="1" customWidth="1"/>
    <col min="45" max="45" width="1.7109375" style="8" customWidth="1"/>
    <col min="46" max="46" width="11.7109375" style="8" customWidth="1"/>
    <col min="47" max="47" width="1.7109375" style="8" customWidth="1"/>
    <col min="48" max="48" width="11.7109375" style="8" customWidth="1"/>
    <col min="49" max="49" width="1.7109375" style="8" customWidth="1"/>
    <col min="50" max="50" width="11.7109375" style="8" customWidth="1"/>
    <col min="51" max="51" width="1.7109375" style="8" customWidth="1"/>
    <col min="52" max="52" width="11.7109375" style="8" customWidth="1"/>
    <col min="53" max="53" width="1.7109375" style="8" customWidth="1"/>
    <col min="54" max="54" width="11.7109375" style="8" customWidth="1"/>
    <col min="55" max="55" width="1.7109375" style="8" hidden="1" customWidth="1"/>
    <col min="56" max="56" width="11.7109375" style="8" hidden="1" customWidth="1"/>
    <col min="57" max="57" width="1.7109375" style="8" hidden="1" customWidth="1"/>
    <col min="58" max="58" width="11.7109375" style="8" hidden="1" customWidth="1"/>
    <col min="59" max="59" width="1.7109375" style="8" customWidth="1"/>
    <col min="60" max="60" width="11.7109375" style="8" customWidth="1"/>
    <col min="61" max="61" width="1.7109375" style="8" customWidth="1"/>
    <col min="62" max="62" width="11.7109375" style="8" customWidth="1"/>
    <col min="63" max="63" width="1.7109375" style="8" customWidth="1"/>
    <col min="64" max="64" width="11.7109375" style="8" customWidth="1"/>
    <col min="65" max="65" width="1.7109375" style="8" customWidth="1"/>
    <col min="66" max="66" width="11.7109375" style="8" customWidth="1"/>
    <col min="67" max="67" width="1.7109375" style="8" customWidth="1"/>
    <col min="68" max="68" width="13" style="8" customWidth="1"/>
    <col min="69" max="69" width="10.85546875" style="8" hidden="1" customWidth="1"/>
    <col min="70" max="70" width="1.7109375" style="8" customWidth="1"/>
    <col min="71" max="71" width="11.7109375" style="8" customWidth="1"/>
    <col min="72" max="72" width="1.7109375" style="8" customWidth="1"/>
    <col min="73" max="73" width="11.7109375" style="9" customWidth="1"/>
    <col min="74" max="74" width="1.7109375" style="8" customWidth="1"/>
    <col min="75" max="16384" width="9.140625" style="8"/>
  </cols>
  <sheetData>
    <row r="1" spans="1:75" s="15" customFormat="1">
      <c r="A1" s="52" t="s">
        <v>133</v>
      </c>
      <c r="B1" s="52"/>
      <c r="C1" s="52"/>
      <c r="D1" s="52"/>
      <c r="E1" s="53"/>
      <c r="F1" s="52"/>
      <c r="G1" s="52"/>
      <c r="H1" s="52"/>
      <c r="I1" s="55"/>
      <c r="J1" s="55"/>
      <c r="K1" s="55"/>
      <c r="L1" s="55"/>
      <c r="M1" s="55"/>
      <c r="N1" s="55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52" t="s">
        <v>133</v>
      </c>
      <c r="AK1" s="52"/>
      <c r="AL1" s="52"/>
      <c r="AM1" s="24"/>
      <c r="AN1" s="24"/>
      <c r="AO1" s="24"/>
      <c r="AP1" s="24"/>
      <c r="AQ1" s="27"/>
      <c r="AR1" s="27"/>
      <c r="AS1" s="27"/>
      <c r="AT1" s="27"/>
      <c r="BU1" s="25"/>
    </row>
    <row r="2" spans="1:75" s="15" customFormat="1">
      <c r="A2" s="52" t="s">
        <v>895</v>
      </c>
      <c r="B2" s="52"/>
      <c r="C2" s="52"/>
      <c r="D2" s="52"/>
      <c r="E2" s="53"/>
      <c r="F2" s="52"/>
      <c r="G2" s="52"/>
      <c r="H2" s="52"/>
      <c r="I2" s="55"/>
      <c r="J2" s="55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52" t="s">
        <v>895</v>
      </c>
      <c r="AK2" s="52"/>
      <c r="AL2" s="52"/>
      <c r="AM2" s="24"/>
      <c r="AN2" s="24"/>
      <c r="AO2" s="24"/>
      <c r="AP2" s="24"/>
      <c r="AQ2" s="27"/>
      <c r="AR2" s="27"/>
      <c r="AS2" s="27"/>
      <c r="AT2" s="27"/>
      <c r="BU2" s="25"/>
    </row>
    <row r="3" spans="1:75" s="15" customFormat="1">
      <c r="A3" s="52" t="s">
        <v>805</v>
      </c>
      <c r="B3" s="52"/>
      <c r="C3" s="52"/>
      <c r="D3" s="52"/>
      <c r="E3" s="53"/>
      <c r="F3" s="52"/>
      <c r="G3" s="52"/>
      <c r="H3" s="52"/>
      <c r="I3" s="55"/>
      <c r="J3" s="55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7" t="s">
        <v>805</v>
      </c>
      <c r="AK3" s="52"/>
      <c r="AL3" s="52"/>
      <c r="AM3" s="24"/>
      <c r="AN3" s="24"/>
      <c r="AO3" s="24"/>
      <c r="AP3" s="24"/>
      <c r="AQ3" s="27"/>
      <c r="AR3" s="27"/>
      <c r="AS3" s="27"/>
      <c r="AT3" s="27"/>
      <c r="BU3" s="25"/>
    </row>
    <row r="4" spans="1:75">
      <c r="A4" s="27" t="s">
        <v>175</v>
      </c>
      <c r="B4" s="27"/>
      <c r="C4" s="27"/>
      <c r="D4" s="27"/>
      <c r="E4" s="54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27" t="s">
        <v>175</v>
      </c>
      <c r="AK4" s="27"/>
      <c r="AL4" s="27"/>
      <c r="AM4" s="11"/>
      <c r="AN4" s="11"/>
      <c r="AO4" s="11"/>
      <c r="AP4" s="11"/>
      <c r="AQ4" s="11"/>
      <c r="AR4" s="11"/>
      <c r="AS4" s="11"/>
      <c r="AT4" s="11"/>
    </row>
    <row r="5" spans="1:75" s="15" customFormat="1">
      <c r="A5" s="27"/>
      <c r="B5" s="11"/>
      <c r="C5" s="11"/>
      <c r="D5" s="11"/>
      <c r="E5" s="31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AK5" s="11"/>
      <c r="AL5" s="11"/>
      <c r="BJ5" s="16" t="s">
        <v>3</v>
      </c>
    </row>
    <row r="6" spans="1:75">
      <c r="A6" s="132" t="s">
        <v>788</v>
      </c>
      <c r="B6" s="15"/>
      <c r="C6" s="15"/>
      <c r="D6" s="15"/>
      <c r="E6" s="61"/>
      <c r="G6" s="19" t="s">
        <v>149</v>
      </c>
      <c r="H6" s="19"/>
      <c r="I6" s="19"/>
      <c r="J6" s="19"/>
      <c r="K6" s="19"/>
      <c r="L6" s="19"/>
      <c r="M6" s="19"/>
      <c r="O6" s="19" t="s">
        <v>150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G6" s="19" t="s">
        <v>162</v>
      </c>
      <c r="AH6" s="19"/>
      <c r="AI6" s="19"/>
      <c r="AJ6" s="132" t="s">
        <v>788</v>
      </c>
      <c r="AK6" s="15"/>
      <c r="AL6" s="15"/>
      <c r="AT6" s="19" t="s">
        <v>185</v>
      </c>
      <c r="AU6" s="19"/>
      <c r="AV6" s="19"/>
      <c r="BB6" s="19" t="s">
        <v>186</v>
      </c>
      <c r="BC6" s="19"/>
      <c r="BD6" s="19"/>
      <c r="BE6" s="19"/>
      <c r="BF6" s="19"/>
      <c r="BG6" s="19"/>
      <c r="BH6" s="19"/>
      <c r="BJ6" s="16" t="s">
        <v>74</v>
      </c>
      <c r="BK6" s="16"/>
      <c r="BL6" s="16" t="s">
        <v>190</v>
      </c>
      <c r="BM6" s="16"/>
      <c r="BN6" s="16" t="s">
        <v>91</v>
      </c>
      <c r="BO6" s="16"/>
      <c r="BP6" s="16"/>
      <c r="BQ6" s="16"/>
      <c r="BR6" s="16"/>
      <c r="BS6" s="16" t="s">
        <v>91</v>
      </c>
      <c r="BT6" s="16"/>
      <c r="BW6" s="15" t="s">
        <v>805</v>
      </c>
    </row>
    <row r="7" spans="1:75">
      <c r="A7" s="133" t="s">
        <v>789</v>
      </c>
      <c r="AA7" s="16" t="s">
        <v>157</v>
      </c>
      <c r="AJ7" s="133" t="s">
        <v>789</v>
      </c>
      <c r="AR7" s="16" t="s">
        <v>1</v>
      </c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 t="s">
        <v>773</v>
      </c>
      <c r="BG7" s="16"/>
      <c r="BH7" s="16" t="s">
        <v>189</v>
      </c>
      <c r="BJ7" s="16" t="s">
        <v>201</v>
      </c>
      <c r="BK7" s="16"/>
      <c r="BL7" s="16" t="s">
        <v>121</v>
      </c>
      <c r="BM7" s="16"/>
      <c r="BN7" s="16" t="s">
        <v>191</v>
      </c>
      <c r="BO7" s="16"/>
      <c r="BP7" s="16" t="s">
        <v>767</v>
      </c>
      <c r="BQ7" s="16"/>
      <c r="BR7" s="16"/>
      <c r="BS7" s="16" t="s">
        <v>191</v>
      </c>
      <c r="BT7" s="16"/>
      <c r="BU7" s="16" t="s">
        <v>139</v>
      </c>
    </row>
    <row r="8" spans="1:75">
      <c r="A8" s="5"/>
      <c r="B8" s="5"/>
      <c r="C8" s="5"/>
      <c r="D8" s="5"/>
      <c r="E8" s="57"/>
      <c r="G8" s="5"/>
      <c r="H8" s="5"/>
      <c r="I8" s="5"/>
      <c r="J8" s="5"/>
      <c r="K8" s="5"/>
      <c r="L8" s="5"/>
      <c r="M8" s="5"/>
      <c r="N8" s="5"/>
      <c r="O8" s="5"/>
      <c r="P8" s="5"/>
      <c r="Q8" s="5" t="s">
        <v>151</v>
      </c>
      <c r="R8" s="5"/>
      <c r="S8" s="5" t="s">
        <v>153</v>
      </c>
      <c r="T8" s="5"/>
      <c r="U8" s="5"/>
      <c r="V8" s="5"/>
      <c r="W8" s="5"/>
      <c r="X8" s="5"/>
      <c r="Y8" s="5"/>
      <c r="Z8" s="5"/>
      <c r="AA8" s="5" t="s">
        <v>158</v>
      </c>
      <c r="AB8" s="5"/>
      <c r="AC8" s="5" t="s">
        <v>160</v>
      </c>
      <c r="AD8" s="5"/>
      <c r="AE8" s="5"/>
      <c r="AF8" s="5"/>
      <c r="AG8" s="16" t="s">
        <v>163</v>
      </c>
      <c r="AH8" s="16"/>
      <c r="AI8" s="16"/>
      <c r="AJ8" s="5"/>
      <c r="AK8" s="5"/>
      <c r="AL8" s="5"/>
      <c r="AM8" s="16"/>
      <c r="AN8" s="16" t="s">
        <v>165</v>
      </c>
      <c r="AO8" s="16"/>
      <c r="AP8" s="16" t="s">
        <v>73</v>
      </c>
      <c r="AQ8" s="16"/>
      <c r="AR8" s="16" t="s">
        <v>7</v>
      </c>
      <c r="AS8" s="16"/>
      <c r="AT8" s="16" t="s">
        <v>76</v>
      </c>
      <c r="AU8" s="16"/>
      <c r="AV8" s="16"/>
      <c r="AW8" s="16"/>
      <c r="AX8" s="16" t="s">
        <v>132</v>
      </c>
      <c r="AY8" s="16"/>
      <c r="AZ8" s="16" t="s">
        <v>3</v>
      </c>
      <c r="BA8" s="16"/>
      <c r="BB8" s="16" t="s">
        <v>168</v>
      </c>
      <c r="BC8" s="16"/>
      <c r="BD8" s="16" t="s">
        <v>187</v>
      </c>
      <c r="BE8" s="16"/>
      <c r="BF8" s="16" t="s">
        <v>772</v>
      </c>
      <c r="BG8" s="16"/>
      <c r="BH8" s="16" t="s">
        <v>82</v>
      </c>
      <c r="BI8" s="16"/>
      <c r="BJ8" s="16" t="s">
        <v>199</v>
      </c>
      <c r="BK8" s="16"/>
      <c r="BL8" s="16" t="s">
        <v>91</v>
      </c>
      <c r="BM8" s="16"/>
      <c r="BN8" s="5" t="s">
        <v>169</v>
      </c>
      <c r="BO8" s="16"/>
      <c r="BP8" s="16" t="s">
        <v>765</v>
      </c>
      <c r="BQ8" s="16" t="s">
        <v>796</v>
      </c>
      <c r="BR8" s="16"/>
      <c r="BS8" s="5" t="s">
        <v>192</v>
      </c>
      <c r="BT8" s="16"/>
      <c r="BU8" s="16" t="s">
        <v>140</v>
      </c>
    </row>
    <row r="9" spans="1:75">
      <c r="A9" s="120" t="s">
        <v>206</v>
      </c>
      <c r="B9" s="16"/>
      <c r="C9" s="120" t="s">
        <v>4</v>
      </c>
      <c r="D9" s="16"/>
      <c r="E9" s="58" t="s">
        <v>205</v>
      </c>
      <c r="G9" s="2" t="s">
        <v>779</v>
      </c>
      <c r="I9" s="2" t="s">
        <v>2</v>
      </c>
      <c r="K9" s="2" t="s">
        <v>148</v>
      </c>
      <c r="M9" s="2" t="s">
        <v>82</v>
      </c>
      <c r="O9" s="2" t="s">
        <v>790</v>
      </c>
      <c r="Q9" s="2" t="s">
        <v>152</v>
      </c>
      <c r="S9" s="2" t="s">
        <v>154</v>
      </c>
      <c r="U9" s="2" t="s">
        <v>155</v>
      </c>
      <c r="W9" s="2" t="s">
        <v>156</v>
      </c>
      <c r="X9" s="5"/>
      <c r="Y9" s="120" t="s">
        <v>743</v>
      </c>
      <c r="AA9" s="2" t="s">
        <v>159</v>
      </c>
      <c r="AB9" s="5"/>
      <c r="AC9" s="121" t="s">
        <v>161</v>
      </c>
      <c r="AD9" s="5"/>
      <c r="AE9" s="121" t="s">
        <v>744</v>
      </c>
      <c r="AG9" s="120" t="s">
        <v>164</v>
      </c>
      <c r="AI9" s="120" t="s">
        <v>82</v>
      </c>
      <c r="AJ9" s="120" t="s">
        <v>206</v>
      </c>
      <c r="AK9" s="16"/>
      <c r="AL9" s="120" t="s">
        <v>4</v>
      </c>
      <c r="AM9" s="5"/>
      <c r="AN9" s="120" t="s">
        <v>166</v>
      </c>
      <c r="AO9" s="5"/>
      <c r="AP9" s="120" t="s">
        <v>75</v>
      </c>
      <c r="AQ9" s="5"/>
      <c r="AR9" s="120" t="s">
        <v>769</v>
      </c>
      <c r="AS9" s="5"/>
      <c r="AT9" s="120" t="s">
        <v>776</v>
      </c>
      <c r="AU9" s="5"/>
      <c r="AV9" s="120" t="s">
        <v>167</v>
      </c>
      <c r="AW9" s="5"/>
      <c r="AX9" s="120" t="s">
        <v>74</v>
      </c>
      <c r="AY9" s="5"/>
      <c r="AZ9" s="120" t="s">
        <v>74</v>
      </c>
      <c r="BA9" s="5"/>
      <c r="BB9" s="120" t="s">
        <v>120</v>
      </c>
      <c r="BC9" s="5"/>
      <c r="BD9" s="120" t="s">
        <v>120</v>
      </c>
      <c r="BE9" s="5"/>
      <c r="BF9" s="5" t="s">
        <v>774</v>
      </c>
      <c r="BG9" s="5"/>
      <c r="BH9" s="120" t="s">
        <v>188</v>
      </c>
      <c r="BI9" s="5"/>
      <c r="BJ9" s="120" t="s">
        <v>188</v>
      </c>
      <c r="BK9" s="5"/>
      <c r="BL9" s="120" t="s">
        <v>191</v>
      </c>
      <c r="BM9" s="16"/>
      <c r="BN9" s="120" t="s">
        <v>170</v>
      </c>
      <c r="BO9" s="16"/>
      <c r="BP9" s="120" t="s">
        <v>766</v>
      </c>
      <c r="BQ9" s="16" t="s">
        <v>797</v>
      </c>
      <c r="BR9" s="16"/>
      <c r="BS9" s="120" t="s">
        <v>170</v>
      </c>
      <c r="BT9" s="16"/>
      <c r="BU9" s="120" t="s">
        <v>141</v>
      </c>
    </row>
    <row r="10" spans="1:75">
      <c r="A10" s="13"/>
      <c r="B10" s="13"/>
      <c r="C10" s="13"/>
      <c r="D10" s="13"/>
      <c r="E10" s="32"/>
      <c r="F10" s="11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3"/>
      <c r="AK10" s="13"/>
      <c r="AL10" s="13"/>
      <c r="AM10" s="14"/>
      <c r="AN10" s="14"/>
      <c r="AO10" s="14"/>
      <c r="AP10" s="14"/>
      <c r="AQ10" s="21"/>
      <c r="AR10" s="21"/>
      <c r="AS10" s="21"/>
      <c r="AT10" s="11"/>
    </row>
    <row r="11" spans="1:75" s="35" customFormat="1">
      <c r="A11" s="34" t="s">
        <v>207</v>
      </c>
      <c r="B11" s="34"/>
      <c r="C11" s="34" t="s">
        <v>208</v>
      </c>
      <c r="D11" s="34"/>
      <c r="E11" s="34">
        <v>61903</v>
      </c>
      <c r="F11" s="47"/>
      <c r="G11" s="35">
        <v>16250113</v>
      </c>
      <c r="I11" s="35">
        <v>2733958</v>
      </c>
      <c r="K11" s="35">
        <v>2559764</v>
      </c>
      <c r="M11" s="35">
        <f>250104+460534</f>
        <v>710638</v>
      </c>
      <c r="O11" s="35">
        <v>1627104</v>
      </c>
      <c r="Q11" s="35">
        <v>1461367</v>
      </c>
      <c r="S11" s="35">
        <v>0</v>
      </c>
      <c r="U11" s="35">
        <f>47567+2834722</f>
        <v>2882289</v>
      </c>
      <c r="W11" s="35">
        <v>738024</v>
      </c>
      <c r="Y11" s="35">
        <v>432549</v>
      </c>
      <c r="AA11" s="35">
        <v>3236203</v>
      </c>
      <c r="AC11" s="35">
        <v>2128656</v>
      </c>
      <c r="AE11" s="35">
        <v>329958</v>
      </c>
      <c r="AG11" s="35">
        <v>0</v>
      </c>
      <c r="AI11" s="35">
        <v>2178</v>
      </c>
      <c r="AJ11" s="34" t="s">
        <v>207</v>
      </c>
      <c r="AK11" s="34"/>
      <c r="AL11" s="34" t="s">
        <v>208</v>
      </c>
      <c r="AN11" s="35">
        <v>287270</v>
      </c>
      <c r="AP11" s="35">
        <v>145409</v>
      </c>
      <c r="AT11" s="35">
        <v>0</v>
      </c>
      <c r="AV11" s="35">
        <v>0</v>
      </c>
      <c r="AX11" s="35">
        <v>0</v>
      </c>
      <c r="AZ11" s="35">
        <f>SUM(G11:AX11)</f>
        <v>35525480</v>
      </c>
      <c r="BB11" s="35">
        <v>238304</v>
      </c>
      <c r="BH11" s="35">
        <v>0</v>
      </c>
      <c r="BJ11" s="35">
        <f t="shared" ref="BJ11:BJ42" si="0">+AZ11+BB11+BD11+BH11</f>
        <v>35763784</v>
      </c>
      <c r="BL11" s="35">
        <f>+GenRev!AM11-GenExp!BJ11</f>
        <v>-1165154</v>
      </c>
      <c r="BN11" s="35">
        <v>4168508</v>
      </c>
      <c r="BP11" s="35">
        <v>0</v>
      </c>
      <c r="BQ11" s="35">
        <v>0</v>
      </c>
      <c r="BS11" s="35">
        <f t="shared" ref="BS11:BS42" si="1">+BN11+BL11-BP11</f>
        <v>3003354</v>
      </c>
      <c r="BU11" s="44">
        <f>+BS11-'Gen Fd BS'!AA11+BQ11</f>
        <v>0</v>
      </c>
    </row>
    <row r="12" spans="1:75">
      <c r="A12" s="13" t="s">
        <v>616</v>
      </c>
      <c r="B12" s="13"/>
      <c r="C12" s="13" t="s">
        <v>58</v>
      </c>
      <c r="D12" s="13"/>
      <c r="E12" s="32">
        <v>49494</v>
      </c>
      <c r="G12" s="8">
        <v>4341996</v>
      </c>
      <c r="I12" s="8">
        <v>758593</v>
      </c>
      <c r="K12" s="8">
        <v>121</v>
      </c>
      <c r="M12" s="8">
        <v>544544</v>
      </c>
      <c r="O12" s="8">
        <v>347207</v>
      </c>
      <c r="Q12" s="8">
        <v>439356</v>
      </c>
      <c r="S12" s="8">
        <v>38176</v>
      </c>
      <c r="U12" s="8">
        <v>826756</v>
      </c>
      <c r="W12" s="8">
        <v>318796</v>
      </c>
      <c r="Y12" s="8">
        <v>0</v>
      </c>
      <c r="AA12" s="8">
        <v>1023621</v>
      </c>
      <c r="AC12" s="8">
        <v>888775</v>
      </c>
      <c r="AE12" s="8">
        <v>57511</v>
      </c>
      <c r="AG12" s="8">
        <v>0</v>
      </c>
      <c r="AI12" s="8">
        <v>713</v>
      </c>
      <c r="AJ12" s="13" t="s">
        <v>616</v>
      </c>
      <c r="AK12" s="13"/>
      <c r="AL12" s="13" t="s">
        <v>58</v>
      </c>
      <c r="AN12" s="8">
        <v>173816</v>
      </c>
      <c r="AP12" s="8">
        <v>0</v>
      </c>
      <c r="AT12" s="8">
        <v>23310</v>
      </c>
      <c r="AV12" s="8">
        <v>6587</v>
      </c>
      <c r="AX12" s="8">
        <v>0</v>
      </c>
      <c r="AZ12" s="8">
        <f t="shared" ref="AZ12:AZ77" si="2">SUM(G12:AX12)</f>
        <v>9789878</v>
      </c>
      <c r="BB12" s="8">
        <v>45000</v>
      </c>
      <c r="BH12" s="8">
        <v>0</v>
      </c>
      <c r="BJ12" s="8">
        <f t="shared" si="0"/>
        <v>9834878</v>
      </c>
      <c r="BL12" s="8">
        <f>+GenRev!AM12-GenExp!BJ12</f>
        <v>773213</v>
      </c>
      <c r="BN12" s="8">
        <v>1829769</v>
      </c>
      <c r="BP12" s="8">
        <v>0</v>
      </c>
      <c r="BQ12" s="8">
        <v>0</v>
      </c>
      <c r="BS12" s="8">
        <f t="shared" si="1"/>
        <v>2602982</v>
      </c>
      <c r="BU12" s="9">
        <f>+BS12-'Gen Fd BS'!AA12+BQ12</f>
        <v>0</v>
      </c>
    </row>
    <row r="13" spans="1:75">
      <c r="A13" s="13" t="s">
        <v>662</v>
      </c>
      <c r="B13" s="13"/>
      <c r="C13" s="13" t="s">
        <v>63</v>
      </c>
      <c r="D13" s="13"/>
      <c r="E13" s="32">
        <v>43489</v>
      </c>
      <c r="G13" s="8">
        <v>126791580</v>
      </c>
      <c r="I13" s="8">
        <v>33479125</v>
      </c>
      <c r="K13" s="8">
        <v>12603622</v>
      </c>
      <c r="M13" s="8">
        <f>226668+691123</f>
        <v>917791</v>
      </c>
      <c r="O13" s="8">
        <v>16204660</v>
      </c>
      <c r="Q13" s="8">
        <v>12984249</v>
      </c>
      <c r="S13" s="8">
        <v>83226</v>
      </c>
      <c r="U13" s="8">
        <v>19960939</v>
      </c>
      <c r="W13" s="8">
        <v>3863453</v>
      </c>
      <c r="Y13" s="8">
        <v>2544600</v>
      </c>
      <c r="AA13" s="8">
        <v>32294071</v>
      </c>
      <c r="AC13" s="8">
        <v>11206706</v>
      </c>
      <c r="AE13" s="8">
        <v>5329757</v>
      </c>
      <c r="AG13" s="8">
        <v>0</v>
      </c>
      <c r="AI13" s="8">
        <v>277007</v>
      </c>
      <c r="AJ13" s="13" t="s">
        <v>662</v>
      </c>
      <c r="AK13" s="13"/>
      <c r="AL13" s="13" t="s">
        <v>63</v>
      </c>
      <c r="AN13" s="8">
        <v>2923446</v>
      </c>
      <c r="AP13" s="8">
        <v>1022389</v>
      </c>
      <c r="AT13" s="8">
        <v>0</v>
      </c>
      <c r="AV13" s="8">
        <v>0</v>
      </c>
      <c r="AX13" s="8">
        <v>0</v>
      </c>
      <c r="AZ13" s="8">
        <f t="shared" si="2"/>
        <v>282486621</v>
      </c>
      <c r="BB13" s="8">
        <v>113627</v>
      </c>
      <c r="BH13" s="8">
        <v>0</v>
      </c>
      <c r="BJ13" s="8">
        <f t="shared" si="0"/>
        <v>282600248</v>
      </c>
      <c r="BL13" s="8">
        <f>+GenRev!AM13-GenExp!BJ13</f>
        <v>-9440337</v>
      </c>
      <c r="BN13" s="8">
        <v>36674191</v>
      </c>
      <c r="BP13" s="8">
        <v>0</v>
      </c>
      <c r="BQ13" s="8">
        <v>0</v>
      </c>
      <c r="BS13" s="8">
        <f>+BN13+BL13-BP13</f>
        <v>27233854</v>
      </c>
      <c r="BU13" s="9">
        <f>+BS13-'Gen Fd BS'!AA13+BQ13</f>
        <v>0</v>
      </c>
    </row>
    <row r="14" spans="1:75" hidden="1">
      <c r="A14" s="13" t="s">
        <v>837</v>
      </c>
      <c r="B14" s="13"/>
      <c r="C14" s="13" t="s">
        <v>13</v>
      </c>
      <c r="D14" s="13"/>
      <c r="E14" s="32">
        <v>45906</v>
      </c>
      <c r="F14" s="11"/>
      <c r="G14" s="8">
        <v>5382784</v>
      </c>
      <c r="I14" s="8">
        <v>1478521</v>
      </c>
      <c r="K14" s="8">
        <v>110441</v>
      </c>
      <c r="M14" s="8">
        <v>1593637</v>
      </c>
      <c r="O14" s="8">
        <v>685120</v>
      </c>
      <c r="Q14" s="8">
        <v>341743</v>
      </c>
      <c r="S14" s="8">
        <v>50392</v>
      </c>
      <c r="U14" s="8">
        <v>1036964</v>
      </c>
      <c r="W14" s="8">
        <v>345839</v>
      </c>
      <c r="AA14" s="8">
        <v>1362901</v>
      </c>
      <c r="AC14" s="8">
        <v>1352242</v>
      </c>
      <c r="AE14" s="8">
        <v>175049</v>
      </c>
      <c r="AI14" s="8">
        <v>66805</v>
      </c>
      <c r="AJ14" s="13" t="s">
        <v>837</v>
      </c>
      <c r="AK14" s="13"/>
      <c r="AL14" s="13" t="s">
        <v>13</v>
      </c>
      <c r="AN14" s="8">
        <v>215642</v>
      </c>
      <c r="AP14" s="8">
        <v>283131</v>
      </c>
      <c r="AZ14" s="8">
        <f t="shared" si="2"/>
        <v>14481211</v>
      </c>
      <c r="BB14" s="8">
        <v>69329</v>
      </c>
      <c r="BH14" s="8">
        <f>-12030-1100</f>
        <v>-13130</v>
      </c>
      <c r="BJ14" s="8">
        <f t="shared" si="0"/>
        <v>14537410</v>
      </c>
      <c r="BL14" s="8">
        <f>+GenRev!AM14-GenExp!BJ14</f>
        <v>250465</v>
      </c>
      <c r="BN14" s="8">
        <v>2704995</v>
      </c>
      <c r="BS14" s="8">
        <f t="shared" si="1"/>
        <v>2955460</v>
      </c>
      <c r="BU14" s="9">
        <f>+BS14-'Gen Fd BS'!AA14+BQ14</f>
        <v>0</v>
      </c>
      <c r="BW14" s="8" t="s">
        <v>956</v>
      </c>
    </row>
    <row r="15" spans="1:75">
      <c r="A15" s="13" t="s">
        <v>648</v>
      </c>
      <c r="B15" s="13"/>
      <c r="C15" s="13" t="s">
        <v>62</v>
      </c>
      <c r="D15" s="13"/>
      <c r="E15" s="32">
        <v>43497</v>
      </c>
      <c r="G15" s="8">
        <v>10703063</v>
      </c>
      <c r="I15" s="8">
        <v>3542262</v>
      </c>
      <c r="K15" s="8">
        <v>898127</v>
      </c>
      <c r="M15" s="8">
        <v>590618</v>
      </c>
      <c r="O15" s="8">
        <v>843320</v>
      </c>
      <c r="Q15" s="8">
        <v>405129</v>
      </c>
      <c r="S15" s="8">
        <v>24258</v>
      </c>
      <c r="U15" s="8">
        <v>1887356</v>
      </c>
      <c r="W15" s="8">
        <v>262785</v>
      </c>
      <c r="Y15" s="8">
        <v>245116</v>
      </c>
      <c r="AA15" s="8">
        <v>2929331</v>
      </c>
      <c r="AC15" s="8">
        <v>764131</v>
      </c>
      <c r="AE15" s="8">
        <v>15684</v>
      </c>
      <c r="AG15" s="8">
        <v>0</v>
      </c>
      <c r="AI15" s="8">
        <v>11497</v>
      </c>
      <c r="AJ15" s="13" t="s">
        <v>648</v>
      </c>
      <c r="AK15" s="13"/>
      <c r="AL15" s="13" t="s">
        <v>62</v>
      </c>
      <c r="AN15" s="8">
        <v>337177</v>
      </c>
      <c r="AP15" s="8">
        <v>34283</v>
      </c>
      <c r="AT15" s="8">
        <v>0</v>
      </c>
      <c r="AV15" s="8">
        <v>0</v>
      </c>
      <c r="AX15" s="8">
        <v>0</v>
      </c>
      <c r="AZ15" s="8">
        <f t="shared" si="2"/>
        <v>23494137</v>
      </c>
      <c r="BB15" s="8">
        <v>0</v>
      </c>
      <c r="BH15" s="8">
        <v>0</v>
      </c>
      <c r="BJ15" s="8">
        <f>+AZ15+BB15+BD15+BH15</f>
        <v>23494137</v>
      </c>
      <c r="BL15" s="8">
        <f>+GenRev!AM15-GenExp!BJ15</f>
        <v>743107</v>
      </c>
      <c r="BN15" s="8">
        <v>603757</v>
      </c>
      <c r="BP15" s="8">
        <v>0</v>
      </c>
      <c r="BS15" s="8">
        <f>+BN15+BL15-BP15-BQ15</f>
        <v>1346864</v>
      </c>
      <c r="BU15" s="9">
        <f>+BS15-'Gen Fd BS'!AA15+BQ15</f>
        <v>0</v>
      </c>
    </row>
    <row r="16" spans="1:75">
      <c r="A16" s="13" t="s">
        <v>343</v>
      </c>
      <c r="B16" s="13"/>
      <c r="C16" s="13" t="s">
        <v>25</v>
      </c>
      <c r="D16" s="13"/>
      <c r="E16" s="32">
        <v>46847</v>
      </c>
      <c r="G16" s="8">
        <v>6512211</v>
      </c>
      <c r="I16" s="8">
        <v>1495921</v>
      </c>
      <c r="K16" s="8">
        <v>461101</v>
      </c>
      <c r="M16" s="8">
        <f>88708+31125</f>
        <v>119833</v>
      </c>
      <c r="O16" s="8">
        <v>492218</v>
      </c>
      <c r="Q16" s="8">
        <v>425291</v>
      </c>
      <c r="S16" s="8">
        <v>85751</v>
      </c>
      <c r="U16" s="8">
        <v>1181594</v>
      </c>
      <c r="W16" s="8">
        <v>347614</v>
      </c>
      <c r="Y16" s="8">
        <v>38123</v>
      </c>
      <c r="AA16" s="8">
        <v>1457591</v>
      </c>
      <c r="AC16" s="8">
        <v>937671</v>
      </c>
      <c r="AE16" s="8">
        <v>0</v>
      </c>
      <c r="AG16" s="8">
        <v>0</v>
      </c>
      <c r="AI16" s="8">
        <v>0</v>
      </c>
      <c r="AJ16" s="13" t="s">
        <v>343</v>
      </c>
      <c r="AK16" s="13"/>
      <c r="AL16" s="13" t="s">
        <v>25</v>
      </c>
      <c r="AN16" s="8">
        <v>295063</v>
      </c>
      <c r="AP16" s="8">
        <v>17582</v>
      </c>
      <c r="AT16" s="8">
        <v>23343</v>
      </c>
      <c r="AV16" s="8">
        <v>3682</v>
      </c>
      <c r="AX16" s="8">
        <v>0</v>
      </c>
      <c r="AZ16" s="8">
        <f t="shared" si="2"/>
        <v>13894589</v>
      </c>
      <c r="BB16" s="8">
        <v>0</v>
      </c>
      <c r="BH16" s="8">
        <v>0</v>
      </c>
      <c r="BJ16" s="8">
        <f t="shared" si="0"/>
        <v>13894589</v>
      </c>
      <c r="BL16" s="8">
        <f>+GenRev!AM16-GenExp!BJ16</f>
        <v>-109613</v>
      </c>
      <c r="BN16" s="8">
        <v>-178085</v>
      </c>
      <c r="BP16" s="8">
        <v>0</v>
      </c>
      <c r="BQ16" s="8">
        <v>0</v>
      </c>
      <c r="BS16" s="8">
        <f t="shared" si="1"/>
        <v>-287698</v>
      </c>
      <c r="BU16" s="9">
        <f>+BS16-'Gen Fd BS'!AA16+BQ16</f>
        <v>0</v>
      </c>
    </row>
    <row r="17" spans="1:75">
      <c r="A17" s="13" t="s">
        <v>775</v>
      </c>
      <c r="B17" s="13"/>
      <c r="C17" s="13" t="s">
        <v>44</v>
      </c>
      <c r="D17" s="13"/>
      <c r="E17" s="13">
        <v>45195</v>
      </c>
      <c r="F17" s="11"/>
      <c r="G17" s="8">
        <v>16963591</v>
      </c>
      <c r="I17" s="8">
        <v>4607659</v>
      </c>
      <c r="K17" s="8">
        <v>349697</v>
      </c>
      <c r="M17" s="8">
        <v>0</v>
      </c>
      <c r="O17" s="8">
        <v>1585808</v>
      </c>
      <c r="Q17" s="8">
        <v>1563966</v>
      </c>
      <c r="S17" s="8">
        <v>13429</v>
      </c>
      <c r="U17" s="8">
        <v>2864613</v>
      </c>
      <c r="W17" s="8">
        <v>642757</v>
      </c>
      <c r="Y17" s="8">
        <v>0</v>
      </c>
      <c r="AA17" s="8">
        <v>3224152</v>
      </c>
      <c r="AC17" s="8">
        <v>1054664</v>
      </c>
      <c r="AE17" s="8">
        <v>2927</v>
      </c>
      <c r="AG17" s="8">
        <v>0</v>
      </c>
      <c r="AI17" s="8">
        <v>0</v>
      </c>
      <c r="AJ17" s="13" t="s">
        <v>775</v>
      </c>
      <c r="AK17" s="13"/>
      <c r="AL17" s="13" t="s">
        <v>44</v>
      </c>
      <c r="AN17" s="8">
        <v>538606</v>
      </c>
      <c r="AP17" s="8">
        <v>0</v>
      </c>
      <c r="AR17" s="8">
        <v>0</v>
      </c>
      <c r="AT17" s="8">
        <v>100000</v>
      </c>
      <c r="AV17" s="8">
        <v>41675</v>
      </c>
      <c r="AX17" s="8">
        <v>0</v>
      </c>
      <c r="AZ17" s="8">
        <f>SUM(G17:AX17)</f>
        <v>33553544</v>
      </c>
      <c r="BB17" s="8">
        <v>23075</v>
      </c>
      <c r="BH17" s="8">
        <v>0</v>
      </c>
      <c r="BJ17" s="8">
        <f t="shared" si="0"/>
        <v>33576619</v>
      </c>
      <c r="BL17" s="8">
        <f>+GenRev!AM17-GenExp!BJ17</f>
        <v>67890</v>
      </c>
      <c r="BN17" s="8">
        <v>1843575</v>
      </c>
      <c r="BP17" s="8">
        <v>0</v>
      </c>
      <c r="BQ17" s="8">
        <v>0</v>
      </c>
      <c r="BS17" s="8">
        <f t="shared" si="1"/>
        <v>1911465</v>
      </c>
      <c r="BU17" s="9">
        <f>+BS17-'Gen Fd BS'!AA17+BQ17</f>
        <v>0</v>
      </c>
    </row>
    <row r="18" spans="1:75">
      <c r="A18" s="13" t="s">
        <v>641</v>
      </c>
      <c r="B18" s="13"/>
      <c r="C18" s="13" t="s">
        <v>61</v>
      </c>
      <c r="D18" s="13"/>
      <c r="E18" s="32">
        <v>49759</v>
      </c>
      <c r="G18" s="8">
        <v>4594149</v>
      </c>
      <c r="I18" s="8">
        <v>701320</v>
      </c>
      <c r="K18" s="8">
        <v>329256</v>
      </c>
      <c r="M18" s="8">
        <v>0</v>
      </c>
      <c r="O18" s="8">
        <v>432977</v>
      </c>
      <c r="Q18" s="8">
        <v>311835</v>
      </c>
      <c r="S18" s="8">
        <v>58026</v>
      </c>
      <c r="U18" s="8">
        <v>796215</v>
      </c>
      <c r="W18" s="8">
        <v>365862</v>
      </c>
      <c r="Y18" s="8">
        <v>73611</v>
      </c>
      <c r="AA18" s="8">
        <v>991560</v>
      </c>
      <c r="AC18" s="8">
        <v>489171</v>
      </c>
      <c r="AE18" s="8">
        <v>4526</v>
      </c>
      <c r="AG18" s="8">
        <v>0</v>
      </c>
      <c r="AI18" s="8">
        <v>0</v>
      </c>
      <c r="AJ18" s="13" t="s">
        <v>641</v>
      </c>
      <c r="AK18" s="13"/>
      <c r="AL18" s="13" t="s">
        <v>61</v>
      </c>
      <c r="AN18" s="8">
        <v>408379</v>
      </c>
      <c r="AP18" s="8">
        <v>21379</v>
      </c>
      <c r="AT18" s="8">
        <v>0</v>
      </c>
      <c r="AV18" s="8">
        <v>0</v>
      </c>
      <c r="AX18" s="8">
        <v>0</v>
      </c>
      <c r="AZ18" s="8">
        <f t="shared" si="2"/>
        <v>9578266</v>
      </c>
      <c r="BB18" s="8">
        <v>0</v>
      </c>
      <c r="BH18" s="8">
        <v>0</v>
      </c>
      <c r="BJ18" s="8">
        <f t="shared" si="0"/>
        <v>9578266</v>
      </c>
      <c r="BL18" s="8">
        <f>+GenRev!AM18-GenExp!BJ18</f>
        <v>74149</v>
      </c>
      <c r="BN18" s="8">
        <v>3279850</v>
      </c>
      <c r="BP18" s="8">
        <v>0</v>
      </c>
      <c r="BQ18" s="8">
        <v>0</v>
      </c>
      <c r="BS18" s="8">
        <f t="shared" si="1"/>
        <v>3353999</v>
      </c>
      <c r="BU18" s="9">
        <f>+BS18-'Gen Fd BS'!AA18+BQ18</f>
        <v>0</v>
      </c>
    </row>
    <row r="19" spans="1:75" hidden="1">
      <c r="A19" s="13" t="s">
        <v>1019</v>
      </c>
      <c r="B19" s="13"/>
      <c r="C19" s="13" t="s">
        <v>814</v>
      </c>
      <c r="D19" s="13"/>
      <c r="E19" s="32"/>
      <c r="G19" s="8">
        <v>2511002</v>
      </c>
      <c r="I19" s="8">
        <v>797265</v>
      </c>
      <c r="K19" s="8">
        <v>230567</v>
      </c>
      <c r="M19" s="8">
        <v>258854</v>
      </c>
      <c r="O19" s="8">
        <v>208175</v>
      </c>
      <c r="Q19" s="8">
        <v>341073</v>
      </c>
      <c r="S19" s="8">
        <v>57568</v>
      </c>
      <c r="U19" s="8">
        <v>489987</v>
      </c>
      <c r="W19" s="8">
        <v>168155</v>
      </c>
      <c r="Y19" s="8">
        <v>927</v>
      </c>
      <c r="AA19" s="8">
        <v>485782</v>
      </c>
      <c r="AC19" s="8">
        <v>433765</v>
      </c>
      <c r="AE19" s="8">
        <v>18244</v>
      </c>
      <c r="AJ19" s="13" t="s">
        <v>1019</v>
      </c>
      <c r="AK19" s="13"/>
      <c r="AL19" s="13" t="s">
        <v>814</v>
      </c>
      <c r="AN19" s="8">
        <v>160273</v>
      </c>
      <c r="AZ19" s="8">
        <f t="shared" si="2"/>
        <v>6161637</v>
      </c>
      <c r="BH19" s="8">
        <v>7747</v>
      </c>
      <c r="BJ19" s="8">
        <f t="shared" si="0"/>
        <v>6169384</v>
      </c>
      <c r="BL19" s="8">
        <f>+GenRev!AM19-GenExp!BJ19</f>
        <v>-217127</v>
      </c>
      <c r="BN19" s="8">
        <v>1132495</v>
      </c>
      <c r="BS19" s="8">
        <f t="shared" si="1"/>
        <v>915368</v>
      </c>
      <c r="BU19" s="9">
        <f>+BS19-'Gen Fd BS'!AA19+BQ19</f>
        <v>0</v>
      </c>
    </row>
    <row r="20" spans="1:75">
      <c r="A20" s="13" t="s">
        <v>496</v>
      </c>
      <c r="B20" s="13"/>
      <c r="C20" s="13" t="s">
        <v>117</v>
      </c>
      <c r="D20" s="13"/>
      <c r="E20" s="32">
        <v>48207</v>
      </c>
      <c r="G20" s="8">
        <v>15834633</v>
      </c>
      <c r="I20" s="8">
        <v>2179457</v>
      </c>
      <c r="K20" s="8">
        <v>107770</v>
      </c>
      <c r="M20" s="8">
        <v>0</v>
      </c>
      <c r="O20" s="8">
        <v>1197214</v>
      </c>
      <c r="Q20" s="8">
        <v>979154</v>
      </c>
      <c r="S20" s="8">
        <v>1009128</v>
      </c>
      <c r="U20" s="8">
        <v>2414040</v>
      </c>
      <c r="W20" s="8">
        <v>666734</v>
      </c>
      <c r="Y20" s="8">
        <v>5077</v>
      </c>
      <c r="AA20" s="8">
        <v>3639074</v>
      </c>
      <c r="AC20" s="8">
        <v>2261506</v>
      </c>
      <c r="AE20" s="8">
        <v>13696</v>
      </c>
      <c r="AG20" s="8">
        <v>0</v>
      </c>
      <c r="AI20" s="8">
        <v>0</v>
      </c>
      <c r="AJ20" s="13" t="s">
        <v>496</v>
      </c>
      <c r="AK20" s="13"/>
      <c r="AL20" s="13" t="s">
        <v>117</v>
      </c>
      <c r="AN20" s="8">
        <v>531206</v>
      </c>
      <c r="AP20" s="8">
        <v>298504</v>
      </c>
      <c r="AT20" s="8">
        <v>0</v>
      </c>
      <c r="AV20" s="8">
        <v>0</v>
      </c>
      <c r="AX20" s="8">
        <v>0</v>
      </c>
      <c r="AZ20" s="8">
        <f t="shared" si="2"/>
        <v>31137193</v>
      </c>
      <c r="BB20" s="8">
        <v>0</v>
      </c>
      <c r="BH20" s="8">
        <v>0</v>
      </c>
      <c r="BJ20" s="8">
        <f t="shared" si="0"/>
        <v>31137193</v>
      </c>
      <c r="BL20" s="8">
        <f>+GenRev!AM20-GenExp!BJ20</f>
        <v>2224014</v>
      </c>
      <c r="BN20" s="8">
        <v>-745239</v>
      </c>
      <c r="BP20" s="8">
        <v>-4442</v>
      </c>
      <c r="BQ20" s="8">
        <v>0</v>
      </c>
      <c r="BS20" s="8">
        <f t="shared" si="1"/>
        <v>1483217</v>
      </c>
      <c r="BU20" s="9">
        <f>+BS20-'Gen Fd BS'!AA20+BQ20</f>
        <v>0</v>
      </c>
    </row>
    <row r="21" spans="1:75">
      <c r="A21" s="13" t="s">
        <v>413</v>
      </c>
      <c r="B21" s="13"/>
      <c r="C21" s="13" t="s">
        <v>33</v>
      </c>
      <c r="D21" s="13"/>
      <c r="E21" s="32">
        <v>47415</v>
      </c>
      <c r="G21" s="8">
        <v>2608471</v>
      </c>
      <c r="I21" s="8">
        <v>450172</v>
      </c>
      <c r="K21" s="8">
        <v>260860</v>
      </c>
      <c r="M21" s="8">
        <v>0</v>
      </c>
      <c r="O21" s="8">
        <v>198286</v>
      </c>
      <c r="Q21" s="8">
        <v>190017</v>
      </c>
      <c r="S21" s="8">
        <v>77107</v>
      </c>
      <c r="U21" s="8">
        <v>539713</v>
      </c>
      <c r="W21" s="8">
        <v>203637</v>
      </c>
      <c r="Y21" s="8">
        <v>0</v>
      </c>
      <c r="AA21" s="8">
        <v>492647</v>
      </c>
      <c r="AC21" s="8">
        <v>447237</v>
      </c>
      <c r="AE21" s="8">
        <v>1657</v>
      </c>
      <c r="AG21" s="8">
        <v>0</v>
      </c>
      <c r="AI21" s="8">
        <v>0</v>
      </c>
      <c r="AJ21" s="13" t="s">
        <v>413</v>
      </c>
      <c r="AK21" s="13"/>
      <c r="AL21" s="13" t="s">
        <v>33</v>
      </c>
      <c r="AN21" s="8">
        <v>163738</v>
      </c>
      <c r="AP21" s="8">
        <v>40305</v>
      </c>
      <c r="AT21" s="8">
        <v>0</v>
      </c>
      <c r="AV21" s="8">
        <v>0</v>
      </c>
      <c r="AX21" s="8">
        <v>0</v>
      </c>
      <c r="AZ21" s="8">
        <f t="shared" si="2"/>
        <v>5673847</v>
      </c>
      <c r="BB21" s="8">
        <v>0</v>
      </c>
      <c r="BH21" s="8">
        <v>0</v>
      </c>
      <c r="BJ21" s="8">
        <f t="shared" si="0"/>
        <v>5673847</v>
      </c>
      <c r="BL21" s="8">
        <f>+GenRev!AM21-GenExp!BJ21</f>
        <v>159719</v>
      </c>
      <c r="BN21" s="8">
        <v>2381148</v>
      </c>
      <c r="BP21" s="8">
        <v>0</v>
      </c>
      <c r="BQ21" s="8">
        <v>0</v>
      </c>
      <c r="BS21" s="8">
        <f t="shared" si="1"/>
        <v>2540867</v>
      </c>
      <c r="BU21" s="9">
        <f>+BS21-'Gen Fd BS'!AA21+BQ21</f>
        <v>0</v>
      </c>
    </row>
    <row r="22" spans="1:75" hidden="1">
      <c r="A22" s="13" t="s">
        <v>958</v>
      </c>
      <c r="B22" s="13"/>
      <c r="C22" s="13" t="s">
        <v>21</v>
      </c>
      <c r="D22" s="13"/>
      <c r="E22" s="32">
        <v>46631</v>
      </c>
      <c r="G22" s="8">
        <v>4509771</v>
      </c>
      <c r="I22" s="8">
        <v>767290</v>
      </c>
      <c r="K22" s="8">
        <v>71750</v>
      </c>
      <c r="M22" s="8">
        <v>19693</v>
      </c>
      <c r="O22" s="8">
        <v>223381</v>
      </c>
      <c r="Q22" s="8">
        <v>454732</v>
      </c>
      <c r="S22" s="8">
        <v>80967</v>
      </c>
      <c r="U22" s="8">
        <v>711200</v>
      </c>
      <c r="W22" s="8">
        <v>212026</v>
      </c>
      <c r="AA22" s="8">
        <v>675389</v>
      </c>
      <c r="AC22" s="8">
        <v>464783</v>
      </c>
      <c r="AE22" s="8">
        <v>295</v>
      </c>
      <c r="AI22" s="8">
        <v>458</v>
      </c>
      <c r="AJ22" s="13" t="s">
        <v>958</v>
      </c>
      <c r="AK22" s="13"/>
      <c r="AL22" s="13" t="s">
        <v>814</v>
      </c>
      <c r="AN22" s="8">
        <v>191184</v>
      </c>
      <c r="AP22" s="8">
        <v>16637</v>
      </c>
      <c r="AZ22" s="8">
        <f t="shared" si="2"/>
        <v>8399556</v>
      </c>
      <c r="BD22" s="8">
        <v>3855</v>
      </c>
      <c r="BH22" s="8">
        <f>-110-2291</f>
        <v>-2401</v>
      </c>
      <c r="BJ22" s="8">
        <f t="shared" si="0"/>
        <v>8401010</v>
      </c>
      <c r="BL22" s="8">
        <f>+GenRev!AM22-GenExp!BJ22</f>
        <v>581658</v>
      </c>
      <c r="BN22" s="8">
        <v>1453644</v>
      </c>
      <c r="BS22" s="8">
        <f t="shared" si="1"/>
        <v>2035302</v>
      </c>
      <c r="BU22" s="9">
        <f>+BS22-'Gen Fd BS'!AA22+BQ22</f>
        <v>0</v>
      </c>
      <c r="BW22" s="8" t="s">
        <v>956</v>
      </c>
    </row>
    <row r="23" spans="1:75">
      <c r="A23" s="13" t="s">
        <v>368</v>
      </c>
      <c r="B23" s="13"/>
      <c r="C23" s="13" t="s">
        <v>28</v>
      </c>
      <c r="D23" s="13"/>
      <c r="E23" s="32">
        <v>47043</v>
      </c>
      <c r="G23" s="8">
        <v>6121568</v>
      </c>
      <c r="I23" s="8">
        <v>925045</v>
      </c>
      <c r="K23" s="8">
        <v>181768</v>
      </c>
      <c r="M23" s="8">
        <f>17681+6220</f>
        <v>23901</v>
      </c>
      <c r="O23" s="8">
        <v>635698</v>
      </c>
      <c r="Q23" s="8">
        <v>492470</v>
      </c>
      <c r="S23" s="8">
        <v>39897</v>
      </c>
      <c r="U23" s="8">
        <v>747120</v>
      </c>
      <c r="W23" s="8">
        <v>345560</v>
      </c>
      <c r="Y23" s="8">
        <v>0</v>
      </c>
      <c r="AA23" s="8">
        <v>1340863</v>
      </c>
      <c r="AC23" s="8">
        <v>646647</v>
      </c>
      <c r="AE23" s="8">
        <v>0</v>
      </c>
      <c r="AG23" s="8">
        <v>0</v>
      </c>
      <c r="AI23" s="8">
        <v>0</v>
      </c>
      <c r="AJ23" s="13" t="s">
        <v>368</v>
      </c>
      <c r="AK23" s="13"/>
      <c r="AL23" s="13" t="s">
        <v>28</v>
      </c>
      <c r="AN23" s="8">
        <v>348845</v>
      </c>
      <c r="AP23" s="8">
        <v>38241</v>
      </c>
      <c r="AT23" s="8">
        <v>0</v>
      </c>
      <c r="AV23" s="8">
        <v>0</v>
      </c>
      <c r="AX23" s="8">
        <v>0</v>
      </c>
      <c r="AZ23" s="8">
        <f t="shared" si="2"/>
        <v>11887623</v>
      </c>
      <c r="BB23" s="8">
        <v>2060</v>
      </c>
      <c r="BH23" s="8">
        <v>0</v>
      </c>
      <c r="BJ23" s="8">
        <f t="shared" si="0"/>
        <v>11889683</v>
      </c>
      <c r="BL23" s="8">
        <f>+GenRev!AM23-GenExp!BJ23</f>
        <v>171004</v>
      </c>
      <c r="BN23" s="8">
        <v>3142711</v>
      </c>
      <c r="BP23" s="8">
        <v>0</v>
      </c>
      <c r="BQ23" s="8">
        <v>0</v>
      </c>
      <c r="BS23" s="8">
        <f t="shared" si="1"/>
        <v>3313715</v>
      </c>
      <c r="BU23" s="9">
        <f>+BS23-'Gen Fd BS'!AA23+BQ23</f>
        <v>0</v>
      </c>
    </row>
    <row r="24" spans="1:75">
      <c r="A24" s="13" t="s">
        <v>414</v>
      </c>
      <c r="B24" s="13"/>
      <c r="C24" s="13" t="s">
        <v>33</v>
      </c>
      <c r="D24" s="13"/>
      <c r="E24" s="32">
        <v>47423</v>
      </c>
      <c r="G24" s="8">
        <v>2876981</v>
      </c>
      <c r="I24" s="8">
        <v>692382</v>
      </c>
      <c r="K24" s="8">
        <v>273475</v>
      </c>
      <c r="M24" s="8">
        <v>0</v>
      </c>
      <c r="O24" s="8">
        <v>153919</v>
      </c>
      <c r="Q24" s="8">
        <v>324746</v>
      </c>
      <c r="S24" s="8">
        <v>37148</v>
      </c>
      <c r="U24" s="8">
        <v>482386</v>
      </c>
      <c r="W24" s="8">
        <v>226041</v>
      </c>
      <c r="Y24" s="8">
        <v>0</v>
      </c>
      <c r="AA24" s="8">
        <v>499180</v>
      </c>
      <c r="AC24" s="8">
        <v>467637</v>
      </c>
      <c r="AE24" s="8">
        <v>1672</v>
      </c>
      <c r="AG24" s="8">
        <v>0</v>
      </c>
      <c r="AI24" s="8">
        <v>0</v>
      </c>
      <c r="AJ24" s="13" t="s">
        <v>414</v>
      </c>
      <c r="AK24" s="13"/>
      <c r="AL24" s="13" t="s">
        <v>33</v>
      </c>
      <c r="AN24" s="8">
        <v>156478</v>
      </c>
      <c r="AP24" s="8">
        <v>5000</v>
      </c>
      <c r="AT24" s="8">
        <v>0</v>
      </c>
      <c r="AV24" s="8">
        <v>0</v>
      </c>
      <c r="AX24" s="8">
        <v>0</v>
      </c>
      <c r="AZ24" s="8">
        <f t="shared" si="2"/>
        <v>6197045</v>
      </c>
      <c r="BB24" s="8">
        <v>0</v>
      </c>
      <c r="BH24" s="8">
        <v>0</v>
      </c>
      <c r="BJ24" s="8">
        <f t="shared" si="0"/>
        <v>6197045</v>
      </c>
      <c r="BL24" s="8">
        <f>+GenRev!AM24-GenExp!BJ24</f>
        <v>-338857</v>
      </c>
      <c r="BN24" s="8">
        <v>3181398</v>
      </c>
      <c r="BP24" s="8">
        <v>0</v>
      </c>
      <c r="BQ24" s="8">
        <v>0</v>
      </c>
      <c r="BS24" s="8">
        <f t="shared" si="1"/>
        <v>2842541</v>
      </c>
      <c r="BU24" s="9">
        <f>+BS24-'Gen Fd BS'!AA24+BQ24</f>
        <v>0</v>
      </c>
    </row>
    <row r="25" spans="1:75">
      <c r="A25" s="13" t="s">
        <v>213</v>
      </c>
      <c r="B25" s="13"/>
      <c r="C25" s="13" t="s">
        <v>11</v>
      </c>
      <c r="D25" s="13"/>
      <c r="E25" s="32">
        <v>43505</v>
      </c>
      <c r="F25" s="11"/>
      <c r="G25" s="8">
        <v>14026960</v>
      </c>
      <c r="I25" s="8">
        <v>3197017</v>
      </c>
      <c r="K25" s="8">
        <v>1016483</v>
      </c>
      <c r="M25" s="8">
        <f>271767+1567694</f>
        <v>1839461</v>
      </c>
      <c r="O25" s="8">
        <v>1501473</v>
      </c>
      <c r="Q25" s="8">
        <v>1201972</v>
      </c>
      <c r="S25" s="8">
        <v>163313</v>
      </c>
      <c r="U25" s="8">
        <v>2284452</v>
      </c>
      <c r="W25" s="8">
        <v>775474</v>
      </c>
      <c r="Y25" s="8">
        <v>342731</v>
      </c>
      <c r="AA25" s="8">
        <v>2664857</v>
      </c>
      <c r="AC25" s="8">
        <v>921119</v>
      </c>
      <c r="AE25" s="8">
        <v>253158</v>
      </c>
      <c r="AG25" s="8">
        <v>0</v>
      </c>
      <c r="AI25" s="8">
        <v>0</v>
      </c>
      <c r="AJ25" s="13" t="s">
        <v>213</v>
      </c>
      <c r="AK25" s="13"/>
      <c r="AL25" s="13" t="s">
        <v>11</v>
      </c>
      <c r="AN25" s="8">
        <v>627329</v>
      </c>
      <c r="AP25" s="8">
        <v>27511</v>
      </c>
      <c r="AT25" s="8">
        <v>470000</v>
      </c>
      <c r="AV25" s="8">
        <v>97915</v>
      </c>
      <c r="AX25" s="8">
        <v>0</v>
      </c>
      <c r="AZ25" s="8">
        <f t="shared" si="2"/>
        <v>31411225</v>
      </c>
      <c r="BB25" s="8">
        <v>231519</v>
      </c>
      <c r="BH25" s="8">
        <v>0</v>
      </c>
      <c r="BJ25" s="8">
        <f t="shared" si="0"/>
        <v>31642744</v>
      </c>
      <c r="BL25" s="8">
        <f>+GenRev!AM25-GenExp!BJ25</f>
        <v>615811</v>
      </c>
      <c r="BN25" s="8">
        <v>7196696</v>
      </c>
      <c r="BP25" s="8">
        <v>0</v>
      </c>
      <c r="BQ25" s="8">
        <v>0</v>
      </c>
      <c r="BS25" s="8">
        <f t="shared" si="1"/>
        <v>7812507</v>
      </c>
      <c r="BU25" s="9">
        <f>+BS25-'Gen Fd BS'!AA25+BQ25</f>
        <v>0</v>
      </c>
    </row>
    <row r="26" spans="1:75">
      <c r="A26" s="13" t="s">
        <v>761</v>
      </c>
      <c r="B26" s="13"/>
      <c r="C26" s="13" t="s">
        <v>12</v>
      </c>
      <c r="D26" s="13"/>
      <c r="E26" s="32">
        <v>43513</v>
      </c>
      <c r="F26" s="11"/>
      <c r="G26" s="8">
        <v>16439184</v>
      </c>
      <c r="I26" s="8">
        <v>3948152</v>
      </c>
      <c r="K26" s="8">
        <v>203472</v>
      </c>
      <c r="M26" s="8">
        <v>359313</v>
      </c>
      <c r="O26" s="8">
        <v>1743474</v>
      </c>
      <c r="Q26" s="8">
        <v>1174895</v>
      </c>
      <c r="S26" s="8">
        <v>156804</v>
      </c>
      <c r="U26" s="8">
        <v>2281627</v>
      </c>
      <c r="W26" s="8">
        <v>718967</v>
      </c>
      <c r="Y26" s="8">
        <v>690723</v>
      </c>
      <c r="AA26" s="8">
        <v>3769100</v>
      </c>
      <c r="AC26" s="8">
        <v>1646079</v>
      </c>
      <c r="AE26" s="8">
        <v>20603</v>
      </c>
      <c r="AG26" s="8">
        <v>0</v>
      </c>
      <c r="AI26" s="8">
        <v>0</v>
      </c>
      <c r="AJ26" s="13" t="s">
        <v>761</v>
      </c>
      <c r="AK26" s="13"/>
      <c r="AL26" s="13" t="s">
        <v>12</v>
      </c>
      <c r="AN26" s="8">
        <v>416621</v>
      </c>
      <c r="AP26" s="8">
        <v>5923</v>
      </c>
      <c r="AT26" s="8">
        <v>0</v>
      </c>
      <c r="AV26" s="8">
        <v>0</v>
      </c>
      <c r="AX26" s="8">
        <v>90822</v>
      </c>
      <c r="AZ26" s="8">
        <f t="shared" si="2"/>
        <v>33665759</v>
      </c>
      <c r="BB26" s="8">
        <v>33563</v>
      </c>
      <c r="BH26" s="8">
        <v>0</v>
      </c>
      <c r="BJ26" s="8">
        <f t="shared" si="0"/>
        <v>33699322</v>
      </c>
      <c r="BL26" s="8">
        <f>+GenRev!AM26-GenExp!BJ26</f>
        <v>27669</v>
      </c>
      <c r="BN26" s="8">
        <v>1673429</v>
      </c>
      <c r="BP26" s="8">
        <v>0</v>
      </c>
      <c r="BS26" s="8">
        <f t="shared" si="1"/>
        <v>1701098</v>
      </c>
      <c r="BU26" s="9">
        <f>+BS26-'Gen Fd BS'!AA26+BQ26</f>
        <v>0</v>
      </c>
      <c r="BW26" s="8" t="s">
        <v>956</v>
      </c>
    </row>
    <row r="27" spans="1:75">
      <c r="A27" s="13" t="s">
        <v>223</v>
      </c>
      <c r="B27" s="13"/>
      <c r="C27" s="13" t="s">
        <v>13</v>
      </c>
      <c r="D27" s="13"/>
      <c r="E27" s="32">
        <v>43521</v>
      </c>
      <c r="F27" s="11"/>
      <c r="G27" s="8">
        <v>12735113</v>
      </c>
      <c r="I27" s="8">
        <v>2619075</v>
      </c>
      <c r="K27" s="8">
        <v>338655</v>
      </c>
      <c r="M27" s="8">
        <v>20858</v>
      </c>
      <c r="O27" s="8">
        <v>1214094</v>
      </c>
      <c r="Q27" s="8">
        <v>1387979</v>
      </c>
      <c r="S27" s="8">
        <v>86729</v>
      </c>
      <c r="U27" s="8">
        <v>1836047</v>
      </c>
      <c r="W27" s="8">
        <v>649848</v>
      </c>
      <c r="Y27" s="8">
        <v>617299</v>
      </c>
      <c r="AA27" s="8">
        <v>3454964</v>
      </c>
      <c r="AC27" s="8">
        <v>1736707</v>
      </c>
      <c r="AE27" s="8">
        <v>123506</v>
      </c>
      <c r="AG27" s="8">
        <v>0</v>
      </c>
      <c r="AI27" s="8">
        <v>300</v>
      </c>
      <c r="AJ27" s="13" t="s">
        <v>223</v>
      </c>
      <c r="AK27" s="13"/>
      <c r="AL27" s="13" t="s">
        <v>13</v>
      </c>
      <c r="AN27" s="8">
        <v>379786</v>
      </c>
      <c r="AP27" s="8">
        <v>1931</v>
      </c>
      <c r="AT27" s="8">
        <v>0</v>
      </c>
      <c r="AV27" s="8">
        <v>0</v>
      </c>
      <c r="AX27" s="8">
        <v>0</v>
      </c>
      <c r="AZ27" s="8">
        <f t="shared" si="2"/>
        <v>27202891</v>
      </c>
      <c r="BB27" s="8">
        <v>348740</v>
      </c>
      <c r="BH27" s="8">
        <v>0</v>
      </c>
      <c r="BJ27" s="8">
        <f t="shared" si="0"/>
        <v>27551631</v>
      </c>
      <c r="BL27" s="8">
        <f>+GenRev!AM27-GenExp!BJ27</f>
        <v>1836071</v>
      </c>
      <c r="BN27" s="8">
        <v>5247214</v>
      </c>
      <c r="BP27" s="8">
        <v>0</v>
      </c>
      <c r="BS27" s="8">
        <f t="shared" si="1"/>
        <v>7083285</v>
      </c>
      <c r="BU27" s="9">
        <f>+BS27-'Gen Fd BS'!AA27+BQ27</f>
        <v>0</v>
      </c>
      <c r="BW27" s="8" t="s">
        <v>956</v>
      </c>
    </row>
    <row r="28" spans="1:75">
      <c r="A28" s="13" t="s">
        <v>588</v>
      </c>
      <c r="B28" s="13"/>
      <c r="C28" s="13" t="s">
        <v>56</v>
      </c>
      <c r="D28" s="13"/>
      <c r="E28" s="32">
        <v>49171</v>
      </c>
      <c r="G28" s="8">
        <v>12567387</v>
      </c>
      <c r="I28" s="8">
        <v>1512877</v>
      </c>
      <c r="K28" s="8">
        <v>165678</v>
      </c>
      <c r="M28" s="8">
        <v>563490</v>
      </c>
      <c r="O28" s="8">
        <v>1428314</v>
      </c>
      <c r="Q28" s="8">
        <v>1283773</v>
      </c>
      <c r="S28" s="8">
        <v>75178</v>
      </c>
      <c r="U28" s="8">
        <v>2598640</v>
      </c>
      <c r="W28" s="8">
        <v>790715</v>
      </c>
      <c r="Y28" s="8">
        <v>202513</v>
      </c>
      <c r="AA28" s="8">
        <v>2569383</v>
      </c>
      <c r="AC28" s="8">
        <v>1095895</v>
      </c>
      <c r="AE28" s="8">
        <v>0</v>
      </c>
      <c r="AG28" s="8">
        <v>0</v>
      </c>
      <c r="AI28" s="8">
        <v>0</v>
      </c>
      <c r="AJ28" s="13" t="s">
        <v>588</v>
      </c>
      <c r="AK28" s="13"/>
      <c r="AL28" s="13" t="s">
        <v>56</v>
      </c>
      <c r="AN28" s="8">
        <v>341961</v>
      </c>
      <c r="AP28" s="8">
        <v>670336</v>
      </c>
      <c r="AT28" s="8">
        <v>0</v>
      </c>
      <c r="AV28" s="8">
        <v>387869</v>
      </c>
      <c r="AX28" s="8">
        <v>0</v>
      </c>
      <c r="AZ28" s="8">
        <f t="shared" si="2"/>
        <v>26254009</v>
      </c>
      <c r="BB28" s="8">
        <v>46877</v>
      </c>
      <c r="BH28" s="8">
        <v>0</v>
      </c>
      <c r="BJ28" s="8">
        <f t="shared" si="0"/>
        <v>26300886</v>
      </c>
      <c r="BL28" s="8">
        <f>+GenRev!AM28-GenExp!BJ28</f>
        <v>-1359112</v>
      </c>
      <c r="BN28" s="8">
        <v>4479071</v>
      </c>
      <c r="BP28" s="8">
        <v>0</v>
      </c>
      <c r="BQ28" s="8">
        <v>0</v>
      </c>
      <c r="BS28" s="8">
        <f t="shared" si="1"/>
        <v>3119959</v>
      </c>
      <c r="BU28" s="9">
        <f>+BS28-'Gen Fd BS'!AA28+BQ28</f>
        <v>0</v>
      </c>
    </row>
    <row r="29" spans="1:75">
      <c r="A29" s="13" t="s">
        <v>508</v>
      </c>
      <c r="B29" s="13"/>
      <c r="C29" s="13" t="s">
        <v>45</v>
      </c>
      <c r="D29" s="13"/>
      <c r="E29" s="32">
        <v>48298</v>
      </c>
      <c r="G29" s="8">
        <v>18592635</v>
      </c>
      <c r="I29" s="8">
        <v>3900536</v>
      </c>
      <c r="K29" s="8">
        <v>243095</v>
      </c>
      <c r="M29" s="8">
        <v>1589751</v>
      </c>
      <c r="O29" s="8">
        <v>2561751</v>
      </c>
      <c r="Q29" s="8">
        <v>1010266</v>
      </c>
      <c r="S29" s="8">
        <v>46498</v>
      </c>
      <c r="U29" s="8">
        <v>3054665</v>
      </c>
      <c r="W29" s="8">
        <v>816610</v>
      </c>
      <c r="Y29" s="8">
        <v>6214</v>
      </c>
      <c r="AA29" s="8">
        <v>4050087</v>
      </c>
      <c r="AC29" s="8">
        <v>2280640</v>
      </c>
      <c r="AE29" s="8">
        <v>557</v>
      </c>
      <c r="AG29" s="8">
        <v>0</v>
      </c>
      <c r="AI29" s="8">
        <v>4871</v>
      </c>
      <c r="AJ29" s="13" t="s">
        <v>508</v>
      </c>
      <c r="AK29" s="13"/>
      <c r="AL29" s="13" t="s">
        <v>45</v>
      </c>
      <c r="AN29" s="8">
        <v>570372</v>
      </c>
      <c r="AP29" s="8">
        <v>100240</v>
      </c>
      <c r="AT29" s="8">
        <v>0</v>
      </c>
      <c r="AV29" s="8">
        <v>0</v>
      </c>
      <c r="AX29" s="8">
        <v>0</v>
      </c>
      <c r="AZ29" s="8">
        <f t="shared" si="2"/>
        <v>38828788</v>
      </c>
      <c r="BB29" s="8">
        <v>213425</v>
      </c>
      <c r="BH29" s="8">
        <v>0</v>
      </c>
      <c r="BJ29" s="8">
        <f t="shared" si="0"/>
        <v>39042213</v>
      </c>
      <c r="BL29" s="8">
        <f>+GenRev!AM29-GenExp!BJ29</f>
        <v>-256840</v>
      </c>
      <c r="BN29" s="8">
        <v>-1302365</v>
      </c>
      <c r="BP29" s="8">
        <v>0</v>
      </c>
      <c r="BS29" s="8">
        <f t="shared" si="1"/>
        <v>-1559205</v>
      </c>
      <c r="BU29" s="9">
        <f>+BS29-'Gen Fd BS'!AA29+BQ29</f>
        <v>0</v>
      </c>
      <c r="BW29" s="8" t="s">
        <v>956</v>
      </c>
    </row>
    <row r="30" spans="1:75">
      <c r="A30" s="13" t="s">
        <v>483</v>
      </c>
      <c r="B30" s="13"/>
      <c r="C30" s="13" t="s">
        <v>44</v>
      </c>
      <c r="D30" s="13"/>
      <c r="E30" s="32">
        <v>48124</v>
      </c>
      <c r="G30" s="8">
        <v>17161612</v>
      </c>
      <c r="I30" s="8">
        <v>2382208</v>
      </c>
      <c r="K30" s="8">
        <v>177680</v>
      </c>
      <c r="M30" s="8">
        <f>18913+999671</f>
        <v>1018584</v>
      </c>
      <c r="O30" s="8">
        <v>2475285</v>
      </c>
      <c r="Q30" s="8">
        <v>824816</v>
      </c>
      <c r="S30" s="8">
        <v>20568</v>
      </c>
      <c r="U30" s="8">
        <v>2997126</v>
      </c>
      <c r="W30" s="8">
        <v>975578</v>
      </c>
      <c r="Y30" s="8">
        <v>109264</v>
      </c>
      <c r="AA30" s="8">
        <v>4235180</v>
      </c>
      <c r="AC30" s="8">
        <v>1294252</v>
      </c>
      <c r="AE30" s="8">
        <v>187672</v>
      </c>
      <c r="AG30" s="8">
        <v>0</v>
      </c>
      <c r="AI30" s="8">
        <v>0</v>
      </c>
      <c r="AJ30" s="13" t="s">
        <v>483</v>
      </c>
      <c r="AK30" s="13"/>
      <c r="AL30" s="13" t="s">
        <v>44</v>
      </c>
      <c r="AN30" s="8">
        <v>806613</v>
      </c>
      <c r="AP30" s="8">
        <v>13923</v>
      </c>
      <c r="AT30" s="8">
        <v>116701</v>
      </c>
      <c r="AV30" s="8">
        <v>13221</v>
      </c>
      <c r="AX30" s="8">
        <v>0</v>
      </c>
      <c r="AZ30" s="8">
        <f t="shared" si="2"/>
        <v>34810283</v>
      </c>
      <c r="BB30" s="8">
        <v>29604</v>
      </c>
      <c r="BH30" s="8">
        <v>0</v>
      </c>
      <c r="BJ30" s="8">
        <f t="shared" si="0"/>
        <v>34839887</v>
      </c>
      <c r="BL30" s="8">
        <f>+GenRev!AM30-GenExp!BJ30</f>
        <v>2204902</v>
      </c>
      <c r="BN30" s="8">
        <v>11960247</v>
      </c>
      <c r="BP30" s="8">
        <v>0</v>
      </c>
      <c r="BS30" s="8">
        <f t="shared" si="1"/>
        <v>14165149</v>
      </c>
      <c r="BU30" s="9">
        <f>+BS30-'Gen Fd BS'!AA30+BQ30</f>
        <v>0</v>
      </c>
      <c r="BW30" s="8" t="s">
        <v>956</v>
      </c>
    </row>
    <row r="31" spans="1:75">
      <c r="A31" s="13" t="s">
        <v>484</v>
      </c>
      <c r="B31" s="13"/>
      <c r="C31" s="13" t="s">
        <v>44</v>
      </c>
      <c r="D31" s="13"/>
      <c r="E31" s="32">
        <v>48116</v>
      </c>
      <c r="G31" s="8">
        <v>12858885</v>
      </c>
      <c r="I31" s="8">
        <v>2765563</v>
      </c>
      <c r="K31" s="8">
        <v>157552</v>
      </c>
      <c r="M31" s="8">
        <v>532050</v>
      </c>
      <c r="O31" s="8">
        <v>842942</v>
      </c>
      <c r="Q31" s="8">
        <v>1441815</v>
      </c>
      <c r="S31" s="8">
        <v>145768</v>
      </c>
      <c r="U31" s="8">
        <v>2084034</v>
      </c>
      <c r="W31" s="8">
        <v>711574</v>
      </c>
      <c r="Y31" s="8">
        <v>28250</v>
      </c>
      <c r="AA31" s="8">
        <v>2441789</v>
      </c>
      <c r="AC31" s="8">
        <v>1686180</v>
      </c>
      <c r="AE31" s="8">
        <v>233591</v>
      </c>
      <c r="AG31" s="8">
        <v>0</v>
      </c>
      <c r="AI31" s="8">
        <v>731</v>
      </c>
      <c r="AJ31" s="13" t="s">
        <v>484</v>
      </c>
      <c r="AK31" s="13"/>
      <c r="AL31" s="13" t="s">
        <v>44</v>
      </c>
      <c r="AN31" s="8">
        <v>645899</v>
      </c>
      <c r="AP31" s="8">
        <v>0</v>
      </c>
      <c r="AT31" s="8">
        <v>45000</v>
      </c>
      <c r="AV31" s="8">
        <v>13387</v>
      </c>
      <c r="AX31" s="8">
        <v>0</v>
      </c>
      <c r="AZ31" s="8">
        <f t="shared" si="2"/>
        <v>26635010</v>
      </c>
      <c r="BB31" s="8">
        <v>0</v>
      </c>
      <c r="BH31" s="8">
        <v>0</v>
      </c>
      <c r="BJ31" s="8">
        <f t="shared" si="0"/>
        <v>26635010</v>
      </c>
      <c r="BL31" s="8">
        <f>+GenRev!AM31-GenExp!BJ31</f>
        <v>-136706</v>
      </c>
      <c r="BN31" s="8">
        <v>5193972</v>
      </c>
      <c r="BP31" s="8">
        <v>0</v>
      </c>
      <c r="BS31" s="8">
        <f t="shared" si="1"/>
        <v>5057266</v>
      </c>
      <c r="BU31" s="9">
        <f>+BS31-'Gen Fd BS'!AA31+BQ31</f>
        <v>0</v>
      </c>
      <c r="BW31" s="8" t="s">
        <v>956</v>
      </c>
    </row>
    <row r="32" spans="1:75">
      <c r="A32" s="13" t="s">
        <v>330</v>
      </c>
      <c r="B32" s="13"/>
      <c r="C32" s="13" t="s">
        <v>22</v>
      </c>
      <c r="D32" s="13"/>
      <c r="E32" s="32">
        <v>46706</v>
      </c>
      <c r="G32" s="8">
        <v>3402458</v>
      </c>
      <c r="I32" s="8">
        <v>550633</v>
      </c>
      <c r="K32" s="8">
        <v>39151</v>
      </c>
      <c r="M32" s="8">
        <v>359144</v>
      </c>
      <c r="O32" s="8">
        <v>219715</v>
      </c>
      <c r="Q32" s="8">
        <v>251529</v>
      </c>
      <c r="S32" s="8">
        <v>24240</v>
      </c>
      <c r="U32" s="8">
        <v>655918</v>
      </c>
      <c r="W32" s="8">
        <v>325055</v>
      </c>
      <c r="Y32" s="8">
        <v>0</v>
      </c>
      <c r="AA32" s="8">
        <v>514676</v>
      </c>
      <c r="AC32" s="8">
        <v>200732</v>
      </c>
      <c r="AE32" s="8">
        <v>29840</v>
      </c>
      <c r="AG32" s="8">
        <v>0</v>
      </c>
      <c r="AI32" s="8">
        <v>13331</v>
      </c>
      <c r="AJ32" s="13" t="s">
        <v>330</v>
      </c>
      <c r="AK32" s="13"/>
      <c r="AL32" s="13" t="s">
        <v>22</v>
      </c>
      <c r="AN32" s="8">
        <v>241472</v>
      </c>
      <c r="AP32" s="8">
        <v>65772</v>
      </c>
      <c r="AT32" s="8">
        <v>46828</v>
      </c>
      <c r="AV32" s="8">
        <v>3993</v>
      </c>
      <c r="AX32" s="8">
        <v>0</v>
      </c>
      <c r="AZ32" s="8">
        <f t="shared" si="2"/>
        <v>6944487</v>
      </c>
      <c r="BB32" s="8">
        <v>107330</v>
      </c>
      <c r="BH32" s="8">
        <v>0</v>
      </c>
      <c r="BJ32" s="8">
        <f t="shared" si="0"/>
        <v>7051817</v>
      </c>
      <c r="BL32" s="8">
        <f>+GenRev!AM32-GenExp!BJ32</f>
        <v>390838</v>
      </c>
      <c r="BN32" s="8">
        <v>2056343</v>
      </c>
      <c r="BP32" s="8">
        <v>5572</v>
      </c>
      <c r="BS32" s="8">
        <f t="shared" si="1"/>
        <v>2441609</v>
      </c>
      <c r="BU32" s="9">
        <f>+BS32-'Gen Fd BS'!AA32+BQ32</f>
        <v>0</v>
      </c>
      <c r="BW32" s="8" t="s">
        <v>956</v>
      </c>
    </row>
    <row r="33" spans="1:75">
      <c r="A33" s="13" t="s">
        <v>663</v>
      </c>
      <c r="B33" s="13"/>
      <c r="C33" s="13" t="s">
        <v>63</v>
      </c>
      <c r="D33" s="13"/>
      <c r="E33" s="32">
        <v>43539</v>
      </c>
      <c r="G33" s="8">
        <v>13191706</v>
      </c>
      <c r="I33" s="8">
        <v>2825356</v>
      </c>
      <c r="K33" s="8">
        <v>1300125</v>
      </c>
      <c r="M33" s="8">
        <v>3865603</v>
      </c>
      <c r="O33" s="8">
        <v>1908875</v>
      </c>
      <c r="Q33" s="8">
        <v>1373424</v>
      </c>
      <c r="S33" s="8">
        <v>26876</v>
      </c>
      <c r="U33" s="8">
        <v>3046517</v>
      </c>
      <c r="W33" s="8">
        <v>616135</v>
      </c>
      <c r="Y33" s="8">
        <v>249966</v>
      </c>
      <c r="AA33" s="8">
        <v>3987473</v>
      </c>
      <c r="AC33" s="8">
        <v>857527</v>
      </c>
      <c r="AE33" s="8">
        <v>52896</v>
      </c>
      <c r="AG33" s="8">
        <v>0</v>
      </c>
      <c r="AI33" s="8">
        <v>0</v>
      </c>
      <c r="AJ33" s="13" t="s">
        <v>663</v>
      </c>
      <c r="AK33" s="13"/>
      <c r="AL33" s="13" t="s">
        <v>63</v>
      </c>
      <c r="AN33" s="8">
        <v>1075762</v>
      </c>
      <c r="AP33" s="8">
        <v>33671</v>
      </c>
      <c r="AT33" s="8">
        <v>0</v>
      </c>
      <c r="AV33" s="8">
        <v>64655</v>
      </c>
      <c r="AX33" s="8">
        <v>0</v>
      </c>
      <c r="AZ33" s="8">
        <f t="shared" si="2"/>
        <v>34476567</v>
      </c>
      <c r="BB33" s="8">
        <v>2863</v>
      </c>
      <c r="BH33" s="8">
        <v>0</v>
      </c>
      <c r="BJ33" s="8">
        <f t="shared" si="0"/>
        <v>34479430</v>
      </c>
      <c r="BL33" s="8">
        <f>+GenRev!AM33-GenExp!BJ33</f>
        <v>1014898</v>
      </c>
      <c r="BN33" s="8">
        <v>6578889</v>
      </c>
      <c r="BP33" s="8">
        <v>0</v>
      </c>
      <c r="BQ33" s="8">
        <v>0</v>
      </c>
      <c r="BS33" s="8">
        <f t="shared" si="1"/>
        <v>7593787</v>
      </c>
      <c r="BU33" s="9">
        <f>+BS33-'Gen Fd BS'!AA33+BQ33</f>
        <v>0</v>
      </c>
    </row>
    <row r="34" spans="1:75">
      <c r="A34" s="13" t="s">
        <v>815</v>
      </c>
      <c r="B34" s="13"/>
      <c r="C34" s="13" t="s">
        <v>15</v>
      </c>
      <c r="D34" s="13"/>
      <c r="E34" s="32"/>
      <c r="G34" s="8">
        <v>3963645</v>
      </c>
      <c r="I34" s="8">
        <v>814398</v>
      </c>
      <c r="K34" s="8">
        <v>115649</v>
      </c>
      <c r="M34" s="8">
        <v>92514</v>
      </c>
      <c r="O34" s="8">
        <v>408949</v>
      </c>
      <c r="Q34" s="8">
        <v>158668</v>
      </c>
      <c r="S34" s="8">
        <v>141336</v>
      </c>
      <c r="U34" s="8">
        <v>630213</v>
      </c>
      <c r="W34" s="8">
        <v>381824</v>
      </c>
      <c r="Y34" s="8">
        <v>18289</v>
      </c>
      <c r="AA34" s="8">
        <v>1094247</v>
      </c>
      <c r="AC34" s="8">
        <v>542014</v>
      </c>
      <c r="AE34" s="8">
        <v>101607</v>
      </c>
      <c r="AG34" s="8">
        <v>0</v>
      </c>
      <c r="AI34" s="8">
        <v>0</v>
      </c>
      <c r="AJ34" s="13" t="s">
        <v>815</v>
      </c>
      <c r="AK34" s="13"/>
      <c r="AL34" s="13" t="s">
        <v>15</v>
      </c>
      <c r="AN34" s="8">
        <v>93360</v>
      </c>
      <c r="AP34" s="8">
        <v>105422</v>
      </c>
      <c r="AT34" s="8">
        <v>16864</v>
      </c>
      <c r="AV34" s="8">
        <v>5002</v>
      </c>
      <c r="AX34" s="8">
        <v>0</v>
      </c>
      <c r="AZ34" s="8">
        <f t="shared" si="2"/>
        <v>8684001</v>
      </c>
      <c r="BB34" s="8">
        <v>0</v>
      </c>
      <c r="BH34" s="8">
        <v>0</v>
      </c>
      <c r="BJ34" s="8">
        <f t="shared" si="0"/>
        <v>8684001</v>
      </c>
      <c r="BL34" s="8">
        <f>+GenRev!AM34-GenExp!BJ34</f>
        <v>28906</v>
      </c>
      <c r="BN34" s="8">
        <v>1764292</v>
      </c>
      <c r="BP34" s="8">
        <v>0</v>
      </c>
      <c r="BQ34" s="8">
        <v>0</v>
      </c>
      <c r="BS34" s="8">
        <f t="shared" si="1"/>
        <v>1793198</v>
      </c>
      <c r="BU34" s="9">
        <f>+BS34-'Gen Fd BS'!AA34+BQ34</f>
        <v>0</v>
      </c>
    </row>
    <row r="35" spans="1:75">
      <c r="A35" s="13" t="s">
        <v>266</v>
      </c>
      <c r="B35" s="13"/>
      <c r="C35" s="13" t="s">
        <v>115</v>
      </c>
      <c r="D35" s="13"/>
      <c r="E35" s="32">
        <v>46300</v>
      </c>
      <c r="F35" s="11"/>
      <c r="G35" s="8">
        <v>8106696</v>
      </c>
      <c r="I35" s="8">
        <v>2444587</v>
      </c>
      <c r="K35" s="8">
        <v>0</v>
      </c>
      <c r="M35" s="8">
        <v>116168</v>
      </c>
      <c r="O35" s="8">
        <v>507350</v>
      </c>
      <c r="Q35" s="8">
        <v>639562</v>
      </c>
      <c r="S35" s="8">
        <v>64140</v>
      </c>
      <c r="U35" s="8">
        <v>1401096</v>
      </c>
      <c r="W35" s="8">
        <v>498829</v>
      </c>
      <c r="Y35" s="8">
        <v>0</v>
      </c>
      <c r="AA35" s="8">
        <v>1432783</v>
      </c>
      <c r="AC35" s="8">
        <v>1193123</v>
      </c>
      <c r="AE35" s="8">
        <v>1920</v>
      </c>
      <c r="AG35" s="8">
        <v>0</v>
      </c>
      <c r="AI35" s="8">
        <v>0</v>
      </c>
      <c r="AJ35" s="13" t="s">
        <v>266</v>
      </c>
      <c r="AK35" s="13"/>
      <c r="AL35" s="13" t="s">
        <v>115</v>
      </c>
      <c r="AN35" s="8">
        <v>300875</v>
      </c>
      <c r="AP35" s="8">
        <v>50741</v>
      </c>
      <c r="AT35" s="8">
        <v>112851</v>
      </c>
      <c r="AV35" s="8">
        <v>14100</v>
      </c>
      <c r="AX35" s="8">
        <v>0</v>
      </c>
      <c r="AZ35" s="8">
        <f t="shared" si="2"/>
        <v>16884821</v>
      </c>
      <c r="BB35" s="8">
        <v>100500</v>
      </c>
      <c r="BH35" s="8">
        <v>0</v>
      </c>
      <c r="BJ35" s="8">
        <f t="shared" si="0"/>
        <v>16985321</v>
      </c>
      <c r="BL35" s="8">
        <f>+GenRev!AM35-GenExp!BJ35</f>
        <v>-701259</v>
      </c>
      <c r="BN35" s="8">
        <v>458300</v>
      </c>
      <c r="BP35" s="8">
        <v>0</v>
      </c>
      <c r="BQ35" s="8">
        <v>0</v>
      </c>
      <c r="BS35" s="8">
        <f t="shared" si="1"/>
        <v>-242959</v>
      </c>
      <c r="BU35" s="9">
        <f>+BS35-'Gen Fd BS'!AA35+BQ35</f>
        <v>0</v>
      </c>
    </row>
    <row r="36" spans="1:75" hidden="1">
      <c r="A36" s="13" t="s">
        <v>960</v>
      </c>
      <c r="B36" s="13"/>
      <c r="C36" s="13" t="s">
        <v>10</v>
      </c>
      <c r="D36" s="13"/>
      <c r="E36" s="32">
        <v>45765</v>
      </c>
      <c r="F36" s="11"/>
      <c r="G36" s="8">
        <v>6627147</v>
      </c>
      <c r="I36" s="8">
        <v>727368</v>
      </c>
      <c r="K36" s="8">
        <v>1156</v>
      </c>
      <c r="M36" s="8">
        <v>989451</v>
      </c>
      <c r="O36" s="8">
        <v>903438</v>
      </c>
      <c r="Q36" s="8">
        <v>220731</v>
      </c>
      <c r="S36" s="8">
        <v>82598</v>
      </c>
      <c r="U36" s="8">
        <v>1081798</v>
      </c>
      <c r="W36" s="8">
        <v>551114</v>
      </c>
      <c r="AA36" s="8">
        <v>1582419</v>
      </c>
      <c r="AC36" s="8">
        <v>785735</v>
      </c>
      <c r="AE36" s="8">
        <v>151276</v>
      </c>
      <c r="AJ36" s="13" t="s">
        <v>209</v>
      </c>
      <c r="AK36" s="13"/>
      <c r="AL36" s="13" t="s">
        <v>10</v>
      </c>
      <c r="AN36" s="8">
        <v>373794</v>
      </c>
      <c r="AT36" s="8">
        <v>21268</v>
      </c>
      <c r="AV36" s="8">
        <v>17791</v>
      </c>
      <c r="AZ36" s="8">
        <f t="shared" si="2"/>
        <v>14117084</v>
      </c>
      <c r="BB36" s="8">
        <v>58563</v>
      </c>
      <c r="BD36" s="8">
        <f>135400-136447</f>
        <v>-1047</v>
      </c>
      <c r="BH36" s="8">
        <v>-1123</v>
      </c>
      <c r="BJ36" s="8">
        <f t="shared" si="0"/>
        <v>14173477</v>
      </c>
      <c r="BL36" s="8">
        <f>+GenRev!AM36-GenExp!BJ36</f>
        <v>1402123</v>
      </c>
      <c r="BN36" s="8">
        <v>10859530</v>
      </c>
      <c r="BS36" s="8">
        <f t="shared" si="1"/>
        <v>12261653</v>
      </c>
      <c r="BU36" s="9">
        <f>+BS36-'Gen Fd BS'!AA36+BQ36</f>
        <v>0</v>
      </c>
      <c r="BW36" s="8" t="s">
        <v>956</v>
      </c>
    </row>
    <row r="37" spans="1:75">
      <c r="A37" s="13" t="s">
        <v>296</v>
      </c>
      <c r="B37" s="13"/>
      <c r="C37" s="13" t="s">
        <v>20</v>
      </c>
      <c r="D37" s="13"/>
      <c r="E37" s="32">
        <v>43547</v>
      </c>
      <c r="G37" s="8">
        <v>12233744</v>
      </c>
      <c r="I37" s="8">
        <v>1925690</v>
      </c>
      <c r="K37" s="8">
        <v>314277</v>
      </c>
      <c r="M37" s="8">
        <v>1032999</v>
      </c>
      <c r="O37" s="8">
        <v>2222118</v>
      </c>
      <c r="Q37" s="8">
        <v>939204</v>
      </c>
      <c r="S37" s="8">
        <v>23224</v>
      </c>
      <c r="U37" s="8">
        <v>2063164</v>
      </c>
      <c r="W37" s="8">
        <v>621492</v>
      </c>
      <c r="Y37" s="8">
        <v>365587</v>
      </c>
      <c r="AA37" s="8">
        <v>2705245</v>
      </c>
      <c r="AC37" s="8">
        <v>839274</v>
      </c>
      <c r="AE37" s="8">
        <v>445897</v>
      </c>
      <c r="AG37" s="8">
        <v>0</v>
      </c>
      <c r="AI37" s="8">
        <v>68047</v>
      </c>
      <c r="AJ37" s="13" t="s">
        <v>296</v>
      </c>
      <c r="AK37" s="13"/>
      <c r="AL37" s="13" t="s">
        <v>20</v>
      </c>
      <c r="AN37" s="8">
        <f>149153+558806</f>
        <v>707959</v>
      </c>
      <c r="AP37" s="8">
        <v>328437</v>
      </c>
      <c r="AT37" s="8">
        <v>121686</v>
      </c>
      <c r="AV37" s="8">
        <v>121088</v>
      </c>
      <c r="AX37" s="8">
        <v>0</v>
      </c>
      <c r="AZ37" s="8">
        <f t="shared" si="2"/>
        <v>27079132</v>
      </c>
      <c r="BB37" s="8">
        <v>49501</v>
      </c>
      <c r="BH37" s="8">
        <v>0</v>
      </c>
      <c r="BJ37" s="8">
        <f t="shared" si="0"/>
        <v>27128633</v>
      </c>
      <c r="BL37" s="8">
        <f>+GenRev!AM37-GenExp!BJ37</f>
        <v>786878</v>
      </c>
      <c r="BN37" s="8">
        <v>4816028</v>
      </c>
      <c r="BP37" s="8">
        <v>0</v>
      </c>
      <c r="BQ37" s="8">
        <v>0</v>
      </c>
      <c r="BS37" s="8">
        <f t="shared" si="1"/>
        <v>5602906</v>
      </c>
      <c r="BU37" s="9">
        <f>+BS37-'Gen Fd BS'!AA37+BQ37</f>
        <v>0</v>
      </c>
    </row>
    <row r="38" spans="1:75">
      <c r="A38" s="13" t="s">
        <v>297</v>
      </c>
      <c r="B38" s="13"/>
      <c r="C38" s="13" t="s">
        <v>20</v>
      </c>
      <c r="D38" s="13"/>
      <c r="E38" s="32">
        <v>43554</v>
      </c>
      <c r="G38" s="8">
        <v>11009396</v>
      </c>
      <c r="I38" s="8">
        <v>5701156</v>
      </c>
      <c r="K38" s="8">
        <v>407852</v>
      </c>
      <c r="M38" s="8">
        <f>70+179790</f>
        <v>179860</v>
      </c>
      <c r="O38" s="8">
        <v>1678956</v>
      </c>
      <c r="Q38" s="8">
        <v>974743</v>
      </c>
      <c r="S38" s="8">
        <v>439485</v>
      </c>
      <c r="U38" s="8">
        <v>2266117</v>
      </c>
      <c r="W38" s="8">
        <v>937760</v>
      </c>
      <c r="Y38" s="8">
        <v>450040</v>
      </c>
      <c r="AA38" s="8">
        <v>3449062</v>
      </c>
      <c r="AC38" s="8">
        <v>2100816</v>
      </c>
      <c r="AE38" s="8">
        <v>981337</v>
      </c>
      <c r="AG38" s="8">
        <v>0</v>
      </c>
      <c r="AI38" s="8">
        <v>7925</v>
      </c>
      <c r="AJ38" s="13" t="s">
        <v>297</v>
      </c>
      <c r="AK38" s="13"/>
      <c r="AL38" s="13" t="s">
        <v>20</v>
      </c>
      <c r="AN38" s="8">
        <v>849526</v>
      </c>
      <c r="AP38" s="8">
        <f>5685+27915+20115</f>
        <v>53715</v>
      </c>
      <c r="AT38" s="8">
        <v>0</v>
      </c>
      <c r="AV38" s="8">
        <v>0</v>
      </c>
      <c r="AX38" s="8">
        <v>0</v>
      </c>
      <c r="AZ38" s="8">
        <f t="shared" si="2"/>
        <v>31487746</v>
      </c>
      <c r="BB38" s="8">
        <v>396000</v>
      </c>
      <c r="BH38" s="8">
        <v>0</v>
      </c>
      <c r="BJ38" s="8">
        <f t="shared" si="0"/>
        <v>31883746</v>
      </c>
      <c r="BL38" s="8">
        <f>+GenRev!AM38-GenExp!BJ38</f>
        <v>4725162</v>
      </c>
      <c r="BN38" s="8">
        <v>14111983</v>
      </c>
      <c r="BP38" s="8">
        <v>0</v>
      </c>
      <c r="BQ38" s="8">
        <v>0</v>
      </c>
      <c r="BS38" s="8">
        <f t="shared" si="1"/>
        <v>18837145</v>
      </c>
      <c r="BU38" s="9">
        <f>+BS38-'Gen Fd BS'!AA38+BQ38</f>
        <v>0</v>
      </c>
    </row>
    <row r="39" spans="1:75">
      <c r="A39" s="13" t="s">
        <v>278</v>
      </c>
      <c r="B39" s="13"/>
      <c r="C39" s="13" t="s">
        <v>114</v>
      </c>
      <c r="D39" s="13"/>
      <c r="E39" s="32">
        <v>46425</v>
      </c>
      <c r="F39" s="11"/>
      <c r="G39" s="8">
        <v>10753998</v>
      </c>
      <c r="I39" s="8">
        <v>1456710</v>
      </c>
      <c r="K39" s="8">
        <v>19496</v>
      </c>
      <c r="M39" s="8">
        <f>2323+8562+133</f>
        <v>11018</v>
      </c>
      <c r="O39" s="8">
        <v>489900</v>
      </c>
      <c r="Q39" s="8">
        <v>404491</v>
      </c>
      <c r="S39" s="8">
        <v>20559</v>
      </c>
      <c r="U39" s="8">
        <v>1738105</v>
      </c>
      <c r="W39" s="8">
        <v>433890</v>
      </c>
      <c r="Y39" s="8">
        <v>0</v>
      </c>
      <c r="AA39" s="8">
        <v>1630759</v>
      </c>
      <c r="AC39" s="8">
        <v>1313894</v>
      </c>
      <c r="AE39" s="8">
        <v>0</v>
      </c>
      <c r="AG39" s="8">
        <v>0</v>
      </c>
      <c r="AI39" s="8">
        <v>0</v>
      </c>
      <c r="AJ39" s="13" t="s">
        <v>278</v>
      </c>
      <c r="AK39" s="13"/>
      <c r="AL39" s="13" t="s">
        <v>114</v>
      </c>
      <c r="AN39" s="8">
        <v>338544</v>
      </c>
      <c r="AP39" s="8">
        <v>0</v>
      </c>
      <c r="AT39" s="8">
        <v>0</v>
      </c>
      <c r="AV39" s="8">
        <v>0</v>
      </c>
      <c r="AX39" s="8">
        <v>0</v>
      </c>
      <c r="AZ39" s="8">
        <f t="shared" si="2"/>
        <v>18611364</v>
      </c>
      <c r="BB39" s="8">
        <v>0</v>
      </c>
      <c r="BH39" s="8">
        <v>0</v>
      </c>
      <c r="BJ39" s="8">
        <f t="shared" si="0"/>
        <v>18611364</v>
      </c>
      <c r="BL39" s="8">
        <f>+GenRev!AM39-GenExp!BJ39</f>
        <v>-720628</v>
      </c>
      <c r="BN39" s="8">
        <v>-1596647</v>
      </c>
      <c r="BP39" s="8">
        <v>0</v>
      </c>
      <c r="BS39" s="8">
        <f t="shared" si="1"/>
        <v>-2317275</v>
      </c>
      <c r="BU39" s="9">
        <f>+BS39-'Gen Fd BS'!AA39+BQ39</f>
        <v>0</v>
      </c>
    </row>
    <row r="40" spans="1:75">
      <c r="A40" s="13" t="s">
        <v>384</v>
      </c>
      <c r="B40" s="13"/>
      <c r="C40" s="13" t="s">
        <v>116</v>
      </c>
      <c r="D40" s="13"/>
      <c r="E40" s="32">
        <v>47241</v>
      </c>
      <c r="G40" s="8">
        <v>30316198</v>
      </c>
      <c r="I40" s="8">
        <v>8370736</v>
      </c>
      <c r="K40" s="8">
        <v>349563</v>
      </c>
      <c r="M40" s="8">
        <f>539624+864476</f>
        <v>1404100</v>
      </c>
      <c r="O40" s="8">
        <v>4416617</v>
      </c>
      <c r="Q40" s="8">
        <v>4427542</v>
      </c>
      <c r="S40" s="8">
        <v>68870</v>
      </c>
      <c r="U40" s="8">
        <v>3876181</v>
      </c>
      <c r="W40" s="8">
        <v>1432302</v>
      </c>
      <c r="Y40" s="8">
        <v>490519</v>
      </c>
      <c r="AA40" s="8">
        <v>5922787</v>
      </c>
      <c r="AC40" s="8">
        <v>4892685</v>
      </c>
      <c r="AE40" s="8">
        <v>1200560</v>
      </c>
      <c r="AG40" s="8">
        <v>0</v>
      </c>
      <c r="AI40" s="8">
        <v>0</v>
      </c>
      <c r="AJ40" s="13" t="s">
        <v>384</v>
      </c>
      <c r="AK40" s="13"/>
      <c r="AL40" s="13" t="s">
        <v>116</v>
      </c>
      <c r="AN40" s="8">
        <f>89788+660180+27907</f>
        <v>777875</v>
      </c>
      <c r="AP40" s="8">
        <f>9060+28201+45803</f>
        <v>83064</v>
      </c>
      <c r="AT40" s="8">
        <v>128164</v>
      </c>
      <c r="AV40" s="8">
        <v>152683</v>
      </c>
      <c r="AX40" s="8">
        <v>0</v>
      </c>
      <c r="AZ40" s="8">
        <f t="shared" si="2"/>
        <v>68310446</v>
      </c>
      <c r="BB40" s="8">
        <v>2038544</v>
      </c>
      <c r="BH40" s="8">
        <v>0</v>
      </c>
      <c r="BJ40" s="8">
        <f t="shared" si="0"/>
        <v>70348990</v>
      </c>
      <c r="BL40" s="8">
        <f>+GenRev!AM40-GenExp!BJ40</f>
        <v>-2562845</v>
      </c>
      <c r="BN40" s="8">
        <v>31800803</v>
      </c>
      <c r="BP40" s="8">
        <v>0</v>
      </c>
      <c r="BS40" s="8">
        <f t="shared" si="1"/>
        <v>29237958</v>
      </c>
      <c r="BU40" s="9">
        <f>+BS40-'Gen Fd BS'!AA40+BQ40</f>
        <v>0</v>
      </c>
    </row>
    <row r="41" spans="1:75">
      <c r="A41" s="13" t="s">
        <v>298</v>
      </c>
      <c r="B41" s="13"/>
      <c r="C41" s="13" t="s">
        <v>20</v>
      </c>
      <c r="D41" s="13"/>
      <c r="E41" s="32">
        <v>43562</v>
      </c>
      <c r="G41" s="8">
        <v>16164242</v>
      </c>
      <c r="I41" s="8">
        <v>4482888</v>
      </c>
      <c r="K41" s="8">
        <v>1309870</v>
      </c>
      <c r="M41" s="8">
        <v>110608</v>
      </c>
      <c r="O41" s="8">
        <v>2672079</v>
      </c>
      <c r="Q41" s="8">
        <v>1675633</v>
      </c>
      <c r="S41" s="8">
        <v>220840</v>
      </c>
      <c r="U41" s="8">
        <v>4177071</v>
      </c>
      <c r="W41" s="8">
        <v>1193037</v>
      </c>
      <c r="Y41" s="8">
        <v>658943</v>
      </c>
      <c r="AA41" s="8">
        <v>6495396</v>
      </c>
      <c r="AC41" s="8">
        <v>3418883</v>
      </c>
      <c r="AE41" s="8">
        <v>328540</v>
      </c>
      <c r="AG41" s="8">
        <v>0</v>
      </c>
      <c r="AI41" s="8">
        <v>0</v>
      </c>
      <c r="AJ41" s="13" t="s">
        <v>298</v>
      </c>
      <c r="AK41" s="13"/>
      <c r="AL41" s="13" t="s">
        <v>20</v>
      </c>
      <c r="AN41" s="8">
        <v>494706</v>
      </c>
      <c r="AP41" s="8">
        <v>2256</v>
      </c>
      <c r="AT41" s="8">
        <v>308113</v>
      </c>
      <c r="AV41" s="8">
        <v>143020</v>
      </c>
      <c r="AX41" s="8">
        <v>0</v>
      </c>
      <c r="AZ41" s="8">
        <f t="shared" si="2"/>
        <v>43856125</v>
      </c>
      <c r="BB41" s="8">
        <v>108712</v>
      </c>
      <c r="BH41" s="8">
        <v>0</v>
      </c>
      <c r="BJ41" s="8">
        <f t="shared" si="0"/>
        <v>43964837</v>
      </c>
      <c r="BL41" s="8">
        <f>+GenRev!AM41-GenExp!BJ41</f>
        <v>601986</v>
      </c>
      <c r="BN41" s="8">
        <v>12986705</v>
      </c>
      <c r="BP41" s="8">
        <v>0</v>
      </c>
      <c r="BS41" s="8">
        <f t="shared" si="1"/>
        <v>13588691</v>
      </c>
      <c r="BU41" s="9">
        <f>+BS41-'Gen Fd BS'!AA41+BQ41</f>
        <v>0</v>
      </c>
    </row>
    <row r="42" spans="1:75">
      <c r="A42" s="13" t="s">
        <v>231</v>
      </c>
      <c r="B42" s="13"/>
      <c r="C42" s="13" t="s">
        <v>15</v>
      </c>
      <c r="D42" s="13"/>
      <c r="E42" s="32">
        <v>43570</v>
      </c>
      <c r="G42" s="8">
        <v>7118414</v>
      </c>
      <c r="I42" s="8">
        <v>1224061</v>
      </c>
      <c r="K42" s="8">
        <v>127851</v>
      </c>
      <c r="M42" s="8">
        <v>39476</v>
      </c>
      <c r="O42" s="8">
        <v>549209</v>
      </c>
      <c r="Q42" s="8">
        <v>0</v>
      </c>
      <c r="S42" s="8">
        <v>23352</v>
      </c>
      <c r="U42" s="8">
        <v>1268349</v>
      </c>
      <c r="W42" s="8">
        <v>376973</v>
      </c>
      <c r="Y42" s="8">
        <v>0</v>
      </c>
      <c r="AA42" s="8">
        <v>1590826</v>
      </c>
      <c r="AC42" s="8">
        <v>1052912</v>
      </c>
      <c r="AE42" s="8">
        <v>0</v>
      </c>
      <c r="AG42" s="8">
        <v>0</v>
      </c>
      <c r="AI42" s="8">
        <v>0</v>
      </c>
      <c r="AJ42" s="13" t="s">
        <v>231</v>
      </c>
      <c r="AK42" s="13"/>
      <c r="AL42" s="13" t="s">
        <v>15</v>
      </c>
      <c r="AN42" s="8">
        <v>195317</v>
      </c>
      <c r="AP42" s="8">
        <v>75</v>
      </c>
      <c r="AT42" s="8">
        <v>62385</v>
      </c>
      <c r="AV42" s="8">
        <v>5945</v>
      </c>
      <c r="AX42" s="8">
        <v>0</v>
      </c>
      <c r="AZ42" s="8">
        <f t="shared" si="2"/>
        <v>13635145</v>
      </c>
      <c r="BB42" s="8">
        <v>0</v>
      </c>
      <c r="BH42" s="8">
        <v>0</v>
      </c>
      <c r="BJ42" s="8">
        <f t="shared" si="0"/>
        <v>13635145</v>
      </c>
      <c r="BL42" s="8">
        <f>+GenRev!AM42-GenExp!BJ42</f>
        <v>-1755279</v>
      </c>
      <c r="BN42" s="8">
        <v>-1183243</v>
      </c>
      <c r="BP42" s="8">
        <v>0</v>
      </c>
      <c r="BS42" s="8">
        <f t="shared" si="1"/>
        <v>-2938522</v>
      </c>
      <c r="BU42" s="9">
        <f>+BS42-'Gen Fd BS'!AA42+BQ42</f>
        <v>0</v>
      </c>
    </row>
    <row r="43" spans="1:75">
      <c r="A43" s="13" t="s">
        <v>443</v>
      </c>
      <c r="B43" s="13"/>
      <c r="C43" s="13" t="s">
        <v>37</v>
      </c>
      <c r="D43" s="13"/>
      <c r="E43" s="32">
        <v>43596</v>
      </c>
      <c r="G43" s="8">
        <v>7376417</v>
      </c>
      <c r="I43" s="8">
        <v>2535614</v>
      </c>
      <c r="K43" s="8">
        <v>503939</v>
      </c>
      <c r="M43" s="8">
        <f>4244+747720</f>
        <v>751964</v>
      </c>
      <c r="O43" s="8">
        <v>1144022</v>
      </c>
      <c r="Q43" s="8">
        <v>1058686</v>
      </c>
      <c r="S43" s="8">
        <v>28266</v>
      </c>
      <c r="U43" s="8">
        <v>1515805</v>
      </c>
      <c r="W43" s="8">
        <v>488985</v>
      </c>
      <c r="Y43" s="8">
        <v>15770</v>
      </c>
      <c r="AA43" s="8">
        <v>1924502</v>
      </c>
      <c r="AC43" s="8">
        <v>889442</v>
      </c>
      <c r="AE43" s="8">
        <v>79027</v>
      </c>
      <c r="AG43" s="8">
        <v>0</v>
      </c>
      <c r="AI43" s="8">
        <v>23184</v>
      </c>
      <c r="AJ43" s="13" t="s">
        <v>443</v>
      </c>
      <c r="AK43" s="13"/>
      <c r="AL43" s="13" t="s">
        <v>37</v>
      </c>
      <c r="AN43" s="8">
        <v>461774</v>
      </c>
      <c r="AP43" s="8">
        <v>51599</v>
      </c>
      <c r="AT43" s="8">
        <v>78462</v>
      </c>
      <c r="AV43" s="8">
        <v>22939</v>
      </c>
      <c r="AX43" s="8">
        <v>20906</v>
      </c>
      <c r="AZ43" s="8">
        <f t="shared" si="2"/>
        <v>18971303</v>
      </c>
      <c r="BB43" s="8">
        <v>11768</v>
      </c>
      <c r="BH43" s="8">
        <v>0</v>
      </c>
      <c r="BJ43" s="8">
        <f t="shared" ref="BJ43:BJ74" si="3">+AZ43+BB43+BD43+BH43</f>
        <v>18983071</v>
      </c>
      <c r="BL43" s="8">
        <f>+GenRev!AM43-GenExp!BJ43</f>
        <v>144101</v>
      </c>
      <c r="BN43" s="8">
        <v>2249574</v>
      </c>
      <c r="BP43" s="8">
        <v>11928</v>
      </c>
      <c r="BS43" s="8">
        <f t="shared" ref="BS43:BS74" si="4">+BN43+BL43-BP43</f>
        <v>2381747</v>
      </c>
      <c r="BU43" s="9">
        <f>+BS43-'Gen Fd BS'!AA43+BQ43</f>
        <v>0</v>
      </c>
      <c r="BV43" s="65"/>
    </row>
    <row r="44" spans="1:75">
      <c r="A44" s="13" t="s">
        <v>715</v>
      </c>
      <c r="B44" s="13"/>
      <c r="C44" s="13" t="s">
        <v>70</v>
      </c>
      <c r="D44" s="13"/>
      <c r="E44" s="32">
        <v>43604</v>
      </c>
      <c r="G44" s="8">
        <v>4635179</v>
      </c>
      <c r="I44" s="8">
        <v>870127</v>
      </c>
      <c r="K44" s="8">
        <v>0</v>
      </c>
      <c r="M44" s="8">
        <v>14009</v>
      </c>
      <c r="O44" s="8">
        <v>820762</v>
      </c>
      <c r="Q44" s="8">
        <v>207617</v>
      </c>
      <c r="S44" s="8">
        <v>72720</v>
      </c>
      <c r="U44" s="8">
        <v>869100</v>
      </c>
      <c r="W44" s="8">
        <v>409330</v>
      </c>
      <c r="Y44" s="8">
        <v>1708</v>
      </c>
      <c r="AA44" s="8">
        <v>1048597</v>
      </c>
      <c r="AC44" s="8">
        <v>417412</v>
      </c>
      <c r="AE44" s="8">
        <v>213</v>
      </c>
      <c r="AG44" s="8">
        <v>0</v>
      </c>
      <c r="AI44" s="8">
        <v>0</v>
      </c>
      <c r="AJ44" s="13" t="s">
        <v>715</v>
      </c>
      <c r="AK44" s="13"/>
      <c r="AL44" s="13" t="s">
        <v>70</v>
      </c>
      <c r="AN44" s="8">
        <v>165810</v>
      </c>
      <c r="AP44" s="8">
        <v>50590</v>
      </c>
      <c r="AT44" s="8">
        <v>0</v>
      </c>
      <c r="AV44" s="8">
        <v>0</v>
      </c>
      <c r="AX44" s="8">
        <v>0</v>
      </c>
      <c r="AZ44" s="8">
        <f t="shared" si="2"/>
        <v>9583174</v>
      </c>
      <c r="BB44" s="8">
        <v>41694</v>
      </c>
      <c r="BH44" s="8">
        <v>0</v>
      </c>
      <c r="BJ44" s="8">
        <f t="shared" si="3"/>
        <v>9624868</v>
      </c>
      <c r="BL44" s="8">
        <f>+GenRev!AM44-GenExp!BJ44</f>
        <v>-146070</v>
      </c>
      <c r="BN44" s="8">
        <v>600446</v>
      </c>
      <c r="BP44" s="8">
        <v>0</v>
      </c>
      <c r="BS44" s="8">
        <f t="shared" si="4"/>
        <v>454376</v>
      </c>
      <c r="BU44" s="9">
        <f>+BS44-'Gen Fd BS'!AA44+BQ44</f>
        <v>0</v>
      </c>
      <c r="BV44" s="65"/>
    </row>
    <row r="45" spans="1:75">
      <c r="A45" s="13" t="s">
        <v>571</v>
      </c>
      <c r="B45" s="13"/>
      <c r="C45" s="13" t="s">
        <v>53</v>
      </c>
      <c r="D45" s="13"/>
      <c r="E45" s="32">
        <v>48926</v>
      </c>
      <c r="G45" s="8">
        <v>8813273</v>
      </c>
      <c r="I45" s="8">
        <v>1465797</v>
      </c>
      <c r="K45" s="8">
        <v>22726</v>
      </c>
      <c r="M45" s="8">
        <v>276941</v>
      </c>
      <c r="O45" s="8">
        <v>905123</v>
      </c>
      <c r="Q45" s="8">
        <v>1026690</v>
      </c>
      <c r="S45" s="8">
        <v>220845</v>
      </c>
      <c r="U45" s="8">
        <v>1515816</v>
      </c>
      <c r="W45" s="8">
        <v>498883</v>
      </c>
      <c r="Y45" s="8">
        <v>0</v>
      </c>
      <c r="AA45" s="8">
        <v>2646515</v>
      </c>
      <c r="AC45" s="8">
        <v>1060503</v>
      </c>
      <c r="AE45" s="8">
        <v>199301</v>
      </c>
      <c r="AG45" s="8">
        <v>0</v>
      </c>
      <c r="AI45" s="8">
        <v>12158</v>
      </c>
      <c r="AJ45" s="13" t="s">
        <v>571</v>
      </c>
      <c r="AK45" s="13"/>
      <c r="AL45" s="13" t="s">
        <v>53</v>
      </c>
      <c r="AN45" s="8">
        <v>407967</v>
      </c>
      <c r="AP45" s="8">
        <v>0</v>
      </c>
      <c r="AT45" s="8">
        <v>0</v>
      </c>
      <c r="AV45" s="8">
        <v>0</v>
      </c>
      <c r="AX45" s="8">
        <v>120</v>
      </c>
      <c r="AZ45" s="8">
        <f t="shared" si="2"/>
        <v>19072658</v>
      </c>
      <c r="BB45" s="8">
        <v>0</v>
      </c>
      <c r="BH45" s="8">
        <v>0</v>
      </c>
      <c r="BJ45" s="8">
        <f t="shared" si="3"/>
        <v>19072658</v>
      </c>
      <c r="BL45" s="8">
        <f>+GenRev!AM45-GenExp!BJ45</f>
        <v>-465626</v>
      </c>
      <c r="BN45" s="8">
        <v>4091952</v>
      </c>
      <c r="BP45" s="8">
        <v>0</v>
      </c>
      <c r="BS45" s="8">
        <f t="shared" si="4"/>
        <v>3626326</v>
      </c>
      <c r="BU45" s="9">
        <f>+BS45-'Gen Fd BS'!AA45+BQ45</f>
        <v>0</v>
      </c>
    </row>
    <row r="46" spans="1:75">
      <c r="A46" s="13" t="s">
        <v>299</v>
      </c>
      <c r="B46" s="13"/>
      <c r="C46" s="13" t="s">
        <v>20</v>
      </c>
      <c r="D46" s="13"/>
      <c r="E46" s="32">
        <v>43612</v>
      </c>
      <c r="G46" s="8">
        <v>34545183</v>
      </c>
      <c r="I46" s="8">
        <v>10428116</v>
      </c>
      <c r="K46" s="8">
        <v>809189</v>
      </c>
      <c r="M46" s="8">
        <v>0</v>
      </c>
      <c r="O46" s="8">
        <v>4155873</v>
      </c>
      <c r="Q46" s="8">
        <v>6281131</v>
      </c>
      <c r="S46" s="8">
        <v>39173</v>
      </c>
      <c r="U46" s="8">
        <v>5000394</v>
      </c>
      <c r="W46" s="8">
        <v>1761506</v>
      </c>
      <c r="Y46" s="8">
        <v>828027</v>
      </c>
      <c r="AA46" s="8">
        <v>8759936</v>
      </c>
      <c r="AC46" s="8">
        <v>3859674</v>
      </c>
      <c r="AE46" s="8">
        <v>2688032</v>
      </c>
      <c r="AG46" s="8">
        <v>0</v>
      </c>
      <c r="AI46" s="8">
        <v>14771</v>
      </c>
      <c r="AJ46" s="13" t="s">
        <v>299</v>
      </c>
      <c r="AK46" s="13"/>
      <c r="AL46" s="13" t="s">
        <v>20</v>
      </c>
      <c r="AN46" s="8">
        <v>1325972</v>
      </c>
      <c r="AP46" s="8">
        <v>0</v>
      </c>
      <c r="AT46" s="8">
        <v>0</v>
      </c>
      <c r="AV46" s="8">
        <v>0</v>
      </c>
      <c r="AX46" s="8">
        <v>0</v>
      </c>
      <c r="AZ46" s="8">
        <f t="shared" si="2"/>
        <v>80496977</v>
      </c>
      <c r="BB46" s="8">
        <v>605412</v>
      </c>
      <c r="BH46" s="8">
        <v>0</v>
      </c>
      <c r="BJ46" s="8">
        <f t="shared" si="3"/>
        <v>81102389</v>
      </c>
      <c r="BL46" s="8">
        <f>+GenRev!AM46-GenExp!BJ46</f>
        <v>2395871</v>
      </c>
      <c r="BN46" s="8">
        <v>29403777</v>
      </c>
      <c r="BP46" s="8">
        <v>0</v>
      </c>
      <c r="BS46" s="8">
        <f t="shared" si="4"/>
        <v>31799648</v>
      </c>
      <c r="BU46" s="9">
        <f>+BS46-'Gen Fd BS'!AA46+BQ46</f>
        <v>0</v>
      </c>
    </row>
    <row r="47" spans="1:75">
      <c r="A47" s="13" t="s">
        <v>377</v>
      </c>
      <c r="B47" s="13"/>
      <c r="C47" s="13" t="s">
        <v>30</v>
      </c>
      <c r="D47" s="13"/>
      <c r="E47" s="32">
        <v>47167</v>
      </c>
      <c r="G47" s="8">
        <v>4819650</v>
      </c>
      <c r="I47" s="8">
        <v>922188</v>
      </c>
      <c r="K47" s="8">
        <v>66942</v>
      </c>
      <c r="M47" s="8">
        <v>12776</v>
      </c>
      <c r="O47" s="8">
        <v>542544</v>
      </c>
      <c r="Q47" s="8">
        <v>411543</v>
      </c>
      <c r="S47" s="8">
        <v>87962</v>
      </c>
      <c r="U47" s="8">
        <v>1063276</v>
      </c>
      <c r="W47" s="8">
        <v>398239</v>
      </c>
      <c r="Y47" s="8">
        <v>38727</v>
      </c>
      <c r="AA47" s="8">
        <v>930298</v>
      </c>
      <c r="AC47" s="8">
        <v>749089</v>
      </c>
      <c r="AE47" s="8">
        <v>0</v>
      </c>
      <c r="AG47" s="8">
        <v>0</v>
      </c>
      <c r="AI47" s="8">
        <v>0</v>
      </c>
      <c r="AJ47" s="13" t="s">
        <v>377</v>
      </c>
      <c r="AK47" s="13"/>
      <c r="AL47" s="13" t="s">
        <v>30</v>
      </c>
      <c r="AN47" s="8">
        <v>290776</v>
      </c>
      <c r="AP47" s="8">
        <v>164736</v>
      </c>
      <c r="AT47" s="8">
        <v>0</v>
      </c>
      <c r="AV47" s="8">
        <v>0</v>
      </c>
      <c r="AX47" s="8">
        <v>0</v>
      </c>
      <c r="AZ47" s="8">
        <f t="shared" si="2"/>
        <v>10498746</v>
      </c>
      <c r="BB47" s="8">
        <v>415359</v>
      </c>
      <c r="BH47" s="8">
        <v>0</v>
      </c>
      <c r="BJ47" s="8">
        <f t="shared" si="3"/>
        <v>10914105</v>
      </c>
      <c r="BL47" s="8">
        <f>+GenRev!AM47-GenExp!BJ47</f>
        <v>55012</v>
      </c>
      <c r="BN47" s="8">
        <v>2995354</v>
      </c>
      <c r="BP47" s="8">
        <v>0</v>
      </c>
      <c r="BS47" s="8">
        <f t="shared" si="4"/>
        <v>3050366</v>
      </c>
      <c r="BU47" s="9">
        <f>+BS47-'Gen Fd BS'!AA47+BQ47</f>
        <v>0</v>
      </c>
    </row>
    <row r="48" spans="1:75">
      <c r="A48" s="13" t="s">
        <v>336</v>
      </c>
      <c r="B48" s="13"/>
      <c r="C48" s="13" t="s">
        <v>24</v>
      </c>
      <c r="D48" s="13"/>
      <c r="E48" s="32">
        <v>46789</v>
      </c>
      <c r="G48" s="8">
        <v>6819072</v>
      </c>
      <c r="I48" s="8">
        <v>2054526</v>
      </c>
      <c r="K48" s="8">
        <v>62317</v>
      </c>
      <c r="M48" s="8">
        <v>445954</v>
      </c>
      <c r="O48" s="8">
        <v>603192</v>
      </c>
      <c r="Q48" s="8">
        <v>389166</v>
      </c>
      <c r="S48" s="8">
        <v>29183</v>
      </c>
      <c r="U48" s="8">
        <v>1294866</v>
      </c>
      <c r="W48" s="8">
        <v>264084</v>
      </c>
      <c r="Y48" s="8">
        <v>0</v>
      </c>
      <c r="AA48" s="8">
        <v>1120050</v>
      </c>
      <c r="AC48" s="8">
        <v>746777</v>
      </c>
      <c r="AE48" s="8">
        <v>156131</v>
      </c>
      <c r="AG48" s="8">
        <v>0</v>
      </c>
      <c r="AI48" s="8">
        <v>0</v>
      </c>
      <c r="AJ48" s="13" t="s">
        <v>336</v>
      </c>
      <c r="AK48" s="13"/>
      <c r="AL48" s="13" t="s">
        <v>24</v>
      </c>
      <c r="AN48" s="8">
        <v>386366</v>
      </c>
      <c r="AP48" s="8">
        <v>0</v>
      </c>
      <c r="AT48" s="8">
        <v>0</v>
      </c>
      <c r="AV48" s="8">
        <v>0</v>
      </c>
      <c r="AX48" s="8">
        <v>0</v>
      </c>
      <c r="AZ48" s="8">
        <f t="shared" si="2"/>
        <v>14371684</v>
      </c>
      <c r="BB48" s="8">
        <v>0</v>
      </c>
      <c r="BH48" s="8">
        <v>0</v>
      </c>
      <c r="BJ48" s="8">
        <f t="shared" si="3"/>
        <v>14371684</v>
      </c>
      <c r="BL48" s="8">
        <f>+GenRev!AM48-GenExp!BJ48</f>
        <v>-178439</v>
      </c>
      <c r="BN48" s="8">
        <v>3643896</v>
      </c>
      <c r="BP48" s="8">
        <v>28195</v>
      </c>
      <c r="BS48" s="8">
        <f t="shared" si="4"/>
        <v>3437262</v>
      </c>
      <c r="BU48" s="9">
        <f>+BS48-'Gen Fd BS'!AA48+BQ48</f>
        <v>0</v>
      </c>
    </row>
    <row r="49" spans="1:75">
      <c r="A49" s="13" t="s">
        <v>344</v>
      </c>
      <c r="B49" s="13"/>
      <c r="C49" s="13" t="s">
        <v>25</v>
      </c>
      <c r="D49" s="13"/>
      <c r="E49" s="32">
        <v>46854</v>
      </c>
      <c r="G49" s="8">
        <v>3334292</v>
      </c>
      <c r="I49" s="8">
        <v>980221</v>
      </c>
      <c r="K49" s="8">
        <v>131736</v>
      </c>
      <c r="M49" s="8">
        <v>0</v>
      </c>
      <c r="O49" s="8">
        <v>258695</v>
      </c>
      <c r="Q49" s="8">
        <v>376602</v>
      </c>
      <c r="S49" s="8">
        <v>13980</v>
      </c>
      <c r="U49" s="8">
        <v>849860</v>
      </c>
      <c r="W49" s="8">
        <v>299641</v>
      </c>
      <c r="Y49" s="8">
        <v>5406</v>
      </c>
      <c r="AA49" s="8">
        <v>995142</v>
      </c>
      <c r="AC49" s="8">
        <v>582836</v>
      </c>
      <c r="AE49" s="8">
        <v>25639</v>
      </c>
      <c r="AG49" s="8">
        <v>0</v>
      </c>
      <c r="AI49" s="8">
        <v>616</v>
      </c>
      <c r="AJ49" s="13" t="s">
        <v>344</v>
      </c>
      <c r="AK49" s="13"/>
      <c r="AL49" s="13" t="s">
        <v>25</v>
      </c>
      <c r="AN49" s="8">
        <v>204225</v>
      </c>
      <c r="AP49" s="8">
        <v>0</v>
      </c>
      <c r="AT49" s="8">
        <v>30799</v>
      </c>
      <c r="AV49" s="8">
        <v>10721</v>
      </c>
      <c r="AX49" s="8">
        <v>0</v>
      </c>
      <c r="AZ49" s="8">
        <f t="shared" si="2"/>
        <v>8100411</v>
      </c>
      <c r="BB49" s="8">
        <v>133126</v>
      </c>
      <c r="BH49" s="8">
        <v>0</v>
      </c>
      <c r="BJ49" s="8">
        <f t="shared" si="3"/>
        <v>8233537</v>
      </c>
      <c r="BL49" s="8">
        <f>+GenRev!AM49-GenExp!BJ49</f>
        <v>-300348</v>
      </c>
      <c r="BN49" s="8">
        <v>1911599</v>
      </c>
      <c r="BP49" s="8">
        <v>0</v>
      </c>
      <c r="BS49" s="8">
        <f t="shared" si="4"/>
        <v>1611251</v>
      </c>
      <c r="BU49" s="9">
        <f>+BS49-'Gen Fd BS'!AA49+BQ49</f>
        <v>0</v>
      </c>
    </row>
    <row r="50" spans="1:75">
      <c r="A50" s="13" t="s">
        <v>536</v>
      </c>
      <c r="B50" s="13"/>
      <c r="C50" s="13" t="s">
        <v>48</v>
      </c>
      <c r="D50" s="13"/>
      <c r="E50" s="32">
        <v>48611</v>
      </c>
      <c r="G50" s="8">
        <v>3145528</v>
      </c>
      <c r="I50" s="8">
        <v>965020</v>
      </c>
      <c r="K50" s="8">
        <v>0</v>
      </c>
      <c r="M50" s="8">
        <v>268931</v>
      </c>
      <c r="O50" s="8">
        <v>171618</v>
      </c>
      <c r="Q50" s="8">
        <v>257091</v>
      </c>
      <c r="S50" s="8">
        <v>43760</v>
      </c>
      <c r="U50" s="8">
        <v>710203</v>
      </c>
      <c r="W50" s="8">
        <v>316879</v>
      </c>
      <c r="Y50" s="8">
        <v>57129</v>
      </c>
      <c r="AA50" s="8">
        <v>734606</v>
      </c>
      <c r="AC50" s="8">
        <v>536502</v>
      </c>
      <c r="AE50" s="8">
        <v>146809</v>
      </c>
      <c r="AG50" s="8">
        <v>0</v>
      </c>
      <c r="AI50" s="8">
        <v>10255</v>
      </c>
      <c r="AJ50" s="13" t="s">
        <v>536</v>
      </c>
      <c r="AK50" s="13"/>
      <c r="AL50" s="13" t="s">
        <v>48</v>
      </c>
      <c r="AN50" s="8">
        <v>190965</v>
      </c>
      <c r="AP50" s="8">
        <v>0</v>
      </c>
      <c r="AT50" s="8">
        <v>22000</v>
      </c>
      <c r="AV50" s="8">
        <v>45745</v>
      </c>
      <c r="AX50" s="8">
        <v>0</v>
      </c>
      <c r="AZ50" s="8">
        <f t="shared" si="2"/>
        <v>7623041</v>
      </c>
      <c r="BB50" s="8">
        <v>0</v>
      </c>
      <c r="BH50" s="8">
        <v>0</v>
      </c>
      <c r="BJ50" s="8">
        <f t="shared" si="3"/>
        <v>7623041</v>
      </c>
      <c r="BL50" s="8">
        <f>+GenRev!AM50-GenExp!BJ50</f>
        <v>-242793</v>
      </c>
      <c r="BN50" s="8">
        <v>1556172</v>
      </c>
      <c r="BP50" s="8">
        <v>0</v>
      </c>
      <c r="BS50" s="8">
        <f t="shared" si="4"/>
        <v>1313379</v>
      </c>
      <c r="BU50" s="9">
        <f>+BS50-'Gen Fd BS'!AA50+BQ50</f>
        <v>0</v>
      </c>
    </row>
    <row r="51" spans="1:75">
      <c r="A51" s="13" t="s">
        <v>267</v>
      </c>
      <c r="B51" s="13"/>
      <c r="C51" s="13" t="s">
        <v>115</v>
      </c>
      <c r="D51" s="13"/>
      <c r="E51" s="32">
        <v>46318</v>
      </c>
      <c r="F51" s="11"/>
      <c r="G51" s="8">
        <v>7443926</v>
      </c>
      <c r="I51" s="8">
        <v>1545329</v>
      </c>
      <c r="K51" s="8">
        <v>300098</v>
      </c>
      <c r="M51" s="8">
        <v>84720</v>
      </c>
      <c r="O51" s="8">
        <v>588623</v>
      </c>
      <c r="Q51" s="8">
        <v>726664</v>
      </c>
      <c r="S51" s="8">
        <v>56855</v>
      </c>
      <c r="U51" s="8">
        <v>1095775</v>
      </c>
      <c r="W51" s="8">
        <v>389532</v>
      </c>
      <c r="Y51" s="8">
        <v>0</v>
      </c>
      <c r="AA51" s="8">
        <v>1298318</v>
      </c>
      <c r="AC51" s="8">
        <v>817792</v>
      </c>
      <c r="AE51" s="8">
        <v>0</v>
      </c>
      <c r="AG51" s="8">
        <v>0</v>
      </c>
      <c r="AI51" s="8">
        <v>0</v>
      </c>
      <c r="AJ51" s="13" t="s">
        <v>267</v>
      </c>
      <c r="AK51" s="13"/>
      <c r="AL51" s="13" t="s">
        <v>115</v>
      </c>
      <c r="AN51" s="8">
        <v>32918</v>
      </c>
      <c r="AP51" s="8">
        <v>9959</v>
      </c>
      <c r="AT51" s="8">
        <v>88881</v>
      </c>
      <c r="AV51" s="8">
        <v>144981</v>
      </c>
      <c r="AX51" s="8">
        <v>0</v>
      </c>
      <c r="AZ51" s="8">
        <f t="shared" si="2"/>
        <v>14624371</v>
      </c>
      <c r="BB51" s="8">
        <v>360412</v>
      </c>
      <c r="BH51" s="8">
        <v>0</v>
      </c>
      <c r="BJ51" s="8">
        <f t="shared" si="3"/>
        <v>14984783</v>
      </c>
      <c r="BL51" s="8">
        <f>+GenRev!AM51-GenExp!BJ51</f>
        <v>-612123</v>
      </c>
      <c r="BN51" s="8">
        <v>648118</v>
      </c>
      <c r="BP51" s="8">
        <v>0</v>
      </c>
      <c r="BS51" s="8">
        <f t="shared" si="4"/>
        <v>35995</v>
      </c>
      <c r="BU51" s="9">
        <f>+BS51-'Gen Fd BS'!AA51+BQ51</f>
        <v>0</v>
      </c>
    </row>
    <row r="52" spans="1:75" hidden="1">
      <c r="A52" s="13" t="s">
        <v>962</v>
      </c>
      <c r="B52" s="13"/>
      <c r="C52" s="13" t="s">
        <v>60</v>
      </c>
      <c r="D52" s="13"/>
      <c r="E52" s="32">
        <v>49692</v>
      </c>
      <c r="G52" s="8">
        <v>1139599</v>
      </c>
      <c r="I52" s="8">
        <v>194769</v>
      </c>
      <c r="O52" s="8">
        <v>104743</v>
      </c>
      <c r="Q52" s="8">
        <v>35035</v>
      </c>
      <c r="S52" s="8">
        <v>10166</v>
      </c>
      <c r="U52" s="8">
        <v>241462</v>
      </c>
      <c r="W52" s="8">
        <v>127264</v>
      </c>
      <c r="AA52" s="8">
        <v>248281</v>
      </c>
      <c r="AC52" s="8">
        <v>98688</v>
      </c>
      <c r="AG52" s="8">
        <v>0</v>
      </c>
      <c r="AJ52" s="13" t="s">
        <v>635</v>
      </c>
      <c r="AK52" s="13"/>
      <c r="AL52" s="13" t="s">
        <v>60</v>
      </c>
      <c r="AN52" s="8">
        <v>55739</v>
      </c>
      <c r="AT52" s="8">
        <v>6663</v>
      </c>
      <c r="AV52" s="8">
        <v>2163</v>
      </c>
      <c r="AZ52" s="8">
        <f t="shared" si="2"/>
        <v>2264572</v>
      </c>
      <c r="BB52" s="8">
        <f>21641</f>
        <v>21641</v>
      </c>
      <c r="BD52" s="8">
        <f>73075-67093</f>
        <v>5982</v>
      </c>
      <c r="BH52" s="8">
        <v>0</v>
      </c>
      <c r="BJ52" s="8">
        <f t="shared" si="3"/>
        <v>2292195</v>
      </c>
      <c r="BL52" s="8">
        <f>+GenRev!AM52-GenExp!BJ52</f>
        <v>-132018</v>
      </c>
      <c r="BN52" s="8">
        <v>321228</v>
      </c>
      <c r="BS52" s="8">
        <f t="shared" si="4"/>
        <v>189210</v>
      </c>
      <c r="BU52" s="9">
        <f>+BS52-'Gen Fd BS'!AA52+BQ52</f>
        <v>-1700</v>
      </c>
      <c r="BW52" s="8" t="s">
        <v>956</v>
      </c>
    </row>
    <row r="53" spans="1:75">
      <c r="A53" s="13" t="s">
        <v>352</v>
      </c>
      <c r="B53" s="13"/>
      <c r="C53" s="13" t="s">
        <v>27</v>
      </c>
      <c r="D53" s="13"/>
      <c r="E53" s="32">
        <v>43620</v>
      </c>
      <c r="G53" s="8">
        <v>15099286</v>
      </c>
      <c r="I53" s="8">
        <v>3049579</v>
      </c>
      <c r="K53" s="8">
        <v>289648</v>
      </c>
      <c r="M53" s="8">
        <v>0</v>
      </c>
      <c r="O53" s="8">
        <v>1206085</v>
      </c>
      <c r="Q53" s="8">
        <v>1938303</v>
      </c>
      <c r="S53" s="8">
        <v>1863892</v>
      </c>
      <c r="U53" s="8">
        <v>42212</v>
      </c>
      <c r="W53" s="8">
        <v>0</v>
      </c>
      <c r="Y53" s="8">
        <v>1095186</v>
      </c>
      <c r="AA53" s="8">
        <v>3221626</v>
      </c>
      <c r="AC53" s="8">
        <v>416651</v>
      </c>
      <c r="AE53" s="8">
        <v>170999</v>
      </c>
      <c r="AG53" s="8">
        <v>0</v>
      </c>
      <c r="AI53" s="8">
        <v>0</v>
      </c>
      <c r="AJ53" s="13" t="s">
        <v>352</v>
      </c>
      <c r="AK53" s="13"/>
      <c r="AL53" s="13" t="s">
        <v>27</v>
      </c>
      <c r="AN53" s="8">
        <v>786709</v>
      </c>
      <c r="AP53" s="8">
        <v>873900</v>
      </c>
      <c r="AT53" s="8">
        <v>0</v>
      </c>
      <c r="AV53" s="8">
        <v>0</v>
      </c>
      <c r="AX53" s="8">
        <v>38771</v>
      </c>
      <c r="AZ53" s="8">
        <f t="shared" si="2"/>
        <v>30092847</v>
      </c>
      <c r="BB53" s="8">
        <v>173000</v>
      </c>
      <c r="BH53" s="8">
        <v>0</v>
      </c>
      <c r="BJ53" s="8">
        <f t="shared" si="3"/>
        <v>30265847</v>
      </c>
      <c r="BL53" s="8">
        <f>+GenRev!AM53-GenExp!BJ53</f>
        <v>1874802</v>
      </c>
      <c r="BN53" s="8">
        <v>20373963</v>
      </c>
      <c r="BP53" s="8">
        <v>0</v>
      </c>
      <c r="BS53" s="8">
        <f t="shared" si="4"/>
        <v>22248765</v>
      </c>
      <c r="BU53" s="9">
        <f>+BS53-'Gen Fd BS'!AA53+BQ53</f>
        <v>0</v>
      </c>
    </row>
    <row r="54" spans="1:75">
      <c r="A54" s="13" t="s">
        <v>333</v>
      </c>
      <c r="B54" s="13"/>
      <c r="C54" s="13" t="s">
        <v>23</v>
      </c>
      <c r="D54" s="13"/>
      <c r="E54" s="32">
        <v>46748</v>
      </c>
      <c r="G54" s="8">
        <v>11912724</v>
      </c>
      <c r="I54" s="8">
        <v>3129039</v>
      </c>
      <c r="K54" s="8">
        <v>359169</v>
      </c>
      <c r="M54" s="8">
        <v>0</v>
      </c>
      <c r="O54" s="8">
        <v>1222872</v>
      </c>
      <c r="Q54" s="8">
        <v>1095168</v>
      </c>
      <c r="S54" s="8">
        <v>236519</v>
      </c>
      <c r="U54" s="8">
        <v>2442508</v>
      </c>
      <c r="W54" s="8">
        <v>782033</v>
      </c>
      <c r="Y54" s="8">
        <v>290335</v>
      </c>
      <c r="AA54" s="8">
        <v>2149834</v>
      </c>
      <c r="AC54" s="8">
        <v>1773785</v>
      </c>
      <c r="AE54" s="8">
        <v>12833</v>
      </c>
      <c r="AG54" s="8">
        <v>0</v>
      </c>
      <c r="AI54" s="8">
        <v>0</v>
      </c>
      <c r="AJ54" s="13" t="s">
        <v>333</v>
      </c>
      <c r="AK54" s="13"/>
      <c r="AL54" s="13" t="s">
        <v>23</v>
      </c>
      <c r="AN54" s="8">
        <v>511192</v>
      </c>
      <c r="AP54" s="8">
        <v>176924</v>
      </c>
      <c r="AT54" s="8">
        <v>24003</v>
      </c>
      <c r="AV54" s="8">
        <v>4993</v>
      </c>
      <c r="AX54" s="8">
        <v>0</v>
      </c>
      <c r="AZ54" s="8">
        <f t="shared" si="2"/>
        <v>26123931</v>
      </c>
      <c r="BB54" s="8">
        <f>73827</f>
        <v>73827</v>
      </c>
      <c r="BH54" s="8">
        <v>0</v>
      </c>
      <c r="BJ54" s="8">
        <f t="shared" si="3"/>
        <v>26197758</v>
      </c>
      <c r="BL54" s="8">
        <f>+GenRev!AM54-GenExp!BJ54</f>
        <v>-2498515</v>
      </c>
      <c r="BN54" s="8">
        <v>2133606</v>
      </c>
      <c r="BP54" s="8">
        <v>0</v>
      </c>
      <c r="BS54" s="8">
        <f t="shared" si="4"/>
        <v>-364909</v>
      </c>
      <c r="BU54" s="9">
        <f>+BS54-'Gen Fd BS'!AA54+BQ54</f>
        <v>0</v>
      </c>
    </row>
    <row r="55" spans="1:75">
      <c r="A55" s="13" t="s">
        <v>525</v>
      </c>
      <c r="B55" s="13"/>
      <c r="C55" s="13" t="s">
        <v>47</v>
      </c>
      <c r="D55" s="13"/>
      <c r="E55" s="32">
        <v>48462</v>
      </c>
      <c r="G55" s="8">
        <v>7312583</v>
      </c>
      <c r="I55" s="8">
        <v>1224563</v>
      </c>
      <c r="K55" s="8">
        <v>162577</v>
      </c>
      <c r="M55" s="8">
        <v>0</v>
      </c>
      <c r="O55" s="8">
        <v>698610</v>
      </c>
      <c r="Q55" s="8">
        <v>543291</v>
      </c>
      <c r="S55" s="8">
        <v>42338</v>
      </c>
      <c r="U55" s="8">
        <v>1182550</v>
      </c>
      <c r="W55" s="8">
        <v>430880</v>
      </c>
      <c r="Y55" s="8">
        <v>29244</v>
      </c>
      <c r="AA55" s="8">
        <v>1029114</v>
      </c>
      <c r="AC55" s="8">
        <v>1066765</v>
      </c>
      <c r="AE55" s="8">
        <v>18067</v>
      </c>
      <c r="AG55" s="8">
        <v>0</v>
      </c>
      <c r="AI55" s="8">
        <v>251</v>
      </c>
      <c r="AJ55" s="13" t="s">
        <v>525</v>
      </c>
      <c r="AK55" s="13"/>
      <c r="AL55" s="13" t="s">
        <v>47</v>
      </c>
      <c r="AN55" s="8">
        <v>175075</v>
      </c>
      <c r="AP55" s="8">
        <v>0</v>
      </c>
      <c r="AT55" s="8">
        <v>14884</v>
      </c>
      <c r="AV55" s="8">
        <v>3583</v>
      </c>
      <c r="AX55" s="8">
        <v>0</v>
      </c>
      <c r="AZ55" s="8">
        <f t="shared" si="2"/>
        <v>13934375</v>
      </c>
      <c r="BB55" s="8">
        <f>126656</f>
        <v>126656</v>
      </c>
      <c r="BH55" s="8">
        <v>0</v>
      </c>
      <c r="BJ55" s="8">
        <f t="shared" si="3"/>
        <v>14061031</v>
      </c>
      <c r="BL55" s="8">
        <f>+GenRev!AM55-GenExp!BJ55</f>
        <v>-779714</v>
      </c>
      <c r="BN55" s="8">
        <v>277708</v>
      </c>
      <c r="BP55" s="8">
        <v>0</v>
      </c>
      <c r="BS55" s="8">
        <f t="shared" si="4"/>
        <v>-502006</v>
      </c>
      <c r="BU55" s="9">
        <f>+BS55-'Gen Fd BS'!AA55+BQ55</f>
        <v>0</v>
      </c>
    </row>
    <row r="56" spans="1:75">
      <c r="A56" s="13" t="s">
        <v>274</v>
      </c>
      <c r="B56" s="13"/>
      <c r="C56" s="13" t="s">
        <v>18</v>
      </c>
      <c r="D56" s="13"/>
      <c r="E56" s="32">
        <v>46383</v>
      </c>
      <c r="F56" s="11"/>
      <c r="G56" s="8">
        <v>5318722</v>
      </c>
      <c r="I56" s="8">
        <v>1066109</v>
      </c>
      <c r="K56" s="8">
        <v>349169</v>
      </c>
      <c r="M56" s="8">
        <v>542440</v>
      </c>
      <c r="O56" s="8">
        <v>579672</v>
      </c>
      <c r="Q56" s="8">
        <v>1199337</v>
      </c>
      <c r="S56" s="8">
        <v>1090160</v>
      </c>
      <c r="U56" s="8">
        <v>28270</v>
      </c>
      <c r="W56" s="8">
        <v>367488</v>
      </c>
      <c r="Y56" s="8">
        <v>7388</v>
      </c>
      <c r="AA56" s="8">
        <v>1255897</v>
      </c>
      <c r="AC56" s="8">
        <v>825294</v>
      </c>
      <c r="AE56" s="8">
        <v>12546</v>
      </c>
      <c r="AG56" s="8">
        <v>0</v>
      </c>
      <c r="AI56" s="8">
        <v>21559</v>
      </c>
      <c r="AJ56" s="13" t="s">
        <v>274</v>
      </c>
      <c r="AK56" s="13"/>
      <c r="AL56" s="13" t="s">
        <v>18</v>
      </c>
      <c r="AN56" s="8">
        <v>256465</v>
      </c>
      <c r="AP56" s="8">
        <v>0</v>
      </c>
      <c r="AT56" s="8">
        <v>0</v>
      </c>
      <c r="AV56" s="8">
        <v>0</v>
      </c>
      <c r="AX56" s="8">
        <v>0</v>
      </c>
      <c r="AZ56" s="8">
        <f t="shared" si="2"/>
        <v>12920516</v>
      </c>
      <c r="BB56" s="8">
        <v>662</v>
      </c>
      <c r="BH56" s="8">
        <v>0</v>
      </c>
      <c r="BJ56" s="8">
        <f t="shared" si="3"/>
        <v>12921178</v>
      </c>
      <c r="BL56" s="8">
        <f>+GenRev!AM56-GenExp!BJ56</f>
        <v>361425</v>
      </c>
      <c r="BN56" s="8">
        <v>481531</v>
      </c>
      <c r="BP56" s="8">
        <v>0</v>
      </c>
      <c r="BS56" s="8">
        <f t="shared" si="4"/>
        <v>842956</v>
      </c>
      <c r="BU56" s="9">
        <f>+BS56-'Gen Fd BS'!AA56+BQ56</f>
        <v>0</v>
      </c>
    </row>
    <row r="57" spans="1:75">
      <c r="A57" s="13" t="s">
        <v>345</v>
      </c>
      <c r="B57" s="13"/>
      <c r="C57" s="13" t="s">
        <v>25</v>
      </c>
      <c r="D57" s="13"/>
      <c r="E57" s="32">
        <v>46862</v>
      </c>
      <c r="G57" s="8">
        <v>5250697</v>
      </c>
      <c r="I57" s="8">
        <v>1205623</v>
      </c>
      <c r="K57" s="8">
        <v>233180</v>
      </c>
      <c r="M57" s="8">
        <f>86092+547388</f>
        <v>633480</v>
      </c>
      <c r="O57" s="8">
        <v>669150</v>
      </c>
      <c r="Q57" s="8">
        <v>786023</v>
      </c>
      <c r="S57" s="8">
        <v>177606</v>
      </c>
      <c r="U57" s="8">
        <v>1586217</v>
      </c>
      <c r="W57" s="8">
        <v>288488</v>
      </c>
      <c r="Y57" s="8">
        <v>0</v>
      </c>
      <c r="AA57" s="8">
        <v>1096583</v>
      </c>
      <c r="AC57" s="8">
        <v>1011112</v>
      </c>
      <c r="AE57" s="8">
        <v>62117</v>
      </c>
      <c r="AG57" s="8">
        <v>0</v>
      </c>
      <c r="AI57" s="8">
        <v>0</v>
      </c>
      <c r="AJ57" s="13" t="s">
        <v>345</v>
      </c>
      <c r="AK57" s="13"/>
      <c r="AL57" s="13" t="s">
        <v>25</v>
      </c>
      <c r="AN57" s="8">
        <v>453635</v>
      </c>
      <c r="AP57" s="8">
        <v>0</v>
      </c>
      <c r="AT57" s="8">
        <v>0</v>
      </c>
      <c r="AV57" s="8">
        <v>0</v>
      </c>
      <c r="AX57" s="8">
        <v>0</v>
      </c>
      <c r="AZ57" s="8">
        <f t="shared" si="2"/>
        <v>13453911</v>
      </c>
      <c r="BB57" s="8">
        <v>53500</v>
      </c>
      <c r="BH57" s="8">
        <v>0</v>
      </c>
      <c r="BJ57" s="8">
        <f t="shared" si="3"/>
        <v>13507411</v>
      </c>
      <c r="BL57" s="8">
        <f>+GenRev!AM57-GenExp!BJ57</f>
        <v>425249</v>
      </c>
      <c r="BN57" s="8">
        <v>2246168</v>
      </c>
      <c r="BP57" s="8">
        <v>0</v>
      </c>
      <c r="BS57" s="8">
        <f t="shared" si="4"/>
        <v>2671417</v>
      </c>
      <c r="BU57" s="9">
        <f>+BS57-'Gen Fd BS'!AA57+BQ57</f>
        <v>0</v>
      </c>
    </row>
    <row r="58" spans="1:75">
      <c r="A58" s="13" t="s">
        <v>675</v>
      </c>
      <c r="B58" s="13"/>
      <c r="C58" s="13" t="s">
        <v>64</v>
      </c>
      <c r="D58" s="13"/>
      <c r="E58" s="32">
        <v>50096</v>
      </c>
      <c r="G58" s="8">
        <v>1500567</v>
      </c>
      <c r="I58" s="8">
        <v>81849</v>
      </c>
      <c r="K58" s="8">
        <v>65777</v>
      </c>
      <c r="M58" s="8">
        <v>0</v>
      </c>
      <c r="O58" s="8">
        <v>90804</v>
      </c>
      <c r="Q58" s="8">
        <v>66615</v>
      </c>
      <c r="S58" s="8">
        <v>12760</v>
      </c>
      <c r="U58" s="8">
        <v>379088</v>
      </c>
      <c r="W58" s="8">
        <v>180838</v>
      </c>
      <c r="Y58" s="8">
        <v>600</v>
      </c>
      <c r="AA58" s="8">
        <v>357257</v>
      </c>
      <c r="AC58" s="8">
        <v>190646</v>
      </c>
      <c r="AE58" s="8">
        <v>0</v>
      </c>
      <c r="AG58" s="8">
        <v>0</v>
      </c>
      <c r="AI58" s="8">
        <v>0</v>
      </c>
      <c r="AJ58" s="13" t="s">
        <v>675</v>
      </c>
      <c r="AK58" s="13"/>
      <c r="AL58" s="13" t="s">
        <v>64</v>
      </c>
      <c r="AN58" s="8">
        <v>65745</v>
      </c>
      <c r="AP58" s="8">
        <v>0</v>
      </c>
      <c r="AT58" s="8">
        <v>12554</v>
      </c>
      <c r="AV58" s="8">
        <v>3655</v>
      </c>
      <c r="AX58" s="8">
        <v>0</v>
      </c>
      <c r="AZ58" s="8">
        <f t="shared" si="2"/>
        <v>3008755</v>
      </c>
      <c r="BB58" s="8">
        <v>0</v>
      </c>
      <c r="BH58" s="8">
        <v>0</v>
      </c>
      <c r="BJ58" s="8">
        <f t="shared" si="3"/>
        <v>3008755</v>
      </c>
      <c r="BL58" s="8">
        <f>+GenRev!AM58-GenExp!BJ58</f>
        <v>-167425</v>
      </c>
      <c r="BN58" s="8">
        <v>537451</v>
      </c>
      <c r="BP58" s="8">
        <v>0</v>
      </c>
      <c r="BS58" s="8">
        <f t="shared" si="4"/>
        <v>370026</v>
      </c>
      <c r="BU58" s="9">
        <f>+BS58-'Gen Fd BS'!AA58+BQ58</f>
        <v>0</v>
      </c>
    </row>
    <row r="59" spans="1:75" hidden="1">
      <c r="A59" s="13" t="s">
        <v>898</v>
      </c>
      <c r="B59" s="12"/>
      <c r="C59" s="12" t="s">
        <v>10</v>
      </c>
      <c r="D59" s="13"/>
      <c r="E59" s="32">
        <v>49593</v>
      </c>
      <c r="G59" s="8">
        <v>4153206</v>
      </c>
      <c r="I59" s="8">
        <v>528337</v>
      </c>
      <c r="K59" s="8">
        <v>316633</v>
      </c>
      <c r="O59" s="8">
        <v>276722</v>
      </c>
      <c r="Q59" s="8">
        <v>304147</v>
      </c>
      <c r="S59" s="8">
        <v>36754</v>
      </c>
      <c r="U59" s="8">
        <v>706730</v>
      </c>
      <c r="W59" s="8">
        <v>238727</v>
      </c>
      <c r="AA59" s="8">
        <v>1004007</v>
      </c>
      <c r="AC59" s="8">
        <v>337109</v>
      </c>
      <c r="AE59" s="8">
        <v>14022</v>
      </c>
      <c r="AJ59" s="12" t="s">
        <v>875</v>
      </c>
      <c r="AK59" s="12"/>
      <c r="AL59" s="12" t="s">
        <v>10</v>
      </c>
      <c r="AN59" s="8">
        <v>230797</v>
      </c>
      <c r="AP59" s="8">
        <v>24500</v>
      </c>
      <c r="AZ59" s="8">
        <f>SUM(G59:AX59)</f>
        <v>8171691</v>
      </c>
      <c r="BB59" s="8">
        <v>44876</v>
      </c>
      <c r="BH59" s="8">
        <v>0</v>
      </c>
      <c r="BJ59" s="8">
        <f t="shared" si="3"/>
        <v>8216567</v>
      </c>
      <c r="BL59" s="8">
        <f>+GenRev!AM59-GenExp!BJ59</f>
        <v>40829</v>
      </c>
      <c r="BN59" s="8">
        <v>2118795</v>
      </c>
      <c r="BP59" s="8">
        <v>0</v>
      </c>
      <c r="BS59" s="8">
        <f t="shared" si="4"/>
        <v>2159624</v>
      </c>
      <c r="BU59" s="9">
        <f>+BS59-'Gen Fd BS'!AA59+BQ59</f>
        <v>0</v>
      </c>
      <c r="BW59" s="8" t="s">
        <v>956</v>
      </c>
    </row>
    <row r="60" spans="1:75">
      <c r="A60" s="13" t="s">
        <v>626</v>
      </c>
      <c r="B60" s="13"/>
      <c r="C60" s="13" t="s">
        <v>59</v>
      </c>
      <c r="D60" s="13"/>
      <c r="E60" s="32">
        <v>49593</v>
      </c>
      <c r="G60" s="8">
        <v>3422077</v>
      </c>
      <c r="I60" s="8">
        <v>624279</v>
      </c>
      <c r="K60" s="8">
        <v>15000</v>
      </c>
      <c r="M60" s="8">
        <v>13122</v>
      </c>
      <c r="O60" s="8">
        <v>335297</v>
      </c>
      <c r="Q60" s="8">
        <v>417289</v>
      </c>
      <c r="S60" s="8">
        <v>29319</v>
      </c>
      <c r="U60" s="8">
        <v>779278</v>
      </c>
      <c r="W60" s="8">
        <v>227231</v>
      </c>
      <c r="Y60" s="8">
        <v>27504</v>
      </c>
      <c r="AA60" s="8">
        <v>1046370</v>
      </c>
      <c r="AC60" s="8">
        <v>774164</v>
      </c>
      <c r="AE60" s="8">
        <v>4277</v>
      </c>
      <c r="AG60" s="8">
        <v>10237</v>
      </c>
      <c r="AI60" s="8">
        <v>0</v>
      </c>
      <c r="AJ60" s="13" t="s">
        <v>626</v>
      </c>
      <c r="AK60" s="13"/>
      <c r="AL60" s="13" t="s">
        <v>59</v>
      </c>
      <c r="AN60" s="8">
        <v>126811</v>
      </c>
      <c r="AP60" s="8">
        <v>20558</v>
      </c>
      <c r="AT60" s="8">
        <v>0</v>
      </c>
      <c r="AV60" s="8">
        <v>0</v>
      </c>
      <c r="AX60" s="8">
        <v>35600</v>
      </c>
      <c r="AZ60" s="8">
        <f t="shared" si="2"/>
        <v>7908413</v>
      </c>
      <c r="BB60" s="8">
        <f>303</f>
        <v>303</v>
      </c>
      <c r="BH60" s="8">
        <v>0</v>
      </c>
      <c r="BJ60" s="8">
        <f t="shared" si="3"/>
        <v>7908716</v>
      </c>
      <c r="BL60" s="8">
        <f>+GenRev!AM60-GenExp!BJ60</f>
        <v>-60838</v>
      </c>
      <c r="BN60" s="8">
        <v>117946</v>
      </c>
      <c r="BP60" s="8">
        <v>0</v>
      </c>
      <c r="BS60" s="8">
        <f t="shared" si="4"/>
        <v>57108</v>
      </c>
      <c r="BU60" s="9">
        <f>+BS60-'Gen Fd BS'!AA60+BQ60</f>
        <v>0</v>
      </c>
    </row>
    <row r="61" spans="1:75">
      <c r="A61" s="13" t="s">
        <v>509</v>
      </c>
      <c r="B61" s="13"/>
      <c r="C61" s="13" t="s">
        <v>45</v>
      </c>
      <c r="D61" s="13"/>
      <c r="E61" s="32">
        <v>48306</v>
      </c>
      <c r="G61" s="8">
        <v>21763191</v>
      </c>
      <c r="I61" s="8">
        <v>2802790</v>
      </c>
      <c r="K61" s="8">
        <v>7672</v>
      </c>
      <c r="M61" s="8">
        <v>232583</v>
      </c>
      <c r="O61" s="8">
        <v>1479364</v>
      </c>
      <c r="Q61" s="8">
        <v>2387459</v>
      </c>
      <c r="S61" s="8">
        <v>120576</v>
      </c>
      <c r="U61" s="8">
        <v>2417317</v>
      </c>
      <c r="W61" s="8">
        <v>1025631</v>
      </c>
      <c r="Y61" s="8">
        <v>139558</v>
      </c>
      <c r="AA61" s="8">
        <v>4587384</v>
      </c>
      <c r="AC61" s="8">
        <v>2961007</v>
      </c>
      <c r="AE61" s="8">
        <v>119509</v>
      </c>
      <c r="AG61" s="8">
        <v>0</v>
      </c>
      <c r="AI61" s="8">
        <v>0</v>
      </c>
      <c r="AJ61" s="13" t="s">
        <v>509</v>
      </c>
      <c r="AK61" s="13"/>
      <c r="AL61" s="13" t="s">
        <v>45</v>
      </c>
      <c r="AN61" s="8">
        <v>690458</v>
      </c>
      <c r="AP61" s="8">
        <v>0</v>
      </c>
      <c r="AT61" s="8">
        <v>56092</v>
      </c>
      <c r="AV61" s="8">
        <v>3535</v>
      </c>
      <c r="AX61" s="8">
        <v>0</v>
      </c>
      <c r="AZ61" s="8">
        <f t="shared" si="2"/>
        <v>40794126</v>
      </c>
      <c r="BB61" s="8">
        <v>768134</v>
      </c>
      <c r="BH61" s="8">
        <v>0</v>
      </c>
      <c r="BJ61" s="8">
        <f t="shared" si="3"/>
        <v>41562260</v>
      </c>
      <c r="BL61" s="8">
        <f>+GenRev!AM61-GenExp!BJ61</f>
        <v>-2419825</v>
      </c>
      <c r="BN61" s="8">
        <v>8634684</v>
      </c>
      <c r="BP61" s="8">
        <v>0</v>
      </c>
      <c r="BS61" s="8">
        <f t="shared" si="4"/>
        <v>6214859</v>
      </c>
      <c r="BU61" s="9">
        <f>+BS61-'Gen Fd BS'!AA61+BQ61</f>
        <v>0</v>
      </c>
    </row>
    <row r="62" spans="1:75">
      <c r="A62" s="13" t="s">
        <v>642</v>
      </c>
      <c r="B62" s="13"/>
      <c r="C62" s="13" t="s">
        <v>61</v>
      </c>
      <c r="D62" s="13"/>
      <c r="E62" s="32">
        <v>49767</v>
      </c>
      <c r="G62" s="8">
        <v>2154229</v>
      </c>
      <c r="I62" s="8">
        <v>366964</v>
      </c>
      <c r="K62" s="8">
        <v>150637</v>
      </c>
      <c r="M62" s="8">
        <f>16205+17613</f>
        <v>33818</v>
      </c>
      <c r="O62" s="8">
        <v>136813</v>
      </c>
      <c r="Q62" s="8">
        <v>236116</v>
      </c>
      <c r="S62" s="8">
        <v>125473</v>
      </c>
      <c r="U62" s="8">
        <v>535657</v>
      </c>
      <c r="W62" s="8">
        <v>150760</v>
      </c>
      <c r="Y62" s="8">
        <v>0</v>
      </c>
      <c r="AA62" s="8">
        <v>338105</v>
      </c>
      <c r="AC62" s="8">
        <v>95798</v>
      </c>
      <c r="AE62" s="8">
        <v>2136</v>
      </c>
      <c r="AG62" s="8">
        <v>0</v>
      </c>
      <c r="AI62" s="8">
        <v>0</v>
      </c>
      <c r="AJ62" s="13" t="s">
        <v>642</v>
      </c>
      <c r="AK62" s="13"/>
      <c r="AL62" s="13" t="s">
        <v>61</v>
      </c>
      <c r="AN62" s="8">
        <v>166513</v>
      </c>
      <c r="AP62" s="8">
        <v>0</v>
      </c>
      <c r="AT62" s="8">
        <v>0</v>
      </c>
      <c r="AV62" s="8">
        <v>0</v>
      </c>
      <c r="AX62" s="8">
        <v>0</v>
      </c>
      <c r="AZ62" s="8">
        <f t="shared" si="2"/>
        <v>4493019</v>
      </c>
      <c r="BB62" s="8">
        <f>15000</f>
        <v>15000</v>
      </c>
      <c r="BH62" s="8">
        <v>0</v>
      </c>
      <c r="BJ62" s="8">
        <f t="shared" si="3"/>
        <v>4508019</v>
      </c>
      <c r="BL62" s="8">
        <f>+GenRev!AM62-GenExp!BJ62</f>
        <v>-73431</v>
      </c>
      <c r="BN62" s="8">
        <v>398098</v>
      </c>
      <c r="BP62" s="8">
        <v>0</v>
      </c>
      <c r="BS62" s="8">
        <f t="shared" si="4"/>
        <v>324667</v>
      </c>
      <c r="BU62" s="9">
        <f>+BS62-'Gen Fd BS'!AA62+BQ62</f>
        <v>0</v>
      </c>
    </row>
    <row r="63" spans="1:75">
      <c r="A63" s="13" t="s">
        <v>733</v>
      </c>
      <c r="B63" s="13"/>
      <c r="C63" s="13" t="s">
        <v>72</v>
      </c>
      <c r="D63" s="13"/>
      <c r="E63" s="32">
        <v>43638</v>
      </c>
      <c r="G63" s="8">
        <v>18770856</v>
      </c>
      <c r="I63" s="8">
        <v>0</v>
      </c>
      <c r="K63" s="8">
        <v>0</v>
      </c>
      <c r="M63" s="8">
        <v>0</v>
      </c>
      <c r="O63" s="8">
        <v>11063903</v>
      </c>
      <c r="Q63" s="8">
        <v>0</v>
      </c>
      <c r="S63" s="8">
        <v>0</v>
      </c>
      <c r="U63" s="8">
        <v>0</v>
      </c>
      <c r="W63" s="8">
        <v>0</v>
      </c>
      <c r="Y63" s="8">
        <v>0</v>
      </c>
      <c r="AA63" s="8">
        <v>0</v>
      </c>
      <c r="AC63" s="8">
        <v>0</v>
      </c>
      <c r="AE63" s="8">
        <v>0</v>
      </c>
      <c r="AG63" s="8">
        <v>0</v>
      </c>
      <c r="AI63" s="8">
        <v>1836</v>
      </c>
      <c r="AJ63" s="13" t="s">
        <v>733</v>
      </c>
      <c r="AK63" s="13"/>
      <c r="AL63" s="13" t="s">
        <v>72</v>
      </c>
      <c r="AN63" s="8">
        <v>696585</v>
      </c>
      <c r="AP63" s="8">
        <v>1440</v>
      </c>
      <c r="AT63" s="8">
        <v>0</v>
      </c>
      <c r="AV63" s="8">
        <v>0</v>
      </c>
      <c r="AX63" s="8">
        <v>0</v>
      </c>
      <c r="AZ63" s="8">
        <f t="shared" si="2"/>
        <v>30534620</v>
      </c>
      <c r="BB63" s="8">
        <f>384515</f>
        <v>384515</v>
      </c>
      <c r="BH63" s="8">
        <v>0</v>
      </c>
      <c r="BJ63" s="8">
        <f t="shared" si="3"/>
        <v>30919135</v>
      </c>
      <c r="BL63" s="8">
        <f>+GenRev!AM63-GenExp!BJ63</f>
        <v>-1096723</v>
      </c>
      <c r="BN63" s="8">
        <v>9318206</v>
      </c>
      <c r="BP63" s="8">
        <v>0</v>
      </c>
      <c r="BS63" s="8">
        <f t="shared" si="4"/>
        <v>8221483</v>
      </c>
      <c r="BU63" s="9">
        <f>+BS63-'Gen Fd BS'!AA63+BQ63</f>
        <v>0</v>
      </c>
      <c r="BW63" s="10" t="s">
        <v>899</v>
      </c>
    </row>
    <row r="64" spans="1:75" hidden="1">
      <c r="A64" s="88" t="s">
        <v>961</v>
      </c>
      <c r="B64" s="13"/>
      <c r="C64" s="13" t="s">
        <v>48</v>
      </c>
      <c r="D64" s="13"/>
      <c r="E64" s="32">
        <v>43646</v>
      </c>
      <c r="AJ64" s="13" t="s">
        <v>300</v>
      </c>
      <c r="AK64" s="13"/>
      <c r="AL64" s="13" t="s">
        <v>20</v>
      </c>
      <c r="AZ64" s="8">
        <f>SUM(G64:AX64)</f>
        <v>0</v>
      </c>
      <c r="BH64" s="8">
        <v>0</v>
      </c>
      <c r="BJ64" s="8">
        <f t="shared" si="3"/>
        <v>0</v>
      </c>
      <c r="BL64" s="8">
        <f>+GenRev!AM64-GenExp!BJ64</f>
        <v>0</v>
      </c>
      <c r="BP64" s="8">
        <v>0</v>
      </c>
      <c r="BS64" s="8">
        <f t="shared" si="4"/>
        <v>0</v>
      </c>
      <c r="BU64" s="9">
        <f>+BS64-'Gen Fd BS'!AA64+BQ64</f>
        <v>0</v>
      </c>
    </row>
    <row r="65" spans="1:75">
      <c r="A65" s="13" t="s">
        <v>873</v>
      </c>
      <c r="B65" s="13"/>
      <c r="C65" s="13" t="s">
        <v>20</v>
      </c>
      <c r="D65" s="13"/>
      <c r="E65" s="32">
        <v>43646</v>
      </c>
      <c r="G65" s="8">
        <v>22753217</v>
      </c>
      <c r="I65" s="8">
        <v>5136769</v>
      </c>
      <c r="K65" s="8">
        <v>215894</v>
      </c>
      <c r="M65" s="8">
        <v>57728</v>
      </c>
      <c r="O65" s="8">
        <v>3665583</v>
      </c>
      <c r="Q65" s="8">
        <v>2743304</v>
      </c>
      <c r="S65" s="8">
        <v>85974</v>
      </c>
      <c r="U65" s="8">
        <v>3241058</v>
      </c>
      <c r="W65" s="8">
        <v>1007571</v>
      </c>
      <c r="Y65" s="8">
        <v>462796</v>
      </c>
      <c r="AA65" s="8">
        <v>4608190</v>
      </c>
      <c r="AC65" s="8">
        <v>3254028</v>
      </c>
      <c r="AE65" s="8">
        <v>287043</v>
      </c>
      <c r="AG65" s="8">
        <v>0</v>
      </c>
      <c r="AI65" s="8">
        <v>0</v>
      </c>
      <c r="AJ65" s="13" t="s">
        <v>873</v>
      </c>
      <c r="AK65" s="13"/>
      <c r="AL65" s="13" t="s">
        <v>20</v>
      </c>
      <c r="AN65" s="8">
        <v>842340</v>
      </c>
      <c r="AP65" s="8">
        <v>0</v>
      </c>
      <c r="AT65" s="8">
        <v>66996</v>
      </c>
      <c r="AV65" s="8">
        <v>1255</v>
      </c>
      <c r="AX65" s="8">
        <v>0</v>
      </c>
      <c r="AZ65" s="8">
        <f t="shared" si="2"/>
        <v>48429746</v>
      </c>
      <c r="BB65" s="8">
        <v>119038</v>
      </c>
      <c r="BH65" s="8">
        <v>0</v>
      </c>
      <c r="BJ65" s="8">
        <f t="shared" si="3"/>
        <v>48548784</v>
      </c>
      <c r="BL65" s="8">
        <f>+GenRev!AM65-GenExp!BJ65</f>
        <v>-3787167</v>
      </c>
      <c r="BN65" s="8">
        <v>16510466</v>
      </c>
      <c r="BP65" s="8">
        <v>0</v>
      </c>
      <c r="BS65" s="8">
        <f t="shared" si="4"/>
        <v>12723299</v>
      </c>
      <c r="BU65" s="9">
        <f>+BS65-'Gen Fd BS'!AA65+BQ65</f>
        <v>0</v>
      </c>
    </row>
    <row r="66" spans="1:75">
      <c r="A66" s="12" t="s">
        <v>963</v>
      </c>
      <c r="B66" s="13"/>
      <c r="C66" s="13" t="s">
        <v>15</v>
      </c>
      <c r="D66" s="13"/>
      <c r="E66" s="32">
        <v>45237</v>
      </c>
      <c r="F66" s="11"/>
      <c r="G66" s="8">
        <v>3069495</v>
      </c>
      <c r="I66" s="8">
        <v>659559</v>
      </c>
      <c r="K66" s="8">
        <v>82597</v>
      </c>
      <c r="M66" s="8">
        <v>0</v>
      </c>
      <c r="O66" s="8">
        <v>210257</v>
      </c>
      <c r="Q66" s="8">
        <v>158230</v>
      </c>
      <c r="S66" s="8">
        <v>20474</v>
      </c>
      <c r="U66" s="8">
        <v>505322</v>
      </c>
      <c r="W66" s="8">
        <v>253773</v>
      </c>
      <c r="Y66" s="8">
        <v>0</v>
      </c>
      <c r="AA66" s="8">
        <v>684259</v>
      </c>
      <c r="AC66" s="8">
        <v>267447</v>
      </c>
      <c r="AE66" s="8">
        <v>6781</v>
      </c>
      <c r="AG66" s="8">
        <v>0</v>
      </c>
      <c r="AI66" s="8">
        <v>0</v>
      </c>
      <c r="AJ66" s="13" t="s">
        <v>232</v>
      </c>
      <c r="AK66" s="13"/>
      <c r="AL66" s="13" t="s">
        <v>15</v>
      </c>
      <c r="AN66" s="8">
        <v>87674</v>
      </c>
      <c r="AP66" s="8">
        <v>0</v>
      </c>
      <c r="AT66" s="8">
        <v>13911</v>
      </c>
      <c r="AV66" s="8">
        <v>2037</v>
      </c>
      <c r="AX66" s="8">
        <v>0</v>
      </c>
      <c r="AZ66" s="8">
        <f t="shared" si="2"/>
        <v>6021816</v>
      </c>
      <c r="BB66" s="8">
        <v>44526</v>
      </c>
      <c r="BH66" s="8">
        <v>0</v>
      </c>
      <c r="BJ66" s="8">
        <f t="shared" si="3"/>
        <v>6066342</v>
      </c>
      <c r="BL66" s="8">
        <f>+GenRev!AM66-GenExp!BJ66</f>
        <v>-28584</v>
      </c>
      <c r="BN66" s="8">
        <v>-353951</v>
      </c>
      <c r="BP66" s="8">
        <v>0</v>
      </c>
      <c r="BS66" s="8">
        <f t="shared" si="4"/>
        <v>-382535</v>
      </c>
      <c r="BU66" s="9">
        <f>+BS66-'Gen Fd BS'!AA66+BQ66</f>
        <v>0</v>
      </c>
      <c r="BW66" s="8" t="s">
        <v>956</v>
      </c>
    </row>
    <row r="67" spans="1:75">
      <c r="A67" s="13" t="s">
        <v>434</v>
      </c>
      <c r="B67" s="13"/>
      <c r="C67" s="13" t="s">
        <v>435</v>
      </c>
      <c r="D67" s="13"/>
      <c r="E67" s="32">
        <v>47613</v>
      </c>
      <c r="G67" s="8">
        <v>3662880</v>
      </c>
      <c r="I67" s="8">
        <v>586961</v>
      </c>
      <c r="K67" s="8">
        <v>180065</v>
      </c>
      <c r="M67" s="8">
        <v>61384</v>
      </c>
      <c r="O67" s="8">
        <v>332999</v>
      </c>
      <c r="Q67" s="8">
        <v>224143</v>
      </c>
      <c r="S67" s="8">
        <v>31444</v>
      </c>
      <c r="U67" s="8">
        <v>504160</v>
      </c>
      <c r="W67" s="8">
        <v>293163</v>
      </c>
      <c r="Y67" s="8">
        <v>4258</v>
      </c>
      <c r="AA67" s="8">
        <v>597694</v>
      </c>
      <c r="AC67" s="8">
        <v>572373</v>
      </c>
      <c r="AE67" s="8">
        <v>0</v>
      </c>
      <c r="AG67" s="8">
        <v>0</v>
      </c>
      <c r="AI67" s="8">
        <v>350</v>
      </c>
      <c r="AJ67" s="13" t="s">
        <v>434</v>
      </c>
      <c r="AK67" s="13"/>
      <c r="AL67" s="13" t="s">
        <v>435</v>
      </c>
      <c r="AN67" s="8">
        <v>84871</v>
      </c>
      <c r="AP67" s="8">
        <v>2503</v>
      </c>
      <c r="AT67" s="8">
        <v>0</v>
      </c>
      <c r="AV67" s="8">
        <v>0</v>
      </c>
      <c r="AX67" s="8">
        <v>0</v>
      </c>
      <c r="AZ67" s="8">
        <f t="shared" si="2"/>
        <v>7139248</v>
      </c>
      <c r="BB67" s="8">
        <v>0</v>
      </c>
      <c r="BH67" s="8">
        <v>0</v>
      </c>
      <c r="BJ67" s="8">
        <f t="shared" si="3"/>
        <v>7139248</v>
      </c>
      <c r="BL67" s="8">
        <f>+GenRev!AM67-GenExp!BJ67</f>
        <v>-239473</v>
      </c>
      <c r="BN67" s="8">
        <v>1166572</v>
      </c>
      <c r="BP67" s="8">
        <v>0</v>
      </c>
      <c r="BS67" s="8">
        <f t="shared" si="4"/>
        <v>927099</v>
      </c>
      <c r="BU67" s="9">
        <f>+BS67-'Gen Fd BS'!AA67+BQ67</f>
        <v>0</v>
      </c>
    </row>
    <row r="68" spans="1:75">
      <c r="A68" s="13" t="s">
        <v>676</v>
      </c>
      <c r="B68" s="13"/>
      <c r="C68" s="13" t="s">
        <v>64</v>
      </c>
      <c r="D68" s="13"/>
      <c r="E68" s="32">
        <v>50112</v>
      </c>
      <c r="G68" s="8">
        <v>3658767</v>
      </c>
      <c r="I68" s="8">
        <v>422209</v>
      </c>
      <c r="K68" s="8">
        <v>56493</v>
      </c>
      <c r="M68" s="8">
        <v>2689</v>
      </c>
      <c r="O68" s="8">
        <v>214209</v>
      </c>
      <c r="Q68" s="8">
        <v>164990</v>
      </c>
      <c r="S68" s="8">
        <v>18450</v>
      </c>
      <c r="U68" s="8">
        <v>520189</v>
      </c>
      <c r="W68" s="8">
        <v>186101</v>
      </c>
      <c r="Y68" s="8">
        <v>27970</v>
      </c>
      <c r="AA68" s="8">
        <v>304154</v>
      </c>
      <c r="AC68" s="8">
        <v>256118</v>
      </c>
      <c r="AE68" s="8">
        <v>941</v>
      </c>
      <c r="AG68" s="8">
        <v>0</v>
      </c>
      <c r="AI68" s="8">
        <v>375</v>
      </c>
      <c r="AJ68" s="13" t="s">
        <v>676</v>
      </c>
      <c r="AK68" s="13"/>
      <c r="AL68" s="13" t="s">
        <v>64</v>
      </c>
      <c r="AN68" s="8">
        <v>19475</v>
      </c>
      <c r="AP68" s="8">
        <v>0</v>
      </c>
      <c r="AT68" s="8">
        <v>0</v>
      </c>
      <c r="AV68" s="8">
        <v>0</v>
      </c>
      <c r="AX68" s="8">
        <v>0</v>
      </c>
      <c r="AZ68" s="8">
        <f t="shared" si="2"/>
        <v>5853130</v>
      </c>
      <c r="BB68" s="8">
        <v>94433</v>
      </c>
      <c r="BH68" s="8">
        <v>0</v>
      </c>
      <c r="BJ68" s="8">
        <f t="shared" si="3"/>
        <v>5947563</v>
      </c>
      <c r="BL68" s="8">
        <f>+GenRev!AM68-GenExp!BJ68</f>
        <v>236499</v>
      </c>
      <c r="BN68" s="8">
        <v>938581</v>
      </c>
      <c r="BP68" s="8">
        <v>0</v>
      </c>
      <c r="BS68" s="8">
        <f t="shared" si="4"/>
        <v>1175080</v>
      </c>
      <c r="BU68" s="9">
        <f>+BS68-'Gen Fd BS'!AA68+BQ68</f>
        <v>0</v>
      </c>
    </row>
    <row r="69" spans="1:75">
      <c r="A69" s="13" t="s">
        <v>964</v>
      </c>
      <c r="B69" s="13"/>
      <c r="C69" s="13" t="s">
        <v>64</v>
      </c>
      <c r="D69" s="13"/>
      <c r="E69" s="32">
        <v>50120</v>
      </c>
      <c r="G69" s="8">
        <v>4912697</v>
      </c>
      <c r="I69" s="8">
        <v>949884</v>
      </c>
      <c r="K69" s="8">
        <v>133262</v>
      </c>
      <c r="M69" s="8">
        <v>0</v>
      </c>
      <c r="O69" s="8">
        <v>641060</v>
      </c>
      <c r="Q69" s="8">
        <v>176273</v>
      </c>
      <c r="S69" s="8">
        <v>3711</v>
      </c>
      <c r="U69" s="8">
        <v>1001421</v>
      </c>
      <c r="W69" s="8">
        <v>233636</v>
      </c>
      <c r="Y69" s="8">
        <v>55586</v>
      </c>
      <c r="AA69" s="8">
        <v>1109608</v>
      </c>
      <c r="AC69" s="8">
        <v>492620</v>
      </c>
      <c r="AE69" s="8">
        <v>1489</v>
      </c>
      <c r="AG69" s="8">
        <v>0</v>
      </c>
      <c r="AI69" s="8">
        <v>0</v>
      </c>
      <c r="AJ69" s="13" t="s">
        <v>677</v>
      </c>
      <c r="AK69" s="13"/>
      <c r="AL69" s="13" t="s">
        <v>64</v>
      </c>
      <c r="AN69" s="8">
        <v>194504</v>
      </c>
      <c r="AP69" s="8">
        <f>906+97959</f>
        <v>98865</v>
      </c>
      <c r="AT69" s="8">
        <v>10084</v>
      </c>
      <c r="AV69" s="8">
        <v>3131</v>
      </c>
      <c r="AX69" s="8">
        <v>0</v>
      </c>
      <c r="AZ69" s="8">
        <f t="shared" si="2"/>
        <v>10017831</v>
      </c>
      <c r="BB69" s="8">
        <v>0</v>
      </c>
      <c r="BH69" s="8">
        <v>0</v>
      </c>
      <c r="BJ69" s="8">
        <f t="shared" si="3"/>
        <v>10017831</v>
      </c>
      <c r="BL69" s="8">
        <f>+GenRev!AM69-GenExp!BJ69</f>
        <v>-122694</v>
      </c>
      <c r="BN69" s="8">
        <v>-924922</v>
      </c>
      <c r="BP69" s="8">
        <v>0</v>
      </c>
      <c r="BS69" s="8">
        <f t="shared" si="4"/>
        <v>-1047616</v>
      </c>
      <c r="BU69" s="9">
        <f>+BS69-'Gen Fd BS'!AA69+BQ69</f>
        <v>0</v>
      </c>
      <c r="BW69" s="8" t="s">
        <v>956</v>
      </c>
    </row>
    <row r="70" spans="1:75">
      <c r="A70" s="13" t="s">
        <v>301</v>
      </c>
      <c r="B70" s="13"/>
      <c r="C70" s="13" t="s">
        <v>20</v>
      </c>
      <c r="D70" s="13"/>
      <c r="E70" s="32">
        <v>43653</v>
      </c>
      <c r="G70" s="8">
        <v>6536134</v>
      </c>
      <c r="I70" s="8">
        <v>1690215</v>
      </c>
      <c r="K70" s="8">
        <v>106026</v>
      </c>
      <c r="M70" s="8">
        <v>0</v>
      </c>
      <c r="O70" s="8">
        <v>992387</v>
      </c>
      <c r="Q70" s="8">
        <v>71007</v>
      </c>
      <c r="S70" s="8">
        <v>27572</v>
      </c>
      <c r="U70" s="8">
        <v>1440955</v>
      </c>
      <c r="W70" s="8">
        <v>519985</v>
      </c>
      <c r="Y70" s="8">
        <v>86450</v>
      </c>
      <c r="AA70" s="8">
        <v>1296137</v>
      </c>
      <c r="AC70" s="8">
        <v>387328</v>
      </c>
      <c r="AE70" s="8">
        <v>104361</v>
      </c>
      <c r="AG70" s="8">
        <v>0</v>
      </c>
      <c r="AI70" s="8">
        <v>0</v>
      </c>
      <c r="AJ70" s="13" t="s">
        <v>301</v>
      </c>
      <c r="AK70" s="13"/>
      <c r="AL70" s="13" t="s">
        <v>20</v>
      </c>
      <c r="AN70" s="8">
        <v>230980</v>
      </c>
      <c r="AP70" s="8">
        <v>0</v>
      </c>
      <c r="AT70" s="8">
        <v>0</v>
      </c>
      <c r="AV70" s="8">
        <v>0</v>
      </c>
      <c r="AX70" s="8">
        <v>0</v>
      </c>
      <c r="AZ70" s="8">
        <f t="shared" si="2"/>
        <v>13489537</v>
      </c>
      <c r="BB70" s="8">
        <v>0</v>
      </c>
      <c r="BH70" s="8">
        <v>0</v>
      </c>
      <c r="BJ70" s="8">
        <f t="shared" si="3"/>
        <v>13489537</v>
      </c>
      <c r="BL70" s="8">
        <f>+GenRev!AM70-GenExp!BJ70</f>
        <v>2229444</v>
      </c>
      <c r="BN70" s="8">
        <v>745955</v>
      </c>
      <c r="BP70" s="8">
        <v>0</v>
      </c>
      <c r="BS70" s="8">
        <f t="shared" si="4"/>
        <v>2975399</v>
      </c>
      <c r="BU70" s="9">
        <f>+BS70-'Gen Fd BS'!AA70+BQ70</f>
        <v>0</v>
      </c>
    </row>
    <row r="71" spans="1:75">
      <c r="A71" s="13" t="s">
        <v>544</v>
      </c>
      <c r="B71" s="13"/>
      <c r="C71" s="13" t="s">
        <v>50</v>
      </c>
      <c r="D71" s="13"/>
      <c r="E71" s="32">
        <v>48678</v>
      </c>
      <c r="G71" s="8">
        <v>5277130</v>
      </c>
      <c r="I71" s="8">
        <v>866050</v>
      </c>
      <c r="K71" s="8">
        <v>86940</v>
      </c>
      <c r="M71" s="8">
        <v>17944</v>
      </c>
      <c r="O71" s="8">
        <v>803068</v>
      </c>
      <c r="Q71" s="8">
        <v>733486</v>
      </c>
      <c r="S71" s="8">
        <v>23969</v>
      </c>
      <c r="U71" s="8">
        <v>1169131</v>
      </c>
      <c r="W71" s="8">
        <v>306241</v>
      </c>
      <c r="Y71" s="8">
        <v>4951</v>
      </c>
      <c r="AA71" s="8">
        <v>1168160</v>
      </c>
      <c r="AC71" s="8">
        <v>567876</v>
      </c>
      <c r="AE71" s="8">
        <v>19052</v>
      </c>
      <c r="AG71" s="8">
        <v>0</v>
      </c>
      <c r="AI71" s="8">
        <v>0</v>
      </c>
      <c r="AJ71" s="13" t="s">
        <v>544</v>
      </c>
      <c r="AK71" s="13"/>
      <c r="AL71" s="13" t="s">
        <v>50</v>
      </c>
      <c r="AN71" s="8">
        <v>343939</v>
      </c>
      <c r="AP71" s="8">
        <v>0</v>
      </c>
      <c r="AT71" s="8">
        <v>0</v>
      </c>
      <c r="AV71" s="8">
        <v>0</v>
      </c>
      <c r="AX71" s="8">
        <v>0</v>
      </c>
      <c r="AZ71" s="8">
        <f t="shared" si="2"/>
        <v>11387937</v>
      </c>
      <c r="BB71" s="8">
        <v>117747</v>
      </c>
      <c r="BH71" s="8">
        <v>0</v>
      </c>
      <c r="BJ71" s="8">
        <f t="shared" si="3"/>
        <v>11505684</v>
      </c>
      <c r="BL71" s="8">
        <f>+GenRev!AM71-GenExp!BJ71</f>
        <v>580408</v>
      </c>
      <c r="BN71" s="8">
        <v>2548315</v>
      </c>
      <c r="BP71" s="8">
        <v>0</v>
      </c>
      <c r="BS71" s="8">
        <f t="shared" si="4"/>
        <v>3128723</v>
      </c>
      <c r="BU71" s="9">
        <f>+BS71-'Gen Fd BS'!AA71+BQ71</f>
        <v>0</v>
      </c>
      <c r="BW71" s="8" t="s">
        <v>956</v>
      </c>
    </row>
    <row r="72" spans="1:75">
      <c r="A72" s="13" t="s">
        <v>252</v>
      </c>
      <c r="B72" s="13"/>
      <c r="C72" s="13" t="s">
        <v>16</v>
      </c>
      <c r="D72" s="13"/>
      <c r="E72" s="32">
        <v>46177</v>
      </c>
      <c r="F72" s="11"/>
      <c r="G72" s="8">
        <v>3930512</v>
      </c>
      <c r="I72" s="8">
        <v>313645</v>
      </c>
      <c r="K72" s="8">
        <v>0</v>
      </c>
      <c r="M72" s="8">
        <v>0</v>
      </c>
      <c r="O72" s="8">
        <v>110168</v>
      </c>
      <c r="Q72" s="8">
        <v>247581</v>
      </c>
      <c r="S72" s="8">
        <v>207374</v>
      </c>
      <c r="U72" s="8">
        <v>745661</v>
      </c>
      <c r="W72" s="8">
        <v>154059</v>
      </c>
      <c r="Y72" s="8">
        <v>0</v>
      </c>
      <c r="AA72" s="8">
        <v>488061</v>
      </c>
      <c r="AC72" s="8">
        <v>292666</v>
      </c>
      <c r="AE72" s="8">
        <v>6695</v>
      </c>
      <c r="AG72" s="8">
        <v>0</v>
      </c>
      <c r="AI72" s="8">
        <v>0</v>
      </c>
      <c r="AJ72" s="13" t="s">
        <v>252</v>
      </c>
      <c r="AK72" s="13"/>
      <c r="AL72" s="13" t="s">
        <v>16</v>
      </c>
      <c r="AN72" s="8">
        <v>171480</v>
      </c>
      <c r="AP72" s="8">
        <v>0</v>
      </c>
      <c r="AT72" s="8">
        <v>9002</v>
      </c>
      <c r="AV72" s="8">
        <v>2434</v>
      </c>
      <c r="AX72" s="8">
        <v>0</v>
      </c>
      <c r="AZ72" s="8">
        <f t="shared" si="2"/>
        <v>6679338</v>
      </c>
      <c r="BB72" s="8">
        <v>0</v>
      </c>
      <c r="BH72" s="8">
        <v>0</v>
      </c>
      <c r="BJ72" s="8">
        <f t="shared" si="3"/>
        <v>6679338</v>
      </c>
      <c r="BL72" s="8">
        <f>+GenRev!AM72-GenExp!BJ72</f>
        <v>487595</v>
      </c>
      <c r="BN72" s="8">
        <v>1593470</v>
      </c>
      <c r="BP72" s="8">
        <v>0</v>
      </c>
      <c r="BS72" s="8">
        <f t="shared" si="4"/>
        <v>2081065</v>
      </c>
      <c r="BU72" s="9">
        <f>+BS72-'Gen Fd BS'!AA72+BQ72</f>
        <v>0</v>
      </c>
    </row>
    <row r="73" spans="1:75">
      <c r="A73" s="13" t="s">
        <v>526</v>
      </c>
      <c r="B73" s="13"/>
      <c r="C73" s="13" t="s">
        <v>47</v>
      </c>
      <c r="D73" s="13"/>
      <c r="E73" s="32">
        <v>43661</v>
      </c>
      <c r="G73" s="8">
        <v>27361966</v>
      </c>
      <c r="I73" s="8">
        <v>6822484</v>
      </c>
      <c r="K73" s="8">
        <v>142355</v>
      </c>
      <c r="M73" s="8">
        <v>1600660</v>
      </c>
      <c r="O73" s="8">
        <v>4159357</v>
      </c>
      <c r="Q73" s="8">
        <v>2138565</v>
      </c>
      <c r="S73" s="8">
        <v>750970</v>
      </c>
      <c r="U73" s="8">
        <v>3975599</v>
      </c>
      <c r="W73" s="8">
        <v>1202457</v>
      </c>
      <c r="Y73" s="8">
        <v>341142</v>
      </c>
      <c r="AA73" s="8">
        <v>5212099</v>
      </c>
      <c r="AC73" s="8">
        <v>3708509</v>
      </c>
      <c r="AE73" s="8">
        <v>209472</v>
      </c>
      <c r="AG73" s="8">
        <v>0</v>
      </c>
      <c r="AI73" s="8">
        <v>2138</v>
      </c>
      <c r="AJ73" s="13" t="s">
        <v>526</v>
      </c>
      <c r="AK73" s="13"/>
      <c r="AL73" s="13" t="s">
        <v>47</v>
      </c>
      <c r="AN73" s="8">
        <v>1290137</v>
      </c>
      <c r="AP73" s="8">
        <v>0</v>
      </c>
      <c r="AT73" s="8">
        <v>1831000</v>
      </c>
      <c r="AV73" s="8">
        <v>172033</v>
      </c>
      <c r="AX73" s="8">
        <v>0</v>
      </c>
      <c r="AZ73" s="8">
        <f t="shared" si="2"/>
        <v>60920943</v>
      </c>
      <c r="BB73" s="8">
        <v>0</v>
      </c>
      <c r="BH73" s="8">
        <f>31372</f>
        <v>31372</v>
      </c>
      <c r="BJ73" s="8">
        <f t="shared" si="3"/>
        <v>60952315</v>
      </c>
      <c r="BL73" s="8">
        <f>+GenRev!AM73-GenExp!BJ73</f>
        <v>6010206</v>
      </c>
      <c r="BN73" s="8">
        <v>724675</v>
      </c>
      <c r="BP73" s="8">
        <v>0</v>
      </c>
      <c r="BS73" s="8">
        <f t="shared" si="4"/>
        <v>6734881</v>
      </c>
      <c r="BU73" s="9">
        <f>+BS73-'Gen Fd BS'!AA73+BQ73</f>
        <v>0</v>
      </c>
    </row>
    <row r="74" spans="1:75" hidden="1">
      <c r="A74" s="13" t="s">
        <v>966</v>
      </c>
      <c r="B74" s="13"/>
      <c r="C74" s="13" t="s">
        <v>727</v>
      </c>
      <c r="D74" s="13"/>
      <c r="E74" s="32">
        <v>43679</v>
      </c>
      <c r="G74" s="8">
        <v>8361101</v>
      </c>
      <c r="I74" s="8">
        <v>2459280</v>
      </c>
      <c r="K74" s="8">
        <v>128229</v>
      </c>
      <c r="M74" s="8">
        <v>32552</v>
      </c>
      <c r="O74" s="8">
        <v>963210</v>
      </c>
      <c r="Q74" s="8">
        <v>1304155</v>
      </c>
      <c r="S74" s="8">
        <v>18145</v>
      </c>
      <c r="U74" s="8">
        <v>1432855</v>
      </c>
      <c r="W74" s="8">
        <v>525150</v>
      </c>
      <c r="Y74" s="8">
        <v>89862</v>
      </c>
      <c r="AA74" s="8">
        <v>1496151</v>
      </c>
      <c r="AC74" s="8">
        <v>564277</v>
      </c>
      <c r="AE74" s="8">
        <v>60478</v>
      </c>
      <c r="AG74" s="8">
        <v>0</v>
      </c>
      <c r="AJ74" s="13" t="s">
        <v>726</v>
      </c>
      <c r="AK74" s="13"/>
      <c r="AL74" s="13" t="s">
        <v>727</v>
      </c>
      <c r="AN74" s="8">
        <v>358965</v>
      </c>
      <c r="AP74" s="8">
        <v>2250</v>
      </c>
      <c r="AZ74" s="8">
        <f t="shared" si="2"/>
        <v>17796660</v>
      </c>
      <c r="BB74" s="8">
        <v>54413</v>
      </c>
      <c r="BH74" s="8">
        <f>70997-2360</f>
        <v>68637</v>
      </c>
      <c r="BJ74" s="8">
        <f t="shared" si="3"/>
        <v>17919710</v>
      </c>
      <c r="BL74" s="8">
        <f>+GenRev!AM74-GenExp!BJ74</f>
        <v>2053532</v>
      </c>
      <c r="BN74" s="8">
        <v>5137172</v>
      </c>
      <c r="BP74" s="8">
        <v>0</v>
      </c>
      <c r="BS74" s="8">
        <f t="shared" si="4"/>
        <v>7190704</v>
      </c>
      <c r="BU74" s="9">
        <f>+BS74-'Gen Fd BS'!AA74+BQ74</f>
        <v>0</v>
      </c>
      <c r="BW74" s="8" t="s">
        <v>956</v>
      </c>
    </row>
    <row r="75" spans="1:75">
      <c r="A75" s="13" t="s">
        <v>290</v>
      </c>
      <c r="B75" s="13"/>
      <c r="C75" s="13" t="s">
        <v>113</v>
      </c>
      <c r="D75" s="13"/>
      <c r="E75" s="32">
        <v>46508</v>
      </c>
      <c r="F75" s="11"/>
      <c r="G75" s="8">
        <v>4375519</v>
      </c>
      <c r="I75" s="8">
        <v>484688</v>
      </c>
      <c r="K75" s="8">
        <v>131353</v>
      </c>
      <c r="M75" s="8">
        <v>25086</v>
      </c>
      <c r="O75" s="8">
        <v>127683</v>
      </c>
      <c r="Q75" s="8">
        <v>207295</v>
      </c>
      <c r="S75" s="8">
        <v>21480</v>
      </c>
      <c r="U75" s="8">
        <v>901427</v>
      </c>
      <c r="W75" s="8">
        <v>236697</v>
      </c>
      <c r="Y75" s="8">
        <v>29638</v>
      </c>
      <c r="AA75" s="8">
        <v>553315</v>
      </c>
      <c r="AC75" s="8">
        <v>508145</v>
      </c>
      <c r="AE75" s="8">
        <v>0</v>
      </c>
      <c r="AG75" s="8">
        <v>0</v>
      </c>
      <c r="AI75" s="8">
        <v>26761</v>
      </c>
      <c r="AJ75" s="13" t="s">
        <v>290</v>
      </c>
      <c r="AK75" s="13"/>
      <c r="AL75" s="13" t="s">
        <v>113</v>
      </c>
      <c r="AN75" s="8">
        <v>250885</v>
      </c>
      <c r="AP75" s="8">
        <v>0</v>
      </c>
      <c r="AT75" s="8">
        <v>21639</v>
      </c>
      <c r="AV75" s="8">
        <v>24831</v>
      </c>
      <c r="AX75" s="8">
        <v>13220</v>
      </c>
      <c r="AZ75" s="8">
        <f t="shared" si="2"/>
        <v>7939662</v>
      </c>
      <c r="BB75" s="8">
        <v>56500</v>
      </c>
      <c r="BH75" s="8">
        <v>0</v>
      </c>
      <c r="BJ75" s="8">
        <f t="shared" ref="BJ75:BJ81" si="5">+AZ75+BB75+BD75+BH75</f>
        <v>7996162</v>
      </c>
      <c r="BL75" s="8">
        <f>+GenRev!AM75-GenExp!BJ75</f>
        <v>198535</v>
      </c>
      <c r="BN75" s="8">
        <v>2066870</v>
      </c>
      <c r="BP75" s="8">
        <v>0</v>
      </c>
      <c r="BS75" s="8">
        <f t="shared" ref="BS75:BS102" si="6">+BN75+BL75-BP75</f>
        <v>2265405</v>
      </c>
      <c r="BU75" s="9">
        <f>+BS75-'Gen Fd BS'!AA75+BQ75</f>
        <v>0</v>
      </c>
    </row>
    <row r="76" spans="1:75">
      <c r="A76" s="13" t="s">
        <v>217</v>
      </c>
      <c r="B76" s="13"/>
      <c r="C76" s="13" t="s">
        <v>12</v>
      </c>
      <c r="D76" s="13"/>
      <c r="E76" s="32">
        <v>45856</v>
      </c>
      <c r="F76" s="11"/>
      <c r="G76" s="8">
        <v>9608876</v>
      </c>
      <c r="I76" s="8">
        <v>1742342</v>
      </c>
      <c r="K76" s="8">
        <v>266142</v>
      </c>
      <c r="M76" s="8">
        <v>0</v>
      </c>
      <c r="O76" s="8">
        <v>554863</v>
      </c>
      <c r="Q76" s="8">
        <v>169225</v>
      </c>
      <c r="S76" s="8">
        <v>25912</v>
      </c>
      <c r="U76" s="8">
        <v>1339536</v>
      </c>
      <c r="W76" s="8">
        <v>525258</v>
      </c>
      <c r="Y76" s="8">
        <v>82543</v>
      </c>
      <c r="AA76" s="8">
        <v>1807114</v>
      </c>
      <c r="AC76" s="8">
        <v>955716</v>
      </c>
      <c r="AE76" s="8">
        <v>27761</v>
      </c>
      <c r="AG76" s="8">
        <v>0</v>
      </c>
      <c r="AI76" s="8">
        <v>5947</v>
      </c>
      <c r="AJ76" s="13" t="s">
        <v>217</v>
      </c>
      <c r="AK76" s="13"/>
      <c r="AL76" s="13" t="s">
        <v>12</v>
      </c>
      <c r="AN76" s="8">
        <v>307627</v>
      </c>
      <c r="AP76" s="8">
        <v>69124</v>
      </c>
      <c r="AT76" s="8">
        <v>0</v>
      </c>
      <c r="AV76" s="8">
        <v>0</v>
      </c>
      <c r="AX76" s="8">
        <v>0</v>
      </c>
      <c r="AZ76" s="8">
        <f t="shared" si="2"/>
        <v>17487986</v>
      </c>
      <c r="BB76" s="8">
        <v>0</v>
      </c>
      <c r="BH76" s="8">
        <v>0</v>
      </c>
      <c r="BJ76" s="8">
        <f t="shared" si="5"/>
        <v>17487986</v>
      </c>
      <c r="BL76" s="8">
        <f>+GenRev!AM76-GenExp!BJ76</f>
        <v>989022</v>
      </c>
      <c r="BN76" s="8">
        <v>4251431</v>
      </c>
      <c r="BP76" s="8">
        <v>0</v>
      </c>
      <c r="BS76" s="8">
        <f t="shared" si="6"/>
        <v>5240453</v>
      </c>
      <c r="BU76" s="9">
        <f>+BS76-'Gen Fd BS'!AA76+BQ76</f>
        <v>0</v>
      </c>
    </row>
    <row r="77" spans="1:75">
      <c r="A77" s="13" t="s">
        <v>217</v>
      </c>
      <c r="B77" s="13"/>
      <c r="C77" s="13" t="s">
        <v>39</v>
      </c>
      <c r="D77" s="13"/>
      <c r="E77" s="32">
        <v>47787</v>
      </c>
      <c r="G77" s="8">
        <v>8021646</v>
      </c>
      <c r="I77" s="8">
        <v>1614695</v>
      </c>
      <c r="K77" s="8">
        <v>731652</v>
      </c>
      <c r="M77" s="8">
        <v>62852</v>
      </c>
      <c r="O77" s="8">
        <v>490144</v>
      </c>
      <c r="Q77" s="8">
        <v>275934</v>
      </c>
      <c r="S77" s="8">
        <v>74686</v>
      </c>
      <c r="U77" s="8">
        <v>1785264</v>
      </c>
      <c r="W77" s="8">
        <v>440035</v>
      </c>
      <c r="Y77" s="8">
        <v>0</v>
      </c>
      <c r="AA77" s="8">
        <v>2164299</v>
      </c>
      <c r="AC77" s="8">
        <v>1537075</v>
      </c>
      <c r="AE77" s="8">
        <v>0</v>
      </c>
      <c r="AG77" s="8">
        <v>0</v>
      </c>
      <c r="AI77" s="8">
        <v>0</v>
      </c>
      <c r="AJ77" s="13" t="s">
        <v>217</v>
      </c>
      <c r="AK77" s="13"/>
      <c r="AL77" s="13" t="s">
        <v>39</v>
      </c>
      <c r="AN77" s="8">
        <v>265645</v>
      </c>
      <c r="AP77" s="8">
        <v>0</v>
      </c>
      <c r="AT77" s="8">
        <v>0</v>
      </c>
      <c r="AV77" s="8">
        <v>0</v>
      </c>
      <c r="AX77" s="8">
        <v>0</v>
      </c>
      <c r="AZ77" s="8">
        <f t="shared" si="2"/>
        <v>17463927</v>
      </c>
      <c r="BB77" s="8">
        <v>255893</v>
      </c>
      <c r="BH77" s="8">
        <v>0</v>
      </c>
      <c r="BJ77" s="8">
        <f t="shared" si="5"/>
        <v>17719820</v>
      </c>
      <c r="BL77" s="8">
        <f>+GenRev!AM77-GenExp!BJ77</f>
        <v>-388388</v>
      </c>
      <c r="BN77" s="8">
        <v>-733084</v>
      </c>
      <c r="BP77" s="8">
        <v>0</v>
      </c>
      <c r="BS77" s="8">
        <f t="shared" si="6"/>
        <v>-1121472</v>
      </c>
      <c r="BU77" s="9">
        <f>+BS77-'Gen Fd BS'!AA77+BQ77</f>
        <v>0</v>
      </c>
    </row>
    <row r="78" spans="1:75">
      <c r="A78" s="13" t="s">
        <v>217</v>
      </c>
      <c r="B78" s="13"/>
      <c r="C78" s="13" t="s">
        <v>47</v>
      </c>
      <c r="D78" s="13"/>
      <c r="E78" s="32">
        <v>48470</v>
      </c>
      <c r="G78" s="8">
        <v>11136943</v>
      </c>
      <c r="I78" s="8">
        <v>0</v>
      </c>
      <c r="K78" s="8">
        <v>718215</v>
      </c>
      <c r="M78" s="8">
        <v>0</v>
      </c>
      <c r="O78" s="8">
        <v>860437</v>
      </c>
      <c r="Q78" s="8">
        <v>971356</v>
      </c>
      <c r="S78" s="8">
        <v>0</v>
      </c>
      <c r="U78" s="8">
        <v>1600808</v>
      </c>
      <c r="W78" s="8">
        <v>698743</v>
      </c>
      <c r="Y78" s="8">
        <v>0</v>
      </c>
      <c r="AA78" s="8">
        <v>1585869</v>
      </c>
      <c r="AC78" s="8">
        <v>1107942</v>
      </c>
      <c r="AE78" s="8">
        <v>6734</v>
      </c>
      <c r="AG78" s="8">
        <v>0</v>
      </c>
      <c r="AI78" s="8">
        <v>0</v>
      </c>
      <c r="AJ78" s="13" t="s">
        <v>217</v>
      </c>
      <c r="AK78" s="13"/>
      <c r="AL78" s="13" t="s">
        <v>47</v>
      </c>
      <c r="AN78" s="8">
        <v>74341</v>
      </c>
      <c r="AP78" s="8">
        <v>0</v>
      </c>
      <c r="AT78" s="8">
        <v>0</v>
      </c>
      <c r="AV78" s="8">
        <v>0</v>
      </c>
      <c r="AX78" s="8">
        <v>0</v>
      </c>
      <c r="AZ78" s="8">
        <f t="shared" ref="AZ78:AZ81" si="7">SUM(G78:AX78)</f>
        <v>18761388</v>
      </c>
      <c r="BB78" s="8">
        <v>154561</v>
      </c>
      <c r="BH78" s="8">
        <v>0</v>
      </c>
      <c r="BJ78" s="8">
        <f t="shared" si="5"/>
        <v>18915949</v>
      </c>
      <c r="BL78" s="8">
        <f>+GenRev!AM78-GenExp!BJ78</f>
        <v>-572572</v>
      </c>
      <c r="BN78" s="8">
        <v>500688</v>
      </c>
      <c r="BP78" s="8">
        <v>0</v>
      </c>
      <c r="BS78" s="8">
        <f t="shared" si="6"/>
        <v>-71884</v>
      </c>
      <c r="BU78" s="9">
        <f>+BS78-'Gen Fd BS'!AA78+BQ78</f>
        <v>0</v>
      </c>
    </row>
    <row r="79" spans="1:75" hidden="1">
      <c r="A79" s="8" t="s">
        <v>901</v>
      </c>
      <c r="B79" s="13"/>
      <c r="C79" s="13" t="s">
        <v>114</v>
      </c>
      <c r="D79" s="13"/>
      <c r="E79" s="32">
        <v>46755</v>
      </c>
      <c r="AG79" s="8">
        <v>0</v>
      </c>
      <c r="AJ79" s="13" t="s">
        <v>877</v>
      </c>
      <c r="AK79" s="13"/>
      <c r="AL79" s="13" t="s">
        <v>114</v>
      </c>
      <c r="AZ79" s="8">
        <f t="shared" si="7"/>
        <v>0</v>
      </c>
      <c r="BH79" s="8">
        <v>0</v>
      </c>
      <c r="BJ79" s="8">
        <f t="shared" si="5"/>
        <v>0</v>
      </c>
      <c r="BL79" s="8">
        <f>+GenRev!AM79-GenExp!BJ79</f>
        <v>0</v>
      </c>
      <c r="BP79" s="8">
        <v>0</v>
      </c>
      <c r="BS79" s="8">
        <f t="shared" si="6"/>
        <v>0</v>
      </c>
      <c r="BU79" s="9">
        <f>+BS79-'Gen Fd BS'!AA79+BQ79</f>
        <v>0</v>
      </c>
      <c r="BW79" s="8" t="s">
        <v>967</v>
      </c>
    </row>
    <row r="80" spans="1:75">
      <c r="A80" s="13" t="s">
        <v>334</v>
      </c>
      <c r="B80" s="13"/>
      <c r="C80" s="13" t="s">
        <v>23</v>
      </c>
      <c r="D80" s="13"/>
      <c r="E80" s="32">
        <v>46755</v>
      </c>
      <c r="G80" s="8">
        <v>9823237</v>
      </c>
      <c r="I80" s="8">
        <v>1776935</v>
      </c>
      <c r="K80" s="8">
        <v>269876</v>
      </c>
      <c r="M80" s="8">
        <v>1500</v>
      </c>
      <c r="O80" s="8">
        <v>1519521</v>
      </c>
      <c r="Q80" s="8">
        <v>417506</v>
      </c>
      <c r="S80" s="8">
        <v>228771</v>
      </c>
      <c r="U80" s="8">
        <v>1884413</v>
      </c>
      <c r="W80" s="8">
        <v>524518</v>
      </c>
      <c r="Y80" s="8">
        <v>0</v>
      </c>
      <c r="AA80" s="8">
        <v>2270801</v>
      </c>
      <c r="AC80" s="8">
        <v>1482760</v>
      </c>
      <c r="AE80" s="8">
        <v>30736</v>
      </c>
      <c r="AG80" s="8">
        <v>0</v>
      </c>
      <c r="AI80" s="8">
        <v>821</v>
      </c>
      <c r="AJ80" s="13" t="s">
        <v>334</v>
      </c>
      <c r="AK80" s="13"/>
      <c r="AL80" s="13" t="s">
        <v>23</v>
      </c>
      <c r="AN80" s="8">
        <v>301311</v>
      </c>
      <c r="AP80" s="8">
        <v>0</v>
      </c>
      <c r="AT80" s="8">
        <v>55327</v>
      </c>
      <c r="AV80" s="8">
        <v>17091</v>
      </c>
      <c r="AX80" s="8">
        <v>0</v>
      </c>
      <c r="AZ80" s="8">
        <f t="shared" si="7"/>
        <v>20605124</v>
      </c>
      <c r="BB80" s="8">
        <v>0</v>
      </c>
      <c r="BH80" s="8">
        <v>0</v>
      </c>
      <c r="BJ80" s="8">
        <f t="shared" si="5"/>
        <v>20605124</v>
      </c>
      <c r="BL80" s="8">
        <f>+GenRev!AM80-GenExp!BJ80</f>
        <v>-429223</v>
      </c>
      <c r="BN80" s="8">
        <v>4596043</v>
      </c>
      <c r="BP80" s="8">
        <v>0</v>
      </c>
      <c r="BS80" s="8">
        <f t="shared" si="6"/>
        <v>4166820</v>
      </c>
      <c r="BU80" s="9">
        <f>+BS80-'Gen Fd BS'!AA80+BQ80</f>
        <v>0</v>
      </c>
    </row>
    <row r="81" spans="1:73">
      <c r="A81" s="13" t="s">
        <v>291</v>
      </c>
      <c r="B81" s="13"/>
      <c r="C81" s="13" t="s">
        <v>113</v>
      </c>
      <c r="D81" s="13"/>
      <c r="E81" s="32">
        <v>43687</v>
      </c>
      <c r="G81" s="8">
        <v>6932671</v>
      </c>
      <c r="I81" s="8">
        <v>1424220</v>
      </c>
      <c r="K81" s="8">
        <v>225390</v>
      </c>
      <c r="M81" s="8">
        <v>0</v>
      </c>
      <c r="O81" s="8">
        <v>724786</v>
      </c>
      <c r="Q81" s="8">
        <v>926511</v>
      </c>
      <c r="S81" s="8">
        <v>120174</v>
      </c>
      <c r="U81" s="8">
        <v>1451149</v>
      </c>
      <c r="W81" s="8">
        <v>490970</v>
      </c>
      <c r="Y81" s="8">
        <v>280097</v>
      </c>
      <c r="AA81" s="8">
        <v>1056677</v>
      </c>
      <c r="AC81" s="8">
        <v>320183</v>
      </c>
      <c r="AE81" s="8">
        <v>203235</v>
      </c>
      <c r="AG81" s="8">
        <v>0</v>
      </c>
      <c r="AI81" s="8">
        <v>2203</v>
      </c>
      <c r="AJ81" s="13" t="s">
        <v>291</v>
      </c>
      <c r="AK81" s="13"/>
      <c r="AL81" s="13" t="s">
        <v>113</v>
      </c>
      <c r="AN81" s="8">
        <v>312088</v>
      </c>
      <c r="AP81" s="8">
        <v>8804</v>
      </c>
      <c r="AT81" s="8">
        <v>6175</v>
      </c>
      <c r="AV81" s="8">
        <v>1133</v>
      </c>
      <c r="AX81" s="8">
        <v>0</v>
      </c>
      <c r="AZ81" s="8">
        <f t="shared" si="7"/>
        <v>14486466</v>
      </c>
      <c r="BB81" s="8">
        <v>100000</v>
      </c>
      <c r="BH81" s="8">
        <v>0</v>
      </c>
      <c r="BJ81" s="8">
        <f t="shared" si="5"/>
        <v>14586466</v>
      </c>
      <c r="BL81" s="8">
        <f>+GenRev!AM81-GenExp!BJ81</f>
        <v>306847</v>
      </c>
      <c r="BN81" s="8">
        <v>6071798</v>
      </c>
      <c r="BP81" s="8">
        <v>0</v>
      </c>
      <c r="BS81" s="8">
        <f t="shared" si="6"/>
        <v>6378645</v>
      </c>
      <c r="BU81" s="9">
        <f>+BS81-'Gen Fd BS'!AA81+BQ81</f>
        <v>0</v>
      </c>
    </row>
    <row r="82" spans="1:73">
      <c r="A82" s="13" t="s">
        <v>569</v>
      </c>
      <c r="B82" s="13"/>
      <c r="C82" s="13" t="s">
        <v>52</v>
      </c>
      <c r="D82" s="13"/>
      <c r="E82" s="32">
        <v>45252</v>
      </c>
      <c r="G82" s="8">
        <v>3248728</v>
      </c>
      <c r="I82" s="8">
        <v>549699</v>
      </c>
      <c r="K82" s="8">
        <v>68678</v>
      </c>
      <c r="M82" s="8">
        <f>5096+61411</f>
        <v>66507</v>
      </c>
      <c r="O82" s="8">
        <v>458968</v>
      </c>
      <c r="Q82" s="8">
        <v>209959</v>
      </c>
      <c r="S82" s="8">
        <v>44327</v>
      </c>
      <c r="U82" s="8">
        <v>599509</v>
      </c>
      <c r="W82" s="8">
        <v>313349</v>
      </c>
      <c r="Y82" s="8">
        <v>0</v>
      </c>
      <c r="AA82" s="8">
        <v>503826</v>
      </c>
      <c r="AC82" s="8">
        <v>741789</v>
      </c>
      <c r="AE82" s="8">
        <v>0</v>
      </c>
      <c r="AG82" s="8">
        <v>0</v>
      </c>
      <c r="AI82" s="8">
        <v>0</v>
      </c>
      <c r="AJ82" s="13" t="s">
        <v>569</v>
      </c>
      <c r="AK82" s="13"/>
      <c r="AL82" s="13" t="s">
        <v>52</v>
      </c>
      <c r="AN82" s="8">
        <v>124172</v>
      </c>
      <c r="AP82" s="8">
        <v>0</v>
      </c>
      <c r="AT82" s="8">
        <v>0</v>
      </c>
      <c r="AV82" s="8">
        <v>0</v>
      </c>
      <c r="AX82" s="8">
        <v>0</v>
      </c>
      <c r="AZ82" s="8">
        <f t="shared" ref="AZ82:AZ101" si="8">SUM(G82:AX82)</f>
        <v>6929511</v>
      </c>
      <c r="BB82" s="8">
        <v>44000</v>
      </c>
      <c r="BH82" s="8">
        <v>0</v>
      </c>
      <c r="BJ82" s="8">
        <f t="shared" ref="BJ82:BJ83" si="9">+AZ82+BB82+BD82+BH82</f>
        <v>6973511</v>
      </c>
      <c r="BL82" s="8">
        <f>+GenRev!AM82-GenExp!BJ82</f>
        <v>483444</v>
      </c>
      <c r="BN82" s="8">
        <v>121154</v>
      </c>
      <c r="BP82" s="8">
        <v>0</v>
      </c>
      <c r="BS82" s="8">
        <f t="shared" si="6"/>
        <v>604598</v>
      </c>
      <c r="BU82" s="9">
        <f>+BS82-'Gen Fd BS'!AA85+BQ82</f>
        <v>0</v>
      </c>
    </row>
    <row r="83" spans="1:73">
      <c r="A83" s="13" t="s">
        <v>389</v>
      </c>
      <c r="B83" s="13"/>
      <c r="C83" s="13" t="s">
        <v>31</v>
      </c>
      <c r="D83" s="13"/>
      <c r="E83" s="32">
        <v>43695</v>
      </c>
      <c r="G83" s="8">
        <v>8500636</v>
      </c>
      <c r="I83" s="8">
        <v>3196639</v>
      </c>
      <c r="K83" s="8">
        <v>186571</v>
      </c>
      <c r="M83" s="8">
        <f>13288+169698</f>
        <v>182986</v>
      </c>
      <c r="O83" s="8">
        <v>836118</v>
      </c>
      <c r="Q83" s="8">
        <v>325106</v>
      </c>
      <c r="S83" s="8">
        <v>41036</v>
      </c>
      <c r="U83" s="8">
        <v>1338952</v>
      </c>
      <c r="W83" s="8">
        <v>495760</v>
      </c>
      <c r="Y83" s="8">
        <v>157240</v>
      </c>
      <c r="AA83" s="8">
        <v>1895783</v>
      </c>
      <c r="AC83" s="8">
        <v>938481</v>
      </c>
      <c r="AE83" s="8">
        <v>135789</v>
      </c>
      <c r="AG83" s="8">
        <v>0</v>
      </c>
      <c r="AI83" s="8">
        <v>1140</v>
      </c>
      <c r="AJ83" s="13" t="s">
        <v>389</v>
      </c>
      <c r="AK83" s="13"/>
      <c r="AL83" s="13" t="s">
        <v>31</v>
      </c>
      <c r="AN83" s="8">
        <v>262096</v>
      </c>
      <c r="AP83" s="8">
        <v>84133</v>
      </c>
      <c r="AT83" s="8">
        <v>7852</v>
      </c>
      <c r="AV83" s="8">
        <v>4141</v>
      </c>
      <c r="AX83" s="8">
        <v>0</v>
      </c>
      <c r="AZ83" s="8">
        <f t="shared" si="8"/>
        <v>18590459</v>
      </c>
      <c r="BB83" s="8">
        <v>0</v>
      </c>
      <c r="BH83" s="8">
        <v>0</v>
      </c>
      <c r="BJ83" s="8">
        <f t="shared" si="9"/>
        <v>18590459</v>
      </c>
      <c r="BL83" s="8">
        <f>+GenRev!AM83-GenExp!BJ83</f>
        <v>1177916</v>
      </c>
      <c r="BN83" s="8">
        <v>26653</v>
      </c>
      <c r="BP83" s="8">
        <v>0</v>
      </c>
      <c r="BS83" s="8">
        <f t="shared" si="6"/>
        <v>1204569</v>
      </c>
      <c r="BU83" s="9">
        <f>+BS83-'Gen Fd BS'!AA86+BQ83</f>
        <v>0</v>
      </c>
    </row>
    <row r="84" spans="1:73">
      <c r="A84" s="13" t="s">
        <v>510</v>
      </c>
      <c r="B84" s="13"/>
      <c r="C84" s="13" t="s">
        <v>45</v>
      </c>
      <c r="D84" s="13"/>
      <c r="E84" s="32">
        <v>43703</v>
      </c>
      <c r="G84" s="8">
        <v>5567101</v>
      </c>
      <c r="I84" s="8">
        <v>1299542</v>
      </c>
      <c r="K84" s="8">
        <v>293339</v>
      </c>
      <c r="M84" s="8">
        <v>207525</v>
      </c>
      <c r="O84" s="8">
        <v>326913</v>
      </c>
      <c r="Q84" s="8">
        <v>254403</v>
      </c>
      <c r="S84" s="8">
        <v>17399</v>
      </c>
      <c r="U84" s="8">
        <v>832240</v>
      </c>
      <c r="W84" s="8">
        <v>287668</v>
      </c>
      <c r="Y84" s="8">
        <v>69101</v>
      </c>
      <c r="AA84" s="8">
        <v>1726068</v>
      </c>
      <c r="AC84" s="8">
        <v>326840</v>
      </c>
      <c r="AE84" s="8">
        <v>0</v>
      </c>
      <c r="AG84" s="8">
        <v>0</v>
      </c>
      <c r="AI84" s="8">
        <v>0</v>
      </c>
      <c r="AJ84" s="13" t="s">
        <v>510</v>
      </c>
      <c r="AK84" s="13"/>
      <c r="AL84" s="13" t="s">
        <v>45</v>
      </c>
      <c r="AN84" s="8">
        <v>207726</v>
      </c>
      <c r="AP84" s="8">
        <v>0</v>
      </c>
      <c r="AT84" s="8">
        <v>278383</v>
      </c>
      <c r="AV84" s="8">
        <v>69293</v>
      </c>
      <c r="AX84" s="8">
        <v>0</v>
      </c>
      <c r="AZ84" s="8">
        <f t="shared" si="8"/>
        <v>11763541</v>
      </c>
      <c r="BB84" s="8">
        <v>263230</v>
      </c>
      <c r="BH84" s="8">
        <v>0</v>
      </c>
      <c r="BJ84" s="8">
        <f t="shared" ref="BJ84:BJ118" si="10">+AZ84+BB84+BD84+BH84</f>
        <v>12026771</v>
      </c>
      <c r="BL84" s="8">
        <f>+GenRev!AM84-GenExp!BJ84</f>
        <v>-610963</v>
      </c>
      <c r="BN84" s="8">
        <v>443582</v>
      </c>
      <c r="BP84" s="8">
        <v>0</v>
      </c>
      <c r="BS84" s="8">
        <f t="shared" si="6"/>
        <v>-167381</v>
      </c>
      <c r="BU84" s="9">
        <f>+BS84-'Gen Fd BS'!AA87+BQ84</f>
        <v>0</v>
      </c>
    </row>
    <row r="85" spans="1:73">
      <c r="A85" s="13" t="s">
        <v>353</v>
      </c>
      <c r="B85" s="13"/>
      <c r="C85" s="13" t="s">
        <v>27</v>
      </c>
      <c r="D85" s="13"/>
      <c r="E85" s="32">
        <v>46946</v>
      </c>
      <c r="G85" s="8">
        <v>14169645</v>
      </c>
      <c r="I85" s="8">
        <v>3847632</v>
      </c>
      <c r="K85" s="8">
        <v>711700</v>
      </c>
      <c r="M85" s="8">
        <v>0</v>
      </c>
      <c r="O85" s="8">
        <v>1212559</v>
      </c>
      <c r="Q85" s="8">
        <v>1137090</v>
      </c>
      <c r="S85" s="8">
        <v>333636</v>
      </c>
      <c r="U85" s="8">
        <v>2427241</v>
      </c>
      <c r="W85" s="8">
        <v>645614</v>
      </c>
      <c r="Y85" s="8">
        <v>0</v>
      </c>
      <c r="AA85" s="8">
        <v>3524424</v>
      </c>
      <c r="AC85" s="8">
        <v>1997670</v>
      </c>
      <c r="AE85" s="8">
        <v>196936</v>
      </c>
      <c r="AG85" s="8">
        <v>0</v>
      </c>
      <c r="AI85" s="8">
        <v>0</v>
      </c>
      <c r="AJ85" s="13" t="s">
        <v>353</v>
      </c>
      <c r="AK85" s="13"/>
      <c r="AL85" s="13" t="s">
        <v>27</v>
      </c>
      <c r="AN85" s="8">
        <v>486185</v>
      </c>
      <c r="AP85" s="8">
        <v>98394</v>
      </c>
      <c r="AT85" s="8">
        <v>76886</v>
      </c>
      <c r="AV85" s="8">
        <v>64742</v>
      </c>
      <c r="AX85" s="8">
        <v>0</v>
      </c>
      <c r="AZ85" s="8">
        <f t="shared" si="8"/>
        <v>30930354</v>
      </c>
      <c r="BB85" s="8">
        <v>0</v>
      </c>
      <c r="BH85" s="8">
        <v>0</v>
      </c>
      <c r="BJ85" s="8">
        <f t="shared" si="10"/>
        <v>30930354</v>
      </c>
      <c r="BL85" s="8">
        <f>+GenRev!AM85-GenExp!BJ85</f>
        <v>-1161948</v>
      </c>
      <c r="BN85" s="8">
        <v>4673646</v>
      </c>
      <c r="BP85" s="8">
        <v>0</v>
      </c>
      <c r="BS85" s="8">
        <f t="shared" si="6"/>
        <v>3511698</v>
      </c>
      <c r="BU85" s="9">
        <f>+BS85-'Gen Fd BS'!AA88+BQ85</f>
        <v>0</v>
      </c>
    </row>
    <row r="86" spans="1:73">
      <c r="A86" s="13" t="s">
        <v>511</v>
      </c>
      <c r="B86" s="13"/>
      <c r="C86" s="13" t="s">
        <v>45</v>
      </c>
      <c r="D86" s="13"/>
      <c r="E86" s="32">
        <v>48314</v>
      </c>
      <c r="G86" s="8">
        <v>12894372</v>
      </c>
      <c r="I86" s="8">
        <v>1732589</v>
      </c>
      <c r="K86" s="8">
        <v>265182</v>
      </c>
      <c r="M86" s="8">
        <v>0</v>
      </c>
      <c r="O86" s="8">
        <v>995217</v>
      </c>
      <c r="Q86" s="8">
        <v>1268466</v>
      </c>
      <c r="S86" s="8">
        <v>35675</v>
      </c>
      <c r="U86" s="8">
        <v>1468924</v>
      </c>
      <c r="W86" s="8">
        <v>520657</v>
      </c>
      <c r="Y86" s="8">
        <v>256904</v>
      </c>
      <c r="AA86" s="8">
        <v>2248586</v>
      </c>
      <c r="AC86" s="8">
        <v>1641143</v>
      </c>
      <c r="AE86" s="8">
        <v>124422</v>
      </c>
      <c r="AG86" s="8">
        <v>0</v>
      </c>
      <c r="AI86" s="8">
        <v>0</v>
      </c>
      <c r="AJ86" s="13" t="s">
        <v>511</v>
      </c>
      <c r="AK86" s="13"/>
      <c r="AL86" s="13" t="s">
        <v>45</v>
      </c>
      <c r="AN86" s="8">
        <v>585110</v>
      </c>
      <c r="AP86" s="8">
        <v>0</v>
      </c>
      <c r="AT86" s="8">
        <v>0</v>
      </c>
      <c r="AV86" s="8">
        <v>0</v>
      </c>
      <c r="AX86" s="8">
        <v>0</v>
      </c>
      <c r="AZ86" s="8">
        <f t="shared" si="8"/>
        <v>24037247</v>
      </c>
      <c r="BB86" s="8">
        <v>85000</v>
      </c>
      <c r="BH86" s="8">
        <v>0</v>
      </c>
      <c r="BJ86" s="8">
        <f t="shared" si="10"/>
        <v>24122247</v>
      </c>
      <c r="BL86" s="8">
        <f>+GenRev!AM89-GenExp!BJ86</f>
        <v>-182590</v>
      </c>
      <c r="BN86" s="8">
        <v>5074478</v>
      </c>
      <c r="BP86" s="8">
        <v>0</v>
      </c>
      <c r="BS86" s="8">
        <f t="shared" si="6"/>
        <v>4891888</v>
      </c>
      <c r="BU86" s="9">
        <f>+BS86-'Gen Fd BS'!AA89+BQ86</f>
        <v>0</v>
      </c>
    </row>
    <row r="87" spans="1:73">
      <c r="A87" s="13" t="s">
        <v>649</v>
      </c>
      <c r="B87" s="13"/>
      <c r="C87" s="13" t="s">
        <v>62</v>
      </c>
      <c r="D87" s="13"/>
      <c r="E87" s="32">
        <v>43711</v>
      </c>
      <c r="G87" s="8">
        <v>9078026</v>
      </c>
      <c r="I87" s="8">
        <v>1602523</v>
      </c>
      <c r="K87" s="8">
        <v>1822835</v>
      </c>
      <c r="M87" s="8">
        <v>1243695</v>
      </c>
      <c r="O87" s="8">
        <v>1238889</v>
      </c>
      <c r="Q87" s="8">
        <v>933326</v>
      </c>
      <c r="S87" s="8">
        <v>25268</v>
      </c>
      <c r="U87" s="8">
        <v>1481331</v>
      </c>
      <c r="W87" s="8">
        <v>294376</v>
      </c>
      <c r="Y87" s="8">
        <v>316318</v>
      </c>
      <c r="AA87" s="8">
        <v>2119973</v>
      </c>
      <c r="AC87" s="8">
        <v>917092</v>
      </c>
      <c r="AE87" s="8">
        <v>341331</v>
      </c>
      <c r="AG87" s="8">
        <v>0</v>
      </c>
      <c r="AI87" s="8">
        <v>5256</v>
      </c>
      <c r="AJ87" s="13" t="s">
        <v>649</v>
      </c>
      <c r="AK87" s="13"/>
      <c r="AL87" s="13" t="s">
        <v>62</v>
      </c>
      <c r="AN87" s="8">
        <v>588915</v>
      </c>
      <c r="AP87" s="8">
        <v>0</v>
      </c>
      <c r="AT87" s="8">
        <v>28782</v>
      </c>
      <c r="AV87" s="8">
        <v>3711</v>
      </c>
      <c r="AX87" s="8">
        <v>0</v>
      </c>
      <c r="AZ87" s="8">
        <f t="shared" si="8"/>
        <v>22041647</v>
      </c>
      <c r="BB87" s="8">
        <v>0</v>
      </c>
      <c r="BH87" s="8">
        <v>0</v>
      </c>
      <c r="BJ87" s="8">
        <f t="shared" si="10"/>
        <v>22041647</v>
      </c>
      <c r="BL87" s="8">
        <f>+GenRev!AM90-GenExp!BJ87</f>
        <v>458596</v>
      </c>
      <c r="BN87" s="8">
        <v>-3424470</v>
      </c>
      <c r="BP87" s="8">
        <v>0</v>
      </c>
      <c r="BS87" s="8">
        <f t="shared" si="6"/>
        <v>-2965874</v>
      </c>
      <c r="BU87" s="9">
        <f>+BS87-'Gen Fd BS'!AA90+BQ87</f>
        <v>0</v>
      </c>
    </row>
    <row r="88" spans="1:73">
      <c r="A88" s="13" t="s">
        <v>650</v>
      </c>
      <c r="B88" s="13"/>
      <c r="C88" s="13" t="s">
        <v>62</v>
      </c>
      <c r="D88" s="13"/>
      <c r="E88" s="32">
        <v>49833</v>
      </c>
      <c r="G88" s="8">
        <v>35362000</v>
      </c>
      <c r="I88" s="8">
        <v>9455000</v>
      </c>
      <c r="K88" s="8">
        <v>1811000</v>
      </c>
      <c r="M88" s="8">
        <v>9935000</v>
      </c>
      <c r="O88" s="8">
        <v>5565000</v>
      </c>
      <c r="Q88" s="8">
        <v>2062000</v>
      </c>
      <c r="S88" s="8">
        <v>26000</v>
      </c>
      <c r="U88" s="8">
        <v>6897000</v>
      </c>
      <c r="W88" s="8">
        <v>1488000</v>
      </c>
      <c r="Y88" s="8">
        <v>553000</v>
      </c>
      <c r="AA88" s="8">
        <v>10797000</v>
      </c>
      <c r="AC88" s="8">
        <v>3139000</v>
      </c>
      <c r="AE88" s="8">
        <v>3513000</v>
      </c>
      <c r="AG88" s="8">
        <v>0</v>
      </c>
      <c r="AI88" s="8">
        <v>305000</v>
      </c>
      <c r="AJ88" s="13" t="s">
        <v>650</v>
      </c>
      <c r="AK88" s="13"/>
      <c r="AL88" s="13" t="s">
        <v>62</v>
      </c>
      <c r="AN88" s="8">
        <v>1202000</v>
      </c>
      <c r="AP88" s="8">
        <v>528000</v>
      </c>
      <c r="AT88" s="8">
        <v>99000</v>
      </c>
      <c r="AV88" s="8">
        <v>26000</v>
      </c>
      <c r="AX88" s="8">
        <v>96000</v>
      </c>
      <c r="AZ88" s="8">
        <f t="shared" si="8"/>
        <v>92859000</v>
      </c>
      <c r="BB88" s="8">
        <f>-198000+913000</f>
        <v>715000</v>
      </c>
      <c r="BH88" s="8">
        <v>0</v>
      </c>
      <c r="BJ88" s="8">
        <f t="shared" si="10"/>
        <v>93574000</v>
      </c>
      <c r="BL88" s="8">
        <f>+GenRev!AM91-GenExp!BJ88</f>
        <v>2197000</v>
      </c>
      <c r="BN88" s="8">
        <v>-279000</v>
      </c>
      <c r="BP88" s="8">
        <v>60000</v>
      </c>
      <c r="BS88" s="8">
        <f t="shared" si="6"/>
        <v>1858000</v>
      </c>
      <c r="BU88" s="9">
        <f>+BS88-'Gen Fd BS'!AA91+BQ88</f>
        <v>0</v>
      </c>
    </row>
    <row r="89" spans="1:73">
      <c r="A89" s="13" t="s">
        <v>378</v>
      </c>
      <c r="B89" s="13"/>
      <c r="C89" s="13" t="s">
        <v>30</v>
      </c>
      <c r="D89" s="13"/>
      <c r="E89" s="32">
        <v>47175</v>
      </c>
      <c r="G89" s="8">
        <v>5866276</v>
      </c>
      <c r="I89" s="8">
        <v>2320153</v>
      </c>
      <c r="K89" s="8">
        <v>0</v>
      </c>
      <c r="M89" s="8">
        <v>0</v>
      </c>
      <c r="O89" s="8">
        <v>600092</v>
      </c>
      <c r="Q89" s="8">
        <v>196155</v>
      </c>
      <c r="S89" s="8">
        <v>38328</v>
      </c>
      <c r="U89" s="8">
        <v>1046922</v>
      </c>
      <c r="W89" s="8">
        <v>432830</v>
      </c>
      <c r="Y89" s="8">
        <v>58217</v>
      </c>
      <c r="AA89" s="8">
        <v>1384898</v>
      </c>
      <c r="AC89" s="8">
        <v>1247837</v>
      </c>
      <c r="AE89" s="8">
        <v>202628</v>
      </c>
      <c r="AG89" s="8">
        <v>7863</v>
      </c>
      <c r="AI89" s="8">
        <v>0</v>
      </c>
      <c r="AJ89" s="13" t="s">
        <v>378</v>
      </c>
      <c r="AK89" s="13"/>
      <c r="AL89" s="13" t="s">
        <v>30</v>
      </c>
      <c r="AN89" s="8">
        <v>262149</v>
      </c>
      <c r="AP89" s="8">
        <v>0</v>
      </c>
      <c r="AT89" s="8">
        <v>0</v>
      </c>
      <c r="AV89" s="8">
        <v>0</v>
      </c>
      <c r="AX89" s="8">
        <v>0</v>
      </c>
      <c r="AZ89" s="8">
        <f t="shared" si="8"/>
        <v>13664348</v>
      </c>
      <c r="BB89" s="8">
        <v>99165</v>
      </c>
      <c r="BH89" s="8">
        <v>0</v>
      </c>
      <c r="BJ89" s="8">
        <f t="shared" si="10"/>
        <v>13763513</v>
      </c>
      <c r="BL89" s="8">
        <f>+GenRev!AM92-GenExp!BJ89</f>
        <v>-680647</v>
      </c>
      <c r="BN89" s="8">
        <v>1586356</v>
      </c>
      <c r="BP89" s="8">
        <v>0</v>
      </c>
      <c r="BS89" s="8">
        <f t="shared" si="6"/>
        <v>905709</v>
      </c>
      <c r="BU89" s="9">
        <f>+BS89-'Gen Fd BS'!AA92+BQ89</f>
        <v>0</v>
      </c>
    </row>
    <row r="90" spans="1:73">
      <c r="A90" s="13" t="s">
        <v>560</v>
      </c>
      <c r="B90" s="13"/>
      <c r="C90" s="13" t="s">
        <v>78</v>
      </c>
      <c r="D90" s="13"/>
      <c r="E90" s="32">
        <v>48793</v>
      </c>
      <c r="G90" s="8">
        <v>4693465</v>
      </c>
      <c r="I90" s="8">
        <v>935416</v>
      </c>
      <c r="K90" s="8">
        <v>291444</v>
      </c>
      <c r="M90" s="8">
        <v>1438034</v>
      </c>
      <c r="O90" s="8">
        <v>465747</v>
      </c>
      <c r="Q90" s="8">
        <v>400046</v>
      </c>
      <c r="S90" s="8">
        <v>31799</v>
      </c>
      <c r="U90" s="8">
        <v>933119</v>
      </c>
      <c r="W90" s="8">
        <v>213573</v>
      </c>
      <c r="Y90" s="8">
        <v>0</v>
      </c>
      <c r="AA90" s="8">
        <v>1501388</v>
      </c>
      <c r="AC90" s="8">
        <v>533855</v>
      </c>
      <c r="AE90" s="8">
        <v>0</v>
      </c>
      <c r="AG90" s="8">
        <v>0</v>
      </c>
      <c r="AI90" s="8">
        <v>1810</v>
      </c>
      <c r="AJ90" s="13" t="s">
        <v>560</v>
      </c>
      <c r="AK90" s="13"/>
      <c r="AL90" s="13" t="s">
        <v>78</v>
      </c>
      <c r="AN90" s="8">
        <v>181229</v>
      </c>
      <c r="AP90" s="8">
        <v>0</v>
      </c>
      <c r="AT90" s="8">
        <v>0</v>
      </c>
      <c r="AV90" s="8">
        <v>0</v>
      </c>
      <c r="AX90" s="8">
        <v>0</v>
      </c>
      <c r="AZ90" s="8">
        <f t="shared" si="8"/>
        <v>11620925</v>
      </c>
      <c r="BB90" s="8">
        <v>0</v>
      </c>
      <c r="BH90" s="8">
        <v>0</v>
      </c>
      <c r="BJ90" s="8">
        <f t="shared" si="10"/>
        <v>11620925</v>
      </c>
      <c r="BL90" s="8">
        <f>+GenRev!AM93-GenExp!BJ90</f>
        <v>-1454691</v>
      </c>
      <c r="BN90" s="8">
        <v>2086630</v>
      </c>
      <c r="BP90" s="8">
        <v>0</v>
      </c>
      <c r="BS90" s="8">
        <f t="shared" si="6"/>
        <v>631939</v>
      </c>
      <c r="BU90" s="9">
        <f>+BS90-'Gen Fd BS'!AA93+BQ90</f>
        <v>0</v>
      </c>
    </row>
    <row r="91" spans="1:73" hidden="1">
      <c r="A91" s="13" t="s">
        <v>838</v>
      </c>
      <c r="B91" s="13"/>
      <c r="C91" s="13" t="s">
        <v>740</v>
      </c>
      <c r="D91" s="13"/>
      <c r="E91" s="32">
        <v>45260</v>
      </c>
      <c r="G91" s="8">
        <v>3151507</v>
      </c>
      <c r="I91" s="8">
        <v>691049</v>
      </c>
      <c r="K91" s="8">
        <v>393160</v>
      </c>
      <c r="M91" s="8">
        <v>373708</v>
      </c>
      <c r="O91" s="8">
        <v>297870</v>
      </c>
      <c r="Q91" s="8">
        <v>325846</v>
      </c>
      <c r="S91" s="8">
        <v>55159</v>
      </c>
      <c r="U91" s="8">
        <v>592992</v>
      </c>
      <c r="W91" s="8">
        <v>286118</v>
      </c>
      <c r="AA91" s="8">
        <v>404276</v>
      </c>
      <c r="AC91" s="8">
        <v>276215</v>
      </c>
      <c r="AE91" s="8">
        <v>32276</v>
      </c>
      <c r="AJ91" s="13" t="s">
        <v>838</v>
      </c>
      <c r="AK91" s="13"/>
      <c r="AL91" s="13" t="s">
        <v>740</v>
      </c>
      <c r="AN91" s="8">
        <v>257951</v>
      </c>
      <c r="AX91" s="8">
        <v>0</v>
      </c>
      <c r="AZ91" s="8">
        <f t="shared" si="8"/>
        <v>7138127</v>
      </c>
      <c r="BB91" s="8">
        <v>38000</v>
      </c>
      <c r="BH91" s="8">
        <v>0</v>
      </c>
      <c r="BJ91" s="8">
        <f t="shared" si="10"/>
        <v>7176127</v>
      </c>
      <c r="BL91" s="8">
        <f>+GenRev!AM94-GenExp!BJ91</f>
        <v>800638</v>
      </c>
      <c r="BN91" s="8">
        <v>4680879</v>
      </c>
      <c r="BS91" s="8">
        <f t="shared" si="6"/>
        <v>5481517</v>
      </c>
      <c r="BU91" s="9">
        <f>+BS91-'Gen Fd BS'!AA94+BQ91</f>
        <v>0</v>
      </c>
    </row>
    <row r="92" spans="1:73">
      <c r="A92" s="13" t="s">
        <v>708</v>
      </c>
      <c r="B92" s="13"/>
      <c r="C92" s="13" t="s">
        <v>69</v>
      </c>
      <c r="D92" s="13"/>
      <c r="E92" s="32">
        <v>50419</v>
      </c>
      <c r="G92" s="8">
        <v>7314782</v>
      </c>
      <c r="I92" s="8">
        <v>1656032</v>
      </c>
      <c r="K92" s="8">
        <v>231968</v>
      </c>
      <c r="M92" s="8">
        <v>119924</v>
      </c>
      <c r="O92" s="8">
        <v>655820</v>
      </c>
      <c r="Q92" s="8">
        <v>896976</v>
      </c>
      <c r="S92" s="8">
        <v>22778</v>
      </c>
      <c r="U92" s="8">
        <v>961811</v>
      </c>
      <c r="W92" s="8">
        <v>460921</v>
      </c>
      <c r="Y92" s="8">
        <v>18216</v>
      </c>
      <c r="AA92" s="8">
        <v>1277997</v>
      </c>
      <c r="AC92" s="8">
        <v>788215</v>
      </c>
      <c r="AE92" s="8">
        <v>55256</v>
      </c>
      <c r="AG92" s="8">
        <v>0</v>
      </c>
      <c r="AI92" s="8">
        <v>180</v>
      </c>
      <c r="AJ92" s="13" t="s">
        <v>708</v>
      </c>
      <c r="AK92" s="13"/>
      <c r="AL92" s="13" t="s">
        <v>69</v>
      </c>
      <c r="AN92" s="8">
        <v>405455</v>
      </c>
      <c r="AP92" s="8">
        <v>0</v>
      </c>
      <c r="AT92" s="8">
        <v>11901</v>
      </c>
      <c r="AV92" s="8">
        <v>649</v>
      </c>
      <c r="AX92" s="8">
        <v>0</v>
      </c>
      <c r="AZ92" s="8">
        <f t="shared" si="8"/>
        <v>14878881</v>
      </c>
      <c r="BB92" s="8">
        <v>0</v>
      </c>
      <c r="BH92" s="8">
        <v>0</v>
      </c>
      <c r="BJ92" s="8">
        <f t="shared" si="10"/>
        <v>14878881</v>
      </c>
      <c r="BL92" s="8">
        <f>+GenRev!AM95-GenExp!BJ92</f>
        <v>252643</v>
      </c>
      <c r="BN92" s="8">
        <v>-398113</v>
      </c>
      <c r="BP92" s="8">
        <v>0</v>
      </c>
      <c r="BS92" s="8">
        <f t="shared" si="6"/>
        <v>-145470</v>
      </c>
      <c r="BU92" s="9">
        <f>+BS92-'Gen Fd BS'!AA95+BQ92</f>
        <v>0</v>
      </c>
    </row>
    <row r="93" spans="1:73">
      <c r="A93" s="13" t="s">
        <v>253</v>
      </c>
      <c r="B93" s="13"/>
      <c r="C93" s="13" t="s">
        <v>16</v>
      </c>
      <c r="D93" s="13"/>
      <c r="E93" s="32">
        <v>45278</v>
      </c>
      <c r="G93" s="8">
        <v>8812821</v>
      </c>
      <c r="I93" s="8">
        <v>1687293</v>
      </c>
      <c r="K93" s="8">
        <v>262360</v>
      </c>
      <c r="M93" s="8">
        <f>5272+28317+207652</f>
        <v>241241</v>
      </c>
      <c r="O93" s="8">
        <v>890648</v>
      </c>
      <c r="Q93" s="8">
        <v>427503</v>
      </c>
      <c r="S93" s="8">
        <v>25766</v>
      </c>
      <c r="U93" s="8">
        <v>1478431</v>
      </c>
      <c r="W93" s="8">
        <v>577228</v>
      </c>
      <c r="Y93" s="8">
        <v>51380</v>
      </c>
      <c r="AA93" s="8">
        <v>1812763</v>
      </c>
      <c r="AC93" s="8">
        <v>1915557</v>
      </c>
      <c r="AE93" s="8">
        <v>50996</v>
      </c>
      <c r="AG93" s="8">
        <v>0</v>
      </c>
      <c r="AI93" s="8">
        <v>9824</v>
      </c>
      <c r="AJ93" s="13" t="s">
        <v>253</v>
      </c>
      <c r="AK93" s="13"/>
      <c r="AL93" s="13" t="s">
        <v>16</v>
      </c>
      <c r="AN93" s="8">
        <v>372837</v>
      </c>
      <c r="AP93" s="8">
        <v>15936</v>
      </c>
      <c r="AT93" s="8">
        <v>34606</v>
      </c>
      <c r="AV93" s="8">
        <v>3542</v>
      </c>
      <c r="AX93" s="8">
        <v>0</v>
      </c>
      <c r="AZ93" s="8">
        <f t="shared" si="8"/>
        <v>18670732</v>
      </c>
      <c r="BB93" s="8">
        <v>88650</v>
      </c>
      <c r="BH93" s="8">
        <v>0</v>
      </c>
      <c r="BJ93" s="8">
        <f t="shared" si="10"/>
        <v>18759382</v>
      </c>
      <c r="BL93" s="8">
        <f>+GenRev!AM96-GenExp!BJ93</f>
        <v>-638555</v>
      </c>
      <c r="BN93" s="8">
        <v>2528155</v>
      </c>
      <c r="BP93" s="8">
        <v>0</v>
      </c>
      <c r="BS93" s="8">
        <f t="shared" si="6"/>
        <v>1889600</v>
      </c>
      <c r="BU93" s="9">
        <f>+BS93-'Gen Fd BS'!AA96+BQ93</f>
        <v>0</v>
      </c>
    </row>
    <row r="94" spans="1:73">
      <c r="A94" s="13"/>
      <c r="B94" s="13"/>
      <c r="C94" s="13"/>
      <c r="D94" s="13"/>
      <c r="E94" s="32"/>
      <c r="AJ94" s="13"/>
      <c r="AK94" s="13"/>
      <c r="AL94" s="13"/>
    </row>
    <row r="95" spans="1:73">
      <c r="A95" s="13"/>
      <c r="B95" s="13"/>
      <c r="C95" s="13"/>
      <c r="D95" s="13"/>
      <c r="E95" s="32"/>
      <c r="AI95" s="8" t="s">
        <v>805</v>
      </c>
      <c r="AJ95" s="13"/>
      <c r="AK95" s="13"/>
      <c r="AL95" s="13"/>
      <c r="BS95" s="8" t="s">
        <v>805</v>
      </c>
    </row>
    <row r="96" spans="1:73">
      <c r="A96" s="13"/>
      <c r="B96" s="13"/>
      <c r="C96" s="13"/>
      <c r="D96" s="13"/>
      <c r="E96" s="32"/>
      <c r="AJ96" s="13"/>
      <c r="AK96" s="13"/>
      <c r="AL96" s="13"/>
    </row>
    <row r="97" spans="1:75">
      <c r="A97" s="13" t="s">
        <v>385</v>
      </c>
      <c r="B97" s="13"/>
      <c r="C97" s="13" t="s">
        <v>116</v>
      </c>
      <c r="D97" s="13"/>
      <c r="E97" s="32">
        <v>47258</v>
      </c>
      <c r="G97" s="35">
        <v>2336253</v>
      </c>
      <c r="H97" s="35"/>
      <c r="I97" s="35">
        <v>443818</v>
      </c>
      <c r="J97" s="35"/>
      <c r="K97" s="35">
        <v>5459</v>
      </c>
      <c r="L97" s="35"/>
      <c r="M97" s="35">
        <v>383189</v>
      </c>
      <c r="N97" s="35"/>
      <c r="O97" s="35">
        <v>420805</v>
      </c>
      <c r="P97" s="35"/>
      <c r="Q97" s="35">
        <v>227686</v>
      </c>
      <c r="R97" s="35"/>
      <c r="S97" s="35">
        <v>36254</v>
      </c>
      <c r="T97" s="35"/>
      <c r="U97" s="35">
        <v>579431</v>
      </c>
      <c r="V97" s="35"/>
      <c r="W97" s="35">
        <v>262031</v>
      </c>
      <c r="X97" s="35"/>
      <c r="Y97" s="35">
        <v>0</v>
      </c>
      <c r="Z97" s="35"/>
      <c r="AA97" s="35">
        <v>518954</v>
      </c>
      <c r="AB97" s="35"/>
      <c r="AC97" s="35">
        <v>235253</v>
      </c>
      <c r="AD97" s="35"/>
      <c r="AE97" s="35">
        <v>4488</v>
      </c>
      <c r="AF97" s="35"/>
      <c r="AG97" s="35">
        <v>0</v>
      </c>
      <c r="AH97" s="35"/>
      <c r="AI97" s="35">
        <v>0</v>
      </c>
      <c r="AJ97" s="13" t="s">
        <v>385</v>
      </c>
      <c r="AK97" s="13"/>
      <c r="AL97" s="13" t="s">
        <v>116</v>
      </c>
      <c r="AN97" s="35">
        <v>170124</v>
      </c>
      <c r="AO97" s="35"/>
      <c r="AP97" s="35">
        <v>0</v>
      </c>
      <c r="AQ97" s="35"/>
      <c r="AR97" s="35"/>
      <c r="AS97" s="35"/>
      <c r="AT97" s="35">
        <v>0</v>
      </c>
      <c r="AU97" s="35"/>
      <c r="AV97" s="35">
        <v>0</v>
      </c>
      <c r="AW97" s="35"/>
      <c r="AX97" s="35">
        <v>0</v>
      </c>
      <c r="AY97" s="35"/>
      <c r="AZ97" s="35">
        <f t="shared" si="8"/>
        <v>5623745</v>
      </c>
      <c r="BA97" s="35"/>
      <c r="BB97" s="35">
        <v>17000</v>
      </c>
      <c r="BC97" s="35"/>
      <c r="BD97" s="35"/>
      <c r="BE97" s="35"/>
      <c r="BF97" s="35"/>
      <c r="BG97" s="35"/>
      <c r="BH97" s="35">
        <v>0</v>
      </c>
      <c r="BI97" s="35"/>
      <c r="BJ97" s="35">
        <f t="shared" si="10"/>
        <v>5640745</v>
      </c>
      <c r="BK97" s="35"/>
      <c r="BL97" s="35">
        <f>+GenRev!AM97-GenExp!BJ97</f>
        <v>367275</v>
      </c>
      <c r="BM97" s="35"/>
      <c r="BN97" s="35">
        <v>1652596</v>
      </c>
      <c r="BO97" s="35"/>
      <c r="BP97" s="35">
        <v>0</v>
      </c>
      <c r="BQ97" s="35"/>
      <c r="BR97" s="35"/>
      <c r="BS97" s="35">
        <f t="shared" si="6"/>
        <v>2019871</v>
      </c>
      <c r="BU97" s="9">
        <f>+BS97-'Gen Fd BS'!AA97+BQ97</f>
        <v>0</v>
      </c>
    </row>
    <row r="98" spans="1:75" hidden="1">
      <c r="A98" s="13" t="s">
        <v>839</v>
      </c>
      <c r="B98" s="13"/>
      <c r="C98" s="13" t="s">
        <v>534</v>
      </c>
      <c r="D98" s="13"/>
      <c r="E98" s="32">
        <v>43729</v>
      </c>
      <c r="G98" s="8">
        <v>13376209</v>
      </c>
      <c r="I98" s="8">
        <v>2618151</v>
      </c>
      <c r="K98" s="8">
        <v>1212184</v>
      </c>
      <c r="O98" s="8">
        <v>1496146</v>
      </c>
      <c r="Q98" s="8">
        <v>1085289</v>
      </c>
      <c r="S98" s="8">
        <v>72483</v>
      </c>
      <c r="U98" s="8">
        <v>1796263</v>
      </c>
      <c r="W98" s="8">
        <v>704829</v>
      </c>
      <c r="Y98" s="8">
        <v>207731</v>
      </c>
      <c r="AA98" s="8">
        <v>2471916</v>
      </c>
      <c r="AC98" s="8">
        <v>1126780</v>
      </c>
      <c r="AE98" s="8">
        <v>23531</v>
      </c>
      <c r="AG98" s="8">
        <v>0</v>
      </c>
      <c r="AJ98" s="13" t="s">
        <v>533</v>
      </c>
      <c r="AK98" s="13"/>
      <c r="AL98" s="13" t="s">
        <v>534</v>
      </c>
      <c r="AN98" s="8">
        <v>624608</v>
      </c>
      <c r="AX98" s="8">
        <v>0</v>
      </c>
      <c r="AZ98" s="8">
        <f t="shared" si="8"/>
        <v>26816120</v>
      </c>
      <c r="BB98" s="8">
        <v>20917</v>
      </c>
      <c r="BD98" s="8">
        <f>212020-349920</f>
        <v>-137900</v>
      </c>
      <c r="BH98" s="8">
        <v>0</v>
      </c>
      <c r="BJ98" s="8">
        <f t="shared" si="10"/>
        <v>26699137</v>
      </c>
      <c r="BL98" s="8">
        <f>+GenRev!AM98-GenExp!BJ98</f>
        <v>1233645</v>
      </c>
      <c r="BN98" s="8">
        <v>11299128</v>
      </c>
      <c r="BS98" s="8">
        <f t="shared" si="6"/>
        <v>12532773</v>
      </c>
      <c r="BU98" s="9">
        <f>+BS98-'Gen Fd BS'!AA98+BQ98</f>
        <v>0</v>
      </c>
      <c r="BW98" s="8" t="s">
        <v>956</v>
      </c>
    </row>
    <row r="99" spans="1:75">
      <c r="A99" s="13" t="s">
        <v>454</v>
      </c>
      <c r="B99" s="13"/>
      <c r="C99" s="13" t="s">
        <v>40</v>
      </c>
      <c r="D99" s="13"/>
      <c r="E99" s="32">
        <v>47829</v>
      </c>
      <c r="G99" s="8">
        <v>4160441</v>
      </c>
      <c r="I99" s="8">
        <v>1509123</v>
      </c>
      <c r="K99" s="8">
        <v>185457</v>
      </c>
      <c r="M99" s="8">
        <v>13944</v>
      </c>
      <c r="O99" s="8">
        <v>284120</v>
      </c>
      <c r="Q99" s="8">
        <v>141642</v>
      </c>
      <c r="S99" s="8">
        <v>7763</v>
      </c>
      <c r="U99" s="8">
        <v>895612</v>
      </c>
      <c r="W99" s="8">
        <v>335316</v>
      </c>
      <c r="Y99" s="8">
        <v>0</v>
      </c>
      <c r="AA99" s="8">
        <v>930464</v>
      </c>
      <c r="AC99" s="8">
        <v>701116</v>
      </c>
      <c r="AE99" s="8">
        <v>0</v>
      </c>
      <c r="AG99" s="8">
        <v>0</v>
      </c>
      <c r="AI99" s="8">
        <v>0</v>
      </c>
      <c r="AJ99" s="13" t="s">
        <v>454</v>
      </c>
      <c r="AK99" s="13"/>
      <c r="AL99" s="13" t="s">
        <v>40</v>
      </c>
      <c r="AN99" s="8">
        <v>199330</v>
      </c>
      <c r="AP99" s="8">
        <v>0</v>
      </c>
      <c r="AT99" s="8">
        <v>0</v>
      </c>
      <c r="AV99" s="8">
        <v>0</v>
      </c>
      <c r="AX99" s="8">
        <v>0</v>
      </c>
      <c r="AZ99" s="8">
        <f t="shared" si="8"/>
        <v>9364328</v>
      </c>
      <c r="BB99" s="8">
        <v>0</v>
      </c>
      <c r="BH99" s="8">
        <v>0</v>
      </c>
      <c r="BJ99" s="8">
        <f t="shared" si="10"/>
        <v>9364328</v>
      </c>
      <c r="BL99" s="8">
        <f>+GenRev!AM99-GenExp!BJ99</f>
        <v>170445</v>
      </c>
      <c r="BN99" s="8">
        <v>3732848</v>
      </c>
      <c r="BP99" s="8">
        <v>0</v>
      </c>
      <c r="BS99" s="8">
        <f t="shared" si="6"/>
        <v>3903293</v>
      </c>
      <c r="BU99" s="9">
        <f>+BS99-'Gen Fd BS'!AA99+BQ99</f>
        <v>0</v>
      </c>
    </row>
    <row r="100" spans="1:75" s="35" customFormat="1">
      <c r="A100" s="34" t="s">
        <v>907</v>
      </c>
      <c r="B100" s="34"/>
      <c r="C100" s="34" t="s">
        <v>50</v>
      </c>
      <c r="D100" s="34"/>
      <c r="E100" s="32">
        <v>43737</v>
      </c>
      <c r="G100" s="8">
        <v>38547683</v>
      </c>
      <c r="H100" s="8"/>
      <c r="I100" s="8">
        <v>7788668</v>
      </c>
      <c r="J100" s="8"/>
      <c r="K100" s="8">
        <v>2667507</v>
      </c>
      <c r="L100" s="8"/>
      <c r="M100" s="8">
        <v>943725</v>
      </c>
      <c r="N100" s="8"/>
      <c r="O100" s="8">
        <v>4101213</v>
      </c>
      <c r="P100" s="8"/>
      <c r="Q100" s="8">
        <v>6287721</v>
      </c>
      <c r="R100" s="8"/>
      <c r="S100" s="8">
        <v>33370</v>
      </c>
      <c r="T100" s="8"/>
      <c r="U100" s="8">
        <v>4568852</v>
      </c>
      <c r="V100" s="8"/>
      <c r="W100" s="8">
        <v>1383327</v>
      </c>
      <c r="X100" s="8"/>
      <c r="Y100" s="8">
        <v>656005</v>
      </c>
      <c r="Z100" s="8"/>
      <c r="AA100" s="8">
        <v>5496731</v>
      </c>
      <c r="AB100" s="8"/>
      <c r="AC100" s="8">
        <v>5721555</v>
      </c>
      <c r="AD100" s="8"/>
      <c r="AE100" s="8">
        <v>99859</v>
      </c>
      <c r="AF100" s="8"/>
      <c r="AG100" s="8">
        <v>0</v>
      </c>
      <c r="AH100" s="8"/>
      <c r="AI100" s="8">
        <v>0</v>
      </c>
      <c r="AJ100" s="13" t="s">
        <v>545</v>
      </c>
      <c r="AK100" s="13"/>
      <c r="AL100" s="13" t="s">
        <v>50</v>
      </c>
      <c r="AM100" s="8"/>
      <c r="AN100" s="8">
        <v>0</v>
      </c>
      <c r="AO100" s="8"/>
      <c r="AP100" s="8">
        <v>0</v>
      </c>
      <c r="AQ100" s="8"/>
      <c r="AR100" s="8"/>
      <c r="AS100" s="8"/>
      <c r="AT100" s="8">
        <v>0</v>
      </c>
      <c r="AU100" s="8"/>
      <c r="AV100" s="8">
        <v>0</v>
      </c>
      <c r="AW100" s="8"/>
      <c r="AX100" s="8">
        <v>0</v>
      </c>
      <c r="AY100" s="8"/>
      <c r="AZ100" s="8">
        <f t="shared" si="8"/>
        <v>78296216</v>
      </c>
      <c r="BA100" s="8"/>
      <c r="BB100" s="8">
        <v>0</v>
      </c>
      <c r="BC100" s="8"/>
      <c r="BD100" s="8"/>
      <c r="BE100" s="8"/>
      <c r="BF100" s="8"/>
      <c r="BG100" s="8"/>
      <c r="BH100" s="8">
        <v>0</v>
      </c>
      <c r="BI100" s="8"/>
      <c r="BJ100" s="8">
        <f t="shared" si="10"/>
        <v>78296216</v>
      </c>
      <c r="BK100" s="8"/>
      <c r="BL100" s="8">
        <f>+GenRev!AM100-GenExp!BJ100</f>
        <v>-7104677</v>
      </c>
      <c r="BM100" s="8"/>
      <c r="BN100" s="8">
        <v>19422616</v>
      </c>
      <c r="BO100" s="8"/>
      <c r="BP100" s="8">
        <v>0</v>
      </c>
      <c r="BQ100" s="8"/>
      <c r="BR100" s="8"/>
      <c r="BS100" s="8">
        <f t="shared" si="6"/>
        <v>12317939</v>
      </c>
      <c r="BT100" s="8"/>
      <c r="BU100" s="9">
        <f>+BS100-'Gen Fd BS'!AA100+BQ100</f>
        <v>0</v>
      </c>
    </row>
    <row r="101" spans="1:75">
      <c r="A101" s="13" t="s">
        <v>1052</v>
      </c>
      <c r="B101" s="13"/>
      <c r="C101" s="13" t="s">
        <v>22</v>
      </c>
      <c r="D101" s="13"/>
      <c r="E101" s="32">
        <v>46714</v>
      </c>
      <c r="G101" s="8">
        <v>4234083</v>
      </c>
      <c r="I101" s="8">
        <v>875391</v>
      </c>
      <c r="K101" s="8">
        <v>209685</v>
      </c>
      <c r="M101" s="8">
        <f>31581+113166+575156</f>
        <v>719903</v>
      </c>
      <c r="O101" s="8">
        <v>527807</v>
      </c>
      <c r="Q101" s="8">
        <v>158136</v>
      </c>
      <c r="S101" s="8">
        <v>19251</v>
      </c>
      <c r="U101" s="8">
        <v>824103</v>
      </c>
      <c r="W101" s="8">
        <v>250382</v>
      </c>
      <c r="Y101" s="8">
        <v>59175</v>
      </c>
      <c r="AA101" s="8">
        <v>721700</v>
      </c>
      <c r="AC101" s="8">
        <v>1026365</v>
      </c>
      <c r="AE101" s="8">
        <v>160800</v>
      </c>
      <c r="AG101" s="8">
        <v>0</v>
      </c>
      <c r="AI101" s="8">
        <v>0</v>
      </c>
      <c r="AJ101" s="13" t="s">
        <v>794</v>
      </c>
      <c r="AK101" s="13"/>
      <c r="AL101" s="13" t="s">
        <v>22</v>
      </c>
      <c r="AN101" s="8">
        <v>316404</v>
      </c>
      <c r="AP101" s="8">
        <v>127280</v>
      </c>
      <c r="AT101" s="8">
        <v>109279</v>
      </c>
      <c r="AV101" s="8">
        <v>7042</v>
      </c>
      <c r="AX101" s="8">
        <v>0</v>
      </c>
      <c r="AZ101" s="8">
        <f t="shared" si="8"/>
        <v>10346786</v>
      </c>
      <c r="BB101" s="8">
        <v>0</v>
      </c>
      <c r="BH101" s="8">
        <v>0</v>
      </c>
      <c r="BJ101" s="8">
        <f t="shared" si="10"/>
        <v>10346786</v>
      </c>
      <c r="BL101" s="8">
        <f>+GenRev!AM101-GenExp!BJ101</f>
        <v>-137926</v>
      </c>
      <c r="BN101" s="8">
        <v>1613435</v>
      </c>
      <c r="BP101" s="8">
        <v>0</v>
      </c>
      <c r="BS101" s="8">
        <f t="shared" si="6"/>
        <v>1475509</v>
      </c>
      <c r="BU101" s="9">
        <f>+BS101-'Gen Fd BS'!AA101+BQ101</f>
        <v>0</v>
      </c>
    </row>
    <row r="102" spans="1:75">
      <c r="A102" s="13" t="s">
        <v>302</v>
      </c>
      <c r="B102" s="13"/>
      <c r="C102" s="13" t="s">
        <v>20</v>
      </c>
      <c r="D102" s="13"/>
      <c r="E102" s="13">
        <v>45286</v>
      </c>
      <c r="G102" s="8">
        <v>10465585</v>
      </c>
      <c r="I102" s="8">
        <v>1998852</v>
      </c>
      <c r="K102" s="8">
        <v>112692</v>
      </c>
      <c r="M102" s="8">
        <v>20131</v>
      </c>
      <c r="O102" s="8">
        <v>804606</v>
      </c>
      <c r="Q102" s="8">
        <v>968973</v>
      </c>
      <c r="S102" s="8">
        <v>80176</v>
      </c>
      <c r="U102" s="8">
        <v>1974687</v>
      </c>
      <c r="W102" s="8">
        <v>790735</v>
      </c>
      <c r="Y102" s="8">
        <v>400</v>
      </c>
      <c r="AA102" s="8">
        <v>2368677</v>
      </c>
      <c r="AC102" s="8">
        <v>1182167</v>
      </c>
      <c r="AE102" s="8">
        <v>16632</v>
      </c>
      <c r="AG102" s="8">
        <v>0</v>
      </c>
      <c r="AI102" s="8">
        <v>106161</v>
      </c>
      <c r="AJ102" s="13" t="s">
        <v>302</v>
      </c>
      <c r="AK102" s="13"/>
      <c r="AL102" s="13" t="s">
        <v>20</v>
      </c>
      <c r="AN102" s="8">
        <v>569657</v>
      </c>
      <c r="AP102" s="8">
        <v>0</v>
      </c>
      <c r="AT102" s="8">
        <v>0</v>
      </c>
      <c r="AV102" s="8">
        <v>0</v>
      </c>
      <c r="AX102" s="8">
        <v>0</v>
      </c>
      <c r="AZ102" s="8">
        <f t="shared" ref="AZ102:AZ133" si="11">SUM(G102:AX102)</f>
        <v>21460131</v>
      </c>
      <c r="BB102" s="8">
        <v>417600</v>
      </c>
      <c r="BH102" s="8">
        <v>0</v>
      </c>
      <c r="BJ102" s="8">
        <f t="shared" si="10"/>
        <v>21877731</v>
      </c>
      <c r="BL102" s="8">
        <f>+GenRev!AM102-GenExp!BJ102</f>
        <v>2471755</v>
      </c>
      <c r="BN102" s="8">
        <v>2006276</v>
      </c>
      <c r="BP102" s="8">
        <v>0</v>
      </c>
      <c r="BS102" s="8">
        <f t="shared" si="6"/>
        <v>4478031</v>
      </c>
      <c r="BU102" s="9">
        <f>+BS102-'Gen Fd BS'!AA102+BQ102</f>
        <v>0</v>
      </c>
    </row>
    <row r="103" spans="1:75">
      <c r="A103" s="13" t="s">
        <v>678</v>
      </c>
      <c r="B103" s="13"/>
      <c r="C103" s="13" t="s">
        <v>64</v>
      </c>
      <c r="D103" s="13"/>
      <c r="E103" s="32">
        <v>50138</v>
      </c>
      <c r="G103" s="8">
        <v>4036241</v>
      </c>
      <c r="I103" s="8">
        <v>1286715</v>
      </c>
      <c r="K103" s="8">
        <v>187339</v>
      </c>
      <c r="M103" s="8">
        <v>542693</v>
      </c>
      <c r="O103" s="8">
        <v>608185</v>
      </c>
      <c r="Q103" s="8">
        <v>497593</v>
      </c>
      <c r="S103" s="8">
        <v>42312</v>
      </c>
      <c r="U103" s="8">
        <v>1759615</v>
      </c>
      <c r="W103" s="8">
        <v>360082</v>
      </c>
      <c r="Y103" s="8">
        <v>0</v>
      </c>
      <c r="AA103" s="8">
        <v>1093931</v>
      </c>
      <c r="AC103" s="8">
        <v>729795</v>
      </c>
      <c r="AE103" s="8">
        <v>6442</v>
      </c>
      <c r="AG103" s="8">
        <v>0</v>
      </c>
      <c r="AI103" s="8">
        <v>0</v>
      </c>
      <c r="AJ103" s="13" t="s">
        <v>678</v>
      </c>
      <c r="AK103" s="13"/>
      <c r="AL103" s="13" t="s">
        <v>64</v>
      </c>
      <c r="AN103" s="8">
        <v>270923</v>
      </c>
      <c r="AP103" s="8">
        <v>0</v>
      </c>
      <c r="AT103" s="8">
        <v>98938</v>
      </c>
      <c r="AV103" s="8">
        <v>78587</v>
      </c>
      <c r="AX103" s="8">
        <v>0</v>
      </c>
      <c r="AZ103" s="8">
        <f t="shared" si="11"/>
        <v>11599391</v>
      </c>
      <c r="BB103" s="8">
        <v>34692</v>
      </c>
      <c r="BH103" s="8">
        <v>0</v>
      </c>
      <c r="BJ103" s="8">
        <f t="shared" si="10"/>
        <v>11634083</v>
      </c>
      <c r="BL103" s="8">
        <f>+GenRev!AM103-GenExp!BJ103</f>
        <v>-26041</v>
      </c>
      <c r="BN103" s="8">
        <v>-1258484</v>
      </c>
      <c r="BP103" s="8">
        <v>-1222</v>
      </c>
      <c r="BS103" s="8">
        <f t="shared" ref="BS103:BS152" si="12">+BN103+BL103-BP103</f>
        <v>-1283303</v>
      </c>
      <c r="BU103" s="9">
        <f>+BS103-'Gen Fd BS'!AA103+BQ103</f>
        <v>0</v>
      </c>
    </row>
    <row r="104" spans="1:75">
      <c r="A104" s="13" t="s">
        <v>379</v>
      </c>
      <c r="B104" s="13"/>
      <c r="C104" s="13" t="s">
        <v>30</v>
      </c>
      <c r="D104" s="13"/>
      <c r="E104" s="32">
        <v>47183</v>
      </c>
      <c r="G104" s="8">
        <v>13823016</v>
      </c>
      <c r="I104" s="8">
        <v>3866540</v>
      </c>
      <c r="K104" s="8">
        <v>231484</v>
      </c>
      <c r="M104" s="8">
        <v>445513</v>
      </c>
      <c r="O104" s="8">
        <v>1211915</v>
      </c>
      <c r="Q104" s="8">
        <v>1365598</v>
      </c>
      <c r="S104" s="8">
        <v>139153</v>
      </c>
      <c r="U104" s="8">
        <v>2373680</v>
      </c>
      <c r="W104" s="8">
        <v>894520</v>
      </c>
      <c r="Y104" s="8">
        <v>346385</v>
      </c>
      <c r="AA104" s="8">
        <v>2759828</v>
      </c>
      <c r="AC104" s="8">
        <v>2602386</v>
      </c>
      <c r="AE104" s="8">
        <v>237743</v>
      </c>
      <c r="AG104" s="8">
        <v>0</v>
      </c>
      <c r="AI104" s="8">
        <v>91899</v>
      </c>
      <c r="AJ104" s="13" t="s">
        <v>379</v>
      </c>
      <c r="AK104" s="13"/>
      <c r="AL104" s="13" t="s">
        <v>30</v>
      </c>
      <c r="AN104" s="8">
        <v>413958</v>
      </c>
      <c r="AP104" s="8">
        <v>0</v>
      </c>
      <c r="AT104" s="8">
        <v>5229</v>
      </c>
      <c r="AV104" s="8">
        <v>207</v>
      </c>
      <c r="AX104" s="8">
        <v>0</v>
      </c>
      <c r="AZ104" s="8">
        <f t="shared" si="11"/>
        <v>30809054</v>
      </c>
      <c r="BB104" s="8">
        <v>190840</v>
      </c>
      <c r="BH104" s="8">
        <v>0</v>
      </c>
      <c r="BJ104" s="8">
        <f t="shared" si="10"/>
        <v>30999894</v>
      </c>
      <c r="BL104" s="8">
        <f>+GenRev!AM104-GenExp!BJ104</f>
        <v>885288</v>
      </c>
      <c r="BN104" s="8">
        <v>2935580</v>
      </c>
      <c r="BP104" s="8">
        <v>0</v>
      </c>
      <c r="BS104" s="8">
        <f t="shared" si="12"/>
        <v>3820868</v>
      </c>
      <c r="BU104" s="9">
        <f>+BS104-'Gen Fd BS'!AA104+BQ104</f>
        <v>0</v>
      </c>
    </row>
    <row r="105" spans="1:75">
      <c r="A105" s="13" t="s">
        <v>465</v>
      </c>
      <c r="B105" s="13"/>
      <c r="C105" s="13" t="s">
        <v>466</v>
      </c>
      <c r="D105" s="13"/>
      <c r="E105" s="32">
        <v>45294</v>
      </c>
      <c r="G105" s="8">
        <v>5800968</v>
      </c>
      <c r="I105" s="8">
        <v>802046</v>
      </c>
      <c r="K105" s="8">
        <v>0</v>
      </c>
      <c r="M105" s="8">
        <v>473337</v>
      </c>
      <c r="O105" s="8">
        <v>465662</v>
      </c>
      <c r="Q105" s="8">
        <v>346889</v>
      </c>
      <c r="S105" s="8">
        <v>111833</v>
      </c>
      <c r="U105" s="8">
        <v>1085605</v>
      </c>
      <c r="W105" s="8">
        <v>296621</v>
      </c>
      <c r="Y105" s="8">
        <v>0</v>
      </c>
      <c r="AA105" s="8">
        <v>1109130</v>
      </c>
      <c r="AC105" s="8">
        <v>666438</v>
      </c>
      <c r="AE105" s="8">
        <v>95173</v>
      </c>
      <c r="AG105" s="8">
        <v>0</v>
      </c>
      <c r="AI105" s="8">
        <v>0</v>
      </c>
      <c r="AJ105" s="13" t="s">
        <v>465</v>
      </c>
      <c r="AK105" s="13"/>
      <c r="AL105" s="13" t="s">
        <v>466</v>
      </c>
      <c r="AN105" s="8">
        <v>241530</v>
      </c>
      <c r="AP105" s="8">
        <v>51730</v>
      </c>
      <c r="AT105" s="8">
        <v>9032</v>
      </c>
      <c r="AV105" s="8">
        <v>1243</v>
      </c>
      <c r="AX105" s="8">
        <v>0</v>
      </c>
      <c r="AZ105" s="8">
        <f t="shared" si="11"/>
        <v>11557237</v>
      </c>
      <c r="BB105" s="8">
        <v>139525</v>
      </c>
      <c r="BH105" s="8">
        <v>0</v>
      </c>
      <c r="BJ105" s="8">
        <f t="shared" si="10"/>
        <v>11696762</v>
      </c>
      <c r="BL105" s="8">
        <f>+GenRev!AM105-GenExp!BJ105</f>
        <v>-344061</v>
      </c>
      <c r="BN105" s="8">
        <v>845308</v>
      </c>
      <c r="BP105" s="8">
        <v>0</v>
      </c>
      <c r="BS105" s="8">
        <f t="shared" si="12"/>
        <v>501247</v>
      </c>
      <c r="BU105" s="9">
        <f>+BS105-'Gen Fd BS'!AA105+BQ105</f>
        <v>0</v>
      </c>
    </row>
    <row r="106" spans="1:75">
      <c r="A106" s="13" t="s">
        <v>617</v>
      </c>
      <c r="B106" s="13"/>
      <c r="C106" s="13" t="s">
        <v>58</v>
      </c>
      <c r="D106" s="13"/>
      <c r="E106" s="32">
        <v>43745</v>
      </c>
      <c r="G106" s="8">
        <v>13097958</v>
      </c>
      <c r="I106" s="8">
        <v>2158578</v>
      </c>
      <c r="K106" s="8">
        <v>6351</v>
      </c>
      <c r="M106" s="8">
        <v>207891</v>
      </c>
      <c r="O106" s="8">
        <v>1183221</v>
      </c>
      <c r="Q106" s="8">
        <v>844082</v>
      </c>
      <c r="S106" s="8">
        <v>49970</v>
      </c>
      <c r="U106" s="8">
        <v>1886889</v>
      </c>
      <c r="W106" s="8">
        <v>711208</v>
      </c>
      <c r="Y106" s="8">
        <v>113438</v>
      </c>
      <c r="AA106" s="8">
        <v>2621634</v>
      </c>
      <c r="AC106" s="8">
        <v>796241</v>
      </c>
      <c r="AE106" s="8">
        <v>184732</v>
      </c>
      <c r="AG106" s="8">
        <v>0</v>
      </c>
      <c r="AI106" s="8">
        <v>7104</v>
      </c>
      <c r="AJ106" s="13" t="s">
        <v>617</v>
      </c>
      <c r="AK106" s="13"/>
      <c r="AL106" s="13" t="s">
        <v>58</v>
      </c>
      <c r="AN106" s="8">
        <v>417522</v>
      </c>
      <c r="AP106" s="8">
        <v>0</v>
      </c>
      <c r="AT106" s="8">
        <v>180000</v>
      </c>
      <c r="AV106" s="8">
        <v>49250</v>
      </c>
      <c r="AX106" s="8">
        <v>0</v>
      </c>
      <c r="AZ106" s="8">
        <f t="shared" si="11"/>
        <v>24516069</v>
      </c>
      <c r="BB106" s="8">
        <v>2634</v>
      </c>
      <c r="BH106" s="8">
        <v>0</v>
      </c>
      <c r="BJ106" s="8">
        <f t="shared" si="10"/>
        <v>24518703</v>
      </c>
      <c r="BL106" s="8">
        <f>+GenRev!AM106-GenExp!BJ106</f>
        <v>-454477</v>
      </c>
      <c r="BN106" s="8">
        <v>3251501</v>
      </c>
      <c r="BP106" s="8">
        <v>0</v>
      </c>
      <c r="BS106" s="8">
        <f t="shared" si="12"/>
        <v>2797024</v>
      </c>
      <c r="BU106" s="9">
        <f>+BS106-'Gen Fd BS'!AA106+BQ106</f>
        <v>0</v>
      </c>
    </row>
    <row r="107" spans="1:75">
      <c r="A107" s="13" t="s">
        <v>721</v>
      </c>
      <c r="B107" s="13"/>
      <c r="C107" s="13" t="s">
        <v>71</v>
      </c>
      <c r="D107" s="13"/>
      <c r="E107" s="32">
        <v>50534</v>
      </c>
      <c r="G107" s="8">
        <v>4827131</v>
      </c>
      <c r="I107" s="8">
        <v>205239</v>
      </c>
      <c r="K107" s="8">
        <v>32869</v>
      </c>
      <c r="M107" s="8">
        <v>279698</v>
      </c>
      <c r="O107" s="8">
        <v>199337</v>
      </c>
      <c r="Q107" s="8">
        <v>419360</v>
      </c>
      <c r="S107" s="8">
        <v>26075</v>
      </c>
      <c r="U107" s="8">
        <v>1090702</v>
      </c>
      <c r="W107" s="8">
        <v>343438</v>
      </c>
      <c r="Y107" s="8">
        <v>0</v>
      </c>
      <c r="AA107" s="8">
        <v>1017506</v>
      </c>
      <c r="AC107" s="8">
        <v>584681</v>
      </c>
      <c r="AE107" s="8">
        <v>153691</v>
      </c>
      <c r="AG107" s="8">
        <v>0</v>
      </c>
      <c r="AI107" s="8">
        <v>0</v>
      </c>
      <c r="AJ107" s="13" t="s">
        <v>721</v>
      </c>
      <c r="AK107" s="13"/>
      <c r="AL107" s="13" t="s">
        <v>71</v>
      </c>
      <c r="AN107" s="8">
        <v>262696</v>
      </c>
      <c r="AP107" s="8">
        <v>0</v>
      </c>
      <c r="AT107" s="8">
        <v>0</v>
      </c>
      <c r="AV107" s="8">
        <v>0</v>
      </c>
      <c r="AX107" s="8">
        <v>0</v>
      </c>
      <c r="AZ107" s="8">
        <f t="shared" si="11"/>
        <v>9442423</v>
      </c>
      <c r="BB107" s="8">
        <v>0</v>
      </c>
      <c r="BH107" s="8">
        <v>0</v>
      </c>
      <c r="BJ107" s="8">
        <f t="shared" si="10"/>
        <v>9442423</v>
      </c>
      <c r="BL107" s="8">
        <f>+GenRev!AM107-GenExp!BJ107</f>
        <v>1994378</v>
      </c>
      <c r="BN107" s="8">
        <v>1740244</v>
      </c>
      <c r="BP107" s="8">
        <v>0</v>
      </c>
      <c r="BS107" s="8">
        <f t="shared" si="12"/>
        <v>3734622</v>
      </c>
      <c r="BU107" s="9">
        <f>+BS107-'Gen Fd BS'!AA107+BQ107</f>
        <v>0</v>
      </c>
    </row>
    <row r="108" spans="1:75">
      <c r="A108" s="13" t="s">
        <v>910</v>
      </c>
      <c r="B108" s="13"/>
      <c r="C108" s="13" t="s">
        <v>32</v>
      </c>
      <c r="D108" s="13"/>
      <c r="E108" s="32">
        <v>43752</v>
      </c>
      <c r="G108" s="8">
        <v>120814367</v>
      </c>
      <c r="I108" s="8">
        <v>32110608</v>
      </c>
      <c r="K108" s="8">
        <v>4721725</v>
      </c>
      <c r="M108" s="8">
        <v>47889</v>
      </c>
      <c r="O108" s="8">
        <v>14934657</v>
      </c>
      <c r="Q108" s="8">
        <v>12008084</v>
      </c>
      <c r="S108" s="8">
        <v>432078</v>
      </c>
      <c r="U108" s="8">
        <v>17607839</v>
      </c>
      <c r="W108" s="8">
        <v>2120487</v>
      </c>
      <c r="Y108" s="8">
        <v>908127</v>
      </c>
      <c r="AA108" s="8">
        <v>30465673</v>
      </c>
      <c r="AC108" s="8">
        <v>28922427</v>
      </c>
      <c r="AE108" s="8">
        <v>14375604</v>
      </c>
      <c r="AG108" s="8">
        <v>0</v>
      </c>
      <c r="AI108" s="8">
        <v>0</v>
      </c>
      <c r="AJ108" s="13" t="s">
        <v>910</v>
      </c>
      <c r="AK108" s="13"/>
      <c r="AL108" s="13" t="s">
        <v>32</v>
      </c>
      <c r="AN108" s="8">
        <v>3808798</v>
      </c>
      <c r="AP108" s="8">
        <v>1268751</v>
      </c>
      <c r="AT108" s="8">
        <v>0</v>
      </c>
      <c r="AV108" s="8">
        <v>1126928</v>
      </c>
      <c r="AX108" s="8">
        <v>0</v>
      </c>
      <c r="AZ108" s="8">
        <f t="shared" si="11"/>
        <v>285674042</v>
      </c>
      <c r="BB108" s="8">
        <v>112171748</v>
      </c>
      <c r="BH108" s="8">
        <v>0</v>
      </c>
      <c r="BJ108" s="8">
        <f t="shared" si="10"/>
        <v>397845790</v>
      </c>
      <c r="BL108" s="8">
        <f>+GenRev!AM108-GenExp!BJ108</f>
        <v>32378431</v>
      </c>
      <c r="BN108" s="8">
        <v>41713876</v>
      </c>
      <c r="BP108" s="8">
        <v>0</v>
      </c>
      <c r="BS108" s="8">
        <f t="shared" si="12"/>
        <v>74092307</v>
      </c>
      <c r="BU108" s="9">
        <f>+BS108-'Gen Fd BS'!AA108+BQ108</f>
        <v>0</v>
      </c>
    </row>
    <row r="109" spans="1:75">
      <c r="A109" s="13" t="s">
        <v>581</v>
      </c>
      <c r="B109" s="13"/>
      <c r="C109" s="13" t="s">
        <v>54</v>
      </c>
      <c r="D109" s="13"/>
      <c r="E109" s="32">
        <v>43760</v>
      </c>
      <c r="G109" s="8">
        <v>9371634</v>
      </c>
      <c r="I109" s="8">
        <v>1932719</v>
      </c>
      <c r="K109" s="8">
        <v>24430</v>
      </c>
      <c r="M109" s="8">
        <v>68512</v>
      </c>
      <c r="O109" s="8">
        <v>932644</v>
      </c>
      <c r="Q109" s="8">
        <v>1432199</v>
      </c>
      <c r="S109" s="8">
        <v>149774</v>
      </c>
      <c r="U109" s="8">
        <v>1676169</v>
      </c>
      <c r="W109" s="8">
        <v>597134</v>
      </c>
      <c r="Y109" s="8">
        <v>0</v>
      </c>
      <c r="AA109" s="8">
        <v>1783031</v>
      </c>
      <c r="AC109" s="8">
        <v>642408</v>
      </c>
      <c r="AE109" s="8">
        <v>0</v>
      </c>
      <c r="AG109" s="8">
        <v>0</v>
      </c>
      <c r="AI109" s="8">
        <v>0</v>
      </c>
      <c r="AJ109" s="13" t="s">
        <v>581</v>
      </c>
      <c r="AK109" s="13"/>
      <c r="AL109" s="13" t="s">
        <v>54</v>
      </c>
      <c r="AN109" s="8">
        <v>353926</v>
      </c>
      <c r="AP109" s="8">
        <v>0</v>
      </c>
      <c r="AT109" s="8">
        <v>16555</v>
      </c>
      <c r="AV109" s="8">
        <v>14174</v>
      </c>
      <c r="AX109" s="8">
        <v>0</v>
      </c>
      <c r="AZ109" s="8">
        <f t="shared" si="11"/>
        <v>18995309</v>
      </c>
      <c r="BB109" s="8">
        <v>30000</v>
      </c>
      <c r="BH109" s="8">
        <v>0</v>
      </c>
      <c r="BJ109" s="8">
        <f t="shared" si="10"/>
        <v>19025309</v>
      </c>
      <c r="BL109" s="8">
        <f>+GenRev!AM109-GenExp!BJ109</f>
        <v>1985561</v>
      </c>
      <c r="BN109" s="8">
        <v>10208130</v>
      </c>
      <c r="BP109" s="8">
        <v>1029</v>
      </c>
      <c r="BS109" s="8">
        <f t="shared" si="12"/>
        <v>12192662</v>
      </c>
      <c r="BU109" s="9">
        <f>+BS109-'Gen Fd BS'!AA109+BQ109</f>
        <v>0</v>
      </c>
    </row>
    <row r="110" spans="1:75">
      <c r="A110" s="13" t="s">
        <v>260</v>
      </c>
      <c r="B110" s="13"/>
      <c r="C110" s="13" t="s">
        <v>17</v>
      </c>
      <c r="D110" s="13"/>
      <c r="E110" s="32">
        <v>46284</v>
      </c>
      <c r="G110" s="8">
        <v>9764047</v>
      </c>
      <c r="I110" s="8">
        <v>1352614</v>
      </c>
      <c r="K110" s="8">
        <v>200495</v>
      </c>
      <c r="M110" s="8">
        <f>24760+325111</f>
        <v>349871</v>
      </c>
      <c r="O110" s="8">
        <v>741600</v>
      </c>
      <c r="Q110" s="8">
        <v>604587</v>
      </c>
      <c r="S110" s="8">
        <v>104144</v>
      </c>
      <c r="U110" s="8">
        <v>1596396</v>
      </c>
      <c r="W110" s="8">
        <v>490102</v>
      </c>
      <c r="Y110" s="8">
        <v>17577</v>
      </c>
      <c r="AA110" s="8">
        <v>1774333</v>
      </c>
      <c r="AC110" s="8">
        <v>984831</v>
      </c>
      <c r="AE110" s="8">
        <v>55222</v>
      </c>
      <c r="AG110" s="8">
        <v>0</v>
      </c>
      <c r="AI110" s="8">
        <v>11560</v>
      </c>
      <c r="AJ110" s="13" t="s">
        <v>260</v>
      </c>
      <c r="AK110" s="13"/>
      <c r="AL110" s="13" t="s">
        <v>17</v>
      </c>
      <c r="AN110" s="8">
        <v>425967</v>
      </c>
      <c r="AP110" s="8">
        <v>51164</v>
      </c>
      <c r="AT110" s="8">
        <v>35591</v>
      </c>
      <c r="AV110" s="8">
        <v>2545</v>
      </c>
      <c r="AX110" s="8">
        <v>0</v>
      </c>
      <c r="AZ110" s="8">
        <f t="shared" si="11"/>
        <v>18562646</v>
      </c>
      <c r="BB110" s="8">
        <v>0</v>
      </c>
      <c r="BH110" s="8">
        <v>0</v>
      </c>
      <c r="BJ110" s="8">
        <f t="shared" si="10"/>
        <v>18562646</v>
      </c>
      <c r="BL110" s="8">
        <f>+GenRev!AM110-GenExp!BJ110</f>
        <v>507958</v>
      </c>
      <c r="BN110" s="8">
        <v>1145812</v>
      </c>
      <c r="BP110" s="8">
        <v>0</v>
      </c>
      <c r="BS110" s="8">
        <f t="shared" si="12"/>
        <v>1653770</v>
      </c>
      <c r="BU110" s="9">
        <f>+BS110-'Gen Fd BS'!AA110+BQ110</f>
        <v>0</v>
      </c>
    </row>
    <row r="111" spans="1:75">
      <c r="A111" s="13" t="s">
        <v>627</v>
      </c>
      <c r="B111" s="13"/>
      <c r="C111" s="13" t="s">
        <v>59</v>
      </c>
      <c r="D111" s="13"/>
      <c r="E111" s="32">
        <v>49601</v>
      </c>
      <c r="G111" s="8">
        <v>2760625</v>
      </c>
      <c r="I111" s="8">
        <v>253017</v>
      </c>
      <c r="K111" s="8">
        <v>17194</v>
      </c>
      <c r="M111" s="8">
        <v>35394</v>
      </c>
      <c r="O111" s="8">
        <v>286985</v>
      </c>
      <c r="Q111" s="8">
        <v>222052</v>
      </c>
      <c r="S111" s="8">
        <v>17505</v>
      </c>
      <c r="U111" s="8">
        <v>515677</v>
      </c>
      <c r="W111" s="8">
        <v>173421</v>
      </c>
      <c r="Y111" s="8">
        <v>0</v>
      </c>
      <c r="AA111" s="8">
        <v>421672</v>
      </c>
      <c r="AC111" s="8">
        <v>242870</v>
      </c>
      <c r="AE111" s="8">
        <v>25312</v>
      </c>
      <c r="AG111" s="8">
        <v>0</v>
      </c>
      <c r="AI111" s="8">
        <v>0</v>
      </c>
      <c r="AJ111" s="13" t="s">
        <v>627</v>
      </c>
      <c r="AK111" s="13"/>
      <c r="AL111" s="13" t="s">
        <v>59</v>
      </c>
      <c r="AN111" s="8">
        <v>74237</v>
      </c>
      <c r="AP111" s="8">
        <v>0</v>
      </c>
      <c r="AT111" s="8">
        <v>0</v>
      </c>
      <c r="AV111" s="8">
        <v>0</v>
      </c>
      <c r="AX111" s="8">
        <v>0</v>
      </c>
      <c r="AZ111" s="8">
        <f t="shared" si="11"/>
        <v>5045961</v>
      </c>
      <c r="BB111" s="8">
        <v>34149</v>
      </c>
      <c r="BH111" s="8">
        <v>0</v>
      </c>
      <c r="BJ111" s="8">
        <f t="shared" si="10"/>
        <v>5080110</v>
      </c>
      <c r="BL111" s="8">
        <f>+GenRev!AM111-GenExp!BJ111</f>
        <v>-230357</v>
      </c>
      <c r="BN111" s="8">
        <v>577709</v>
      </c>
      <c r="BP111" s="8">
        <v>0</v>
      </c>
      <c r="BS111" s="8">
        <f t="shared" si="12"/>
        <v>347352</v>
      </c>
      <c r="BU111" s="9">
        <f>+BS111-'Gen Fd BS'!AA111+BQ111</f>
        <v>0</v>
      </c>
    </row>
    <row r="112" spans="1:75">
      <c r="A112" s="13" t="s">
        <v>694</v>
      </c>
      <c r="B112" s="13"/>
      <c r="C112" s="13" t="s">
        <v>65</v>
      </c>
      <c r="D112" s="13"/>
      <c r="E112" s="32">
        <v>43778</v>
      </c>
      <c r="G112" s="8">
        <v>8114157</v>
      </c>
      <c r="I112" s="8">
        <v>1780371</v>
      </c>
      <c r="K112" s="8">
        <v>240539</v>
      </c>
      <c r="M112" s="8">
        <v>0</v>
      </c>
      <c r="O112" s="8">
        <v>811550</v>
      </c>
      <c r="Q112" s="8">
        <v>832398</v>
      </c>
      <c r="S112" s="8">
        <v>24539</v>
      </c>
      <c r="U112" s="8">
        <v>1363240</v>
      </c>
      <c r="W112" s="8">
        <v>354744</v>
      </c>
      <c r="Y112" s="8">
        <v>36399</v>
      </c>
      <c r="AA112" s="8">
        <v>1856982</v>
      </c>
      <c r="AC112" s="8">
        <v>772966</v>
      </c>
      <c r="AE112" s="8">
        <v>365030</v>
      </c>
      <c r="AG112" s="8">
        <v>0</v>
      </c>
      <c r="AI112" s="8">
        <v>0</v>
      </c>
      <c r="AJ112" s="13" t="s">
        <v>694</v>
      </c>
      <c r="AK112" s="13"/>
      <c r="AL112" s="13" t="s">
        <v>65</v>
      </c>
      <c r="AN112" s="8">
        <v>337843</v>
      </c>
      <c r="AP112" s="8">
        <v>32477</v>
      </c>
      <c r="AT112" s="8">
        <v>37413</v>
      </c>
      <c r="AV112" s="8">
        <v>9104</v>
      </c>
      <c r="AX112" s="8">
        <v>0</v>
      </c>
      <c r="AZ112" s="8">
        <f t="shared" si="11"/>
        <v>16969752</v>
      </c>
      <c r="BB112" s="8">
        <v>0</v>
      </c>
      <c r="BH112" s="8">
        <v>0</v>
      </c>
      <c r="BJ112" s="8">
        <f t="shared" si="10"/>
        <v>16969752</v>
      </c>
      <c r="BL112" s="8">
        <f>+GenRev!AM112-GenExp!BJ112</f>
        <v>-242043</v>
      </c>
      <c r="BN112" s="8">
        <v>1941138</v>
      </c>
      <c r="BP112" s="8">
        <v>0</v>
      </c>
      <c r="BS112" s="8">
        <f t="shared" si="12"/>
        <v>1699095</v>
      </c>
      <c r="BU112" s="9">
        <f>+BS112-'Gen Fd BS'!AA112+BQ112</f>
        <v>0</v>
      </c>
    </row>
    <row r="113" spans="1:75" s="35" customFormat="1">
      <c r="A113" s="34" t="s">
        <v>609</v>
      </c>
      <c r="B113" s="34"/>
      <c r="C113" s="34" t="s">
        <v>112</v>
      </c>
      <c r="D113" s="34"/>
      <c r="E113" s="34">
        <v>49411</v>
      </c>
      <c r="G113" s="8">
        <v>5850002</v>
      </c>
      <c r="H113" s="8"/>
      <c r="I113" s="8">
        <v>1205891</v>
      </c>
      <c r="J113" s="8"/>
      <c r="K113" s="8">
        <v>141604</v>
      </c>
      <c r="L113" s="8"/>
      <c r="M113" s="8">
        <v>649684</v>
      </c>
      <c r="N113" s="8"/>
      <c r="O113" s="8">
        <v>440016</v>
      </c>
      <c r="P113" s="8"/>
      <c r="Q113" s="8">
        <v>451372</v>
      </c>
      <c r="R113" s="8"/>
      <c r="S113" s="8">
        <v>34066</v>
      </c>
      <c r="T113" s="8"/>
      <c r="U113" s="8">
        <v>840440</v>
      </c>
      <c r="V113" s="8"/>
      <c r="W113" s="8">
        <v>288160</v>
      </c>
      <c r="X113" s="8"/>
      <c r="Y113" s="8">
        <v>0</v>
      </c>
      <c r="Z113" s="8"/>
      <c r="AA113" s="8">
        <v>1511476</v>
      </c>
      <c r="AB113" s="8"/>
      <c r="AC113" s="8">
        <v>1013823</v>
      </c>
      <c r="AD113" s="8"/>
      <c r="AE113" s="8">
        <v>73765</v>
      </c>
      <c r="AF113" s="8"/>
      <c r="AG113" s="8">
        <v>0</v>
      </c>
      <c r="AH113" s="8"/>
      <c r="AI113" s="8">
        <v>24209</v>
      </c>
      <c r="AJ113" s="34" t="s">
        <v>609</v>
      </c>
      <c r="AK113" s="34"/>
      <c r="AL113" s="34" t="s">
        <v>112</v>
      </c>
      <c r="AN113" s="8">
        <v>332925</v>
      </c>
      <c r="AO113" s="8"/>
      <c r="AP113" s="8">
        <v>0</v>
      </c>
      <c r="AQ113" s="8"/>
      <c r="AR113" s="8"/>
      <c r="AS113" s="8"/>
      <c r="AT113" s="8">
        <v>0</v>
      </c>
      <c r="AU113" s="8"/>
      <c r="AV113" s="8">
        <v>0</v>
      </c>
      <c r="AW113" s="8"/>
      <c r="AX113" s="8">
        <v>0</v>
      </c>
      <c r="AY113" s="8"/>
      <c r="AZ113" s="8">
        <f t="shared" si="11"/>
        <v>12857433</v>
      </c>
      <c r="BA113" s="8"/>
      <c r="BB113" s="8">
        <v>25000</v>
      </c>
      <c r="BC113" s="8"/>
      <c r="BD113" s="8"/>
      <c r="BE113" s="8"/>
      <c r="BF113" s="8"/>
      <c r="BG113" s="8"/>
      <c r="BH113" s="8">
        <v>0</v>
      </c>
      <c r="BI113" s="8"/>
      <c r="BJ113" s="8">
        <f t="shared" si="10"/>
        <v>12882433</v>
      </c>
      <c r="BK113" s="8"/>
      <c r="BL113" s="8">
        <f>+GenRev!AM113-GenExp!BJ113</f>
        <v>983714</v>
      </c>
      <c r="BM113" s="8"/>
      <c r="BN113" s="8">
        <v>4715005</v>
      </c>
      <c r="BO113" s="8"/>
      <c r="BP113" s="8">
        <v>-15933</v>
      </c>
      <c r="BQ113" s="8"/>
      <c r="BR113" s="8"/>
      <c r="BS113" s="8">
        <f t="shared" si="12"/>
        <v>5714652</v>
      </c>
      <c r="BU113" s="44">
        <f>+BS113-'Gen Fd BS'!AA113+BQ113</f>
        <v>0</v>
      </c>
    </row>
    <row r="114" spans="1:75">
      <c r="A114" s="13" t="s">
        <v>485</v>
      </c>
      <c r="B114" s="13"/>
      <c r="C114" s="13" t="s">
        <v>44</v>
      </c>
      <c r="D114" s="13"/>
      <c r="E114" s="32">
        <v>48132</v>
      </c>
      <c r="G114" s="8">
        <v>6288280</v>
      </c>
      <c r="I114" s="8">
        <v>797522</v>
      </c>
      <c r="K114" s="8">
        <v>173377</v>
      </c>
      <c r="M114" s="8">
        <v>0</v>
      </c>
      <c r="O114" s="8">
        <v>689679</v>
      </c>
      <c r="Q114" s="8">
        <v>548981</v>
      </c>
      <c r="S114" s="8">
        <v>49124</v>
      </c>
      <c r="U114" s="8">
        <v>1039722</v>
      </c>
      <c r="W114" s="8">
        <v>348643</v>
      </c>
      <c r="Y114" s="8">
        <v>150095</v>
      </c>
      <c r="AA114" s="8">
        <v>1615969</v>
      </c>
      <c r="AC114" s="8">
        <v>368827</v>
      </c>
      <c r="AE114" s="8">
        <v>110822</v>
      </c>
      <c r="AG114" s="8">
        <v>0</v>
      </c>
      <c r="AI114" s="8">
        <v>0</v>
      </c>
      <c r="AJ114" s="13" t="s">
        <v>485</v>
      </c>
      <c r="AK114" s="13"/>
      <c r="AL114" s="13" t="s">
        <v>44</v>
      </c>
      <c r="AN114" s="8">
        <v>275375</v>
      </c>
      <c r="AP114" s="8">
        <v>0</v>
      </c>
      <c r="AT114" s="8">
        <v>100087</v>
      </c>
      <c r="AV114" s="8">
        <v>12836</v>
      </c>
      <c r="AX114" s="8">
        <v>0</v>
      </c>
      <c r="AZ114" s="8">
        <f t="shared" si="11"/>
        <v>12569339</v>
      </c>
      <c r="BB114" s="8">
        <v>17210</v>
      </c>
      <c r="BH114" s="8">
        <v>0</v>
      </c>
      <c r="BJ114" s="8">
        <f t="shared" si="10"/>
        <v>12586549</v>
      </c>
      <c r="BL114" s="8">
        <f>+GenRev!AM114-GenExp!BJ114</f>
        <v>590167</v>
      </c>
      <c r="BN114" s="8">
        <v>-977256</v>
      </c>
      <c r="BP114" s="8">
        <v>0</v>
      </c>
      <c r="BS114" s="8">
        <f t="shared" si="12"/>
        <v>-387089</v>
      </c>
      <c r="BU114" s="9">
        <f>+BS114-'Gen Fd BS'!AA114+BQ114</f>
        <v>0</v>
      </c>
    </row>
    <row r="115" spans="1:75">
      <c r="A115" s="13" t="s">
        <v>911</v>
      </c>
      <c r="B115" s="13"/>
      <c r="C115" s="13" t="s">
        <v>115</v>
      </c>
      <c r="D115" s="13"/>
      <c r="E115" s="32"/>
      <c r="G115" s="8">
        <v>7067729</v>
      </c>
      <c r="I115" s="8">
        <v>1456066</v>
      </c>
      <c r="K115" s="8">
        <v>0</v>
      </c>
      <c r="M115" s="8">
        <v>208899</v>
      </c>
      <c r="O115" s="8">
        <v>786106</v>
      </c>
      <c r="Q115" s="8">
        <v>652125</v>
      </c>
      <c r="S115" s="8">
        <v>64154</v>
      </c>
      <c r="U115" s="8">
        <v>1341436</v>
      </c>
      <c r="W115" s="8">
        <v>513495</v>
      </c>
      <c r="Y115" s="8">
        <v>52529</v>
      </c>
      <c r="AA115" s="8">
        <v>1703575</v>
      </c>
      <c r="AC115" s="8">
        <v>1541144</v>
      </c>
      <c r="AE115" s="8">
        <v>120091</v>
      </c>
      <c r="AG115" s="8">
        <v>0</v>
      </c>
      <c r="AI115" s="8">
        <v>0</v>
      </c>
      <c r="AJ115" s="13" t="s">
        <v>911</v>
      </c>
      <c r="AK115" s="13"/>
      <c r="AL115" s="13" t="s">
        <v>115</v>
      </c>
      <c r="AN115" s="8">
        <v>7946</v>
      </c>
      <c r="AP115" s="8">
        <v>0</v>
      </c>
      <c r="AT115" s="8">
        <v>0</v>
      </c>
      <c r="AV115" s="8">
        <v>0</v>
      </c>
      <c r="AX115" s="8">
        <v>0</v>
      </c>
      <c r="AZ115" s="8">
        <f t="shared" si="11"/>
        <v>15515295</v>
      </c>
      <c r="BB115" s="8">
        <v>533236</v>
      </c>
      <c r="BH115" s="8">
        <v>0</v>
      </c>
      <c r="BJ115" s="8">
        <f t="shared" si="10"/>
        <v>16048531</v>
      </c>
      <c r="BL115" s="8">
        <f>+GenRev!AM115-GenExp!BJ115</f>
        <v>-130166</v>
      </c>
      <c r="BN115" s="8">
        <v>982809</v>
      </c>
      <c r="BP115" s="8">
        <v>0</v>
      </c>
      <c r="BS115" s="8">
        <f t="shared" si="12"/>
        <v>852643</v>
      </c>
      <c r="BU115" s="9">
        <f>+BS115-'Gen Fd BS'!AA115+BQ115</f>
        <v>0</v>
      </c>
    </row>
    <row r="116" spans="1:75">
      <c r="A116" s="13" t="s">
        <v>908</v>
      </c>
      <c r="B116" s="13"/>
      <c r="C116" s="13" t="s">
        <v>20</v>
      </c>
      <c r="D116" s="13"/>
      <c r="E116" s="32">
        <v>43794</v>
      </c>
      <c r="G116" s="8">
        <v>32496631</v>
      </c>
      <c r="I116" s="8">
        <v>8993395</v>
      </c>
      <c r="K116" s="8">
        <v>1794092</v>
      </c>
      <c r="M116" s="8">
        <f>24803+3552064</f>
        <v>3576867</v>
      </c>
      <c r="O116" s="8">
        <v>7997288</v>
      </c>
      <c r="Q116" s="8">
        <v>4339143</v>
      </c>
      <c r="S116" s="8">
        <v>460684</v>
      </c>
      <c r="U116" s="8">
        <v>6093554</v>
      </c>
      <c r="W116" s="8">
        <v>2123989</v>
      </c>
      <c r="Y116" s="8">
        <v>1539458</v>
      </c>
      <c r="AA116" s="8">
        <v>10988251</v>
      </c>
      <c r="AC116" s="8">
        <v>4142515</v>
      </c>
      <c r="AE116" s="8">
        <v>3404843</v>
      </c>
      <c r="AG116" s="8">
        <v>0</v>
      </c>
      <c r="AI116" s="8">
        <f>8772+115736</f>
        <v>124508</v>
      </c>
      <c r="AJ116" s="13" t="s">
        <v>908</v>
      </c>
      <c r="AK116" s="13"/>
      <c r="AL116" s="13" t="s">
        <v>20</v>
      </c>
      <c r="AN116" s="8">
        <v>1269041</v>
      </c>
      <c r="AP116" s="8">
        <v>0</v>
      </c>
      <c r="AT116" s="8">
        <v>490528</v>
      </c>
      <c r="AV116" s="8">
        <v>59470</v>
      </c>
      <c r="AX116" s="8">
        <v>0</v>
      </c>
      <c r="AZ116" s="8">
        <f t="shared" si="11"/>
        <v>89894257</v>
      </c>
      <c r="BB116" s="8">
        <v>1605640</v>
      </c>
      <c r="BH116" s="8">
        <v>0</v>
      </c>
      <c r="BJ116" s="8">
        <f t="shared" si="10"/>
        <v>91499897</v>
      </c>
      <c r="BL116" s="8">
        <f>+GenRev!AM116-GenExp!BJ116</f>
        <v>1396604</v>
      </c>
      <c r="BN116" s="8">
        <v>64930564</v>
      </c>
      <c r="BP116" s="8">
        <v>0</v>
      </c>
      <c r="BS116" s="8">
        <f t="shared" si="12"/>
        <v>66327168</v>
      </c>
      <c r="BU116" s="9">
        <f>+BS116-'Gen Fd BS'!AA116+BQ116</f>
        <v>0</v>
      </c>
    </row>
    <row r="117" spans="1:75">
      <c r="A117" s="13" t="s">
        <v>303</v>
      </c>
      <c r="B117" s="13"/>
      <c r="C117" s="13" t="s">
        <v>20</v>
      </c>
      <c r="D117" s="13"/>
      <c r="E117" s="32">
        <v>43786</v>
      </c>
      <c r="G117" s="8">
        <v>284981541</v>
      </c>
      <c r="I117" s="8">
        <v>117157115</v>
      </c>
      <c r="K117" s="8">
        <v>10248334</v>
      </c>
      <c r="M117" s="8">
        <f>373443+2290956</f>
        <v>2664399</v>
      </c>
      <c r="O117" s="8">
        <v>30661292</v>
      </c>
      <c r="Q117" s="8">
        <v>22542031</v>
      </c>
      <c r="S117" s="8">
        <v>277992</v>
      </c>
      <c r="U117" s="8">
        <v>38623264</v>
      </c>
      <c r="W117" s="8">
        <v>11077293</v>
      </c>
      <c r="Y117" s="8">
        <v>2657905</v>
      </c>
      <c r="AA117" s="8">
        <v>49941047</v>
      </c>
      <c r="AC117" s="8">
        <v>29540667</v>
      </c>
      <c r="AE117" s="8">
        <v>18441467</v>
      </c>
      <c r="AG117" s="8">
        <v>0</v>
      </c>
      <c r="AI117" s="8">
        <v>2912283</v>
      </c>
      <c r="AJ117" s="13" t="s">
        <v>303</v>
      </c>
      <c r="AK117" s="13"/>
      <c r="AL117" s="13" t="s">
        <v>20</v>
      </c>
      <c r="AN117" s="8">
        <v>6084380</v>
      </c>
      <c r="AP117" s="8">
        <v>17014</v>
      </c>
      <c r="AT117" s="8">
        <v>1870919</v>
      </c>
      <c r="AV117" s="8">
        <v>595421</v>
      </c>
      <c r="AX117" s="8">
        <v>0</v>
      </c>
      <c r="AZ117" s="8">
        <f t="shared" si="11"/>
        <v>630294364</v>
      </c>
      <c r="BB117" s="8">
        <v>3770394</v>
      </c>
      <c r="BH117" s="8">
        <v>0</v>
      </c>
      <c r="BJ117" s="8">
        <f t="shared" si="10"/>
        <v>634064758</v>
      </c>
      <c r="BL117" s="8">
        <f>+GenRev!AM117-GenExp!BJ117</f>
        <v>-40108964</v>
      </c>
      <c r="BN117" s="8">
        <v>56855465</v>
      </c>
      <c r="BP117" s="8">
        <v>0</v>
      </c>
      <c r="BS117" s="8">
        <f t="shared" si="12"/>
        <v>16746501</v>
      </c>
      <c r="BU117" s="9">
        <f>+BS117-'Gen Fd BS'!AA117+BQ117</f>
        <v>0</v>
      </c>
    </row>
    <row r="118" spans="1:75">
      <c r="A118" s="13" t="s">
        <v>275</v>
      </c>
      <c r="B118" s="13"/>
      <c r="C118" s="13" t="s">
        <v>18</v>
      </c>
      <c r="D118" s="13"/>
      <c r="E118" s="32">
        <v>46391</v>
      </c>
      <c r="F118" s="11"/>
      <c r="G118" s="8">
        <v>6320237</v>
      </c>
      <c r="I118" s="8">
        <v>1062904</v>
      </c>
      <c r="K118" s="8">
        <v>0</v>
      </c>
      <c r="M118" s="8">
        <v>951562</v>
      </c>
      <c r="O118" s="8">
        <v>882037</v>
      </c>
      <c r="Q118" s="8">
        <v>1014301</v>
      </c>
      <c r="S118" s="8">
        <v>17452</v>
      </c>
      <c r="U118" s="8">
        <v>924740</v>
      </c>
      <c r="W118" s="8">
        <v>432780</v>
      </c>
      <c r="Y118" s="8">
        <v>37986</v>
      </c>
      <c r="AA118" s="8">
        <v>1408902</v>
      </c>
      <c r="AC118" s="8">
        <v>839035</v>
      </c>
      <c r="AE118" s="8">
        <v>18</v>
      </c>
      <c r="AG118" s="8">
        <v>0</v>
      </c>
      <c r="AI118" s="8">
        <v>4000</v>
      </c>
      <c r="AJ118" s="13" t="s">
        <v>275</v>
      </c>
      <c r="AK118" s="13"/>
      <c r="AL118" s="13" t="s">
        <v>18</v>
      </c>
      <c r="AN118" s="8">
        <v>421910</v>
      </c>
      <c r="AP118" s="8">
        <f>113672+281387</f>
        <v>395059</v>
      </c>
      <c r="AT118" s="8">
        <v>73859</v>
      </c>
      <c r="AV118" s="8">
        <v>467</v>
      </c>
      <c r="AX118" s="8">
        <v>0</v>
      </c>
      <c r="AZ118" s="8">
        <f t="shared" si="11"/>
        <v>14787249</v>
      </c>
      <c r="BB118" s="8">
        <v>0</v>
      </c>
      <c r="BH118" s="8">
        <v>0</v>
      </c>
      <c r="BJ118" s="8">
        <f t="shared" si="10"/>
        <v>14787249</v>
      </c>
      <c r="BL118" s="8">
        <f>+GenRev!AM118-GenExp!BJ118</f>
        <v>-418699</v>
      </c>
      <c r="BN118" s="8">
        <v>2761411</v>
      </c>
      <c r="BP118" s="8">
        <v>0</v>
      </c>
      <c r="BS118" s="8">
        <f t="shared" si="12"/>
        <v>2342712</v>
      </c>
      <c r="BU118" s="9">
        <f>+BS118-'Gen Fd BS'!AA118+BQ118</f>
        <v>0</v>
      </c>
    </row>
    <row r="119" spans="1:75">
      <c r="A119" s="13" t="s">
        <v>527</v>
      </c>
      <c r="B119" s="13"/>
      <c r="C119" s="13" t="s">
        <v>47</v>
      </c>
      <c r="D119" s="13"/>
      <c r="E119" s="13">
        <v>48488</v>
      </c>
      <c r="G119" s="8">
        <v>16133267</v>
      </c>
      <c r="I119" s="8">
        <v>0</v>
      </c>
      <c r="K119" s="8">
        <v>0</v>
      </c>
      <c r="M119" s="8">
        <v>0</v>
      </c>
      <c r="O119" s="8">
        <v>1167759</v>
      </c>
      <c r="Q119" s="8">
        <v>1511326</v>
      </c>
      <c r="S119" s="8">
        <v>37979</v>
      </c>
      <c r="U119" s="8">
        <v>1728110</v>
      </c>
      <c r="W119" s="8">
        <v>691407</v>
      </c>
      <c r="Y119" s="8">
        <v>452037</v>
      </c>
      <c r="AA119" s="8">
        <v>2361816</v>
      </c>
      <c r="AC119" s="8">
        <v>2186886</v>
      </c>
      <c r="AE119" s="8">
        <v>208433</v>
      </c>
      <c r="AG119" s="8">
        <v>0</v>
      </c>
      <c r="AI119" s="8">
        <v>100541</v>
      </c>
      <c r="AJ119" s="13" t="s">
        <v>527</v>
      </c>
      <c r="AK119" s="13"/>
      <c r="AL119" s="13" t="s">
        <v>47</v>
      </c>
      <c r="AN119" s="8">
        <v>525637</v>
      </c>
      <c r="AP119" s="8">
        <v>0</v>
      </c>
      <c r="AT119" s="8">
        <v>0</v>
      </c>
      <c r="AV119" s="8">
        <v>10267</v>
      </c>
      <c r="AX119" s="8">
        <v>0</v>
      </c>
      <c r="AZ119" s="8">
        <f t="shared" si="11"/>
        <v>27115465</v>
      </c>
      <c r="BB119" s="8">
        <v>287552</v>
      </c>
      <c r="BH119" s="8">
        <v>0</v>
      </c>
      <c r="BJ119" s="8">
        <f t="shared" ref="BJ119:BJ150" si="13">+AZ119+BB119+BD119+BH119</f>
        <v>27403017</v>
      </c>
      <c r="BL119" s="8">
        <f>+GenRev!AM119-GenExp!BJ119</f>
        <v>357346</v>
      </c>
      <c r="BN119" s="8">
        <v>-1524898</v>
      </c>
      <c r="BP119" s="8">
        <v>0</v>
      </c>
      <c r="BS119" s="8">
        <f t="shared" si="12"/>
        <v>-1167552</v>
      </c>
      <c r="BU119" s="9">
        <f>+BS119-'Gen Fd BS'!AA119+BQ119</f>
        <v>0</v>
      </c>
      <c r="BW119" s="8" t="s">
        <v>913</v>
      </c>
    </row>
    <row r="120" spans="1:75">
      <c r="A120" s="13" t="s">
        <v>622</v>
      </c>
      <c r="B120" s="13"/>
      <c r="C120" s="13" t="s">
        <v>79</v>
      </c>
      <c r="D120" s="13"/>
      <c r="E120" s="32">
        <v>45302</v>
      </c>
      <c r="G120" s="8">
        <v>9597583</v>
      </c>
      <c r="I120" s="8">
        <v>1939886</v>
      </c>
      <c r="K120" s="8">
        <v>1377</v>
      </c>
      <c r="M120" s="8">
        <v>587932</v>
      </c>
      <c r="O120" s="8">
        <v>1092486</v>
      </c>
      <c r="Q120" s="8">
        <v>574394</v>
      </c>
      <c r="S120" s="8">
        <v>28055</v>
      </c>
      <c r="U120" s="8">
        <v>1616074</v>
      </c>
      <c r="W120" s="8">
        <v>575883</v>
      </c>
      <c r="Y120" s="8">
        <v>8807</v>
      </c>
      <c r="AA120" s="8">
        <v>1794008</v>
      </c>
      <c r="AC120" s="8">
        <v>909066</v>
      </c>
      <c r="AE120" s="8">
        <v>43121</v>
      </c>
      <c r="AG120" s="8">
        <v>0</v>
      </c>
      <c r="AI120" s="8">
        <v>0</v>
      </c>
      <c r="AJ120" s="13" t="s">
        <v>622</v>
      </c>
      <c r="AK120" s="13"/>
      <c r="AL120" s="13" t="s">
        <v>79</v>
      </c>
      <c r="AN120" s="8">
        <v>454500</v>
      </c>
      <c r="AP120" s="8">
        <v>2341</v>
      </c>
      <c r="AT120" s="8">
        <v>80403</v>
      </c>
      <c r="AV120" s="8">
        <v>5023</v>
      </c>
      <c r="AX120" s="8">
        <v>0</v>
      </c>
      <c r="AZ120" s="8">
        <f t="shared" si="11"/>
        <v>19310939</v>
      </c>
      <c r="BB120" s="8">
        <v>115000</v>
      </c>
      <c r="BH120" s="8">
        <v>0</v>
      </c>
      <c r="BJ120" s="8">
        <f t="shared" si="13"/>
        <v>19425939</v>
      </c>
      <c r="BL120" s="8">
        <f>+GenRev!AM120-GenExp!BJ120</f>
        <v>-677830</v>
      </c>
      <c r="BN120" s="8">
        <v>2732237</v>
      </c>
      <c r="BP120" s="8">
        <v>5528</v>
      </c>
      <c r="BS120" s="8">
        <f t="shared" si="12"/>
        <v>2048879</v>
      </c>
      <c r="BU120" s="9">
        <f>+BS120-'Gen Fd BS'!AA120+BQ120</f>
        <v>0</v>
      </c>
    </row>
    <row r="121" spans="1:75" hidden="1">
      <c r="A121" s="13" t="s">
        <v>914</v>
      </c>
      <c r="B121" s="13"/>
      <c r="C121" s="13" t="s">
        <v>534</v>
      </c>
      <c r="D121" s="13"/>
      <c r="E121" s="32"/>
      <c r="G121" s="8">
        <v>6248306</v>
      </c>
      <c r="I121" s="8">
        <v>1439391</v>
      </c>
      <c r="K121" s="8">
        <v>640304</v>
      </c>
      <c r="O121" s="8">
        <v>406965</v>
      </c>
      <c r="Q121" s="8">
        <v>294213</v>
      </c>
      <c r="S121" s="8">
        <v>18977</v>
      </c>
      <c r="U121" s="8">
        <v>1042152</v>
      </c>
      <c r="W121" s="8">
        <v>317493</v>
      </c>
      <c r="AA121" s="8">
        <v>975430</v>
      </c>
      <c r="AC121" s="8">
        <v>363008</v>
      </c>
      <c r="AE121" s="8">
        <v>26094</v>
      </c>
      <c r="AG121" s="8">
        <v>0</v>
      </c>
      <c r="AI121" s="8">
        <v>160</v>
      </c>
      <c r="AJ121" s="13" t="s">
        <v>914</v>
      </c>
      <c r="AK121" s="13"/>
      <c r="AL121" s="13" t="s">
        <v>534</v>
      </c>
      <c r="AN121" s="8">
        <v>289813</v>
      </c>
      <c r="AP121" s="8">
        <v>1658</v>
      </c>
      <c r="AT121" s="8">
        <v>32000</v>
      </c>
      <c r="AV121" s="8">
        <v>5400</v>
      </c>
      <c r="AX121" s="8">
        <v>0</v>
      </c>
      <c r="AZ121" s="8">
        <f t="shared" si="11"/>
        <v>12101364</v>
      </c>
      <c r="BH121" s="8">
        <v>0</v>
      </c>
      <c r="BJ121" s="8">
        <f t="shared" si="13"/>
        <v>12101364</v>
      </c>
      <c r="BL121" s="8">
        <f>+GenRev!AM121-GenExp!BJ121</f>
        <v>-114028</v>
      </c>
      <c r="BN121" s="8">
        <v>2477641</v>
      </c>
      <c r="BS121" s="8">
        <f t="shared" si="12"/>
        <v>2363613</v>
      </c>
      <c r="BU121" s="9">
        <f>+BS121-'Gen Fd BS'!AA121+BQ121</f>
        <v>-63878</v>
      </c>
    </row>
    <row r="122" spans="1:75" hidden="1">
      <c r="A122" s="12" t="s">
        <v>829</v>
      </c>
      <c r="B122" s="13"/>
      <c r="C122" s="13" t="s">
        <v>57</v>
      </c>
      <c r="D122" s="13"/>
      <c r="E122" s="32">
        <v>64964</v>
      </c>
      <c r="G122" s="8">
        <v>465425</v>
      </c>
      <c r="I122" s="8">
        <v>148554</v>
      </c>
      <c r="O122" s="8">
        <v>16409</v>
      </c>
      <c r="Q122" s="8">
        <v>554</v>
      </c>
      <c r="S122" s="8">
        <v>18033</v>
      </c>
      <c r="U122" s="8">
        <v>74670</v>
      </c>
      <c r="W122" s="8">
        <v>70180</v>
      </c>
      <c r="AA122" s="8">
        <v>23609</v>
      </c>
      <c r="AE122" s="8">
        <v>3704</v>
      </c>
      <c r="AG122" s="8">
        <v>0</v>
      </c>
      <c r="AI122" s="8">
        <v>4190</v>
      </c>
      <c r="AJ122" s="13" t="s">
        <v>598</v>
      </c>
      <c r="AK122" s="13"/>
      <c r="AL122" s="13" t="s">
        <v>57</v>
      </c>
      <c r="AX122" s="8">
        <v>0</v>
      </c>
      <c r="AZ122" s="8">
        <f t="shared" si="11"/>
        <v>825328</v>
      </c>
      <c r="BB122" s="8">
        <v>141</v>
      </c>
      <c r="BH122" s="8">
        <v>0</v>
      </c>
      <c r="BJ122" s="8">
        <f t="shared" si="13"/>
        <v>825469</v>
      </c>
      <c r="BL122" s="8">
        <f>+GenRev!AM122-GenExp!BJ122</f>
        <v>337419</v>
      </c>
      <c r="BN122" s="8">
        <v>1800250</v>
      </c>
      <c r="BS122" s="8">
        <f t="shared" si="12"/>
        <v>2137669</v>
      </c>
      <c r="BU122" s="9">
        <f>+BS122-'Gen Fd BS'!AA122+BQ122</f>
        <v>0</v>
      </c>
    </row>
    <row r="123" spans="1:75">
      <c r="A123" s="13" t="s">
        <v>292</v>
      </c>
      <c r="B123" s="13"/>
      <c r="C123" s="13" t="s">
        <v>113</v>
      </c>
      <c r="D123" s="13"/>
      <c r="E123" s="32">
        <v>46516</v>
      </c>
      <c r="G123" s="8">
        <v>3801254</v>
      </c>
      <c r="I123" s="8">
        <v>837792</v>
      </c>
      <c r="K123" s="8">
        <v>18242</v>
      </c>
      <c r="M123" s="8">
        <v>5115</v>
      </c>
      <c r="O123" s="8">
        <v>432429</v>
      </c>
      <c r="Q123" s="8">
        <v>260099</v>
      </c>
      <c r="S123" s="8">
        <v>24545</v>
      </c>
      <c r="U123" s="8">
        <v>568139</v>
      </c>
      <c r="W123" s="8">
        <v>370337</v>
      </c>
      <c r="Y123" s="8">
        <v>52</v>
      </c>
      <c r="AA123" s="8">
        <v>1107749</v>
      </c>
      <c r="AC123" s="8">
        <v>919920</v>
      </c>
      <c r="AE123" s="8">
        <v>56581</v>
      </c>
      <c r="AG123" s="8">
        <v>0</v>
      </c>
      <c r="AI123" s="8">
        <v>31164</v>
      </c>
      <c r="AJ123" s="13" t="s">
        <v>292</v>
      </c>
      <c r="AK123" s="13"/>
      <c r="AL123" s="13" t="s">
        <v>113</v>
      </c>
      <c r="AN123" s="8">
        <v>280599</v>
      </c>
      <c r="AP123" s="8">
        <v>39348</v>
      </c>
      <c r="AT123" s="8">
        <v>9453</v>
      </c>
      <c r="AV123" s="8">
        <v>7316</v>
      </c>
      <c r="AX123" s="8">
        <v>0</v>
      </c>
      <c r="AZ123" s="8">
        <f t="shared" si="11"/>
        <v>8770134</v>
      </c>
      <c r="BB123" s="8">
        <v>226464</v>
      </c>
      <c r="BH123" s="8">
        <v>0</v>
      </c>
      <c r="BJ123" s="8">
        <f t="shared" si="13"/>
        <v>8996598</v>
      </c>
      <c r="BL123" s="8">
        <f>+GenRev!AM123-GenExp!BJ123</f>
        <v>-110250</v>
      </c>
      <c r="BN123" s="8">
        <v>1266762</v>
      </c>
      <c r="BP123" s="8">
        <v>0</v>
      </c>
      <c r="BS123" s="8">
        <f t="shared" si="12"/>
        <v>1156512</v>
      </c>
      <c r="BU123" s="9">
        <f>+BS123-'Gen Fd BS'!AA123+BQ123</f>
        <v>0</v>
      </c>
    </row>
    <row r="124" spans="1:75">
      <c r="A124" s="13" t="s">
        <v>486</v>
      </c>
      <c r="B124" s="13"/>
      <c r="C124" s="13" t="s">
        <v>44</v>
      </c>
      <c r="D124" s="13"/>
      <c r="E124" s="32">
        <v>48140</v>
      </c>
      <c r="G124" s="8">
        <v>5137176</v>
      </c>
      <c r="I124" s="8">
        <v>776316</v>
      </c>
      <c r="K124" s="8">
        <v>83644</v>
      </c>
      <c r="M124" s="8">
        <v>476412</v>
      </c>
      <c r="O124" s="8">
        <v>422742</v>
      </c>
      <c r="Q124" s="8">
        <v>331412</v>
      </c>
      <c r="S124" s="8">
        <v>28020</v>
      </c>
      <c r="U124" s="8">
        <v>918197</v>
      </c>
      <c r="W124" s="8">
        <v>361433</v>
      </c>
      <c r="Y124" s="8">
        <v>0</v>
      </c>
      <c r="AA124" s="8">
        <v>1057052</v>
      </c>
      <c r="AC124" s="8">
        <v>745760</v>
      </c>
      <c r="AE124" s="8">
        <v>111455</v>
      </c>
      <c r="AG124" s="8">
        <v>0</v>
      </c>
      <c r="AI124" s="8">
        <v>0</v>
      </c>
      <c r="AJ124" s="13" t="s">
        <v>486</v>
      </c>
      <c r="AK124" s="13"/>
      <c r="AL124" s="13" t="s">
        <v>44</v>
      </c>
      <c r="AN124" s="8">
        <v>318976</v>
      </c>
      <c r="AP124" s="8">
        <v>77320</v>
      </c>
      <c r="AT124" s="8">
        <v>10320</v>
      </c>
      <c r="AV124" s="8">
        <v>4675</v>
      </c>
      <c r="AX124" s="8">
        <v>0</v>
      </c>
      <c r="AZ124" s="8">
        <f t="shared" si="11"/>
        <v>10860910</v>
      </c>
      <c r="BB124" s="8">
        <v>67600</v>
      </c>
      <c r="BH124" s="8">
        <v>0</v>
      </c>
      <c r="BJ124" s="8">
        <f t="shared" si="13"/>
        <v>10928510</v>
      </c>
      <c r="BL124" s="8">
        <f>+GenRev!AM124-GenExp!BJ124</f>
        <v>-1085757</v>
      </c>
      <c r="BN124" s="8">
        <v>2128203</v>
      </c>
      <c r="BP124" s="8">
        <v>0</v>
      </c>
      <c r="BS124" s="8">
        <f t="shared" si="12"/>
        <v>1042446</v>
      </c>
      <c r="BU124" s="9">
        <f>+BS124-'Gen Fd BS'!AA124+BQ124</f>
        <v>0</v>
      </c>
    </row>
    <row r="125" spans="1:75">
      <c r="A125" s="13" t="s">
        <v>279</v>
      </c>
      <c r="B125" s="13"/>
      <c r="C125" s="13" t="s">
        <v>114</v>
      </c>
      <c r="D125" s="13"/>
      <c r="E125" s="32">
        <v>45328</v>
      </c>
      <c r="F125" s="11"/>
      <c r="G125" s="8">
        <v>4767345</v>
      </c>
      <c r="I125" s="8">
        <v>1076487</v>
      </c>
      <c r="K125" s="8">
        <v>0</v>
      </c>
      <c r="M125" s="8">
        <v>69029</v>
      </c>
      <c r="O125" s="8">
        <v>291026</v>
      </c>
      <c r="Q125" s="8">
        <v>98482</v>
      </c>
      <c r="S125" s="8">
        <v>21057</v>
      </c>
      <c r="U125" s="8">
        <v>680576</v>
      </c>
      <c r="W125" s="8">
        <v>327256</v>
      </c>
      <c r="Y125" s="8">
        <v>0</v>
      </c>
      <c r="AA125" s="8">
        <v>660162</v>
      </c>
      <c r="AC125" s="8">
        <v>266394</v>
      </c>
      <c r="AE125" s="8">
        <v>0</v>
      </c>
      <c r="AG125" s="8">
        <v>0</v>
      </c>
      <c r="AI125" s="8">
        <v>0</v>
      </c>
      <c r="AJ125" s="13" t="s">
        <v>279</v>
      </c>
      <c r="AK125" s="13"/>
      <c r="AL125" s="13" t="s">
        <v>114</v>
      </c>
      <c r="AN125" s="8">
        <v>165575</v>
      </c>
      <c r="AP125" s="8">
        <v>90826</v>
      </c>
      <c r="AT125" s="8">
        <v>9000</v>
      </c>
      <c r="AV125" s="8">
        <v>2790</v>
      </c>
      <c r="AX125" s="8">
        <v>0</v>
      </c>
      <c r="AZ125" s="8">
        <f t="shared" si="11"/>
        <v>8526005</v>
      </c>
      <c r="BB125" s="8">
        <v>0</v>
      </c>
      <c r="BH125" s="8">
        <v>0</v>
      </c>
      <c r="BJ125" s="8">
        <f t="shared" si="13"/>
        <v>8526005</v>
      </c>
      <c r="BL125" s="8">
        <f>+GenRev!AM125-GenExp!BJ125</f>
        <v>280042</v>
      </c>
      <c r="BN125" s="8">
        <v>1737749</v>
      </c>
      <c r="BP125" s="8">
        <v>0</v>
      </c>
      <c r="BS125" s="8">
        <f t="shared" si="12"/>
        <v>2017791</v>
      </c>
      <c r="BU125" s="9">
        <f>+BS125-'Gen Fd BS'!AA125+BQ125</f>
        <v>0</v>
      </c>
    </row>
    <row r="126" spans="1:75">
      <c r="A126" s="13" t="s">
        <v>354</v>
      </c>
      <c r="B126" s="13"/>
      <c r="C126" s="13" t="s">
        <v>27</v>
      </c>
      <c r="D126" s="13"/>
      <c r="E126" s="32">
        <v>43802</v>
      </c>
      <c r="G126" s="8">
        <v>293072099</v>
      </c>
      <c r="I126" s="8">
        <v>64430544</v>
      </c>
      <c r="K126" s="8">
        <v>9446929</v>
      </c>
      <c r="M126" s="8">
        <f>6589+27458</f>
        <v>34047</v>
      </c>
      <c r="O126" s="8">
        <v>21569239</v>
      </c>
      <c r="Q126" s="8">
        <v>34041906</v>
      </c>
      <c r="S126" s="8">
        <v>186196</v>
      </c>
      <c r="U126" s="8">
        <v>46133424</v>
      </c>
      <c r="W126" s="8">
        <v>14375509</v>
      </c>
      <c r="Y126" s="8">
        <v>2337402</v>
      </c>
      <c r="AA126" s="8">
        <v>62811619</v>
      </c>
      <c r="AC126" s="8">
        <v>50245709</v>
      </c>
      <c r="AE126" s="8">
        <v>21531845</v>
      </c>
      <c r="AG126" s="8">
        <v>0</v>
      </c>
      <c r="AI126" s="8">
        <v>13600</v>
      </c>
      <c r="AJ126" s="13" t="s">
        <v>354</v>
      </c>
      <c r="AK126" s="13"/>
      <c r="AL126" s="13" t="s">
        <v>27</v>
      </c>
      <c r="AN126" s="8">
        <v>5329803</v>
      </c>
      <c r="AP126" s="8">
        <v>1827331</v>
      </c>
      <c r="AT126" s="8">
        <v>101956</v>
      </c>
      <c r="AV126" s="8">
        <v>9282</v>
      </c>
      <c r="AX126" s="8">
        <v>0</v>
      </c>
      <c r="AZ126" s="8">
        <f t="shared" si="11"/>
        <v>627498440</v>
      </c>
      <c r="BB126" s="8">
        <f>-53825+4580303</f>
        <v>4526478</v>
      </c>
      <c r="BH126" s="8">
        <v>0</v>
      </c>
      <c r="BJ126" s="8">
        <f t="shared" si="13"/>
        <v>632024918</v>
      </c>
      <c r="BL126" s="8">
        <f>+GenRev!AM126-GenExp!BJ126</f>
        <v>56837672</v>
      </c>
      <c r="BN126" s="8">
        <v>99753291</v>
      </c>
      <c r="BP126" s="8">
        <v>0</v>
      </c>
      <c r="BS126" s="8">
        <f t="shared" si="12"/>
        <v>156590963</v>
      </c>
      <c r="BU126" s="9">
        <f>+BS126-'Gen Fd BS'!AA126+BQ126</f>
        <v>0</v>
      </c>
    </row>
    <row r="127" spans="1:75" hidden="1">
      <c r="A127" s="13" t="s">
        <v>830</v>
      </c>
      <c r="B127" s="13"/>
      <c r="C127" s="13" t="s">
        <v>603</v>
      </c>
      <c r="D127" s="13"/>
      <c r="E127" s="32">
        <v>49312</v>
      </c>
      <c r="G127" s="8">
        <v>3921279</v>
      </c>
      <c r="I127" s="8">
        <v>648161</v>
      </c>
      <c r="K127" s="8">
        <v>117208</v>
      </c>
      <c r="O127" s="8">
        <v>260227</v>
      </c>
      <c r="Q127" s="8">
        <v>123767</v>
      </c>
      <c r="S127" s="8">
        <v>21874</v>
      </c>
      <c r="U127" s="8">
        <v>503856</v>
      </c>
      <c r="W127" s="8">
        <v>221011</v>
      </c>
      <c r="AA127" s="8">
        <v>523380</v>
      </c>
      <c r="AC127" s="8">
        <v>428512</v>
      </c>
      <c r="AE127" s="8">
        <v>65112</v>
      </c>
      <c r="AG127" s="8">
        <v>0</v>
      </c>
      <c r="AI127" s="8">
        <v>2610</v>
      </c>
      <c r="AJ127" s="13" t="s">
        <v>830</v>
      </c>
      <c r="AK127" s="13"/>
      <c r="AL127" s="13" t="s">
        <v>603</v>
      </c>
      <c r="AN127" s="8">
        <v>215549</v>
      </c>
      <c r="AP127" s="8">
        <v>650877</v>
      </c>
      <c r="AX127" s="8">
        <v>0</v>
      </c>
      <c r="AZ127" s="8">
        <f t="shared" si="11"/>
        <v>7703423</v>
      </c>
      <c r="BH127" s="8">
        <v>0</v>
      </c>
      <c r="BJ127" s="8">
        <f t="shared" si="13"/>
        <v>7703423</v>
      </c>
      <c r="BL127" s="8">
        <f>+GenRev!AM127-GenExp!BJ127</f>
        <v>-281621</v>
      </c>
      <c r="BN127" s="8">
        <v>4106326</v>
      </c>
      <c r="BS127" s="8">
        <f t="shared" si="12"/>
        <v>3824705</v>
      </c>
      <c r="BU127" s="9">
        <f>+BS127-'Gen Fd BS'!AA127+BQ127</f>
        <v>0</v>
      </c>
    </row>
    <row r="128" spans="1:75">
      <c r="A128" s="13" t="s">
        <v>218</v>
      </c>
      <c r="B128" s="13"/>
      <c r="C128" s="13" t="s">
        <v>12</v>
      </c>
      <c r="D128" s="13"/>
      <c r="E128" s="32">
        <v>43810</v>
      </c>
      <c r="F128" s="11"/>
      <c r="G128" s="8">
        <v>7659379</v>
      </c>
      <c r="I128" s="8">
        <v>1221925</v>
      </c>
      <c r="K128" s="8">
        <v>43467</v>
      </c>
      <c r="M128" s="8">
        <v>56550</v>
      </c>
      <c r="O128" s="8">
        <v>673585</v>
      </c>
      <c r="Q128" s="8">
        <v>839405</v>
      </c>
      <c r="S128" s="8">
        <v>40105</v>
      </c>
      <c r="U128" s="8">
        <v>1427119</v>
      </c>
      <c r="W128" s="8">
        <v>380074</v>
      </c>
      <c r="Y128" s="8">
        <v>0</v>
      </c>
      <c r="AA128" s="8">
        <v>1975993</v>
      </c>
      <c r="AC128" s="8">
        <v>911863</v>
      </c>
      <c r="AE128" s="8">
        <v>52150</v>
      </c>
      <c r="AG128" s="8">
        <v>977</v>
      </c>
      <c r="AI128" s="8">
        <v>0</v>
      </c>
      <c r="AJ128" s="13" t="s">
        <v>218</v>
      </c>
      <c r="AK128" s="13"/>
      <c r="AL128" s="13" t="s">
        <v>12</v>
      </c>
      <c r="AN128" s="8">
        <v>208217</v>
      </c>
      <c r="AP128" s="8">
        <v>0</v>
      </c>
      <c r="AT128" s="8">
        <v>0</v>
      </c>
      <c r="AV128" s="8">
        <v>0</v>
      </c>
      <c r="AX128" s="8">
        <v>0</v>
      </c>
      <c r="AZ128" s="8">
        <f t="shared" si="11"/>
        <v>15490809</v>
      </c>
      <c r="BB128" s="8">
        <v>10858</v>
      </c>
      <c r="BH128" s="8">
        <v>0</v>
      </c>
      <c r="BJ128" s="8">
        <f t="shared" si="13"/>
        <v>15501667</v>
      </c>
      <c r="BL128" s="8">
        <f>+GenRev!AM128-GenExp!BJ128</f>
        <v>966351</v>
      </c>
      <c r="BN128" s="8">
        <v>2202631</v>
      </c>
      <c r="BP128" s="8">
        <v>0</v>
      </c>
      <c r="BS128" s="8">
        <f t="shared" si="12"/>
        <v>3168982</v>
      </c>
      <c r="BU128" s="9">
        <f>+BS128-'Gen Fd BS'!AA128+BQ128</f>
        <v>0</v>
      </c>
    </row>
    <row r="129" spans="1:75">
      <c r="A129" s="13" t="s">
        <v>427</v>
      </c>
      <c r="B129" s="13"/>
      <c r="C129" s="13" t="s">
        <v>428</v>
      </c>
      <c r="D129" s="13"/>
      <c r="E129" s="32">
        <v>47548</v>
      </c>
      <c r="G129" s="8">
        <v>2543848</v>
      </c>
      <c r="I129" s="8">
        <v>443737</v>
      </c>
      <c r="K129" s="8">
        <v>69546</v>
      </c>
      <c r="M129" s="8">
        <v>20063</v>
      </c>
      <c r="O129" s="8">
        <v>221249</v>
      </c>
      <c r="Q129" s="8">
        <v>283529</v>
      </c>
      <c r="S129" s="8">
        <v>13649</v>
      </c>
      <c r="U129" s="8">
        <v>526438</v>
      </c>
      <c r="W129" s="8">
        <v>207605</v>
      </c>
      <c r="Y129" s="8">
        <v>0</v>
      </c>
      <c r="AA129" s="8">
        <v>462609</v>
      </c>
      <c r="AC129" s="8">
        <v>430236</v>
      </c>
      <c r="AE129" s="8">
        <v>5601</v>
      </c>
      <c r="AG129" s="8">
        <v>0</v>
      </c>
      <c r="AI129" s="8">
        <v>0</v>
      </c>
      <c r="AJ129" s="13" t="s">
        <v>427</v>
      </c>
      <c r="AK129" s="13"/>
      <c r="AL129" s="13" t="s">
        <v>428</v>
      </c>
      <c r="AN129" s="8">
        <v>85545</v>
      </c>
      <c r="AP129" s="8">
        <v>15335</v>
      </c>
      <c r="AT129" s="8">
        <v>13673</v>
      </c>
      <c r="AV129" s="8">
        <v>3067</v>
      </c>
      <c r="AX129" s="8">
        <v>0</v>
      </c>
      <c r="AZ129" s="8">
        <f t="shared" si="11"/>
        <v>5345730</v>
      </c>
      <c r="BB129" s="8">
        <f>129700</f>
        <v>129700</v>
      </c>
      <c r="BH129" s="8">
        <v>0</v>
      </c>
      <c r="BJ129" s="8">
        <f t="shared" si="13"/>
        <v>5475430</v>
      </c>
      <c r="BL129" s="8">
        <f>+GenRev!AM129-GenExp!BJ129</f>
        <v>-406580</v>
      </c>
      <c r="BN129" s="8">
        <v>1396684</v>
      </c>
      <c r="BP129" s="8">
        <v>0</v>
      </c>
      <c r="BS129" s="8">
        <f t="shared" si="12"/>
        <v>990104</v>
      </c>
      <c r="BU129" s="9">
        <f>+BS129-'Gen Fd BS'!AA129+BQ129</f>
        <v>0</v>
      </c>
    </row>
    <row r="130" spans="1:75" hidden="1">
      <c r="A130" s="88" t="s">
        <v>969</v>
      </c>
      <c r="B130" s="13"/>
      <c r="C130" s="13" t="s">
        <v>603</v>
      </c>
      <c r="D130" s="13"/>
      <c r="E130" s="32">
        <v>49320</v>
      </c>
      <c r="AJ130" s="13" t="s">
        <v>604</v>
      </c>
      <c r="AK130" s="13"/>
      <c r="AL130" s="13" t="s">
        <v>603</v>
      </c>
      <c r="AX130" s="8">
        <v>0</v>
      </c>
      <c r="AZ130" s="8">
        <f t="shared" si="11"/>
        <v>0</v>
      </c>
      <c r="BH130" s="8">
        <v>0</v>
      </c>
      <c r="BJ130" s="8">
        <f t="shared" si="13"/>
        <v>0</v>
      </c>
      <c r="BL130" s="8">
        <f>+GenRev!AM130-GenExp!BJ130</f>
        <v>0</v>
      </c>
      <c r="BP130" s="8">
        <v>0</v>
      </c>
      <c r="BS130" s="8">
        <f t="shared" si="12"/>
        <v>0</v>
      </c>
      <c r="BU130" s="9">
        <f>+BS130-'Gen Fd BS'!AA130+BQ130</f>
        <v>0</v>
      </c>
    </row>
    <row r="131" spans="1:75">
      <c r="A131" s="13" t="s">
        <v>664</v>
      </c>
      <c r="B131" s="13"/>
      <c r="C131" s="13" t="s">
        <v>63</v>
      </c>
      <c r="D131" s="13"/>
      <c r="E131" s="32">
        <v>49981</v>
      </c>
      <c r="G131" s="8">
        <v>16065698</v>
      </c>
      <c r="I131" s="8">
        <v>1896297</v>
      </c>
      <c r="K131" s="8">
        <v>654997</v>
      </c>
      <c r="M131" s="8">
        <v>0</v>
      </c>
      <c r="O131" s="8">
        <v>1636817</v>
      </c>
      <c r="Q131" s="8">
        <v>1477083</v>
      </c>
      <c r="S131" s="8">
        <v>169565</v>
      </c>
      <c r="U131" s="8">
        <v>1631388</v>
      </c>
      <c r="W131" s="8">
        <v>931290</v>
      </c>
      <c r="Y131" s="8">
        <v>129907</v>
      </c>
      <c r="AA131" s="8">
        <v>3169971</v>
      </c>
      <c r="AC131" s="8">
        <v>1484575</v>
      </c>
      <c r="AE131" s="8">
        <v>224316</v>
      </c>
      <c r="AG131" s="8">
        <v>84653</v>
      </c>
      <c r="AI131" s="8">
        <v>0</v>
      </c>
      <c r="AJ131" s="13" t="s">
        <v>664</v>
      </c>
      <c r="AK131" s="13"/>
      <c r="AL131" s="13" t="s">
        <v>63</v>
      </c>
      <c r="AN131" s="8">
        <v>675972</v>
      </c>
      <c r="AP131" s="8">
        <v>112467</v>
      </c>
      <c r="AT131" s="8">
        <v>0</v>
      </c>
      <c r="AV131" s="8">
        <v>0</v>
      </c>
      <c r="AX131" s="8">
        <v>0</v>
      </c>
      <c r="AZ131" s="8">
        <f t="shared" si="11"/>
        <v>30344996</v>
      </c>
      <c r="BB131" s="8">
        <v>58000</v>
      </c>
      <c r="BH131" s="8">
        <v>0</v>
      </c>
      <c r="BJ131" s="8">
        <f t="shared" si="13"/>
        <v>30402996</v>
      </c>
      <c r="BL131" s="8">
        <f>+GenRev!AM131-GenExp!BJ131</f>
        <v>-1081879</v>
      </c>
      <c r="BN131" s="8">
        <v>8030625</v>
      </c>
      <c r="BP131" s="8">
        <v>0</v>
      </c>
      <c r="BS131" s="8">
        <f t="shared" si="12"/>
        <v>6948746</v>
      </c>
      <c r="BU131" s="9">
        <f>+BS131-'Gen Fd BS'!AA131+BQ131</f>
        <v>0</v>
      </c>
    </row>
    <row r="132" spans="1:75">
      <c r="A132" s="13" t="s">
        <v>415</v>
      </c>
      <c r="B132" s="13"/>
      <c r="C132" s="13" t="s">
        <v>33</v>
      </c>
      <c r="D132" s="13"/>
      <c r="E132" s="32">
        <v>47431</v>
      </c>
      <c r="G132" s="8">
        <v>3113007</v>
      </c>
      <c r="I132" s="8">
        <v>454879</v>
      </c>
      <c r="K132" s="8">
        <v>314968</v>
      </c>
      <c r="M132" s="8">
        <v>0</v>
      </c>
      <c r="O132" s="8">
        <v>318705</v>
      </c>
      <c r="Q132" s="8">
        <v>435944</v>
      </c>
      <c r="S132" s="8">
        <v>44162</v>
      </c>
      <c r="U132" s="8">
        <v>757908</v>
      </c>
      <c r="W132" s="8">
        <v>184905</v>
      </c>
      <c r="Y132" s="8">
        <v>0</v>
      </c>
      <c r="AA132" s="8">
        <v>693154</v>
      </c>
      <c r="AC132" s="8">
        <v>396727</v>
      </c>
      <c r="AE132" s="8">
        <v>5727</v>
      </c>
      <c r="AG132" s="8">
        <v>0</v>
      </c>
      <c r="AI132" s="8">
        <v>0</v>
      </c>
      <c r="AJ132" s="13" t="s">
        <v>415</v>
      </c>
      <c r="AK132" s="13"/>
      <c r="AL132" s="13" t="s">
        <v>33</v>
      </c>
      <c r="AN132" s="8">
        <v>168393</v>
      </c>
      <c r="AP132" s="8">
        <v>0</v>
      </c>
      <c r="AT132" s="8">
        <v>3854</v>
      </c>
      <c r="AV132" s="8">
        <v>368</v>
      </c>
      <c r="AX132" s="8">
        <v>0</v>
      </c>
      <c r="AZ132" s="8">
        <f t="shared" si="11"/>
        <v>6892701</v>
      </c>
      <c r="BB132" s="8">
        <v>44278</v>
      </c>
      <c r="BH132" s="8">
        <v>0</v>
      </c>
      <c r="BJ132" s="8">
        <f t="shared" si="13"/>
        <v>6936979</v>
      </c>
      <c r="BL132" s="8">
        <f>+GenRev!AM132-GenExp!BJ132</f>
        <v>-420174</v>
      </c>
      <c r="BN132" s="8">
        <v>434743</v>
      </c>
      <c r="BP132" s="8">
        <v>0</v>
      </c>
      <c r="BS132" s="8">
        <f t="shared" si="12"/>
        <v>14569</v>
      </c>
      <c r="BU132" s="9">
        <f>+BS132-'Gen Fd BS'!AA132+BQ132</f>
        <v>0</v>
      </c>
    </row>
    <row r="133" spans="1:75">
      <c r="A133" s="13" t="s">
        <v>287</v>
      </c>
      <c r="B133" s="13"/>
      <c r="C133" s="13" t="s">
        <v>19</v>
      </c>
      <c r="D133" s="13"/>
      <c r="E133" s="32">
        <v>43828</v>
      </c>
      <c r="F133" s="11"/>
      <c r="G133" s="8">
        <v>8971875</v>
      </c>
      <c r="I133" s="8">
        <v>0</v>
      </c>
      <c r="K133" s="8">
        <v>0</v>
      </c>
      <c r="M133" s="8">
        <v>0</v>
      </c>
      <c r="O133" s="8">
        <v>595195</v>
      </c>
      <c r="Q133" s="8">
        <v>401881</v>
      </c>
      <c r="S133" s="8">
        <v>2054</v>
      </c>
      <c r="U133" s="8">
        <v>1268281</v>
      </c>
      <c r="W133" s="8">
        <v>396369</v>
      </c>
      <c r="Y133" s="8">
        <v>177166</v>
      </c>
      <c r="AA133" s="8">
        <v>1565202</v>
      </c>
      <c r="AC133" s="8">
        <v>284830</v>
      </c>
      <c r="AE133" s="8">
        <v>0</v>
      </c>
      <c r="AG133" s="8">
        <v>0</v>
      </c>
      <c r="AI133" s="8">
        <v>14295</v>
      </c>
      <c r="AJ133" s="13" t="s">
        <v>287</v>
      </c>
      <c r="AK133" s="13"/>
      <c r="AL133" s="13" t="s">
        <v>19</v>
      </c>
      <c r="AN133" s="8">
        <v>198818</v>
      </c>
      <c r="AP133" s="8">
        <v>0</v>
      </c>
      <c r="AT133" s="8">
        <v>0</v>
      </c>
      <c r="AV133" s="8">
        <v>0</v>
      </c>
      <c r="AX133" s="8">
        <v>0</v>
      </c>
      <c r="AZ133" s="8">
        <f t="shared" si="11"/>
        <v>13875966</v>
      </c>
      <c r="BB133" s="8">
        <v>0</v>
      </c>
      <c r="BH133" s="8">
        <v>0</v>
      </c>
      <c r="BJ133" s="8">
        <f t="shared" si="13"/>
        <v>13875966</v>
      </c>
      <c r="BL133" s="8">
        <f>+GenRev!AM133-GenExp!BJ133</f>
        <v>1015157</v>
      </c>
      <c r="BN133" s="8">
        <v>-1253033</v>
      </c>
      <c r="BP133" s="8">
        <v>0</v>
      </c>
      <c r="BS133" s="8">
        <f>+BN133+BL133-BP133</f>
        <v>-237876</v>
      </c>
      <c r="BU133" s="9">
        <f>+BS133-'Gen Fd BS'!AA133+BQ133</f>
        <v>0</v>
      </c>
      <c r="BW133" s="8" t="s">
        <v>913</v>
      </c>
    </row>
    <row r="134" spans="1:75">
      <c r="A134" s="13" t="s">
        <v>816</v>
      </c>
      <c r="B134" s="13"/>
      <c r="C134" s="13" t="s">
        <v>63</v>
      </c>
      <c r="D134" s="13"/>
      <c r="E134" s="32"/>
      <c r="F134" s="11"/>
      <c r="G134" s="8">
        <v>9009518</v>
      </c>
      <c r="I134" s="8">
        <v>1800712</v>
      </c>
      <c r="K134" s="8">
        <v>169953</v>
      </c>
      <c r="M134" s="8">
        <f>8145+518354</f>
        <v>526499</v>
      </c>
      <c r="O134" s="8">
        <v>1138300</v>
      </c>
      <c r="Q134" s="8">
        <v>901347</v>
      </c>
      <c r="S134" s="8">
        <v>53683</v>
      </c>
      <c r="U134" s="8">
        <v>1823585</v>
      </c>
      <c r="W134" s="8">
        <v>499587</v>
      </c>
      <c r="Y134" s="8">
        <v>24552</v>
      </c>
      <c r="AA134" s="8">
        <v>2350924</v>
      </c>
      <c r="AC134" s="8">
        <v>1049937</v>
      </c>
      <c r="AE134" s="8">
        <v>133923</v>
      </c>
      <c r="AG134" s="8">
        <v>0</v>
      </c>
      <c r="AI134" s="8">
        <v>51734</v>
      </c>
      <c r="AJ134" s="13" t="s">
        <v>816</v>
      </c>
      <c r="AK134" s="13"/>
      <c r="AL134" s="13" t="s">
        <v>63</v>
      </c>
      <c r="AN134" s="8">
        <v>406069</v>
      </c>
      <c r="AP134" s="8">
        <v>11222</v>
      </c>
      <c r="AT134" s="8">
        <v>170002</v>
      </c>
      <c r="AV134" s="8">
        <v>207626</v>
      </c>
      <c r="AX134" s="8">
        <v>0</v>
      </c>
      <c r="AZ134" s="8">
        <f t="shared" ref="AZ134:AZ156" si="14">SUM(G134:AX134)</f>
        <v>20329173</v>
      </c>
      <c r="BB134" s="8">
        <f>35000-1032</f>
        <v>33968</v>
      </c>
      <c r="BH134" s="8">
        <v>0</v>
      </c>
      <c r="BJ134" s="8">
        <f t="shared" si="13"/>
        <v>20363141</v>
      </c>
      <c r="BL134" s="8">
        <f>+GenRev!AM134-GenExp!BJ134</f>
        <v>-1351953</v>
      </c>
      <c r="BN134" s="8">
        <v>-723920</v>
      </c>
      <c r="BP134" s="8">
        <v>0</v>
      </c>
      <c r="BS134" s="8">
        <f t="shared" si="12"/>
        <v>-2075873</v>
      </c>
      <c r="BU134" s="9">
        <f>+BS134-'Gen Fd BS'!AA134+BQ134</f>
        <v>0</v>
      </c>
    </row>
    <row r="135" spans="1:75">
      <c r="A135" s="13" t="s">
        <v>915</v>
      </c>
      <c r="B135" s="13"/>
      <c r="C135" s="13" t="s">
        <v>48</v>
      </c>
      <c r="D135" s="13"/>
      <c r="E135" s="32">
        <v>45336</v>
      </c>
      <c r="G135" s="8">
        <v>3461476</v>
      </c>
      <c r="I135" s="8">
        <v>562564</v>
      </c>
      <c r="K135" s="8">
        <v>6591</v>
      </c>
      <c r="M135" s="8">
        <v>0</v>
      </c>
      <c r="O135" s="8">
        <v>287077</v>
      </c>
      <c r="Q135" s="8">
        <v>284556</v>
      </c>
      <c r="S135" s="8">
        <v>9621</v>
      </c>
      <c r="U135" s="8">
        <v>743535</v>
      </c>
      <c r="W135" s="8">
        <v>247594</v>
      </c>
      <c r="Y135" s="8">
        <v>0</v>
      </c>
      <c r="AA135" s="8">
        <v>629982</v>
      </c>
      <c r="AC135" s="8">
        <v>281992</v>
      </c>
      <c r="AE135" s="8">
        <v>124750</v>
      </c>
      <c r="AG135" s="8">
        <v>0</v>
      </c>
      <c r="AI135" s="8">
        <v>72596</v>
      </c>
      <c r="AJ135" s="13" t="s">
        <v>915</v>
      </c>
      <c r="AK135" s="13"/>
      <c r="AL135" s="13" t="s">
        <v>48</v>
      </c>
      <c r="AN135" s="8">
        <v>229365</v>
      </c>
      <c r="AP135" s="8">
        <f>9340+34312</f>
        <v>43652</v>
      </c>
      <c r="AT135" s="8">
        <v>44127</v>
      </c>
      <c r="AV135" s="8">
        <v>11486</v>
      </c>
      <c r="AX135" s="8">
        <v>0</v>
      </c>
      <c r="AZ135" s="8">
        <f t="shared" si="14"/>
        <v>7040964</v>
      </c>
      <c r="BB135" s="8">
        <v>0</v>
      </c>
      <c r="BH135" s="8">
        <v>0</v>
      </c>
      <c r="BJ135" s="8">
        <f t="shared" si="13"/>
        <v>7040964</v>
      </c>
      <c r="BL135" s="8">
        <f>+GenRev!AM135-GenExp!BJ135</f>
        <v>427685</v>
      </c>
      <c r="BN135" s="8">
        <v>1345969</v>
      </c>
      <c r="BP135" s="8">
        <v>0</v>
      </c>
      <c r="BS135" s="8">
        <f t="shared" si="12"/>
        <v>1773654</v>
      </c>
      <c r="BU135" s="9">
        <f>+BS135-'Gen Fd BS'!AA135+BQ135</f>
        <v>0</v>
      </c>
    </row>
    <row r="136" spans="1:75">
      <c r="A136" s="13" t="s">
        <v>916</v>
      </c>
      <c r="B136" s="13"/>
      <c r="C136" s="13" t="s">
        <v>113</v>
      </c>
      <c r="D136" s="13"/>
      <c r="E136" s="32">
        <v>45344</v>
      </c>
      <c r="G136" s="8">
        <v>3145852</v>
      </c>
      <c r="I136" s="8">
        <v>483696</v>
      </c>
      <c r="K136" s="8">
        <v>29694</v>
      </c>
      <c r="M136" s="8">
        <v>464139</v>
      </c>
      <c r="O136" s="8">
        <v>353921</v>
      </c>
      <c r="Q136" s="8">
        <v>253039</v>
      </c>
      <c r="S136" s="8">
        <v>38838</v>
      </c>
      <c r="U136" s="8">
        <v>655546</v>
      </c>
      <c r="W136" s="8">
        <v>248786</v>
      </c>
      <c r="Y136" s="8">
        <v>0</v>
      </c>
      <c r="AA136" s="8">
        <v>679490</v>
      </c>
      <c r="AC136" s="8">
        <v>255924</v>
      </c>
      <c r="AE136" s="8">
        <v>18202</v>
      </c>
      <c r="AG136" s="8">
        <v>0</v>
      </c>
      <c r="AI136" s="8">
        <v>0</v>
      </c>
      <c r="AJ136" s="13" t="s">
        <v>293</v>
      </c>
      <c r="AK136" s="13"/>
      <c r="AL136" s="13" t="s">
        <v>113</v>
      </c>
      <c r="AN136" s="8">
        <v>246687</v>
      </c>
      <c r="AP136" s="8">
        <v>24977</v>
      </c>
      <c r="AT136" s="8">
        <v>0</v>
      </c>
      <c r="AV136" s="8">
        <v>0</v>
      </c>
      <c r="AX136" s="8">
        <v>0</v>
      </c>
      <c r="AZ136" s="8">
        <f t="shared" si="14"/>
        <v>6898791</v>
      </c>
      <c r="BB136" s="8">
        <v>0</v>
      </c>
      <c r="BH136" s="8">
        <v>0</v>
      </c>
      <c r="BJ136" s="8">
        <f t="shared" si="13"/>
        <v>6898791</v>
      </c>
      <c r="BL136" s="8">
        <f>+GenRev!AM136-GenExp!BJ136</f>
        <v>1285</v>
      </c>
      <c r="BN136" s="8">
        <v>2240823</v>
      </c>
      <c r="BP136" s="8">
        <v>0</v>
      </c>
      <c r="BS136" s="8">
        <f t="shared" si="12"/>
        <v>2242108</v>
      </c>
      <c r="BU136" s="9">
        <f>+BS136-'Gen Fd BS'!AA136+BQ136</f>
        <v>0</v>
      </c>
    </row>
    <row r="137" spans="1:75">
      <c r="A137" s="13" t="s">
        <v>280</v>
      </c>
      <c r="B137" s="13"/>
      <c r="C137" s="13" t="s">
        <v>114</v>
      </c>
      <c r="D137" s="13"/>
      <c r="E137" s="32">
        <v>46433</v>
      </c>
      <c r="F137" s="11"/>
      <c r="G137" s="8">
        <v>5154579</v>
      </c>
      <c r="I137" s="8">
        <v>699759</v>
      </c>
      <c r="K137" s="8">
        <v>143313</v>
      </c>
      <c r="M137" s="8">
        <v>29438</v>
      </c>
      <c r="O137" s="8">
        <v>490700</v>
      </c>
      <c r="Q137" s="8">
        <v>440294</v>
      </c>
      <c r="S137" s="8">
        <v>27583</v>
      </c>
      <c r="U137" s="8">
        <v>750778</v>
      </c>
      <c r="W137" s="8">
        <v>305818</v>
      </c>
      <c r="Y137" s="8">
        <v>0</v>
      </c>
      <c r="AA137" s="8">
        <v>1068207</v>
      </c>
      <c r="AC137" s="8">
        <v>589840</v>
      </c>
      <c r="AE137" s="8">
        <v>18292</v>
      </c>
      <c r="AG137" s="8">
        <v>0</v>
      </c>
      <c r="AI137" s="8">
        <v>0</v>
      </c>
      <c r="AJ137" s="13" t="s">
        <v>280</v>
      </c>
      <c r="AK137" s="13"/>
      <c r="AL137" s="13" t="s">
        <v>114</v>
      </c>
      <c r="AN137" s="8">
        <v>212818</v>
      </c>
      <c r="AP137" s="8">
        <v>19171</v>
      </c>
      <c r="AT137" s="8">
        <v>0</v>
      </c>
      <c r="AV137" s="8">
        <v>0</v>
      </c>
      <c r="AX137" s="8">
        <v>0</v>
      </c>
      <c r="AZ137" s="8">
        <f t="shared" si="14"/>
        <v>9950590</v>
      </c>
      <c r="BB137" s="8">
        <v>0</v>
      </c>
      <c r="BH137" s="8">
        <v>0</v>
      </c>
      <c r="BJ137" s="8">
        <f t="shared" si="13"/>
        <v>9950590</v>
      </c>
      <c r="BL137" s="8">
        <f>+GenRev!AM137-GenExp!BJ137</f>
        <v>-153029</v>
      </c>
      <c r="BN137" s="8">
        <v>471710</v>
      </c>
      <c r="BP137" s="8">
        <v>0</v>
      </c>
      <c r="BS137" s="8">
        <f t="shared" si="12"/>
        <v>318681</v>
      </c>
      <c r="BU137" s="9">
        <f>+BS137-'Gen Fd BS'!AA137+BQ137</f>
        <v>0</v>
      </c>
    </row>
    <row r="138" spans="1:75">
      <c r="A138" s="13" t="s">
        <v>280</v>
      </c>
      <c r="B138" s="13"/>
      <c r="C138" s="13" t="s">
        <v>112</v>
      </c>
      <c r="D138" s="13"/>
      <c r="E138" s="32">
        <v>49429</v>
      </c>
      <c r="G138" s="8">
        <v>4536813</v>
      </c>
      <c r="I138" s="8">
        <v>864217</v>
      </c>
      <c r="K138" s="8">
        <v>234613</v>
      </c>
      <c r="M138" s="8">
        <v>34083</v>
      </c>
      <c r="O138" s="8">
        <v>327307</v>
      </c>
      <c r="Q138" s="8">
        <v>313944</v>
      </c>
      <c r="S138" s="8">
        <v>60529</v>
      </c>
      <c r="U138" s="8">
        <v>671362</v>
      </c>
      <c r="W138" s="8">
        <v>239258</v>
      </c>
      <c r="Y138" s="8">
        <v>0</v>
      </c>
      <c r="AA138" s="8">
        <v>1056222</v>
      </c>
      <c r="AC138" s="8">
        <v>830888</v>
      </c>
      <c r="AE138" s="8">
        <v>66713</v>
      </c>
      <c r="AG138" s="8">
        <v>0</v>
      </c>
      <c r="AI138" s="8">
        <v>32942</v>
      </c>
      <c r="AJ138" s="13" t="s">
        <v>280</v>
      </c>
      <c r="AK138" s="13"/>
      <c r="AL138" s="13" t="s">
        <v>112</v>
      </c>
      <c r="AN138" s="8">
        <v>272056</v>
      </c>
      <c r="AP138" s="8">
        <v>21901</v>
      </c>
      <c r="AT138" s="8">
        <v>0</v>
      </c>
      <c r="AV138" s="8">
        <v>0</v>
      </c>
      <c r="AX138" s="8">
        <v>0</v>
      </c>
      <c r="AZ138" s="8">
        <f t="shared" si="14"/>
        <v>9562848</v>
      </c>
      <c r="BB138" s="8">
        <v>1600</v>
      </c>
      <c r="BH138" s="8">
        <v>0</v>
      </c>
      <c r="BJ138" s="8">
        <f t="shared" si="13"/>
        <v>9564448</v>
      </c>
      <c r="BL138" s="8">
        <f>+GenRev!AM138-GenExp!BJ138</f>
        <v>610710</v>
      </c>
      <c r="BN138" s="8">
        <v>4290419</v>
      </c>
      <c r="BP138" s="8">
        <v>0</v>
      </c>
      <c r="BS138" s="8">
        <f t="shared" si="12"/>
        <v>4901129</v>
      </c>
      <c r="BU138" s="9">
        <f>+BS138-'Gen Fd BS'!AA138+BQ138</f>
        <v>0</v>
      </c>
    </row>
    <row r="139" spans="1:75" hidden="1">
      <c r="A139" s="13" t="s">
        <v>917</v>
      </c>
      <c r="B139" s="13"/>
      <c r="C139" s="13" t="s">
        <v>67</v>
      </c>
      <c r="D139" s="13"/>
      <c r="E139" s="32"/>
      <c r="G139" s="8">
        <v>3716390</v>
      </c>
      <c r="I139" s="8">
        <v>745955</v>
      </c>
      <c r="K139" s="8">
        <v>186957</v>
      </c>
      <c r="M139" s="8">
        <f>458286+31253</f>
        <v>489539</v>
      </c>
      <c r="O139" s="8">
        <v>487547</v>
      </c>
      <c r="Q139" s="8">
        <v>217176</v>
      </c>
      <c r="S139" s="8">
        <v>27884</v>
      </c>
      <c r="U139" s="8">
        <v>625766</v>
      </c>
      <c r="W139" s="8">
        <v>237217</v>
      </c>
      <c r="AA139" s="8">
        <v>540951</v>
      </c>
      <c r="AC139" s="8">
        <v>305313</v>
      </c>
      <c r="AE139" s="8">
        <v>193627</v>
      </c>
      <c r="AG139" s="8">
        <v>0</v>
      </c>
      <c r="AJ139" s="13" t="s">
        <v>917</v>
      </c>
      <c r="AK139" s="13"/>
      <c r="AL139" s="13" t="s">
        <v>67</v>
      </c>
      <c r="AN139" s="8">
        <v>199202</v>
      </c>
      <c r="AP139" s="8">
        <v>198696</v>
      </c>
      <c r="AX139" s="8">
        <v>0</v>
      </c>
      <c r="AZ139" s="8">
        <f t="shared" si="14"/>
        <v>8172220</v>
      </c>
      <c r="BB139" s="8">
        <v>150000</v>
      </c>
      <c r="BH139" s="8">
        <v>0</v>
      </c>
      <c r="BJ139" s="8">
        <f t="shared" si="13"/>
        <v>8322220</v>
      </c>
      <c r="BL139" s="8">
        <f>+GenRev!AM139-GenExp!BJ139</f>
        <v>41867</v>
      </c>
      <c r="BN139" s="8">
        <v>1299711</v>
      </c>
      <c r="BS139" s="8">
        <f t="shared" si="12"/>
        <v>1341578</v>
      </c>
      <c r="BU139" s="9">
        <f>+BS139-'Gen Fd BS'!AA139+BQ139</f>
        <v>-25757</v>
      </c>
    </row>
    <row r="140" spans="1:75">
      <c r="A140" s="13" t="s">
        <v>589</v>
      </c>
      <c r="B140" s="13"/>
      <c r="C140" s="13" t="s">
        <v>56</v>
      </c>
      <c r="D140" s="13"/>
      <c r="E140" s="32">
        <v>49189</v>
      </c>
      <c r="G140" s="8">
        <v>8676385</v>
      </c>
      <c r="I140" s="8">
        <v>1075914</v>
      </c>
      <c r="K140" s="8">
        <v>218192</v>
      </c>
      <c r="M140" s="8">
        <v>1237340</v>
      </c>
      <c r="O140" s="8">
        <v>987203</v>
      </c>
      <c r="Q140" s="8">
        <v>871538</v>
      </c>
      <c r="S140" s="8">
        <v>17682</v>
      </c>
      <c r="U140" s="8">
        <v>2040673</v>
      </c>
      <c r="W140" s="8">
        <v>415435</v>
      </c>
      <c r="Y140" s="8">
        <v>31252</v>
      </c>
      <c r="AA140" s="8">
        <v>1993286</v>
      </c>
      <c r="AC140" s="8">
        <v>1421758</v>
      </c>
      <c r="AE140" s="8">
        <v>388122</v>
      </c>
      <c r="AG140" s="8">
        <v>0</v>
      </c>
      <c r="AI140" s="8">
        <v>0</v>
      </c>
      <c r="AJ140" s="13" t="s">
        <v>589</v>
      </c>
      <c r="AK140" s="13"/>
      <c r="AL140" s="13" t="s">
        <v>56</v>
      </c>
      <c r="AN140" s="8">
        <v>356789</v>
      </c>
      <c r="AP140" s="8">
        <v>0</v>
      </c>
      <c r="AT140" s="8">
        <v>0</v>
      </c>
      <c r="AV140" s="8">
        <v>0</v>
      </c>
      <c r="AX140" s="8">
        <v>0</v>
      </c>
      <c r="AZ140" s="8">
        <f t="shared" si="14"/>
        <v>19731569</v>
      </c>
      <c r="BB140" s="8">
        <v>106901</v>
      </c>
      <c r="BH140" s="8">
        <v>0</v>
      </c>
      <c r="BJ140" s="8">
        <f t="shared" si="13"/>
        <v>19838470</v>
      </c>
      <c r="BL140" s="8">
        <f>+GenRev!AM140-GenExp!BJ140</f>
        <v>494645</v>
      </c>
      <c r="BN140" s="8">
        <v>1738874</v>
      </c>
      <c r="BP140" s="8">
        <v>-4337</v>
      </c>
      <c r="BS140" s="8">
        <f t="shared" si="12"/>
        <v>2237856</v>
      </c>
      <c r="BU140" s="9">
        <f>+BS140-'Gen Fd BS'!AA140+BQ140</f>
        <v>0</v>
      </c>
    </row>
    <row r="141" spans="1:75">
      <c r="A141" s="13" t="s">
        <v>817</v>
      </c>
      <c r="B141" s="13"/>
      <c r="C141" s="13" t="s">
        <v>579</v>
      </c>
      <c r="D141" s="13"/>
      <c r="E141" s="32"/>
      <c r="G141" s="8">
        <v>5186407</v>
      </c>
      <c r="I141" s="8">
        <v>0</v>
      </c>
      <c r="K141" s="8">
        <v>0</v>
      </c>
      <c r="M141" s="8">
        <v>0</v>
      </c>
      <c r="O141" s="8">
        <v>460040</v>
      </c>
      <c r="Q141" s="8">
        <v>319461</v>
      </c>
      <c r="S141" s="8">
        <v>35710</v>
      </c>
      <c r="U141" s="8">
        <v>832622</v>
      </c>
      <c r="W141" s="8">
        <v>234834</v>
      </c>
      <c r="Y141" s="8">
        <v>0</v>
      </c>
      <c r="AA141" s="8">
        <v>1051058</v>
      </c>
      <c r="AC141" s="8">
        <v>629759</v>
      </c>
      <c r="AE141" s="8">
        <v>0</v>
      </c>
      <c r="AG141" s="8">
        <v>0</v>
      </c>
      <c r="AI141" s="8">
        <v>0</v>
      </c>
      <c r="AJ141" s="13" t="s">
        <v>817</v>
      </c>
      <c r="AK141" s="13"/>
      <c r="AL141" s="13" t="s">
        <v>579</v>
      </c>
      <c r="AN141" s="8">
        <v>212274</v>
      </c>
      <c r="AP141" s="8">
        <v>107033</v>
      </c>
      <c r="AT141" s="8">
        <v>25000</v>
      </c>
      <c r="AV141" s="8">
        <v>14068</v>
      </c>
      <c r="AX141" s="8">
        <v>0</v>
      </c>
      <c r="AZ141" s="8">
        <f t="shared" si="14"/>
        <v>9108266</v>
      </c>
      <c r="BB141" s="8">
        <v>0</v>
      </c>
      <c r="BH141" s="8">
        <v>0</v>
      </c>
      <c r="BJ141" s="8">
        <f t="shared" si="13"/>
        <v>9108266</v>
      </c>
      <c r="BL141" s="8">
        <f>+GenRev!AM141-GenExp!BJ141</f>
        <v>-356281</v>
      </c>
      <c r="BN141" s="8">
        <v>792236</v>
      </c>
      <c r="BP141" s="8">
        <v>0</v>
      </c>
      <c r="BS141" s="8">
        <f t="shared" si="12"/>
        <v>435955</v>
      </c>
      <c r="BU141" s="9">
        <f>+BS141-'Gen Fd BS'!AA141+BQ141</f>
        <v>0</v>
      </c>
    </row>
    <row r="142" spans="1:75">
      <c r="A142" s="13" t="s">
        <v>665</v>
      </c>
      <c r="B142" s="13"/>
      <c r="C142" s="13" t="s">
        <v>63</v>
      </c>
      <c r="D142" s="13"/>
      <c r="E142" s="32">
        <v>43836</v>
      </c>
      <c r="G142" s="8">
        <v>21264466</v>
      </c>
      <c r="I142" s="8">
        <v>4917385</v>
      </c>
      <c r="K142" s="8">
        <v>978355</v>
      </c>
      <c r="M142" s="8">
        <v>4120497</v>
      </c>
      <c r="O142" s="8">
        <v>2567354</v>
      </c>
      <c r="Q142" s="8">
        <v>952799</v>
      </c>
      <c r="S142" s="8">
        <v>71923</v>
      </c>
      <c r="U142" s="8">
        <v>2853665</v>
      </c>
      <c r="W142" s="8">
        <v>743466</v>
      </c>
      <c r="Y142" s="8">
        <v>366441</v>
      </c>
      <c r="AA142" s="8">
        <v>4965139</v>
      </c>
      <c r="AC142" s="8">
        <v>1340490</v>
      </c>
      <c r="AE142" s="8">
        <v>422933</v>
      </c>
      <c r="AG142" s="8">
        <v>0</v>
      </c>
      <c r="AI142" s="8">
        <v>172849</v>
      </c>
      <c r="AJ142" s="13" t="s">
        <v>665</v>
      </c>
      <c r="AK142" s="13"/>
      <c r="AL142" s="13" t="s">
        <v>63</v>
      </c>
      <c r="AN142" s="8">
        <v>806950</v>
      </c>
      <c r="AP142" s="8">
        <v>46941</v>
      </c>
      <c r="AT142" s="8">
        <v>91162</v>
      </c>
      <c r="AV142" s="8">
        <v>18953</v>
      </c>
      <c r="AX142" s="8">
        <v>0</v>
      </c>
      <c r="AZ142" s="8">
        <f t="shared" si="14"/>
        <v>46701768</v>
      </c>
      <c r="BB142" s="8">
        <v>852537</v>
      </c>
      <c r="BH142" s="8">
        <v>0</v>
      </c>
      <c r="BJ142" s="8">
        <f t="shared" si="13"/>
        <v>47554305</v>
      </c>
      <c r="BL142" s="8">
        <f>+GenRev!AM142-GenExp!BJ142</f>
        <v>564787</v>
      </c>
      <c r="BN142" s="8">
        <v>1609875</v>
      </c>
      <c r="BP142" s="8">
        <v>0</v>
      </c>
      <c r="BS142" s="8">
        <f t="shared" si="12"/>
        <v>2174662</v>
      </c>
      <c r="BU142" s="9">
        <f>+BS142-'Gen Fd BS'!AA142+BQ142</f>
        <v>0</v>
      </c>
    </row>
    <row r="143" spans="1:75">
      <c r="A143" s="13" t="s">
        <v>1067</v>
      </c>
      <c r="B143" s="13"/>
      <c r="C143" s="13" t="s">
        <v>20</v>
      </c>
      <c r="D143" s="13"/>
      <c r="E143" s="32">
        <v>46557</v>
      </c>
      <c r="G143" s="8">
        <v>5995696</v>
      </c>
      <c r="I143" s="8">
        <v>1346804</v>
      </c>
      <c r="K143" s="8">
        <v>0</v>
      </c>
      <c r="M143" s="8">
        <v>92437</v>
      </c>
      <c r="O143" s="8">
        <v>1177440</v>
      </c>
      <c r="Q143" s="8">
        <v>827330</v>
      </c>
      <c r="S143" s="8">
        <v>75439</v>
      </c>
      <c r="U143" s="8">
        <v>1374943</v>
      </c>
      <c r="W143" s="8">
        <v>583988</v>
      </c>
      <c r="Y143" s="8">
        <v>140077</v>
      </c>
      <c r="AA143" s="8">
        <v>1732024</v>
      </c>
      <c r="AC143" s="8">
        <v>794971</v>
      </c>
      <c r="AE143" s="8">
        <v>312136</v>
      </c>
      <c r="AG143" s="8">
        <v>0</v>
      </c>
      <c r="AI143" s="8">
        <v>92267</v>
      </c>
      <c r="AJ143" s="13" t="s">
        <v>304</v>
      </c>
      <c r="AK143" s="13"/>
      <c r="AL143" s="13" t="s">
        <v>20</v>
      </c>
      <c r="AN143" s="8">
        <v>785059</v>
      </c>
      <c r="AP143" s="8">
        <v>123696</v>
      </c>
      <c r="AT143" s="8">
        <v>0</v>
      </c>
      <c r="AV143" s="8">
        <v>0</v>
      </c>
      <c r="AX143" s="8">
        <v>0</v>
      </c>
      <c r="AZ143" s="8">
        <f t="shared" si="14"/>
        <v>15454307</v>
      </c>
      <c r="BB143" s="8">
        <f>81362-12089</f>
        <v>69273</v>
      </c>
      <c r="BH143" s="8">
        <v>0</v>
      </c>
      <c r="BJ143" s="8">
        <f t="shared" si="13"/>
        <v>15523580</v>
      </c>
      <c r="BL143" s="8">
        <f>+GenRev!AM143-GenExp!BJ143</f>
        <v>-696764</v>
      </c>
      <c r="BN143" s="8">
        <v>7481705</v>
      </c>
      <c r="BP143" s="8">
        <v>0</v>
      </c>
      <c r="BS143" s="8">
        <f t="shared" si="12"/>
        <v>6784941</v>
      </c>
      <c r="BU143" s="9">
        <f>+BS143-'Gen Fd BS'!AA143+BQ143</f>
        <v>0</v>
      </c>
      <c r="BW143" s="15" t="s">
        <v>919</v>
      </c>
    </row>
    <row r="144" spans="1:75">
      <c r="A144" s="13" t="s">
        <v>828</v>
      </c>
      <c r="B144" s="13"/>
      <c r="C144" s="13" t="s">
        <v>71</v>
      </c>
      <c r="D144" s="13"/>
      <c r="E144" s="32"/>
      <c r="G144" s="8">
        <v>3638707</v>
      </c>
      <c r="I144" s="8">
        <v>371161</v>
      </c>
      <c r="K144" s="8">
        <v>131730</v>
      </c>
      <c r="M144" s="8">
        <v>353781</v>
      </c>
      <c r="O144" s="8">
        <v>238048</v>
      </c>
      <c r="Q144" s="8">
        <v>447817</v>
      </c>
      <c r="S144" s="8">
        <v>25403</v>
      </c>
      <c r="U144" s="8">
        <v>804637</v>
      </c>
      <c r="W144" s="8">
        <v>292433</v>
      </c>
      <c r="Y144" s="8">
        <v>0</v>
      </c>
      <c r="AA144" s="8">
        <v>759625</v>
      </c>
      <c r="AC144" s="8">
        <v>389092</v>
      </c>
      <c r="AE144" s="8">
        <v>22132</v>
      </c>
      <c r="AG144" s="8">
        <v>0</v>
      </c>
      <c r="AI144" s="8">
        <v>1812</v>
      </c>
      <c r="AJ144" s="13" t="s">
        <v>828</v>
      </c>
      <c r="AK144" s="13"/>
      <c r="AL144" s="13" t="s">
        <v>71</v>
      </c>
      <c r="AN144" s="8">
        <v>232640</v>
      </c>
      <c r="AP144" s="8">
        <v>1968</v>
      </c>
      <c r="AT144" s="8">
        <v>14608</v>
      </c>
      <c r="AV144" s="8">
        <v>5151</v>
      </c>
      <c r="AX144" s="8">
        <v>0</v>
      </c>
      <c r="AZ144" s="8">
        <f t="shared" si="14"/>
        <v>7730745</v>
      </c>
      <c r="BB144" s="8">
        <v>132411</v>
      </c>
      <c r="BH144" s="8">
        <v>0</v>
      </c>
      <c r="BJ144" s="8">
        <f t="shared" si="13"/>
        <v>7863156</v>
      </c>
      <c r="BL144" s="8">
        <f>+GenRev!AM144-GenExp!BJ144</f>
        <v>-104678</v>
      </c>
      <c r="BN144" s="8">
        <v>230615</v>
      </c>
      <c r="BP144" s="8">
        <v>0</v>
      </c>
      <c r="BS144" s="8">
        <f t="shared" si="12"/>
        <v>125937</v>
      </c>
      <c r="BU144" s="9">
        <f>+BS144-'Gen Fd BS'!AA144+BQ144</f>
        <v>0</v>
      </c>
    </row>
    <row r="145" spans="1:75">
      <c r="A145" s="13" t="s">
        <v>572</v>
      </c>
      <c r="B145" s="13"/>
      <c r="C145" s="13" t="s">
        <v>53</v>
      </c>
      <c r="D145" s="13"/>
      <c r="E145" s="32">
        <v>48934</v>
      </c>
      <c r="G145" s="8">
        <v>4141258</v>
      </c>
      <c r="I145" s="8">
        <v>609192</v>
      </c>
      <c r="K145" s="8">
        <v>0</v>
      </c>
      <c r="M145" s="8">
        <v>17669</v>
      </c>
      <c r="O145" s="8">
        <v>303558</v>
      </c>
      <c r="Q145" s="8">
        <v>648605</v>
      </c>
      <c r="S145" s="8">
        <v>77475</v>
      </c>
      <c r="U145" s="8">
        <v>883743</v>
      </c>
      <c r="W145" s="8">
        <v>394879</v>
      </c>
      <c r="Y145" s="8">
        <v>0</v>
      </c>
      <c r="AA145" s="8">
        <v>1115551</v>
      </c>
      <c r="AC145" s="8">
        <v>493452</v>
      </c>
      <c r="AE145" s="8">
        <v>1789</v>
      </c>
      <c r="AG145" s="8">
        <v>0</v>
      </c>
      <c r="AI145" s="8">
        <v>6898</v>
      </c>
      <c r="AJ145" s="13" t="s">
        <v>572</v>
      </c>
      <c r="AK145" s="13"/>
      <c r="AL145" s="13" t="s">
        <v>53</v>
      </c>
      <c r="AN145" s="8">
        <v>193003</v>
      </c>
      <c r="AP145" s="8">
        <v>149438</v>
      </c>
      <c r="AT145" s="8">
        <v>1713</v>
      </c>
      <c r="AV145" s="8">
        <v>23</v>
      </c>
      <c r="AX145" s="8">
        <v>0</v>
      </c>
      <c r="AZ145" s="8">
        <f t="shared" si="14"/>
        <v>9038246</v>
      </c>
      <c r="BB145" s="8">
        <f>-4886+77431</f>
        <v>72545</v>
      </c>
      <c r="BH145" s="8">
        <v>0</v>
      </c>
      <c r="BJ145" s="8">
        <f t="shared" si="13"/>
        <v>9110791</v>
      </c>
      <c r="BL145" s="8">
        <f>+GenRev!AM145-GenExp!BJ145</f>
        <v>206029</v>
      </c>
      <c r="BN145" s="8">
        <v>3396650</v>
      </c>
      <c r="BP145" s="8">
        <v>0</v>
      </c>
      <c r="BS145" s="8">
        <f t="shared" si="12"/>
        <v>3602679</v>
      </c>
      <c r="BU145" s="9">
        <f>+BS145-'Gen Fd BS'!AA145+BQ145</f>
        <v>0</v>
      </c>
    </row>
    <row r="146" spans="1:75" hidden="1">
      <c r="A146" s="13" t="s">
        <v>921</v>
      </c>
      <c r="B146" s="13"/>
      <c r="C146" s="13" t="s">
        <v>40</v>
      </c>
      <c r="D146" s="13"/>
      <c r="E146" s="32">
        <v>47837</v>
      </c>
      <c r="G146" s="8">
        <v>2787018</v>
      </c>
      <c r="I146" s="8">
        <v>628410</v>
      </c>
      <c r="K146" s="8">
        <v>127014</v>
      </c>
      <c r="M146" s="8">
        <v>4084</v>
      </c>
      <c r="O146" s="8">
        <v>323916</v>
      </c>
      <c r="Q146" s="8">
        <v>396125</v>
      </c>
      <c r="S146" s="8">
        <v>23514</v>
      </c>
      <c r="U146" s="8">
        <v>521696</v>
      </c>
      <c r="W146" s="8">
        <v>161997</v>
      </c>
      <c r="AA146" s="8">
        <v>688861</v>
      </c>
      <c r="AC146" s="8">
        <v>225090</v>
      </c>
      <c r="AE146" s="8">
        <v>65779</v>
      </c>
      <c r="AG146" s="8">
        <v>0</v>
      </c>
      <c r="AJ146" s="13" t="s">
        <v>455</v>
      </c>
      <c r="AK146" s="13"/>
      <c r="AL146" s="13" t="s">
        <v>40</v>
      </c>
      <c r="AN146" s="8">
        <v>115486</v>
      </c>
      <c r="AX146" s="8">
        <v>0</v>
      </c>
      <c r="AZ146" s="8">
        <f t="shared" si="14"/>
        <v>6068990</v>
      </c>
      <c r="BH146" s="8">
        <v>0</v>
      </c>
      <c r="BJ146" s="8">
        <f t="shared" si="13"/>
        <v>6068990</v>
      </c>
      <c r="BL146" s="8">
        <f>+GenRev!AM146-GenExp!BJ146</f>
        <v>46611</v>
      </c>
      <c r="BN146" s="8">
        <v>2152971</v>
      </c>
      <c r="BP146" s="8">
        <v>0</v>
      </c>
      <c r="BS146" s="8">
        <f t="shared" si="12"/>
        <v>2199582</v>
      </c>
      <c r="BU146" s="9">
        <f>+BS146-'Gen Fd BS'!AA146+BQ146</f>
        <v>-66158</v>
      </c>
    </row>
    <row r="147" spans="1:75">
      <c r="A147" s="13" t="s">
        <v>467</v>
      </c>
      <c r="B147" s="13"/>
      <c r="C147" s="13" t="s">
        <v>466</v>
      </c>
      <c r="D147" s="13"/>
      <c r="E147" s="32">
        <v>47928</v>
      </c>
      <c r="G147" s="8">
        <v>4883394</v>
      </c>
      <c r="I147" s="8">
        <v>515180</v>
      </c>
      <c r="K147" s="8">
        <v>100451</v>
      </c>
      <c r="M147" s="8">
        <v>0</v>
      </c>
      <c r="O147" s="8">
        <v>556016</v>
      </c>
      <c r="Q147" s="8">
        <v>188544</v>
      </c>
      <c r="S147" s="8">
        <v>45528</v>
      </c>
      <c r="U147" s="8">
        <v>1004964</v>
      </c>
      <c r="W147" s="8">
        <v>388189</v>
      </c>
      <c r="Y147" s="8">
        <v>17967</v>
      </c>
      <c r="AA147" s="8">
        <v>1247627</v>
      </c>
      <c r="AC147" s="8">
        <v>618179</v>
      </c>
      <c r="AE147" s="8">
        <v>108600</v>
      </c>
      <c r="AG147" s="8">
        <v>0</v>
      </c>
      <c r="AI147" s="8">
        <v>0</v>
      </c>
      <c r="AJ147" s="13" t="s">
        <v>467</v>
      </c>
      <c r="AK147" s="13"/>
      <c r="AL147" s="13" t="s">
        <v>466</v>
      </c>
      <c r="AN147" s="8">
        <v>294078</v>
      </c>
      <c r="AP147" s="8">
        <v>105853</v>
      </c>
      <c r="AT147" s="8">
        <v>3000</v>
      </c>
      <c r="AV147" s="8">
        <v>0</v>
      </c>
      <c r="AX147" s="8">
        <v>0</v>
      </c>
      <c r="AZ147" s="8">
        <f t="shared" si="14"/>
        <v>10077570</v>
      </c>
      <c r="BB147" s="8">
        <v>796090</v>
      </c>
      <c r="BH147" s="8">
        <v>0</v>
      </c>
      <c r="BJ147" s="8">
        <f t="shared" si="13"/>
        <v>10873660</v>
      </c>
      <c r="BL147" s="8">
        <f>+GenRev!AM147-GenExp!BJ147</f>
        <v>-682712</v>
      </c>
      <c r="BN147" s="8">
        <v>3489295</v>
      </c>
      <c r="BP147" s="8">
        <v>0</v>
      </c>
      <c r="BS147" s="8">
        <f t="shared" si="12"/>
        <v>2806583</v>
      </c>
      <c r="BU147" s="9">
        <f>+BS147-'Gen Fd BS'!AA147+BQ147</f>
        <v>0</v>
      </c>
    </row>
    <row r="148" spans="1:75">
      <c r="A148" s="13" t="s">
        <v>546</v>
      </c>
      <c r="B148" s="13"/>
      <c r="C148" s="13" t="s">
        <v>50</v>
      </c>
      <c r="D148" s="13"/>
      <c r="E148" s="32">
        <v>43844</v>
      </c>
      <c r="G148" s="8">
        <v>46628530</v>
      </c>
      <c r="I148" s="8">
        <v>21494158</v>
      </c>
      <c r="K148" s="8">
        <v>2825907</v>
      </c>
      <c r="M148" s="8">
        <v>23399</v>
      </c>
      <c r="O148" s="8">
        <v>7049207</v>
      </c>
      <c r="Q148" s="8">
        <v>6087806</v>
      </c>
      <c r="S148" s="8">
        <v>704595</v>
      </c>
      <c r="U148" s="8">
        <v>11235134</v>
      </c>
      <c r="W148" s="8">
        <v>3182649</v>
      </c>
      <c r="Y148" s="8">
        <v>1664969</v>
      </c>
      <c r="AA148" s="8">
        <v>19258213</v>
      </c>
      <c r="AC148" s="8">
        <v>14972643</v>
      </c>
      <c r="AE148" s="8">
        <v>5061719</v>
      </c>
      <c r="AG148" s="8">
        <v>0</v>
      </c>
      <c r="AI148" s="8">
        <v>54534192</v>
      </c>
      <c r="AJ148" s="13" t="s">
        <v>546</v>
      </c>
      <c r="AK148" s="13"/>
      <c r="AL148" s="13" t="s">
        <v>50</v>
      </c>
      <c r="AN148" s="8">
        <v>819243</v>
      </c>
      <c r="AP148" s="8">
        <v>0</v>
      </c>
      <c r="AT148" s="8">
        <v>830890</v>
      </c>
      <c r="AV148" s="8">
        <v>962660</v>
      </c>
      <c r="AX148" s="8">
        <v>0</v>
      </c>
      <c r="AZ148" s="8">
        <f t="shared" si="14"/>
        <v>197335914</v>
      </c>
      <c r="BB148" s="8">
        <v>585063</v>
      </c>
      <c r="BH148" s="8">
        <v>0</v>
      </c>
      <c r="BJ148" s="8">
        <f t="shared" si="13"/>
        <v>197920977</v>
      </c>
      <c r="BL148" s="8">
        <f>+GenRev!AM148-GenExp!BJ148</f>
        <v>1676155</v>
      </c>
      <c r="BN148" s="8">
        <v>4892304</v>
      </c>
      <c r="BP148" s="8">
        <v>0</v>
      </c>
      <c r="BS148" s="8">
        <f t="shared" si="12"/>
        <v>6568459</v>
      </c>
      <c r="BU148" s="9">
        <f>+BS148-'Gen Fd BS'!AA148+BQ148</f>
        <v>0</v>
      </c>
    </row>
    <row r="149" spans="1:75">
      <c r="A149" s="13" t="s">
        <v>924</v>
      </c>
      <c r="B149" s="13"/>
      <c r="C149" s="13" t="s">
        <v>32</v>
      </c>
      <c r="D149" s="13"/>
      <c r="E149" s="32">
        <v>43851</v>
      </c>
      <c r="G149" s="8">
        <v>6001395</v>
      </c>
      <c r="I149" s="8">
        <v>1319494</v>
      </c>
      <c r="K149" s="8">
        <v>168063</v>
      </c>
      <c r="M149" s="8">
        <v>0</v>
      </c>
      <c r="O149" s="8">
        <v>862377</v>
      </c>
      <c r="Q149" s="8">
        <v>450699</v>
      </c>
      <c r="S149" s="8">
        <v>74375</v>
      </c>
      <c r="U149" s="8">
        <v>1256542</v>
      </c>
      <c r="W149" s="8">
        <v>518431</v>
      </c>
      <c r="Y149" s="8">
        <v>136141</v>
      </c>
      <c r="AA149" s="8">
        <v>1342811</v>
      </c>
      <c r="AC149" s="8">
        <v>256743</v>
      </c>
      <c r="AE149" s="8">
        <v>126745</v>
      </c>
      <c r="AG149" s="8">
        <v>0</v>
      </c>
      <c r="AI149" s="8">
        <v>0</v>
      </c>
      <c r="AJ149" s="13" t="s">
        <v>392</v>
      </c>
      <c r="AK149" s="13"/>
      <c r="AL149" s="13" t="s">
        <v>32</v>
      </c>
      <c r="AN149" s="8">
        <v>348421</v>
      </c>
      <c r="AP149" s="8">
        <v>0</v>
      </c>
      <c r="AT149" s="8">
        <v>116712</v>
      </c>
      <c r="AV149" s="8">
        <v>31501</v>
      </c>
      <c r="AX149" s="8">
        <v>0</v>
      </c>
      <c r="AZ149" s="8">
        <f t="shared" si="14"/>
        <v>13010450</v>
      </c>
      <c r="BB149" s="8">
        <v>31380</v>
      </c>
      <c r="BH149" s="8">
        <v>0</v>
      </c>
      <c r="BJ149" s="8">
        <f t="shared" si="13"/>
        <v>13041830</v>
      </c>
      <c r="BL149" s="8">
        <f>+GenRev!AM149-GenExp!BJ149</f>
        <v>754659</v>
      </c>
      <c r="BN149" s="8">
        <v>3874535</v>
      </c>
      <c r="BP149" s="8">
        <v>0</v>
      </c>
      <c r="BS149" s="8">
        <f t="shared" si="12"/>
        <v>4629194</v>
      </c>
      <c r="BU149" s="9">
        <f>+BS149-'Gen Fd BS'!AA149+BQ149</f>
        <v>0</v>
      </c>
    </row>
    <row r="150" spans="1:75" hidden="1">
      <c r="A150" s="13" t="s">
        <v>925</v>
      </c>
      <c r="B150" s="13"/>
      <c r="C150" s="13" t="s">
        <v>22</v>
      </c>
      <c r="D150" s="13"/>
      <c r="E150" s="32">
        <v>43869</v>
      </c>
      <c r="G150" s="8">
        <v>8994434</v>
      </c>
      <c r="I150" s="8">
        <v>2280159</v>
      </c>
      <c r="K150" s="8">
        <v>400923</v>
      </c>
      <c r="M150" s="8">
        <v>1525333</v>
      </c>
      <c r="O150" s="8">
        <v>1174350</v>
      </c>
      <c r="Q150" s="8">
        <v>1110703</v>
      </c>
      <c r="S150" s="8">
        <v>46104</v>
      </c>
      <c r="U150" s="8">
        <v>1706041</v>
      </c>
      <c r="W150" s="8">
        <v>533751</v>
      </c>
      <c r="AA150" s="8">
        <v>2309452</v>
      </c>
      <c r="AC150" s="8">
        <v>818784</v>
      </c>
      <c r="AE150" s="8">
        <v>23334</v>
      </c>
      <c r="AG150" s="8">
        <v>0</v>
      </c>
      <c r="AJ150" s="13" t="s">
        <v>331</v>
      </c>
      <c r="AK150" s="13"/>
      <c r="AL150" s="13" t="s">
        <v>22</v>
      </c>
      <c r="AN150" s="8">
        <v>485610</v>
      </c>
      <c r="AP150" s="8">
        <v>112729</v>
      </c>
      <c r="AX150" s="8">
        <v>0</v>
      </c>
      <c r="AZ150" s="8">
        <f t="shared" si="14"/>
        <v>21521707</v>
      </c>
      <c r="BH150" s="8">
        <v>0</v>
      </c>
      <c r="BJ150" s="8">
        <f t="shared" si="13"/>
        <v>21521707</v>
      </c>
      <c r="BL150" s="8">
        <f>+GenRev!AM150-GenExp!BJ150</f>
        <v>796103</v>
      </c>
      <c r="BN150" s="8">
        <v>892450</v>
      </c>
      <c r="BP150" s="8">
        <v>0</v>
      </c>
      <c r="BS150" s="8">
        <f t="shared" si="12"/>
        <v>1688553</v>
      </c>
      <c r="BU150" s="9">
        <f>+BS150-'Gen Fd BS'!AA150+BQ150</f>
        <v>-125043</v>
      </c>
    </row>
    <row r="151" spans="1:75">
      <c r="A151" s="13" t="s">
        <v>926</v>
      </c>
      <c r="B151" s="13"/>
      <c r="C151" s="13" t="s">
        <v>23</v>
      </c>
      <c r="D151" s="13"/>
      <c r="E151" s="32"/>
      <c r="G151" s="8">
        <v>19161476</v>
      </c>
      <c r="I151" s="8">
        <v>3946083</v>
      </c>
      <c r="K151" s="8">
        <v>346734</v>
      </c>
      <c r="M151" s="8">
        <f>67247+1626473</f>
        <v>1693720</v>
      </c>
      <c r="O151" s="8">
        <v>2295231</v>
      </c>
      <c r="Q151" s="8">
        <v>2095945</v>
      </c>
      <c r="S151" s="8">
        <v>122478</v>
      </c>
      <c r="U151" s="8">
        <v>2809593</v>
      </c>
      <c r="W151" s="8">
        <v>988895</v>
      </c>
      <c r="Y151" s="8">
        <v>263689</v>
      </c>
      <c r="AA151" s="8">
        <v>4433345</v>
      </c>
      <c r="AC151" s="8">
        <v>2508874</v>
      </c>
      <c r="AE151" s="8">
        <v>141868</v>
      </c>
      <c r="AG151" s="8">
        <v>0</v>
      </c>
      <c r="AI151" s="8">
        <v>0</v>
      </c>
      <c r="AJ151" s="13" t="s">
        <v>926</v>
      </c>
      <c r="AK151" s="13"/>
      <c r="AL151" s="13" t="s">
        <v>23</v>
      </c>
      <c r="AN151" s="8">
        <v>825399</v>
      </c>
      <c r="AP151" s="8">
        <v>0</v>
      </c>
      <c r="AT151" s="8">
        <v>0</v>
      </c>
      <c r="AV151" s="8">
        <v>0</v>
      </c>
      <c r="AX151" s="8">
        <v>0</v>
      </c>
      <c r="AZ151" s="8">
        <f t="shared" si="14"/>
        <v>41633330</v>
      </c>
      <c r="BB151" s="8">
        <v>30000</v>
      </c>
      <c r="BH151" s="8">
        <v>0</v>
      </c>
      <c r="BJ151" s="8">
        <f t="shared" ref="BJ151:BJ156" si="15">+AZ151+BB151+BD151+BH151</f>
        <v>41663330</v>
      </c>
      <c r="BL151" s="8">
        <f>+GenRev!AM151-GenExp!BJ151</f>
        <v>-1923534</v>
      </c>
      <c r="BN151" s="8">
        <v>8183611</v>
      </c>
      <c r="BP151" s="8">
        <v>0</v>
      </c>
      <c r="BS151" s="8">
        <f t="shared" si="12"/>
        <v>6260077</v>
      </c>
      <c r="BU151" s="9">
        <f>+BS151-'Gen Fd BS'!AA151+BQ151</f>
        <v>0</v>
      </c>
    </row>
    <row r="152" spans="1:75">
      <c r="A152" s="13" t="s">
        <v>210</v>
      </c>
      <c r="B152" s="13"/>
      <c r="C152" s="13" t="s">
        <v>10</v>
      </c>
      <c r="D152" s="13"/>
      <c r="E152" s="32">
        <v>43885</v>
      </c>
      <c r="F152" s="11"/>
      <c r="G152" s="8">
        <v>4576044</v>
      </c>
      <c r="I152" s="8">
        <v>566956</v>
      </c>
      <c r="K152" s="8">
        <v>453422</v>
      </c>
      <c r="M152" s="8">
        <v>0</v>
      </c>
      <c r="O152" s="8">
        <v>425965</v>
      </c>
      <c r="Q152" s="8">
        <v>503682</v>
      </c>
      <c r="S152" s="8">
        <v>20043</v>
      </c>
      <c r="U152" s="8">
        <v>841701</v>
      </c>
      <c r="W152" s="8">
        <v>316052</v>
      </c>
      <c r="Y152" s="8">
        <v>0</v>
      </c>
      <c r="AA152" s="8">
        <v>600549</v>
      </c>
      <c r="AC152" s="8">
        <v>473221</v>
      </c>
      <c r="AE152" s="8">
        <v>250</v>
      </c>
      <c r="AG152" s="8">
        <v>0</v>
      </c>
      <c r="AI152" s="8">
        <v>0</v>
      </c>
      <c r="AJ152" s="13" t="s">
        <v>210</v>
      </c>
      <c r="AK152" s="13"/>
      <c r="AL152" s="13" t="s">
        <v>10</v>
      </c>
      <c r="AN152" s="8">
        <v>258242</v>
      </c>
      <c r="AP152" s="8">
        <v>0</v>
      </c>
      <c r="AT152" s="8">
        <v>0</v>
      </c>
      <c r="AV152" s="8">
        <v>0</v>
      </c>
      <c r="AX152" s="8">
        <v>0</v>
      </c>
      <c r="AZ152" s="8">
        <f t="shared" si="14"/>
        <v>9036127</v>
      </c>
      <c r="BB152" s="8">
        <v>0</v>
      </c>
      <c r="BH152" s="8">
        <v>0</v>
      </c>
      <c r="BJ152" s="8">
        <f t="shared" si="15"/>
        <v>9036127</v>
      </c>
      <c r="BL152" s="8">
        <f>+GenRev!AM152-GenExp!BJ152</f>
        <v>-125602</v>
      </c>
      <c r="BN152" s="8">
        <v>-367493</v>
      </c>
      <c r="BP152" s="8">
        <v>0</v>
      </c>
      <c r="BS152" s="8">
        <f t="shared" si="12"/>
        <v>-493095</v>
      </c>
      <c r="BU152" s="9">
        <f>+BS152-'Gen Fd BS'!AA152+BQ152</f>
        <v>0</v>
      </c>
    </row>
    <row r="153" spans="1:75">
      <c r="A153" s="13" t="s">
        <v>695</v>
      </c>
      <c r="B153" s="13"/>
      <c r="C153" s="13" t="s">
        <v>65</v>
      </c>
      <c r="D153" s="13"/>
      <c r="E153" s="32">
        <v>43893</v>
      </c>
      <c r="G153" s="8">
        <v>9500106</v>
      </c>
      <c r="I153" s="8">
        <v>1845318</v>
      </c>
      <c r="K153" s="8">
        <v>38072</v>
      </c>
      <c r="M153" s="8">
        <v>38966</v>
      </c>
      <c r="O153" s="8">
        <v>954010</v>
      </c>
      <c r="Q153" s="8">
        <v>803202</v>
      </c>
      <c r="S153" s="8">
        <v>43039</v>
      </c>
      <c r="U153" s="8">
        <v>1701615</v>
      </c>
      <c r="W153" s="8">
        <v>735605</v>
      </c>
      <c r="Y153" s="8">
        <v>0</v>
      </c>
      <c r="AA153" s="8">
        <v>1919543</v>
      </c>
      <c r="AC153" s="8">
        <v>551722</v>
      </c>
      <c r="AE153" s="8">
        <v>0</v>
      </c>
      <c r="AG153" s="8">
        <v>0</v>
      </c>
      <c r="AI153" s="8">
        <v>0</v>
      </c>
      <c r="AJ153" s="13" t="s">
        <v>695</v>
      </c>
      <c r="AK153" s="13"/>
      <c r="AL153" s="13" t="s">
        <v>65</v>
      </c>
      <c r="AN153" s="8">
        <v>594573</v>
      </c>
      <c r="AP153" s="8">
        <v>0</v>
      </c>
      <c r="AT153" s="8">
        <v>37583</v>
      </c>
      <c r="AV153" s="8">
        <v>9879</v>
      </c>
      <c r="AX153" s="8">
        <v>0</v>
      </c>
      <c r="AZ153" s="8">
        <f t="shared" si="14"/>
        <v>18773233</v>
      </c>
      <c r="BB153" s="8">
        <v>138000</v>
      </c>
      <c r="BH153" s="8">
        <v>0</v>
      </c>
      <c r="BJ153" s="8">
        <f t="shared" si="15"/>
        <v>18911233</v>
      </c>
      <c r="BL153" s="8">
        <f>+GenRev!AM153-GenExp!BJ153</f>
        <v>1707410</v>
      </c>
      <c r="BN153" s="8">
        <v>1640028</v>
      </c>
      <c r="BP153" s="8">
        <v>0</v>
      </c>
      <c r="BS153" s="8">
        <f t="shared" ref="BS153:BS202" si="16">+BN153+BL153-BP153</f>
        <v>3347438</v>
      </c>
      <c r="BU153" s="9">
        <f>+BS153-'Gen Fd BS'!AA153+BQ153</f>
        <v>0</v>
      </c>
    </row>
    <row r="154" spans="1:75">
      <c r="A154" s="13" t="s">
        <v>355</v>
      </c>
      <c r="B154" s="13"/>
      <c r="C154" s="13" t="s">
        <v>27</v>
      </c>
      <c r="D154" s="13"/>
      <c r="E154" s="32">
        <v>47027</v>
      </c>
      <c r="G154" s="8">
        <v>70701229</v>
      </c>
      <c r="I154" s="8">
        <v>17702549</v>
      </c>
      <c r="K154" s="8">
        <v>240935</v>
      </c>
      <c r="M154" s="8">
        <v>0</v>
      </c>
      <c r="O154" s="8">
        <v>8916703</v>
      </c>
      <c r="Q154" s="8">
        <v>11364068</v>
      </c>
      <c r="S154" s="8">
        <v>135855</v>
      </c>
      <c r="U154" s="8">
        <v>9781420</v>
      </c>
      <c r="W154" s="8">
        <v>2544564</v>
      </c>
      <c r="Y154" s="8">
        <v>931733</v>
      </c>
      <c r="AA154" s="8">
        <v>12374909</v>
      </c>
      <c r="AC154" s="8">
        <v>7070401</v>
      </c>
      <c r="AE154" s="8">
        <v>360009</v>
      </c>
      <c r="AG154" s="8">
        <v>0</v>
      </c>
      <c r="AI154" s="8">
        <v>362</v>
      </c>
      <c r="AJ154" s="13" t="s">
        <v>355</v>
      </c>
      <c r="AK154" s="13"/>
      <c r="AL154" s="13" t="s">
        <v>27</v>
      </c>
      <c r="AN154" s="8">
        <v>3839799</v>
      </c>
      <c r="AP154" s="8">
        <v>172964</v>
      </c>
      <c r="AT154" s="8">
        <v>0</v>
      </c>
      <c r="AV154" s="8">
        <v>0</v>
      </c>
      <c r="AX154" s="8">
        <v>1874</v>
      </c>
      <c r="AZ154" s="8">
        <f t="shared" si="14"/>
        <v>146139374</v>
      </c>
      <c r="BB154" s="8">
        <v>757608</v>
      </c>
      <c r="BH154" s="8">
        <v>0</v>
      </c>
      <c r="BJ154" s="8">
        <f t="shared" si="15"/>
        <v>146896982</v>
      </c>
      <c r="BL154" s="8">
        <f>+GenRev!AM154-GenExp!BJ154</f>
        <v>-4660916</v>
      </c>
      <c r="BN154" s="8">
        <v>66406945</v>
      </c>
      <c r="BP154" s="8">
        <v>-50231</v>
      </c>
      <c r="BS154" s="8">
        <f t="shared" si="16"/>
        <v>61796260</v>
      </c>
      <c r="BU154" s="9">
        <f>+BS154-'Gen Fd BS'!AA154+BQ154</f>
        <v>0</v>
      </c>
    </row>
    <row r="155" spans="1:75">
      <c r="A155" s="13" t="s">
        <v>305</v>
      </c>
      <c r="B155" s="13"/>
      <c r="C155" s="13" t="s">
        <v>20</v>
      </c>
      <c r="D155" s="13"/>
      <c r="E155" s="32">
        <v>43901</v>
      </c>
      <c r="G155" s="8">
        <v>14538896</v>
      </c>
      <c r="I155" s="8">
        <v>7109378</v>
      </c>
      <c r="K155" s="8">
        <v>1499744</v>
      </c>
      <c r="M155" s="8">
        <v>5087009</v>
      </c>
      <c r="O155" s="8">
        <v>2159738</v>
      </c>
      <c r="Q155" s="8">
        <v>953249</v>
      </c>
      <c r="S155" s="8">
        <v>45672</v>
      </c>
      <c r="U155" s="8">
        <v>3817054</v>
      </c>
      <c r="W155" s="8">
        <v>1408792</v>
      </c>
      <c r="Y155" s="8">
        <v>284549</v>
      </c>
      <c r="AA155" s="8">
        <v>4510680</v>
      </c>
      <c r="AC155" s="8">
        <v>1136008</v>
      </c>
      <c r="AE155" s="8">
        <v>2031333</v>
      </c>
      <c r="AG155" s="8">
        <v>0</v>
      </c>
      <c r="AI155" s="8">
        <v>0</v>
      </c>
      <c r="AJ155" s="13" t="s">
        <v>305</v>
      </c>
      <c r="AK155" s="13"/>
      <c r="AL155" s="13" t="s">
        <v>20</v>
      </c>
      <c r="AN155" s="8">
        <v>298811</v>
      </c>
      <c r="AP155" s="8">
        <v>0</v>
      </c>
      <c r="AT155" s="8">
        <v>0</v>
      </c>
      <c r="AV155" s="8">
        <v>0</v>
      </c>
      <c r="AX155" s="8">
        <v>0</v>
      </c>
      <c r="AZ155" s="8">
        <f t="shared" si="14"/>
        <v>44880913</v>
      </c>
      <c r="BB155" s="8">
        <v>376779</v>
      </c>
      <c r="BH155" s="8">
        <v>0</v>
      </c>
      <c r="BJ155" s="8">
        <f t="shared" si="15"/>
        <v>45257692</v>
      </c>
      <c r="BL155" s="8">
        <f>+GenRev!AM155-GenExp!BJ155</f>
        <v>3024606</v>
      </c>
      <c r="BN155" s="8">
        <v>27189768</v>
      </c>
      <c r="BP155" s="8">
        <v>0</v>
      </c>
      <c r="BS155" s="8">
        <f t="shared" si="16"/>
        <v>30214374</v>
      </c>
      <c r="BU155" s="9">
        <f>+BS155-'Gen Fd BS'!AA158+BQ155</f>
        <v>0</v>
      </c>
      <c r="BW155" s="8" t="s">
        <v>956</v>
      </c>
    </row>
    <row r="156" spans="1:75">
      <c r="A156" s="13" t="s">
        <v>276</v>
      </c>
      <c r="B156" s="13"/>
      <c r="C156" s="13" t="s">
        <v>18</v>
      </c>
      <c r="D156" s="13"/>
      <c r="E156" s="32">
        <v>46409</v>
      </c>
      <c r="F156" s="11"/>
      <c r="G156" s="8">
        <v>5513124</v>
      </c>
      <c r="I156" s="8">
        <v>704798</v>
      </c>
      <c r="K156" s="8">
        <v>88696</v>
      </c>
      <c r="M156" s="8">
        <v>0</v>
      </c>
      <c r="O156" s="8">
        <v>452427</v>
      </c>
      <c r="Q156" s="8">
        <v>667265</v>
      </c>
      <c r="S156" s="8">
        <v>54253</v>
      </c>
      <c r="U156" s="8">
        <v>884659</v>
      </c>
      <c r="W156" s="8">
        <v>269994</v>
      </c>
      <c r="Y156" s="8">
        <v>6338</v>
      </c>
      <c r="AA156" s="8">
        <v>1134348</v>
      </c>
      <c r="AC156" s="8">
        <v>743889</v>
      </c>
      <c r="AE156" s="8">
        <v>70819</v>
      </c>
      <c r="AG156" s="8">
        <v>0</v>
      </c>
      <c r="AI156" s="8">
        <v>1000</v>
      </c>
      <c r="AJ156" s="13" t="s">
        <v>276</v>
      </c>
      <c r="AK156" s="13"/>
      <c r="AL156" s="13" t="s">
        <v>18</v>
      </c>
      <c r="AN156" s="8">
        <v>220185</v>
      </c>
      <c r="AP156" s="8">
        <v>0</v>
      </c>
      <c r="AT156" s="8">
        <v>0</v>
      </c>
      <c r="AV156" s="8">
        <v>0</v>
      </c>
      <c r="AX156" s="8">
        <v>0</v>
      </c>
      <c r="AZ156" s="8">
        <f t="shared" si="14"/>
        <v>10811795</v>
      </c>
      <c r="BB156" s="8">
        <v>0</v>
      </c>
      <c r="BH156" s="8">
        <v>0</v>
      </c>
      <c r="BJ156" s="8">
        <f t="shared" si="15"/>
        <v>10811795</v>
      </c>
      <c r="BL156" s="8">
        <f>+GenRev!AM156-GenExp!BJ156</f>
        <v>587421</v>
      </c>
      <c r="BN156" s="8">
        <v>-801530</v>
      </c>
      <c r="BP156" s="8">
        <v>0</v>
      </c>
      <c r="BS156" s="8">
        <f t="shared" si="16"/>
        <v>-214109</v>
      </c>
      <c r="BU156" s="9">
        <f>+BS156-'Gen Fd BS'!AA159+BQ156</f>
        <v>0</v>
      </c>
    </row>
    <row r="157" spans="1:75">
      <c r="A157" s="13" t="s">
        <v>390</v>
      </c>
      <c r="B157" s="13"/>
      <c r="C157" s="13" t="s">
        <v>31</v>
      </c>
      <c r="D157" s="13"/>
      <c r="E157" s="32">
        <v>69682</v>
      </c>
      <c r="G157" s="8">
        <v>4586155</v>
      </c>
      <c r="I157" s="8">
        <v>497243</v>
      </c>
      <c r="K157" s="8">
        <v>254371</v>
      </c>
      <c r="M157" s="8">
        <f>6250+158410</f>
        <v>164660</v>
      </c>
      <c r="O157" s="8">
        <v>503918</v>
      </c>
      <c r="Q157" s="8">
        <v>332700</v>
      </c>
      <c r="S157" s="8">
        <v>29582</v>
      </c>
      <c r="U157" s="8">
        <v>749033</v>
      </c>
      <c r="W157" s="8">
        <v>316045</v>
      </c>
      <c r="Y157" s="8">
        <v>0</v>
      </c>
      <c r="AA157" s="8">
        <v>1071674</v>
      </c>
      <c r="AC157" s="8">
        <v>1091252</v>
      </c>
      <c r="AE157" s="8">
        <v>378</v>
      </c>
      <c r="AG157" s="8">
        <v>0</v>
      </c>
      <c r="AI157" s="8">
        <v>0</v>
      </c>
      <c r="AJ157" s="13" t="s">
        <v>390</v>
      </c>
      <c r="AK157" s="13"/>
      <c r="AL157" s="13" t="s">
        <v>31</v>
      </c>
      <c r="AN157" s="8">
        <v>247536</v>
      </c>
      <c r="AP157" s="8">
        <v>8718</v>
      </c>
      <c r="AT157" s="8">
        <v>89453</v>
      </c>
      <c r="AV157" s="8">
        <v>11319</v>
      </c>
      <c r="AX157" s="8">
        <v>0</v>
      </c>
      <c r="AZ157" s="8">
        <f t="shared" ref="AZ157:AZ205" si="17">SUM(G157:AX157)</f>
        <v>9954037</v>
      </c>
      <c r="BB157" s="8">
        <v>38969</v>
      </c>
      <c r="BH157" s="8">
        <v>0</v>
      </c>
      <c r="BJ157" s="8">
        <f t="shared" ref="BJ157:BJ205" si="18">+AZ157+BB157+BD157+BH157</f>
        <v>9993006</v>
      </c>
      <c r="BL157" s="8">
        <f>+GenRev!AM157-GenExp!BJ157</f>
        <v>-158017</v>
      </c>
      <c r="BN157" s="8">
        <v>1541723</v>
      </c>
      <c r="BP157" s="8">
        <v>0</v>
      </c>
      <c r="BS157" s="8">
        <f t="shared" si="16"/>
        <v>1383706</v>
      </c>
      <c r="BU157" s="9">
        <f>+BS157-'Gen Fd BS'!AA160+BQ157</f>
        <v>0</v>
      </c>
    </row>
    <row r="158" spans="1:75">
      <c r="A158" s="13" t="s">
        <v>441</v>
      </c>
      <c r="B158" s="13"/>
      <c r="C158" s="13" t="s">
        <v>36</v>
      </c>
      <c r="D158" s="13"/>
      <c r="E158" s="32">
        <v>47688</v>
      </c>
      <c r="G158" s="8">
        <v>7896022</v>
      </c>
      <c r="I158" s="8">
        <v>886024</v>
      </c>
      <c r="K158" s="8">
        <v>550086</v>
      </c>
      <c r="M158" s="8">
        <v>49107</v>
      </c>
      <c r="O158" s="8">
        <v>455935</v>
      </c>
      <c r="Q158" s="8">
        <v>580903</v>
      </c>
      <c r="S158" s="8">
        <v>29109</v>
      </c>
      <c r="U158" s="8">
        <v>1505069</v>
      </c>
      <c r="W158" s="8">
        <v>413843</v>
      </c>
      <c r="Y158" s="8">
        <v>0</v>
      </c>
      <c r="AA158" s="8">
        <v>1468342</v>
      </c>
      <c r="AC158" s="8">
        <v>1124769</v>
      </c>
      <c r="AE158" s="8">
        <v>107179</v>
      </c>
      <c r="AG158" s="8">
        <v>0</v>
      </c>
      <c r="AI158" s="8">
        <v>0</v>
      </c>
      <c r="AJ158" s="13" t="s">
        <v>441</v>
      </c>
      <c r="AK158" s="13"/>
      <c r="AL158" s="13" t="s">
        <v>36</v>
      </c>
      <c r="AN158" s="8">
        <v>228455</v>
      </c>
      <c r="AP158" s="8">
        <v>47220</v>
      </c>
      <c r="AT158" s="8">
        <v>0</v>
      </c>
      <c r="AV158" s="8">
        <v>0</v>
      </c>
      <c r="AX158" s="8">
        <v>0</v>
      </c>
      <c r="AZ158" s="8">
        <f t="shared" si="17"/>
        <v>15342063</v>
      </c>
      <c r="BB158" s="8">
        <v>0</v>
      </c>
      <c r="BH158" s="8">
        <v>0</v>
      </c>
      <c r="BJ158" s="8">
        <f t="shared" si="18"/>
        <v>15342063</v>
      </c>
      <c r="BL158" s="8">
        <f>+GenRev!AM158-GenExp!BJ158</f>
        <v>-539561</v>
      </c>
      <c r="BN158" s="8">
        <v>4564987</v>
      </c>
      <c r="BP158" s="8">
        <v>0</v>
      </c>
      <c r="BS158" s="8">
        <f t="shared" si="16"/>
        <v>4025426</v>
      </c>
      <c r="BU158" s="9">
        <f>+BS158-'Gen Fd BS'!AA161+BQ158</f>
        <v>0</v>
      </c>
    </row>
    <row r="159" spans="1:75" hidden="1">
      <c r="A159" s="13" t="s">
        <v>929</v>
      </c>
      <c r="B159" s="13"/>
      <c r="C159" s="13" t="s">
        <v>40</v>
      </c>
      <c r="D159" s="13"/>
      <c r="E159" s="32"/>
      <c r="G159" s="8">
        <v>4251373</v>
      </c>
      <c r="I159" s="8">
        <v>1066600</v>
      </c>
      <c r="K159" s="8">
        <v>200509</v>
      </c>
      <c r="M159" s="8">
        <v>1542061</v>
      </c>
      <c r="O159" s="8">
        <v>567956</v>
      </c>
      <c r="Q159" s="8">
        <v>207690</v>
      </c>
      <c r="S159" s="8">
        <v>15019</v>
      </c>
      <c r="U159" s="8">
        <v>942784</v>
      </c>
      <c r="W159" s="8">
        <v>288238</v>
      </c>
      <c r="AA159" s="8">
        <v>1020610</v>
      </c>
      <c r="AC159" s="8">
        <v>712217</v>
      </c>
      <c r="AG159" s="8">
        <v>0</v>
      </c>
      <c r="AJ159" s="13" t="s">
        <v>929</v>
      </c>
      <c r="AK159" s="13"/>
      <c r="AL159" s="13" t="s">
        <v>40</v>
      </c>
      <c r="AN159" s="8">
        <v>227734</v>
      </c>
      <c r="AX159" s="8">
        <v>0</v>
      </c>
      <c r="AZ159" s="8">
        <f t="shared" si="17"/>
        <v>11042791</v>
      </c>
      <c r="BH159" s="8">
        <v>0</v>
      </c>
      <c r="BJ159" s="8">
        <f t="shared" si="18"/>
        <v>11042791</v>
      </c>
      <c r="BL159" s="8">
        <f>+GenRev!AM159-GenExp!BJ159</f>
        <v>-910595</v>
      </c>
      <c r="BN159" s="8">
        <v>3382237</v>
      </c>
      <c r="BP159" s="8">
        <v>0</v>
      </c>
      <c r="BS159" s="8">
        <f t="shared" si="16"/>
        <v>2471642</v>
      </c>
      <c r="BU159" s="9">
        <f>+BS159-'Gen Fd BS'!AA162+BQ159</f>
        <v>-825</v>
      </c>
    </row>
    <row r="160" spans="1:75">
      <c r="A160" s="13" t="s">
        <v>281</v>
      </c>
      <c r="B160" s="13"/>
      <c r="C160" s="13" t="s">
        <v>114</v>
      </c>
      <c r="D160" s="13"/>
      <c r="E160" s="32">
        <v>43919</v>
      </c>
      <c r="F160" s="11"/>
      <c r="G160" s="8">
        <v>10312719</v>
      </c>
      <c r="I160" s="8">
        <v>2559716</v>
      </c>
      <c r="K160" s="8">
        <v>877505</v>
      </c>
      <c r="M160" s="8">
        <f>3+114725+175538</f>
        <v>290266</v>
      </c>
      <c r="O160" s="8">
        <v>633602</v>
      </c>
      <c r="Q160" s="8">
        <v>496108</v>
      </c>
      <c r="S160" s="8">
        <v>189852</v>
      </c>
      <c r="U160" s="8">
        <v>1188410</v>
      </c>
      <c r="W160" s="8">
        <v>562462</v>
      </c>
      <c r="Y160" s="8">
        <v>42361</v>
      </c>
      <c r="AA160" s="8">
        <v>2626886</v>
      </c>
      <c r="AC160" s="8">
        <v>970583</v>
      </c>
      <c r="AE160" s="8">
        <v>0</v>
      </c>
      <c r="AG160" s="8">
        <v>0</v>
      </c>
      <c r="AI160" s="8">
        <v>355</v>
      </c>
      <c r="AJ160" s="13" t="s">
        <v>281</v>
      </c>
      <c r="AK160" s="13"/>
      <c r="AL160" s="13" t="s">
        <v>114</v>
      </c>
      <c r="AN160" s="8">
        <v>204070</v>
      </c>
      <c r="AP160" s="8">
        <v>9940</v>
      </c>
      <c r="AT160" s="8">
        <v>40338</v>
      </c>
      <c r="AV160" s="8">
        <v>5533</v>
      </c>
      <c r="AX160" s="8">
        <v>0</v>
      </c>
      <c r="AZ160" s="8">
        <f t="shared" si="17"/>
        <v>21010706</v>
      </c>
      <c r="BB160" s="8">
        <f>93538-8412</f>
        <v>85126</v>
      </c>
      <c r="BH160" s="8">
        <v>0</v>
      </c>
      <c r="BJ160" s="8">
        <f t="shared" si="18"/>
        <v>21095832</v>
      </c>
      <c r="BL160" s="8">
        <f>+GenRev!AM160-GenExp!BJ160</f>
        <v>993589</v>
      </c>
      <c r="BN160" s="8">
        <v>979339</v>
      </c>
      <c r="BP160" s="8">
        <v>0</v>
      </c>
      <c r="BS160" s="8">
        <f t="shared" si="16"/>
        <v>1972928</v>
      </c>
      <c r="BU160" s="9">
        <f>+BS160-'Gen Fd BS'!AA163+BQ160</f>
        <v>0</v>
      </c>
    </row>
    <row r="161" spans="1:75">
      <c r="A161" s="13" t="s">
        <v>563</v>
      </c>
      <c r="B161" s="13"/>
      <c r="C161" s="13" t="s">
        <v>51</v>
      </c>
      <c r="D161" s="13"/>
      <c r="E161" s="32">
        <v>48835</v>
      </c>
      <c r="G161" s="8">
        <v>8200000</v>
      </c>
      <c r="I161" s="8">
        <v>971547</v>
      </c>
      <c r="K161" s="8">
        <v>244902</v>
      </c>
      <c r="M161" s="8">
        <v>9950</v>
      </c>
      <c r="O161" s="8">
        <v>389215</v>
      </c>
      <c r="Q161" s="8">
        <v>1018091</v>
      </c>
      <c r="S161" s="8">
        <v>32716</v>
      </c>
      <c r="U161" s="8">
        <v>1827176</v>
      </c>
      <c r="W161" s="8">
        <v>362780</v>
      </c>
      <c r="Y161" s="8">
        <v>0</v>
      </c>
      <c r="AA161" s="8">
        <v>1529909</v>
      </c>
      <c r="AC161" s="8">
        <v>1100600</v>
      </c>
      <c r="AE161" s="8">
        <v>146532</v>
      </c>
      <c r="AG161" s="8">
        <v>0</v>
      </c>
      <c r="AI161" s="8">
        <v>0</v>
      </c>
      <c r="AJ161" s="13" t="s">
        <v>563</v>
      </c>
      <c r="AK161" s="13"/>
      <c r="AL161" s="13" t="s">
        <v>51</v>
      </c>
      <c r="AN161" s="8">
        <v>212104</v>
      </c>
      <c r="AP161" s="8">
        <v>0</v>
      </c>
      <c r="AT161" s="8">
        <v>17467</v>
      </c>
      <c r="AV161" s="8">
        <v>2265</v>
      </c>
      <c r="AX161" s="8">
        <v>0</v>
      </c>
      <c r="AZ161" s="8">
        <f t="shared" si="17"/>
        <v>16065254</v>
      </c>
      <c r="BB161" s="8">
        <v>0</v>
      </c>
      <c r="BH161" s="8">
        <v>0</v>
      </c>
      <c r="BJ161" s="8">
        <f t="shared" si="18"/>
        <v>16065254</v>
      </c>
      <c r="BL161" s="8">
        <f>+GenRev!AM161-GenExp!BJ161</f>
        <v>339756</v>
      </c>
      <c r="BN161" s="8">
        <v>1716783</v>
      </c>
      <c r="BP161" s="8">
        <v>0</v>
      </c>
      <c r="BS161" s="8">
        <f t="shared" si="16"/>
        <v>2056539</v>
      </c>
      <c r="BU161" s="9">
        <f>+BS161-'Gen Fd BS'!AA164+BQ161</f>
        <v>0</v>
      </c>
    </row>
    <row r="162" spans="1:75">
      <c r="A162" s="13" t="s">
        <v>282</v>
      </c>
      <c r="B162" s="13"/>
      <c r="C162" s="13" t="s">
        <v>114</v>
      </c>
      <c r="D162" s="13"/>
      <c r="E162" s="32">
        <v>43927</v>
      </c>
      <c r="F162" s="11"/>
      <c r="G162" s="8">
        <v>4421534</v>
      </c>
      <c r="I162" s="8">
        <v>1658611</v>
      </c>
      <c r="K162" s="8">
        <v>58678</v>
      </c>
      <c r="M162" s="8">
        <v>0</v>
      </c>
      <c r="O162" s="8">
        <v>670136</v>
      </c>
      <c r="Q162" s="8">
        <v>384132</v>
      </c>
      <c r="S162" s="8">
        <v>27340</v>
      </c>
      <c r="U162" s="8">
        <v>685149</v>
      </c>
      <c r="W162" s="8">
        <v>244236</v>
      </c>
      <c r="Y162" s="8">
        <v>435215</v>
      </c>
      <c r="AA162" s="8">
        <v>1126553</v>
      </c>
      <c r="AC162" s="8">
        <v>493307</v>
      </c>
      <c r="AE162" s="8">
        <v>0</v>
      </c>
      <c r="AG162" s="8">
        <v>0</v>
      </c>
      <c r="AI162" s="8">
        <v>2000</v>
      </c>
      <c r="AJ162" s="13" t="s">
        <v>282</v>
      </c>
      <c r="AK162" s="13"/>
      <c r="AL162" s="13" t="s">
        <v>114</v>
      </c>
      <c r="AN162" s="8">
        <v>188429</v>
      </c>
      <c r="AP162" s="8">
        <v>0</v>
      </c>
      <c r="AT162" s="8">
        <v>0</v>
      </c>
      <c r="AV162" s="8">
        <v>0</v>
      </c>
      <c r="AX162" s="8">
        <v>0</v>
      </c>
      <c r="AZ162" s="8">
        <f t="shared" si="17"/>
        <v>10395320</v>
      </c>
      <c r="BB162" s="8">
        <v>0</v>
      </c>
      <c r="BH162" s="8">
        <v>0</v>
      </c>
      <c r="BJ162" s="8">
        <f t="shared" si="18"/>
        <v>10395320</v>
      </c>
      <c r="BL162" s="8">
        <f>+GenRev!AM162-GenExp!BJ162</f>
        <v>-415169</v>
      </c>
      <c r="BN162" s="8">
        <v>-342269</v>
      </c>
      <c r="BP162" s="8">
        <v>0</v>
      </c>
      <c r="BS162" s="8">
        <f t="shared" si="16"/>
        <v>-757438</v>
      </c>
      <c r="BU162" s="9">
        <f>+BS162-'Gen Fd BS'!AA165+BQ162</f>
        <v>0</v>
      </c>
    </row>
    <row r="163" spans="1:75">
      <c r="A163" s="13" t="s">
        <v>237</v>
      </c>
      <c r="B163" s="13"/>
      <c r="C163" s="13" t="s">
        <v>77</v>
      </c>
      <c r="D163" s="13"/>
      <c r="E163" s="32">
        <v>46037</v>
      </c>
      <c r="F163" s="11"/>
      <c r="G163" s="8">
        <v>4768796</v>
      </c>
      <c r="I163" s="8">
        <v>845514</v>
      </c>
      <c r="K163" s="8">
        <v>135549</v>
      </c>
      <c r="M163" s="8">
        <v>864522</v>
      </c>
      <c r="O163" s="8">
        <v>423378</v>
      </c>
      <c r="Q163" s="8">
        <v>870319</v>
      </c>
      <c r="S163" s="8">
        <v>19321</v>
      </c>
      <c r="U163" s="8">
        <v>1000797</v>
      </c>
      <c r="W163" s="8">
        <v>402559</v>
      </c>
      <c r="Y163" s="8">
        <v>5762</v>
      </c>
      <c r="AA163" s="8">
        <v>806049</v>
      </c>
      <c r="AC163" s="8">
        <v>832577</v>
      </c>
      <c r="AE163" s="8">
        <v>33260</v>
      </c>
      <c r="AG163" s="8">
        <v>0</v>
      </c>
      <c r="AI163" s="8">
        <v>5533</v>
      </c>
      <c r="AJ163" s="13" t="s">
        <v>237</v>
      </c>
      <c r="AK163" s="13"/>
      <c r="AL163" s="13" t="s">
        <v>77</v>
      </c>
      <c r="AN163" s="8">
        <v>107148</v>
      </c>
      <c r="AP163" s="8">
        <v>38247</v>
      </c>
      <c r="AT163" s="8">
        <v>0</v>
      </c>
      <c r="AV163" s="8">
        <v>0</v>
      </c>
      <c r="AX163" s="8">
        <v>0</v>
      </c>
      <c r="AZ163" s="8">
        <f t="shared" si="17"/>
        <v>11159331</v>
      </c>
      <c r="BB163" s="8">
        <v>0</v>
      </c>
      <c r="BH163" s="8">
        <v>0</v>
      </c>
      <c r="BJ163" s="8">
        <f t="shared" si="18"/>
        <v>11159331</v>
      </c>
      <c r="BL163" s="8">
        <f>+GenRev!AM163-GenExp!BJ163</f>
        <v>188711</v>
      </c>
      <c r="BN163" s="8">
        <v>-485604</v>
      </c>
      <c r="BP163" s="8">
        <v>0</v>
      </c>
      <c r="BS163" s="8">
        <f t="shared" si="16"/>
        <v>-296893</v>
      </c>
      <c r="BU163" s="9">
        <f>+BS163-'Gen Fd BS'!AA166+BQ163</f>
        <v>0</v>
      </c>
    </row>
    <row r="164" spans="1:75">
      <c r="A164" s="12" t="s">
        <v>237</v>
      </c>
      <c r="B164" s="12"/>
      <c r="C164" s="12" t="s">
        <v>531</v>
      </c>
      <c r="D164" s="12"/>
      <c r="E164" s="32">
        <v>48512</v>
      </c>
      <c r="F164" s="11"/>
      <c r="G164" s="8">
        <v>3547054</v>
      </c>
      <c r="I164" s="8">
        <v>578614</v>
      </c>
      <c r="K164" s="8">
        <v>0</v>
      </c>
      <c r="M164" s="8">
        <v>2291</v>
      </c>
      <c r="O164" s="8">
        <v>481289</v>
      </c>
      <c r="Q164" s="8">
        <v>203558</v>
      </c>
      <c r="S164" s="8">
        <v>38242</v>
      </c>
      <c r="U164" s="8">
        <v>583647</v>
      </c>
      <c r="W164" s="8">
        <v>301137</v>
      </c>
      <c r="Y164" s="8">
        <v>0</v>
      </c>
      <c r="AA164" s="8">
        <v>772284</v>
      </c>
      <c r="AC164" s="8">
        <v>560567</v>
      </c>
      <c r="AE164" s="8">
        <v>77532</v>
      </c>
      <c r="AG164" s="8">
        <v>0</v>
      </c>
      <c r="AI164" s="8">
        <v>0</v>
      </c>
      <c r="AJ164" s="13" t="s">
        <v>237</v>
      </c>
      <c r="AK164" s="13"/>
      <c r="AL164" s="13" t="s">
        <v>531</v>
      </c>
      <c r="AN164" s="8">
        <v>116688</v>
      </c>
      <c r="AP164" s="8">
        <v>21182</v>
      </c>
      <c r="AT164" s="8">
        <v>0</v>
      </c>
      <c r="AV164" s="8">
        <v>0</v>
      </c>
      <c r="AX164" s="8">
        <v>0</v>
      </c>
      <c r="AZ164" s="8">
        <f t="shared" si="17"/>
        <v>7284085</v>
      </c>
      <c r="BB164" s="8">
        <v>1058</v>
      </c>
      <c r="BH164" s="8">
        <v>0</v>
      </c>
      <c r="BJ164" s="8">
        <f t="shared" si="18"/>
        <v>7285143</v>
      </c>
      <c r="BL164" s="8">
        <f>+GenRev!AM167-GenExp!BJ164</f>
        <v>315366</v>
      </c>
      <c r="BN164" s="8">
        <v>356945</v>
      </c>
      <c r="BP164" s="8">
        <v>0</v>
      </c>
      <c r="BS164" s="8">
        <f t="shared" si="16"/>
        <v>672311</v>
      </c>
      <c r="BU164" s="9">
        <f>+BS164-'Gen Fd BS'!AA167+BQ164</f>
        <v>0</v>
      </c>
    </row>
    <row r="165" spans="1:75" hidden="1">
      <c r="A165" s="13" t="s">
        <v>931</v>
      </c>
      <c r="B165" s="13"/>
      <c r="C165" s="13" t="s">
        <v>55</v>
      </c>
      <c r="D165" s="13"/>
      <c r="E165" s="32">
        <v>49122</v>
      </c>
      <c r="G165" s="8">
        <v>2589241</v>
      </c>
      <c r="I165" s="8">
        <v>826313</v>
      </c>
      <c r="K165" s="8">
        <v>26469</v>
      </c>
      <c r="M165" s="8">
        <v>858214</v>
      </c>
      <c r="O165" s="8">
        <v>229066</v>
      </c>
      <c r="Q165" s="8">
        <v>177400</v>
      </c>
      <c r="S165" s="8">
        <v>32039</v>
      </c>
      <c r="U165" s="8">
        <v>617856</v>
      </c>
      <c r="W165" s="8">
        <v>216315</v>
      </c>
      <c r="AA165" s="8">
        <v>705127</v>
      </c>
      <c r="AC165" s="8">
        <v>698288</v>
      </c>
      <c r="AE165" s="8">
        <v>83876</v>
      </c>
      <c r="AG165" s="8">
        <v>0</v>
      </c>
      <c r="AJ165" s="13" t="s">
        <v>931</v>
      </c>
      <c r="AK165" s="13"/>
      <c r="AL165" s="13" t="s">
        <v>55</v>
      </c>
      <c r="AN165" s="8">
        <v>83375</v>
      </c>
      <c r="AX165" s="8">
        <v>0</v>
      </c>
      <c r="AZ165" s="8">
        <f t="shared" si="17"/>
        <v>7143579</v>
      </c>
      <c r="BH165" s="8">
        <v>0</v>
      </c>
      <c r="BJ165" s="8">
        <f t="shared" si="18"/>
        <v>7143579</v>
      </c>
      <c r="BL165" s="8">
        <f>+GenRev!AM168-GenExp!BJ165</f>
        <v>-280797</v>
      </c>
      <c r="BN165" s="8">
        <v>1418135</v>
      </c>
      <c r="BP165" s="8">
        <v>0</v>
      </c>
      <c r="BS165" s="8">
        <f t="shared" si="16"/>
        <v>1137338</v>
      </c>
      <c r="BU165" s="9">
        <f>+BS165-'Gen Fd BS'!AA168+BQ165</f>
        <v>-3463</v>
      </c>
    </row>
    <row r="166" spans="1:75">
      <c r="A166" s="13" t="s">
        <v>734</v>
      </c>
      <c r="B166" s="13"/>
      <c r="C166" s="13" t="s">
        <v>72</v>
      </c>
      <c r="D166" s="13"/>
      <c r="E166" s="32">
        <v>50674</v>
      </c>
      <c r="G166" s="8">
        <v>7247546</v>
      </c>
      <c r="I166" s="8">
        <v>1257710</v>
      </c>
      <c r="K166" s="8">
        <v>220271</v>
      </c>
      <c r="M166" s="8">
        <v>0</v>
      </c>
      <c r="O166" s="8">
        <v>433353</v>
      </c>
      <c r="Q166" s="8">
        <v>400714</v>
      </c>
      <c r="S166" s="8">
        <v>59173</v>
      </c>
      <c r="U166" s="8">
        <v>1219961</v>
      </c>
      <c r="W166" s="8">
        <v>518418</v>
      </c>
      <c r="Y166" s="8">
        <v>0</v>
      </c>
      <c r="AA166" s="8">
        <v>1272181</v>
      </c>
      <c r="AC166" s="8">
        <v>1043499</v>
      </c>
      <c r="AE166" s="8">
        <v>0</v>
      </c>
      <c r="AG166" s="8">
        <v>0</v>
      </c>
      <c r="AI166" s="8">
        <v>0</v>
      </c>
      <c r="AJ166" s="13" t="s">
        <v>734</v>
      </c>
      <c r="AK166" s="13"/>
      <c r="AL166" s="13" t="s">
        <v>72</v>
      </c>
      <c r="AN166" s="8">
        <v>251664</v>
      </c>
      <c r="AP166" s="8">
        <v>83198</v>
      </c>
      <c r="AT166" s="8">
        <v>27434</v>
      </c>
      <c r="AV166" s="8">
        <v>5842</v>
      </c>
      <c r="AX166" s="8">
        <v>0</v>
      </c>
      <c r="AZ166" s="8">
        <f t="shared" si="17"/>
        <v>14040964</v>
      </c>
      <c r="BB166" s="8">
        <v>39526</v>
      </c>
      <c r="BH166" s="8">
        <v>0</v>
      </c>
      <c r="BJ166" s="8">
        <f t="shared" si="18"/>
        <v>14080490</v>
      </c>
      <c r="BL166" s="8">
        <f>+GenRev!AM169-GenExp!BJ166</f>
        <v>1042296</v>
      </c>
      <c r="BN166" s="8">
        <v>3968398</v>
      </c>
      <c r="BP166" s="8">
        <v>0</v>
      </c>
      <c r="BS166" s="8">
        <f t="shared" si="16"/>
        <v>5010694</v>
      </c>
      <c r="BU166" s="9">
        <f>+BS166-'Gen Fd BS'!AA169+BQ166</f>
        <v>0</v>
      </c>
    </row>
    <row r="167" spans="1:75">
      <c r="A167" s="12" t="s">
        <v>974</v>
      </c>
      <c r="B167" s="13"/>
      <c r="C167" s="13" t="s">
        <v>57</v>
      </c>
      <c r="D167" s="13"/>
      <c r="E167" s="32">
        <v>43935</v>
      </c>
      <c r="G167" s="8">
        <v>10959850</v>
      </c>
      <c r="I167" s="8">
        <v>0</v>
      </c>
      <c r="K167" s="8">
        <v>0</v>
      </c>
      <c r="M167" s="8">
        <v>0</v>
      </c>
      <c r="O167" s="8">
        <v>886354</v>
      </c>
      <c r="Q167" s="8">
        <v>515449</v>
      </c>
      <c r="S167" s="8">
        <v>16830</v>
      </c>
      <c r="U167" s="8">
        <v>1539541</v>
      </c>
      <c r="W167" s="8">
        <v>581143</v>
      </c>
      <c r="Y167" s="8">
        <v>2407</v>
      </c>
      <c r="AA167" s="8">
        <v>1866438</v>
      </c>
      <c r="AC167" s="8">
        <v>1242463</v>
      </c>
      <c r="AE167" s="8">
        <v>112240</v>
      </c>
      <c r="AG167" s="8">
        <v>0</v>
      </c>
      <c r="AI167" s="8">
        <v>5939</v>
      </c>
      <c r="AJ167" s="12" t="s">
        <v>974</v>
      </c>
      <c r="AK167" s="13"/>
      <c r="AL167" s="13" t="s">
        <v>57</v>
      </c>
      <c r="AN167" s="8">
        <v>379679</v>
      </c>
      <c r="AP167" s="8">
        <v>224312</v>
      </c>
      <c r="AT167" s="8">
        <v>0</v>
      </c>
      <c r="AV167" s="8">
        <v>0</v>
      </c>
      <c r="AX167" s="8">
        <v>0</v>
      </c>
      <c r="AZ167" s="8">
        <f t="shared" si="17"/>
        <v>18332645</v>
      </c>
      <c r="BB167" s="8">
        <v>225</v>
      </c>
      <c r="BH167" s="8">
        <v>0</v>
      </c>
      <c r="BJ167" s="8">
        <f t="shared" si="18"/>
        <v>18332870</v>
      </c>
      <c r="BL167" s="8">
        <f>+GenRev!AM170-GenExp!BJ167</f>
        <v>1634938</v>
      </c>
      <c r="BN167" s="8">
        <v>10172751</v>
      </c>
      <c r="BP167" s="8">
        <v>-12755</v>
      </c>
      <c r="BS167" s="8">
        <f t="shared" si="16"/>
        <v>11820444</v>
      </c>
      <c r="BU167" s="9">
        <f>+BS167-'Gen Fd BS'!AA170+BQ167</f>
        <v>0</v>
      </c>
      <c r="BW167" s="8" t="s">
        <v>976</v>
      </c>
    </row>
    <row r="168" spans="1:75" hidden="1">
      <c r="A168" s="12" t="s">
        <v>932</v>
      </c>
      <c r="B168" s="13"/>
      <c r="C168" s="13" t="s">
        <v>727</v>
      </c>
      <c r="D168" s="13"/>
      <c r="E168" s="32">
        <v>50617</v>
      </c>
      <c r="G168" s="8">
        <v>2242741</v>
      </c>
      <c r="I168" s="8">
        <v>393206</v>
      </c>
      <c r="K168" s="8">
        <v>51230</v>
      </c>
      <c r="M168" s="8">
        <f>16280+383848</f>
        <v>400128</v>
      </c>
      <c r="O168" s="8">
        <v>117103</v>
      </c>
      <c r="Q168" s="8">
        <v>280439</v>
      </c>
      <c r="S168" s="8">
        <v>55097</v>
      </c>
      <c r="U168" s="8">
        <v>454383</v>
      </c>
      <c r="W168" s="8">
        <v>243953</v>
      </c>
      <c r="AA168" s="8">
        <v>587120</v>
      </c>
      <c r="AC168" s="8">
        <v>213493</v>
      </c>
      <c r="AE168" s="8">
        <v>26351</v>
      </c>
      <c r="AG168" s="8">
        <v>0</v>
      </c>
      <c r="AJ168" s="13" t="s">
        <v>728</v>
      </c>
      <c r="AK168" s="13"/>
      <c r="AL168" s="13" t="s">
        <v>727</v>
      </c>
      <c r="AN168" s="8">
        <v>154336</v>
      </c>
      <c r="AX168" s="8">
        <v>0</v>
      </c>
      <c r="AZ168" s="8">
        <f t="shared" si="17"/>
        <v>5219580</v>
      </c>
      <c r="BB168" s="8">
        <f>-1705+3282</f>
        <v>1577</v>
      </c>
      <c r="BH168" s="8">
        <v>0</v>
      </c>
      <c r="BJ168" s="8">
        <f t="shared" si="18"/>
        <v>5221157</v>
      </c>
      <c r="BL168" s="8">
        <f>+GenRev!AM171-GenExp!BJ168</f>
        <v>-24972</v>
      </c>
      <c r="BN168" s="8">
        <v>1691425</v>
      </c>
      <c r="BS168" s="8">
        <f t="shared" si="16"/>
        <v>1666453</v>
      </c>
      <c r="BU168" s="9">
        <f>+BS168-'Gen Fd BS'!AA171+BQ168</f>
        <v>63294</v>
      </c>
    </row>
    <row r="169" spans="1:75">
      <c r="A169" s="13" t="s">
        <v>241</v>
      </c>
      <c r="B169" s="13"/>
      <c r="C169" s="13" t="s">
        <v>242</v>
      </c>
      <c r="D169" s="13"/>
      <c r="E169" s="32">
        <v>46094</v>
      </c>
      <c r="F169" s="11"/>
      <c r="G169" s="8">
        <v>13022659</v>
      </c>
      <c r="I169" s="8">
        <v>3860756</v>
      </c>
      <c r="K169" s="8">
        <v>0</v>
      </c>
      <c r="M169" s="8">
        <v>39890</v>
      </c>
      <c r="O169" s="8">
        <v>2090881</v>
      </c>
      <c r="Q169" s="8">
        <v>2898855</v>
      </c>
      <c r="S169" s="8">
        <v>343239</v>
      </c>
      <c r="U169" s="8">
        <v>2260963</v>
      </c>
      <c r="W169" s="8">
        <v>819657</v>
      </c>
      <c r="Y169" s="8">
        <v>169378</v>
      </c>
      <c r="AA169" s="8">
        <v>2711201</v>
      </c>
      <c r="AC169" s="8">
        <v>1368982</v>
      </c>
      <c r="AE169" s="8">
        <v>202615</v>
      </c>
      <c r="AG169" s="8">
        <v>0</v>
      </c>
      <c r="AI169" s="8">
        <v>16163</v>
      </c>
      <c r="AJ169" s="13" t="s">
        <v>241</v>
      </c>
      <c r="AK169" s="13"/>
      <c r="AL169" s="13" t="s">
        <v>242</v>
      </c>
      <c r="AN169" s="8">
        <v>464812</v>
      </c>
      <c r="AP169" s="8">
        <v>24325</v>
      </c>
      <c r="AT169" s="8">
        <v>262253</v>
      </c>
      <c r="AV169" s="8">
        <v>40773</v>
      </c>
      <c r="AX169" s="8">
        <v>0</v>
      </c>
      <c r="AZ169" s="8">
        <f t="shared" si="17"/>
        <v>30597402</v>
      </c>
      <c r="BB169" s="8">
        <v>39836</v>
      </c>
      <c r="BH169" s="8">
        <v>0</v>
      </c>
      <c r="BJ169" s="8">
        <f t="shared" si="18"/>
        <v>30637238</v>
      </c>
      <c r="BL169" s="8">
        <f>+GenRev!AM172-GenExp!BJ169</f>
        <v>-1779933</v>
      </c>
      <c r="BN169" s="8">
        <v>3062904</v>
      </c>
      <c r="BP169" s="8">
        <v>0</v>
      </c>
      <c r="BS169" s="8">
        <f t="shared" si="16"/>
        <v>1282971</v>
      </c>
      <c r="BU169" s="9">
        <f>+BS169-'Gen Fd BS'!AA172+BQ169</f>
        <v>0</v>
      </c>
    </row>
    <row r="170" spans="1:75">
      <c r="A170" s="13" t="s">
        <v>450</v>
      </c>
      <c r="B170" s="13"/>
      <c r="C170" s="13" t="s">
        <v>39</v>
      </c>
      <c r="D170" s="13"/>
      <c r="E170" s="32">
        <v>47795</v>
      </c>
      <c r="G170" s="8">
        <v>6505676</v>
      </c>
      <c r="I170" s="8">
        <v>1223568</v>
      </c>
      <c r="K170" s="8">
        <v>112795</v>
      </c>
      <c r="M170" s="8">
        <v>2105901</v>
      </c>
      <c r="O170" s="8">
        <v>463898</v>
      </c>
      <c r="Q170" s="8">
        <v>252295</v>
      </c>
      <c r="S170" s="8">
        <v>179447</v>
      </c>
      <c r="U170" s="8">
        <v>1417891</v>
      </c>
      <c r="W170" s="8">
        <v>356480</v>
      </c>
      <c r="Y170" s="8">
        <v>123191</v>
      </c>
      <c r="AA170" s="8">
        <v>2035552</v>
      </c>
      <c r="AC170" s="8">
        <v>1907199</v>
      </c>
      <c r="AE170" s="8">
        <v>183724</v>
      </c>
      <c r="AG170" s="8">
        <v>0</v>
      </c>
      <c r="AI170" s="8">
        <v>5440</v>
      </c>
      <c r="AJ170" s="13" t="s">
        <v>450</v>
      </c>
      <c r="AK170" s="13"/>
      <c r="AL170" s="13" t="s">
        <v>39</v>
      </c>
      <c r="AN170" s="8">
        <v>241933</v>
      </c>
      <c r="AP170" s="8">
        <v>0</v>
      </c>
      <c r="AT170" s="8">
        <v>120771</v>
      </c>
      <c r="AV170" s="8">
        <v>18684</v>
      </c>
      <c r="AX170" s="8">
        <v>0</v>
      </c>
      <c r="AZ170" s="8">
        <f t="shared" si="17"/>
        <v>17254445</v>
      </c>
      <c r="BB170" s="8">
        <f>480467</f>
        <v>480467</v>
      </c>
      <c r="BH170" s="8">
        <v>0</v>
      </c>
      <c r="BJ170" s="8">
        <f t="shared" si="18"/>
        <v>17734912</v>
      </c>
      <c r="BL170" s="8">
        <f>+GenRev!AM173-GenExp!BJ170</f>
        <v>1186430</v>
      </c>
      <c r="BN170" s="8">
        <v>-1563293</v>
      </c>
      <c r="BP170" s="8">
        <v>0</v>
      </c>
      <c r="BS170" s="8">
        <f t="shared" si="16"/>
        <v>-376863</v>
      </c>
      <c r="BU170" s="9">
        <f>+BS170-'Gen Fd BS'!AA173+BQ170</f>
        <v>0</v>
      </c>
    </row>
    <row r="171" spans="1:75">
      <c r="A171" s="13" t="s">
        <v>729</v>
      </c>
      <c r="B171" s="13"/>
      <c r="C171" s="13" t="s">
        <v>727</v>
      </c>
      <c r="D171" s="13"/>
      <c r="E171" s="32">
        <v>50625</v>
      </c>
      <c r="G171" s="8">
        <v>2567631</v>
      </c>
      <c r="I171" s="8">
        <v>406761</v>
      </c>
      <c r="K171" s="8">
        <v>169604</v>
      </c>
      <c r="M171" s="8">
        <f>53+12272</f>
        <v>12325</v>
      </c>
      <c r="O171" s="8">
        <v>264419</v>
      </c>
      <c r="Q171" s="8">
        <v>388755</v>
      </c>
      <c r="S171" s="8">
        <v>12802</v>
      </c>
      <c r="U171" s="8">
        <v>460363</v>
      </c>
      <c r="W171" s="8">
        <v>227292</v>
      </c>
      <c r="Y171" s="8">
        <v>780</v>
      </c>
      <c r="AA171" s="8">
        <v>618933</v>
      </c>
      <c r="AC171" s="8">
        <v>380594</v>
      </c>
      <c r="AE171" s="8">
        <v>41327</v>
      </c>
      <c r="AG171" s="8">
        <v>0</v>
      </c>
      <c r="AI171" s="8">
        <v>0</v>
      </c>
      <c r="AJ171" s="13" t="s">
        <v>729</v>
      </c>
      <c r="AK171" s="13"/>
      <c r="AL171" s="13" t="s">
        <v>727</v>
      </c>
      <c r="AN171" s="8">
        <v>210471</v>
      </c>
      <c r="AP171" s="8">
        <v>4700</v>
      </c>
      <c r="AT171" s="8">
        <v>0</v>
      </c>
      <c r="AV171" s="8">
        <v>0</v>
      </c>
      <c r="AX171" s="8">
        <v>0</v>
      </c>
      <c r="AZ171" s="8">
        <f t="shared" si="17"/>
        <v>5766757</v>
      </c>
      <c r="BB171" s="8">
        <v>0</v>
      </c>
      <c r="BH171" s="8">
        <v>0</v>
      </c>
      <c r="BJ171" s="8">
        <f t="shared" si="18"/>
        <v>5766757</v>
      </c>
      <c r="BL171" s="8">
        <f>+GenRev!AM174-GenExp!BJ171</f>
        <v>-612785</v>
      </c>
      <c r="BN171" s="8">
        <v>2594351</v>
      </c>
      <c r="BP171" s="8">
        <v>0</v>
      </c>
      <c r="BS171" s="8">
        <f t="shared" si="16"/>
        <v>1981566</v>
      </c>
      <c r="BU171" s="9">
        <f>+BS171-'Gen Fd BS'!AA174+BQ171</f>
        <v>0</v>
      </c>
    </row>
    <row r="172" spans="1:75" hidden="1">
      <c r="A172" s="13" t="s">
        <v>934</v>
      </c>
      <c r="B172" s="13"/>
      <c r="C172" s="13" t="s">
        <v>10</v>
      </c>
      <c r="D172" s="13"/>
      <c r="E172" s="32"/>
      <c r="G172" s="8">
        <v>11664028</v>
      </c>
      <c r="I172" s="8">
        <v>1544590</v>
      </c>
      <c r="K172" s="8">
        <v>2281</v>
      </c>
      <c r="O172" s="8">
        <v>679166</v>
      </c>
      <c r="Q172" s="8">
        <v>512129</v>
      </c>
      <c r="S172" s="8">
        <v>27048</v>
      </c>
      <c r="U172" s="8">
        <v>1329717</v>
      </c>
      <c r="W172" s="8">
        <v>484315</v>
      </c>
      <c r="Y172" s="8">
        <v>129133</v>
      </c>
      <c r="AA172" s="8">
        <v>1766184</v>
      </c>
      <c r="AC172" s="8">
        <v>1246318</v>
      </c>
      <c r="AG172" s="8">
        <v>0</v>
      </c>
      <c r="AI172" s="8">
        <v>39864</v>
      </c>
      <c r="AJ172" s="13" t="s">
        <v>934</v>
      </c>
      <c r="AK172" s="13"/>
      <c r="AL172" s="13" t="s">
        <v>10</v>
      </c>
      <c r="AN172" s="8">
        <v>517228</v>
      </c>
      <c r="AP172" s="8">
        <v>107284</v>
      </c>
      <c r="AT172" s="8">
        <v>54985</v>
      </c>
      <c r="AV172" s="8">
        <v>14631</v>
      </c>
      <c r="AX172" s="8">
        <v>0</v>
      </c>
      <c r="AZ172" s="8">
        <f t="shared" si="17"/>
        <v>20118901</v>
      </c>
      <c r="BH172" s="8">
        <v>0</v>
      </c>
      <c r="BJ172" s="8">
        <f t="shared" si="18"/>
        <v>20118901</v>
      </c>
      <c r="BL172" s="8">
        <f>+GenRev!AM175-GenExp!BJ172</f>
        <v>75948</v>
      </c>
      <c r="BN172" s="8">
        <v>4075750</v>
      </c>
      <c r="BP172" s="8">
        <v>0</v>
      </c>
      <c r="BS172" s="8">
        <f t="shared" si="16"/>
        <v>4151698</v>
      </c>
      <c r="BU172" s="9">
        <f>+BS172-'Gen Fd BS'!AA175+BQ172</f>
        <v>22739</v>
      </c>
    </row>
    <row r="173" spans="1:75" hidden="1">
      <c r="A173" s="12" t="s">
        <v>1020</v>
      </c>
      <c r="B173" s="12"/>
      <c r="C173" s="12" t="s">
        <v>72</v>
      </c>
      <c r="D173" s="13"/>
      <c r="E173" s="32"/>
      <c r="AG173" s="8">
        <v>0</v>
      </c>
      <c r="AJ173" s="13"/>
      <c r="AK173" s="13"/>
      <c r="AL173" s="13"/>
      <c r="AX173" s="8">
        <v>0</v>
      </c>
      <c r="BH173" s="8">
        <v>0</v>
      </c>
      <c r="BP173" s="8">
        <v>0</v>
      </c>
      <c r="BW173" s="8" t="s">
        <v>967</v>
      </c>
    </row>
    <row r="174" spans="1:75">
      <c r="A174" s="12" t="s">
        <v>977</v>
      </c>
      <c r="B174" s="13"/>
      <c r="C174" s="13" t="s">
        <v>46</v>
      </c>
      <c r="D174" s="13"/>
      <c r="E174" s="32">
        <v>48413</v>
      </c>
      <c r="G174" s="8">
        <v>6736098</v>
      </c>
      <c r="I174" s="8">
        <v>1242167</v>
      </c>
      <c r="K174" s="8">
        <v>76166</v>
      </c>
      <c r="M174" s="8">
        <v>0</v>
      </c>
      <c r="O174" s="8">
        <v>436352</v>
      </c>
      <c r="Q174" s="8">
        <v>400462</v>
      </c>
      <c r="S174" s="8">
        <v>29744</v>
      </c>
      <c r="U174" s="8">
        <v>1109107</v>
      </c>
      <c r="W174" s="8">
        <v>403109</v>
      </c>
      <c r="Y174" s="8">
        <v>0</v>
      </c>
      <c r="AA174" s="8">
        <v>1090017</v>
      </c>
      <c r="AC174" s="8">
        <v>814032</v>
      </c>
      <c r="AE174" s="8">
        <v>0</v>
      </c>
      <c r="AG174" s="8">
        <v>0</v>
      </c>
      <c r="AI174" s="8">
        <v>0</v>
      </c>
      <c r="AJ174" s="12" t="s">
        <v>977</v>
      </c>
      <c r="AK174" s="13"/>
      <c r="AL174" s="13" t="s">
        <v>46</v>
      </c>
      <c r="AN174" s="8">
        <v>247234</v>
      </c>
      <c r="AP174" s="8">
        <v>17399</v>
      </c>
      <c r="AT174" s="8">
        <v>0</v>
      </c>
      <c r="AV174" s="8">
        <v>0</v>
      </c>
      <c r="AX174" s="8">
        <v>0</v>
      </c>
      <c r="AZ174" s="8">
        <f t="shared" si="17"/>
        <v>12601887</v>
      </c>
      <c r="BB174" s="8">
        <v>0</v>
      </c>
      <c r="BH174" s="8">
        <v>0</v>
      </c>
      <c r="BJ174" s="8">
        <f t="shared" si="18"/>
        <v>12601887</v>
      </c>
      <c r="BL174" s="8">
        <f>+GenRev!AM177-GenExp!BJ174</f>
        <v>-283899</v>
      </c>
      <c r="BN174" s="8">
        <v>579413</v>
      </c>
      <c r="BP174" s="8">
        <v>0</v>
      </c>
      <c r="BS174" s="8">
        <f t="shared" si="16"/>
        <v>295514</v>
      </c>
      <c r="BU174" s="9">
        <f>+BS174-'Gen Fd BS'!AA176+BQ174</f>
        <v>0</v>
      </c>
    </row>
    <row r="175" spans="1:75">
      <c r="A175" s="13" t="s">
        <v>487</v>
      </c>
      <c r="B175" s="13"/>
      <c r="C175" s="13" t="s">
        <v>44</v>
      </c>
      <c r="D175" s="13"/>
      <c r="E175" s="32">
        <v>43943</v>
      </c>
      <c r="G175" s="8">
        <v>25762394</v>
      </c>
      <c r="I175" s="8">
        <v>8010856</v>
      </c>
      <c r="K175" s="8">
        <v>214658</v>
      </c>
      <c r="M175" s="8">
        <v>6676199</v>
      </c>
      <c r="O175" s="8">
        <v>2763890</v>
      </c>
      <c r="Q175" s="8">
        <v>2089792</v>
      </c>
      <c r="S175" s="8">
        <v>104943</v>
      </c>
      <c r="U175" s="8">
        <v>3993908</v>
      </c>
      <c r="W175" s="8">
        <v>1661534</v>
      </c>
      <c r="Y175" s="8">
        <v>646906</v>
      </c>
      <c r="AA175" s="8">
        <v>6307535</v>
      </c>
      <c r="AC175" s="8">
        <v>2897325</v>
      </c>
      <c r="AE175" s="8">
        <v>1023348</v>
      </c>
      <c r="AG175" s="8">
        <v>0</v>
      </c>
      <c r="AI175" s="8">
        <v>456192</v>
      </c>
      <c r="AJ175" s="13" t="s">
        <v>487</v>
      </c>
      <c r="AK175" s="13"/>
      <c r="AL175" s="13" t="s">
        <v>44</v>
      </c>
      <c r="AN175" s="8">
        <v>965079</v>
      </c>
      <c r="AP175" s="8">
        <v>427194</v>
      </c>
      <c r="AT175" s="8">
        <v>679594</v>
      </c>
      <c r="AV175" s="8">
        <v>239402</v>
      </c>
      <c r="AX175" s="8">
        <v>0</v>
      </c>
      <c r="AZ175" s="8">
        <f t="shared" si="17"/>
        <v>64920749</v>
      </c>
      <c r="BB175" s="8">
        <f>3324286-4660</f>
        <v>3319626</v>
      </c>
      <c r="BH175" s="8">
        <v>0</v>
      </c>
      <c r="BJ175" s="8">
        <f t="shared" si="18"/>
        <v>68240375</v>
      </c>
      <c r="BL175" s="8">
        <f>+GenRev!AM178-GenExp!BJ175</f>
        <v>-2450060</v>
      </c>
      <c r="BN175" s="8">
        <v>910230</v>
      </c>
      <c r="BP175" s="8">
        <v>0</v>
      </c>
      <c r="BS175" s="8">
        <f t="shared" si="16"/>
        <v>-1539830</v>
      </c>
      <c r="BU175" s="9">
        <f>+BS175-'Gen Fd BS'!AA178+BQ175</f>
        <v>0</v>
      </c>
    </row>
    <row r="176" spans="1:75">
      <c r="A176" s="13" t="s">
        <v>306</v>
      </c>
      <c r="B176" s="13"/>
      <c r="C176" s="13" t="s">
        <v>20</v>
      </c>
      <c r="D176" s="13"/>
      <c r="E176" s="32">
        <v>43950</v>
      </c>
      <c r="G176" s="8">
        <v>27139659</v>
      </c>
      <c r="I176" s="8">
        <v>12139179</v>
      </c>
      <c r="K176" s="8">
        <v>1285557</v>
      </c>
      <c r="M176" s="8">
        <v>257017</v>
      </c>
      <c r="O176" s="8">
        <v>4029942</v>
      </c>
      <c r="Q176" s="8">
        <v>3570341</v>
      </c>
      <c r="S176" s="8">
        <v>62252</v>
      </c>
      <c r="U176" s="8">
        <v>5229017</v>
      </c>
      <c r="W176" s="8">
        <v>1897804</v>
      </c>
      <c r="Y176" s="8">
        <v>757615</v>
      </c>
      <c r="AA176" s="8">
        <v>8017744</v>
      </c>
      <c r="AC176" s="8">
        <v>3707421</v>
      </c>
      <c r="AE176" s="8">
        <v>1215565</v>
      </c>
      <c r="AG176" s="8">
        <v>0</v>
      </c>
      <c r="AI176" s="8">
        <v>56232</v>
      </c>
      <c r="AJ176" s="13" t="s">
        <v>306</v>
      </c>
      <c r="AK176" s="13"/>
      <c r="AL176" s="13" t="s">
        <v>20</v>
      </c>
      <c r="AN176" s="8">
        <v>913857</v>
      </c>
      <c r="AP176" s="8">
        <v>0</v>
      </c>
      <c r="AT176" s="8">
        <v>0</v>
      </c>
      <c r="AV176" s="8">
        <v>0</v>
      </c>
      <c r="AX176" s="8">
        <v>0</v>
      </c>
      <c r="AZ176" s="8">
        <f t="shared" si="17"/>
        <v>70279202</v>
      </c>
      <c r="BB176" s="8">
        <f>314867-71638</f>
        <v>243229</v>
      </c>
      <c r="BH176" s="8">
        <v>0</v>
      </c>
      <c r="BJ176" s="8">
        <f t="shared" si="18"/>
        <v>70522431</v>
      </c>
      <c r="BL176" s="8">
        <f>+GenRev!AM179-GenExp!BJ176</f>
        <v>619787</v>
      </c>
      <c r="BN176" s="8">
        <v>9098791</v>
      </c>
      <c r="BP176" s="8">
        <v>0</v>
      </c>
      <c r="BS176" s="8">
        <f t="shared" si="16"/>
        <v>9718578</v>
      </c>
      <c r="BU176" s="9">
        <f>+BS176-'Gen Fd BS'!AA179+BQ176</f>
        <v>0</v>
      </c>
    </row>
    <row r="177" spans="1:73" hidden="1">
      <c r="A177" s="13" t="s">
        <v>840</v>
      </c>
      <c r="B177" s="13"/>
      <c r="C177" s="13" t="s">
        <v>28</v>
      </c>
      <c r="D177" s="13"/>
      <c r="E177" s="32">
        <v>47050</v>
      </c>
      <c r="G177" s="8">
        <v>4767728</v>
      </c>
      <c r="I177" s="8">
        <v>1034324</v>
      </c>
      <c r="K177" s="8">
        <v>134545</v>
      </c>
      <c r="M177" s="8">
        <v>602473</v>
      </c>
      <c r="O177" s="8">
        <v>595493</v>
      </c>
      <c r="Q177" s="8">
        <v>760907</v>
      </c>
      <c r="S177" s="8">
        <v>35441</v>
      </c>
      <c r="U177" s="8">
        <v>902864</v>
      </c>
      <c r="W177" s="8">
        <v>306940</v>
      </c>
      <c r="Y177" s="8">
        <v>18000</v>
      </c>
      <c r="AA177" s="8">
        <v>1059135</v>
      </c>
      <c r="AC177" s="8">
        <v>1109910</v>
      </c>
      <c r="AE177" s="8">
        <v>70595</v>
      </c>
      <c r="AG177" s="8">
        <v>0</v>
      </c>
      <c r="AI177" s="8">
        <v>37269</v>
      </c>
      <c r="AJ177" s="13" t="s">
        <v>369</v>
      </c>
      <c r="AK177" s="13"/>
      <c r="AL177" s="13" t="s">
        <v>28</v>
      </c>
      <c r="AN177" s="8">
        <v>367465</v>
      </c>
      <c r="AX177" s="8">
        <v>0</v>
      </c>
      <c r="AZ177" s="8">
        <f t="shared" si="17"/>
        <v>11803089</v>
      </c>
      <c r="BB177" s="8">
        <f>15500+6050</f>
        <v>21550</v>
      </c>
      <c r="BH177" s="8">
        <v>0</v>
      </c>
      <c r="BJ177" s="8">
        <f t="shared" si="18"/>
        <v>11824639</v>
      </c>
      <c r="BL177" s="8">
        <f>+GenRev!AM180-GenExp!BJ177</f>
        <v>518737</v>
      </c>
      <c r="BN177" s="8">
        <v>3378228</v>
      </c>
      <c r="BP177" s="8">
        <v>0</v>
      </c>
      <c r="BS177" s="8">
        <f t="shared" si="16"/>
        <v>3896965</v>
      </c>
      <c r="BU177" s="9">
        <f>+BS177-'Gen Fd BS'!AA180+BQ177</f>
        <v>-51690</v>
      </c>
    </row>
    <row r="178" spans="1:73">
      <c r="A178" s="13" t="s">
        <v>702</v>
      </c>
      <c r="B178" s="13"/>
      <c r="C178" s="13" t="s">
        <v>66</v>
      </c>
      <c r="D178" s="13"/>
      <c r="E178" s="32">
        <v>50328</v>
      </c>
      <c r="G178" s="8">
        <v>4184946</v>
      </c>
      <c r="I178" s="8">
        <v>724229</v>
      </c>
      <c r="K178" s="8">
        <v>38602</v>
      </c>
      <c r="M178" s="8">
        <v>58931</v>
      </c>
      <c r="O178" s="8">
        <v>561884</v>
      </c>
      <c r="Q178" s="8">
        <v>361124</v>
      </c>
      <c r="S178" s="8">
        <v>98478</v>
      </c>
      <c r="U178" s="8">
        <v>846377</v>
      </c>
      <c r="W178" s="8">
        <v>372513</v>
      </c>
      <c r="Y178" s="8">
        <v>0</v>
      </c>
      <c r="AA178" s="8">
        <v>932784</v>
      </c>
      <c r="AC178" s="8">
        <v>726618</v>
      </c>
      <c r="AE178" s="8">
        <v>0</v>
      </c>
      <c r="AG178" s="8">
        <v>0</v>
      </c>
      <c r="AI178" s="8">
        <v>0</v>
      </c>
      <c r="AJ178" s="13" t="s">
        <v>702</v>
      </c>
      <c r="AK178" s="13"/>
      <c r="AL178" s="13" t="s">
        <v>66</v>
      </c>
      <c r="AN178" s="8">
        <v>217632</v>
      </c>
      <c r="AP178" s="8">
        <v>0</v>
      </c>
      <c r="AT178" s="8">
        <v>22225</v>
      </c>
      <c r="AV178" s="8">
        <v>5535</v>
      </c>
      <c r="AX178" s="8">
        <v>0</v>
      </c>
      <c r="AZ178" s="8">
        <f t="shared" si="17"/>
        <v>9151878</v>
      </c>
      <c r="BB178" s="8">
        <v>62441</v>
      </c>
      <c r="BH178" s="8">
        <v>0</v>
      </c>
      <c r="BJ178" s="8">
        <f t="shared" si="18"/>
        <v>9214319</v>
      </c>
      <c r="BL178" s="8">
        <f>+GenRev!AM181-GenExp!BJ178</f>
        <v>322458</v>
      </c>
      <c r="BN178" s="8">
        <v>1753284</v>
      </c>
      <c r="BP178" s="8">
        <v>0</v>
      </c>
      <c r="BS178" s="8">
        <f t="shared" si="16"/>
        <v>2075742</v>
      </c>
      <c r="BU178" s="9">
        <f>+BS178-'Gen Fd BS'!AA181+BQ178</f>
        <v>0</v>
      </c>
    </row>
    <row r="179" spans="1:73">
      <c r="A179" s="13" t="s">
        <v>851</v>
      </c>
      <c r="B179" s="13"/>
      <c r="C179" s="13" t="s">
        <v>852</v>
      </c>
      <c r="D179" s="13"/>
      <c r="E179" s="32">
        <v>46102</v>
      </c>
      <c r="F179" s="11"/>
      <c r="G179" s="8">
        <v>17867471</v>
      </c>
      <c r="I179" s="8">
        <v>4800941</v>
      </c>
      <c r="K179" s="8">
        <v>0</v>
      </c>
      <c r="M179" s="8">
        <v>2387113</v>
      </c>
      <c r="O179" s="8">
        <v>2560791</v>
      </c>
      <c r="Q179" s="8">
        <v>1468410</v>
      </c>
      <c r="S179" s="8">
        <v>62140</v>
      </c>
      <c r="U179" s="8">
        <v>2844027</v>
      </c>
      <c r="W179" s="8">
        <v>800579</v>
      </c>
      <c r="Y179" s="8">
        <v>229353</v>
      </c>
      <c r="AA179" s="8">
        <v>3909723</v>
      </c>
      <c r="AC179" s="8">
        <v>2714814</v>
      </c>
      <c r="AE179" s="8">
        <v>434668</v>
      </c>
      <c r="AG179" s="8">
        <v>0</v>
      </c>
      <c r="AI179" s="8">
        <v>0</v>
      </c>
      <c r="AJ179" s="13" t="s">
        <v>851</v>
      </c>
      <c r="AK179" s="13"/>
      <c r="AL179" s="13" t="s">
        <v>116</v>
      </c>
      <c r="AN179" s="8">
        <v>591731</v>
      </c>
      <c r="AP179" s="8">
        <v>0</v>
      </c>
      <c r="AT179" s="8">
        <v>27036</v>
      </c>
      <c r="AV179" s="8">
        <v>1152</v>
      </c>
      <c r="AX179" s="8">
        <v>0</v>
      </c>
      <c r="AZ179" s="8">
        <f>SUM(G179:AX179)</f>
        <v>40699949</v>
      </c>
      <c r="BB179" s="8">
        <f>729800-400000</f>
        <v>329800</v>
      </c>
      <c r="BH179" s="8">
        <v>0</v>
      </c>
      <c r="BJ179" s="8">
        <f>+AZ179+BB179+BD179+BH179</f>
        <v>41029749</v>
      </c>
      <c r="BL179" s="8">
        <f>+GenRev!AM182-GenExp!BJ179</f>
        <v>2584310</v>
      </c>
      <c r="BN179" s="8">
        <v>44098</v>
      </c>
      <c r="BP179" s="8">
        <v>2431</v>
      </c>
      <c r="BS179" s="8">
        <f>+BN179+BL179-BP179</f>
        <v>2625977</v>
      </c>
      <c r="BU179" s="9">
        <f>+BS179-'Gen Fd BS'!AA182+BQ179</f>
        <v>0</v>
      </c>
    </row>
    <row r="180" spans="1:73">
      <c r="A180" s="13" t="s">
        <v>243</v>
      </c>
      <c r="B180" s="13"/>
      <c r="C180" s="13" t="s">
        <v>242</v>
      </c>
      <c r="D180" s="13"/>
      <c r="E180" s="32">
        <v>46102</v>
      </c>
      <c r="F180" s="11"/>
      <c r="G180" s="8">
        <v>35109173</v>
      </c>
      <c r="I180" s="8">
        <v>7296543</v>
      </c>
      <c r="K180" s="8">
        <v>89895</v>
      </c>
      <c r="M180" s="8">
        <v>1783381</v>
      </c>
      <c r="O180" s="8">
        <v>2319273</v>
      </c>
      <c r="Q180" s="8">
        <v>5751373</v>
      </c>
      <c r="S180" s="8">
        <v>27451</v>
      </c>
      <c r="U180" s="8">
        <v>6067648</v>
      </c>
      <c r="W180" s="8">
        <v>1233767</v>
      </c>
      <c r="Y180" s="8">
        <v>124108</v>
      </c>
      <c r="AA180" s="8">
        <v>7763794</v>
      </c>
      <c r="AC180" s="8">
        <v>5235095</v>
      </c>
      <c r="AE180" s="8">
        <v>148153</v>
      </c>
      <c r="AG180" s="8">
        <v>0</v>
      </c>
      <c r="AI180" s="8">
        <v>0</v>
      </c>
      <c r="AJ180" s="13" t="s">
        <v>243</v>
      </c>
      <c r="AK180" s="13"/>
      <c r="AL180" s="13" t="s">
        <v>242</v>
      </c>
      <c r="AN180" s="8">
        <v>1463034</v>
      </c>
      <c r="AP180" s="8">
        <v>0</v>
      </c>
      <c r="AT180" s="8">
        <v>84484</v>
      </c>
      <c r="AV180" s="8">
        <v>0</v>
      </c>
      <c r="AX180" s="8">
        <v>0</v>
      </c>
      <c r="AZ180" s="8">
        <f t="shared" si="17"/>
        <v>74497172</v>
      </c>
      <c r="BB180" s="8">
        <v>0</v>
      </c>
      <c r="BH180" s="8">
        <v>0</v>
      </c>
      <c r="BJ180" s="8">
        <f t="shared" si="18"/>
        <v>74497172</v>
      </c>
      <c r="BL180" s="8">
        <f>+GenRev!AM183-GenExp!BJ180</f>
        <v>295616</v>
      </c>
      <c r="BN180" s="8">
        <v>9242243</v>
      </c>
      <c r="BP180" s="8">
        <v>0</v>
      </c>
      <c r="BS180" s="8">
        <f t="shared" si="16"/>
        <v>9537859</v>
      </c>
      <c r="BU180" s="9">
        <f>+BS180-'Gen Fd BS'!AA183+BQ180</f>
        <v>0</v>
      </c>
    </row>
    <row r="181" spans="1:73">
      <c r="A181" s="13" t="s">
        <v>436</v>
      </c>
      <c r="B181" s="13"/>
      <c r="C181" s="13" t="s">
        <v>435</v>
      </c>
      <c r="D181" s="13"/>
      <c r="E181" s="32">
        <v>47621</v>
      </c>
      <c r="G181" s="8">
        <v>3220873</v>
      </c>
      <c r="I181" s="8">
        <v>289810</v>
      </c>
      <c r="K181" s="8">
        <v>179640</v>
      </c>
      <c r="M181" s="8">
        <v>25817</v>
      </c>
      <c r="O181" s="8">
        <v>262990</v>
      </c>
      <c r="Q181" s="8">
        <v>223712</v>
      </c>
      <c r="S181" s="8">
        <v>22515</v>
      </c>
      <c r="U181" s="8">
        <v>487648</v>
      </c>
      <c r="W181" s="8">
        <v>280797</v>
      </c>
      <c r="Y181" s="8">
        <v>14032</v>
      </c>
      <c r="AA181" s="8">
        <v>444016</v>
      </c>
      <c r="AC181" s="8">
        <v>431618</v>
      </c>
      <c r="AE181" s="8">
        <v>114984</v>
      </c>
      <c r="AG181" s="8">
        <v>0</v>
      </c>
      <c r="AI181" s="8">
        <v>7528</v>
      </c>
      <c r="AJ181" s="13" t="s">
        <v>436</v>
      </c>
      <c r="AK181" s="13"/>
      <c r="AL181" s="13" t="s">
        <v>435</v>
      </c>
      <c r="AN181" s="8">
        <v>46486</v>
      </c>
      <c r="AP181" s="8">
        <v>0</v>
      </c>
      <c r="AT181" s="8">
        <v>0</v>
      </c>
      <c r="AV181" s="8">
        <v>0</v>
      </c>
      <c r="AX181" s="8">
        <v>0</v>
      </c>
      <c r="AZ181" s="8">
        <f t="shared" si="17"/>
        <v>6052466</v>
      </c>
      <c r="BB181" s="8">
        <v>0</v>
      </c>
      <c r="BH181" s="8">
        <v>0</v>
      </c>
      <c r="BJ181" s="8">
        <f t="shared" si="18"/>
        <v>6052466</v>
      </c>
      <c r="BL181" s="8">
        <f>+GenRev!AM184-GenExp!BJ181</f>
        <v>1006400</v>
      </c>
      <c r="BN181" s="8">
        <v>-749256</v>
      </c>
      <c r="BP181" s="8">
        <v>0</v>
      </c>
      <c r="BS181" s="8">
        <f t="shared" si="16"/>
        <v>257144</v>
      </c>
      <c r="BU181" s="9">
        <f>+BS181-'Gen Fd BS'!AA184+BQ181</f>
        <v>0</v>
      </c>
    </row>
    <row r="182" spans="1:73">
      <c r="A182" s="13" t="s">
        <v>346</v>
      </c>
      <c r="B182" s="13"/>
      <c r="C182" s="13" t="s">
        <v>25</v>
      </c>
      <c r="D182" s="13"/>
      <c r="E182" s="32">
        <v>46870</v>
      </c>
      <c r="G182" s="8">
        <v>7938296</v>
      </c>
      <c r="I182" s="8">
        <v>1449732</v>
      </c>
      <c r="K182" s="8">
        <v>392788</v>
      </c>
      <c r="M182" s="8">
        <v>347381</v>
      </c>
      <c r="O182" s="8">
        <v>863700</v>
      </c>
      <c r="Q182" s="8">
        <v>703818</v>
      </c>
      <c r="S182" s="8">
        <v>31239</v>
      </c>
      <c r="U182" s="8">
        <v>1668577</v>
      </c>
      <c r="W182" s="8">
        <v>540919</v>
      </c>
      <c r="Y182" s="8">
        <v>0</v>
      </c>
      <c r="AA182" s="8">
        <v>1171796</v>
      </c>
      <c r="AC182" s="8">
        <v>1192959</v>
      </c>
      <c r="AE182" s="8">
        <v>134809</v>
      </c>
      <c r="AG182" s="8">
        <v>0</v>
      </c>
      <c r="AI182" s="8">
        <v>0</v>
      </c>
      <c r="AJ182" s="13" t="s">
        <v>346</v>
      </c>
      <c r="AK182" s="13"/>
      <c r="AL182" s="13" t="s">
        <v>25</v>
      </c>
      <c r="AN182" s="8">
        <v>409745</v>
      </c>
      <c r="AP182" s="8">
        <v>0</v>
      </c>
      <c r="AT182" s="8">
        <v>77678</v>
      </c>
      <c r="AV182" s="8">
        <v>21759</v>
      </c>
      <c r="AX182" s="8">
        <v>0</v>
      </c>
      <c r="AZ182" s="8">
        <f t="shared" si="17"/>
        <v>16945196</v>
      </c>
      <c r="BB182" s="8">
        <v>1691388</v>
      </c>
      <c r="BH182" s="8">
        <v>0</v>
      </c>
      <c r="BJ182" s="8">
        <f t="shared" si="18"/>
        <v>18636584</v>
      </c>
      <c r="BL182" s="8">
        <f>+GenRev!AM185-GenExp!BJ182</f>
        <v>1711899</v>
      </c>
      <c r="BN182" s="8">
        <v>1868893</v>
      </c>
      <c r="BP182" s="8">
        <v>0</v>
      </c>
      <c r="BS182" s="8">
        <f t="shared" si="16"/>
        <v>3580792</v>
      </c>
      <c r="BU182" s="9">
        <f>+BS182-'Gen Fd BS'!AA185+BQ182</f>
        <v>0</v>
      </c>
    </row>
    <row r="183" spans="1:73">
      <c r="A183" s="13"/>
      <c r="B183" s="13"/>
      <c r="C183" s="13"/>
      <c r="D183" s="13"/>
      <c r="E183" s="32"/>
      <c r="AJ183" s="13"/>
      <c r="AK183" s="13"/>
      <c r="AL183" s="13"/>
    </row>
    <row r="184" spans="1:73">
      <c r="A184" s="13"/>
      <c r="B184" s="13"/>
      <c r="C184" s="13"/>
      <c r="D184" s="13"/>
      <c r="E184" s="32"/>
      <c r="AI184" s="8" t="s">
        <v>805</v>
      </c>
      <c r="AJ184" s="13"/>
      <c r="AK184" s="13"/>
      <c r="AL184" s="13"/>
      <c r="BS184" s="8" t="s">
        <v>805</v>
      </c>
    </row>
    <row r="185" spans="1:73">
      <c r="A185" s="13"/>
      <c r="B185" s="13"/>
      <c r="C185" s="13"/>
      <c r="D185" s="13"/>
      <c r="E185" s="32"/>
      <c r="AJ185" s="13"/>
      <c r="AK185" s="13"/>
      <c r="AL185" s="13"/>
    </row>
    <row r="186" spans="1:73">
      <c r="A186" s="13" t="s">
        <v>468</v>
      </c>
      <c r="B186" s="13"/>
      <c r="C186" s="13" t="s">
        <v>466</v>
      </c>
      <c r="D186" s="13"/>
      <c r="E186" s="32">
        <v>47936</v>
      </c>
      <c r="G186" s="35">
        <v>6535346</v>
      </c>
      <c r="H186" s="35"/>
      <c r="I186" s="35">
        <v>1297008</v>
      </c>
      <c r="J186" s="35"/>
      <c r="K186" s="35">
        <v>57221</v>
      </c>
      <c r="L186" s="35"/>
      <c r="M186" s="35">
        <f>16113+6007</f>
        <v>22120</v>
      </c>
      <c r="N186" s="35"/>
      <c r="O186" s="35">
        <v>427714</v>
      </c>
      <c r="P186" s="35"/>
      <c r="Q186" s="35">
        <v>588527</v>
      </c>
      <c r="R186" s="35"/>
      <c r="S186" s="35">
        <v>119443</v>
      </c>
      <c r="T186" s="35"/>
      <c r="U186" s="35">
        <v>1230372</v>
      </c>
      <c r="V186" s="35"/>
      <c r="W186" s="35">
        <v>367248</v>
      </c>
      <c r="X186" s="35"/>
      <c r="Y186" s="35">
        <v>0</v>
      </c>
      <c r="Z186" s="35"/>
      <c r="AA186" s="35">
        <v>2103174</v>
      </c>
      <c r="AB186" s="35"/>
      <c r="AC186" s="35">
        <v>744845</v>
      </c>
      <c r="AD186" s="35"/>
      <c r="AE186" s="35">
        <v>0</v>
      </c>
      <c r="AF186" s="35"/>
      <c r="AG186" s="35">
        <v>24897</v>
      </c>
      <c r="AH186" s="35"/>
      <c r="AI186" s="35">
        <v>0</v>
      </c>
      <c r="AJ186" s="13" t="s">
        <v>468</v>
      </c>
      <c r="AK186" s="13"/>
      <c r="AL186" s="13" t="s">
        <v>466</v>
      </c>
      <c r="AN186" s="35">
        <v>200064</v>
      </c>
      <c r="AO186" s="35"/>
      <c r="AP186" s="35">
        <v>0</v>
      </c>
      <c r="AQ186" s="35"/>
      <c r="AR186" s="35"/>
      <c r="AS186" s="35"/>
      <c r="AT186" s="35">
        <v>0</v>
      </c>
      <c r="AU186" s="35"/>
      <c r="AV186" s="35">
        <v>0</v>
      </c>
      <c r="AW186" s="35"/>
      <c r="AX186" s="35">
        <v>0</v>
      </c>
      <c r="AY186" s="35"/>
      <c r="AZ186" s="35">
        <f t="shared" si="17"/>
        <v>13717979</v>
      </c>
      <c r="BA186" s="35"/>
      <c r="BB186" s="35">
        <v>64867</v>
      </c>
      <c r="BC186" s="35"/>
      <c r="BD186" s="35"/>
      <c r="BE186" s="35"/>
      <c r="BF186" s="35"/>
      <c r="BG186" s="35"/>
      <c r="BH186" s="35">
        <v>0</v>
      </c>
      <c r="BI186" s="35"/>
      <c r="BJ186" s="35">
        <f t="shared" si="18"/>
        <v>13782846</v>
      </c>
      <c r="BK186" s="35"/>
      <c r="BL186" s="35">
        <f>+GenRev!AM186-GenExp!BJ186</f>
        <v>-677096</v>
      </c>
      <c r="BM186" s="35"/>
      <c r="BN186" s="35">
        <v>3730935</v>
      </c>
      <c r="BO186" s="35"/>
      <c r="BP186" s="35">
        <v>0</v>
      </c>
      <c r="BQ186" s="35"/>
      <c r="BR186" s="35"/>
      <c r="BS186" s="35">
        <f t="shared" si="16"/>
        <v>3053839</v>
      </c>
      <c r="BU186" s="9">
        <f>+BS186-'Gen Fd BS'!AA186+BQ186</f>
        <v>0</v>
      </c>
    </row>
    <row r="187" spans="1:73" hidden="1">
      <c r="A187" s="12" t="s">
        <v>841</v>
      </c>
      <c r="B187" s="13"/>
      <c r="C187" s="13" t="s">
        <v>61</v>
      </c>
      <c r="D187" s="13"/>
      <c r="E187" s="32">
        <v>49775</v>
      </c>
      <c r="G187" s="8">
        <v>1740020</v>
      </c>
      <c r="I187" s="8">
        <v>231512</v>
      </c>
      <c r="K187" s="8">
        <v>30678</v>
      </c>
      <c r="O187" s="8">
        <v>224493</v>
      </c>
      <c r="Q187" s="8">
        <v>357280</v>
      </c>
      <c r="S187" s="8">
        <v>10350</v>
      </c>
      <c r="U187" s="8">
        <v>513685</v>
      </c>
      <c r="W187" s="8">
        <v>212811</v>
      </c>
      <c r="Y187" s="8">
        <v>4634</v>
      </c>
      <c r="AA187" s="8">
        <v>407059</v>
      </c>
      <c r="AC187" s="8">
        <v>294560</v>
      </c>
      <c r="AJ187" s="13" t="s">
        <v>643</v>
      </c>
      <c r="AK187" s="13"/>
      <c r="AL187" s="13" t="s">
        <v>61</v>
      </c>
      <c r="AN187" s="8">
        <v>105542</v>
      </c>
      <c r="AX187" s="8">
        <v>0</v>
      </c>
      <c r="AZ187" s="8">
        <f t="shared" si="17"/>
        <v>4132624</v>
      </c>
      <c r="BB187" s="8">
        <v>117500</v>
      </c>
      <c r="BH187" s="8">
        <v>0</v>
      </c>
      <c r="BJ187" s="8">
        <f t="shared" si="18"/>
        <v>4250124</v>
      </c>
      <c r="BL187" s="8">
        <f>+GenRev!AM187-GenExp!BJ187</f>
        <v>370161</v>
      </c>
      <c r="BN187" s="8">
        <v>1801614</v>
      </c>
      <c r="BP187" s="8">
        <v>0</v>
      </c>
      <c r="BS187" s="8">
        <f t="shared" si="16"/>
        <v>2171775</v>
      </c>
      <c r="BU187" s="9">
        <f>+BS187-'Gen Fd BS'!AA187+BQ187</f>
        <v>0</v>
      </c>
    </row>
    <row r="188" spans="1:73">
      <c r="A188" s="13" t="s">
        <v>651</v>
      </c>
      <c r="B188" s="13"/>
      <c r="C188" s="13" t="s">
        <v>62</v>
      </c>
      <c r="D188" s="13"/>
      <c r="E188" s="32">
        <v>49841</v>
      </c>
      <c r="G188" s="8">
        <v>7278491</v>
      </c>
      <c r="I188" s="8">
        <v>1591676</v>
      </c>
      <c r="K188" s="8">
        <v>108974</v>
      </c>
      <c r="M188" s="8">
        <v>388321</v>
      </c>
      <c r="O188" s="8">
        <v>1087974</v>
      </c>
      <c r="Q188" s="8">
        <v>322788</v>
      </c>
      <c r="S188" s="8">
        <v>19922</v>
      </c>
      <c r="U188" s="8">
        <v>1540063</v>
      </c>
      <c r="W188" s="8">
        <v>375367</v>
      </c>
      <c r="Y188" s="8">
        <v>0</v>
      </c>
      <c r="AA188" s="8">
        <v>1424466</v>
      </c>
      <c r="AC188" s="8">
        <v>1001964</v>
      </c>
      <c r="AE188" s="8">
        <v>21522</v>
      </c>
      <c r="AG188" s="8">
        <v>0</v>
      </c>
      <c r="AI188" s="8">
        <v>311744</v>
      </c>
      <c r="AJ188" s="13" t="s">
        <v>651</v>
      </c>
      <c r="AK188" s="13"/>
      <c r="AL188" s="13" t="s">
        <v>62</v>
      </c>
      <c r="AN188" s="8">
        <v>0</v>
      </c>
      <c r="AP188" s="8">
        <v>0</v>
      </c>
      <c r="AT188" s="8">
        <v>0</v>
      </c>
      <c r="AV188" s="8">
        <v>0</v>
      </c>
      <c r="AX188" s="8">
        <v>0</v>
      </c>
      <c r="AZ188" s="8">
        <f t="shared" si="17"/>
        <v>15473272</v>
      </c>
      <c r="BB188" s="8">
        <v>0</v>
      </c>
      <c r="BH188" s="8">
        <v>0</v>
      </c>
      <c r="BJ188" s="8">
        <f t="shared" si="18"/>
        <v>15473272</v>
      </c>
      <c r="BL188" s="8">
        <f>+GenRev!AM188-GenExp!BJ188</f>
        <v>-313532</v>
      </c>
      <c r="BN188" s="8">
        <v>1341185</v>
      </c>
      <c r="BP188" s="8">
        <v>0</v>
      </c>
      <c r="BS188" s="8">
        <f t="shared" si="16"/>
        <v>1027653</v>
      </c>
      <c r="BU188" s="9">
        <f>+BS188-'Gen Fd BS'!AA188+BQ188</f>
        <v>0</v>
      </c>
    </row>
    <row r="189" spans="1:73" hidden="1">
      <c r="A189" s="91" t="s">
        <v>972</v>
      </c>
      <c r="B189" s="13"/>
      <c r="C189" s="13" t="s">
        <v>41</v>
      </c>
      <c r="D189" s="13"/>
      <c r="E189" s="32">
        <v>45369</v>
      </c>
      <c r="AJ189" s="13" t="s">
        <v>458</v>
      </c>
      <c r="AK189" s="13"/>
      <c r="AL189" s="13" t="s">
        <v>41</v>
      </c>
      <c r="AX189" s="8">
        <v>0</v>
      </c>
      <c r="AZ189" s="8">
        <f t="shared" si="17"/>
        <v>0</v>
      </c>
      <c r="BH189" s="8">
        <v>0</v>
      </c>
      <c r="BJ189" s="8">
        <f t="shared" si="18"/>
        <v>0</v>
      </c>
      <c r="BL189" s="8">
        <f>+GenRev!AM189-GenExp!BJ189</f>
        <v>0</v>
      </c>
      <c r="BP189" s="8">
        <v>0</v>
      </c>
      <c r="BS189" s="8">
        <f t="shared" si="16"/>
        <v>0</v>
      </c>
      <c r="BU189" s="9">
        <f>+BS189-'Gen Fd BS'!AA189+BQ189</f>
        <v>0</v>
      </c>
    </row>
    <row r="190" spans="1:73">
      <c r="A190" s="13" t="s">
        <v>307</v>
      </c>
      <c r="B190" s="13"/>
      <c r="C190" s="13" t="s">
        <v>20</v>
      </c>
      <c r="D190" s="13"/>
      <c r="E190" s="32">
        <v>43976</v>
      </c>
      <c r="G190" s="8">
        <v>8602887</v>
      </c>
      <c r="I190" s="8">
        <v>2604755</v>
      </c>
      <c r="K190" s="8">
        <v>15000</v>
      </c>
      <c r="M190" s="8">
        <v>1912</v>
      </c>
      <c r="O190" s="8">
        <v>1015897</v>
      </c>
      <c r="Q190" s="8">
        <v>1612563</v>
      </c>
      <c r="S190" s="8">
        <v>27381</v>
      </c>
      <c r="U190" s="8">
        <v>1319417</v>
      </c>
      <c r="W190" s="8">
        <v>704380</v>
      </c>
      <c r="Y190" s="8">
        <v>219281</v>
      </c>
      <c r="AA190" s="8">
        <v>2205318</v>
      </c>
      <c r="AC190" s="8">
        <v>626409</v>
      </c>
      <c r="AE190" s="8">
        <v>232541</v>
      </c>
      <c r="AG190" s="8">
        <v>0</v>
      </c>
      <c r="AI190" s="8">
        <v>0</v>
      </c>
      <c r="AJ190" s="13" t="s">
        <v>307</v>
      </c>
      <c r="AK190" s="13"/>
      <c r="AL190" s="13" t="s">
        <v>20</v>
      </c>
      <c r="AN190" s="8">
        <v>488629</v>
      </c>
      <c r="AP190" s="8">
        <v>0</v>
      </c>
      <c r="AT190" s="8">
        <v>0</v>
      </c>
      <c r="AV190" s="8">
        <v>0</v>
      </c>
      <c r="AX190" s="8">
        <v>0</v>
      </c>
      <c r="AZ190" s="8">
        <f t="shared" si="17"/>
        <v>19676370</v>
      </c>
      <c r="BB190" s="8">
        <f>330264-71749</f>
        <v>258515</v>
      </c>
      <c r="BH190" s="8">
        <v>0</v>
      </c>
      <c r="BJ190" s="8">
        <f t="shared" si="18"/>
        <v>19934885</v>
      </c>
      <c r="BL190" s="8">
        <f>+GenRev!AM190-GenExp!BJ190</f>
        <v>1952634</v>
      </c>
      <c r="BN190" s="8">
        <v>10203859</v>
      </c>
      <c r="BP190" s="8">
        <v>0</v>
      </c>
      <c r="BS190" s="8">
        <f t="shared" si="16"/>
        <v>12156493</v>
      </c>
      <c r="BU190" s="9">
        <f>+BS190-'Gen Fd BS'!AA190+BQ190</f>
        <v>0</v>
      </c>
    </row>
    <row r="191" spans="1:73">
      <c r="A191" s="12" t="s">
        <v>936</v>
      </c>
      <c r="B191" s="12"/>
      <c r="C191" s="12" t="s">
        <v>28</v>
      </c>
      <c r="D191" s="13"/>
      <c r="E191" s="32"/>
      <c r="G191" s="8">
        <v>2207528</v>
      </c>
      <c r="I191" s="8">
        <v>460153</v>
      </c>
      <c r="K191" s="8">
        <v>101755</v>
      </c>
      <c r="M191" s="8">
        <v>0</v>
      </c>
      <c r="O191" s="8">
        <v>329330</v>
      </c>
      <c r="Q191" s="8">
        <v>179708</v>
      </c>
      <c r="S191" s="8">
        <v>21973</v>
      </c>
      <c r="U191" s="8">
        <v>409965</v>
      </c>
      <c r="W191" s="8">
        <v>206339</v>
      </c>
      <c r="Y191" s="8">
        <v>0</v>
      </c>
      <c r="AA191" s="8">
        <v>443277</v>
      </c>
      <c r="AC191" s="8">
        <v>194523</v>
      </c>
      <c r="AE191" s="8">
        <v>13399</v>
      </c>
      <c r="AG191" s="8">
        <v>0</v>
      </c>
      <c r="AI191" s="8">
        <v>6000</v>
      </c>
      <c r="AJ191" s="12" t="s">
        <v>936</v>
      </c>
      <c r="AK191" s="12"/>
      <c r="AL191" s="12" t="s">
        <v>28</v>
      </c>
      <c r="AN191" s="8">
        <v>132665</v>
      </c>
      <c r="AP191" s="8">
        <v>28226</v>
      </c>
      <c r="AT191" s="8">
        <v>0</v>
      </c>
      <c r="AV191" s="8">
        <v>0</v>
      </c>
      <c r="AX191" s="8">
        <v>0</v>
      </c>
      <c r="AZ191" s="8">
        <f t="shared" si="17"/>
        <v>4734841</v>
      </c>
      <c r="BB191" s="8">
        <f>22423</f>
        <v>22423</v>
      </c>
      <c r="BH191" s="8">
        <v>0</v>
      </c>
      <c r="BJ191" s="8">
        <f t="shared" si="18"/>
        <v>4757264</v>
      </c>
      <c r="BL191" s="8">
        <f>+GenRev!AM191-GenExp!BJ191</f>
        <v>-284876</v>
      </c>
      <c r="BN191" s="8">
        <v>1599545</v>
      </c>
      <c r="BP191" s="8">
        <v>0</v>
      </c>
      <c r="BS191" s="8">
        <f t="shared" si="16"/>
        <v>1314669</v>
      </c>
      <c r="BU191" s="9">
        <f>+BS191-'Gen Fd BS'!AA191+BQ191</f>
        <v>0</v>
      </c>
    </row>
    <row r="192" spans="1:73">
      <c r="A192" s="13" t="s">
        <v>238</v>
      </c>
      <c r="B192" s="13"/>
      <c r="C192" s="13" t="s">
        <v>77</v>
      </c>
      <c r="D192" s="13"/>
      <c r="E192" s="32">
        <v>46045</v>
      </c>
      <c r="F192" s="11"/>
      <c r="G192" s="8">
        <v>3466201</v>
      </c>
      <c r="I192" s="8">
        <v>903633</v>
      </c>
      <c r="K192" s="8">
        <v>170485</v>
      </c>
      <c r="M192" s="8">
        <v>29816</v>
      </c>
      <c r="O192" s="8">
        <v>296783</v>
      </c>
      <c r="Q192" s="8">
        <v>695586</v>
      </c>
      <c r="S192" s="8">
        <v>65123</v>
      </c>
      <c r="U192" s="8">
        <v>787383</v>
      </c>
      <c r="W192" s="8">
        <v>285532</v>
      </c>
      <c r="Y192" s="8">
        <v>0</v>
      </c>
      <c r="AA192" s="8">
        <v>862803</v>
      </c>
      <c r="AC192" s="8">
        <v>486366</v>
      </c>
      <c r="AE192" s="8">
        <v>7656</v>
      </c>
      <c r="AG192" s="8">
        <v>0</v>
      </c>
      <c r="AI192" s="8">
        <v>84831</v>
      </c>
      <c r="AJ192" s="13" t="s">
        <v>238</v>
      </c>
      <c r="AK192" s="13"/>
      <c r="AL192" s="13" t="s">
        <v>77</v>
      </c>
      <c r="AN192" s="8">
        <v>128787</v>
      </c>
      <c r="AP192" s="8">
        <v>8600</v>
      </c>
      <c r="AT192" s="8">
        <v>0</v>
      </c>
      <c r="AV192" s="8">
        <v>0</v>
      </c>
      <c r="AX192" s="8">
        <v>0</v>
      </c>
      <c r="AZ192" s="8">
        <f t="shared" si="17"/>
        <v>8279585</v>
      </c>
      <c r="BB192" s="8">
        <v>0</v>
      </c>
      <c r="BH192" s="8">
        <v>0</v>
      </c>
      <c r="BJ192" s="8">
        <f t="shared" si="18"/>
        <v>8279585</v>
      </c>
      <c r="BL192" s="8">
        <f>+GenRev!AM192-GenExp!BJ192</f>
        <v>-632309</v>
      </c>
      <c r="BN192" s="8">
        <v>1870850</v>
      </c>
      <c r="BP192" s="8">
        <v>0</v>
      </c>
      <c r="BS192" s="8">
        <f t="shared" si="16"/>
        <v>1238541</v>
      </c>
      <c r="BU192" s="9">
        <f>+BS192-'Gen Fd BS'!AA192+BQ192</f>
        <v>0</v>
      </c>
    </row>
    <row r="193" spans="1:73">
      <c r="A193" s="13" t="s">
        <v>937</v>
      </c>
      <c r="B193" s="13"/>
      <c r="C193" s="13" t="s">
        <v>13</v>
      </c>
      <c r="D193" s="13"/>
      <c r="E193" s="32"/>
      <c r="F193" s="11"/>
      <c r="G193" s="8">
        <v>3415012</v>
      </c>
      <c r="I193" s="8">
        <v>1025479</v>
      </c>
      <c r="K193" s="8">
        <v>214784</v>
      </c>
      <c r="M193" s="8">
        <v>0</v>
      </c>
      <c r="O193" s="8">
        <v>187533</v>
      </c>
      <c r="Q193" s="8">
        <v>261834</v>
      </c>
      <c r="S193" s="8">
        <v>38851</v>
      </c>
      <c r="U193" s="8">
        <v>764325</v>
      </c>
      <c r="W193" s="8">
        <v>1962806</v>
      </c>
      <c r="Y193" s="8">
        <v>0</v>
      </c>
      <c r="AA193" s="8">
        <v>857309</v>
      </c>
      <c r="AC193" s="8">
        <v>947653</v>
      </c>
      <c r="AE193" s="8">
        <v>4983</v>
      </c>
      <c r="AG193" s="8">
        <v>0</v>
      </c>
      <c r="AI193" s="8">
        <v>375</v>
      </c>
      <c r="AJ193" s="13" t="s">
        <v>937</v>
      </c>
      <c r="AK193" s="13"/>
      <c r="AL193" s="13" t="s">
        <v>13</v>
      </c>
      <c r="AN193" s="8">
        <v>33149</v>
      </c>
      <c r="AP193" s="8">
        <v>0</v>
      </c>
      <c r="AT193" s="8">
        <v>0</v>
      </c>
      <c r="AV193" s="8">
        <v>0</v>
      </c>
      <c r="AX193" s="8">
        <v>0</v>
      </c>
      <c r="AZ193" s="8">
        <f t="shared" si="17"/>
        <v>9714093</v>
      </c>
      <c r="BB193" s="8">
        <v>0</v>
      </c>
      <c r="BH193" s="8">
        <v>0</v>
      </c>
      <c r="BJ193" s="8">
        <f t="shared" si="18"/>
        <v>9714093</v>
      </c>
      <c r="BL193" s="8">
        <f>+GenRev!AM193-GenExp!BJ193</f>
        <v>1295759</v>
      </c>
      <c r="BN193" s="8">
        <v>-883381</v>
      </c>
      <c r="BP193" s="8">
        <v>0</v>
      </c>
      <c r="BS193" s="8">
        <f t="shared" si="16"/>
        <v>412378</v>
      </c>
      <c r="BU193" s="9">
        <f>+BS193-'Gen Fd BS'!AA193+BQ193</f>
        <v>0</v>
      </c>
    </row>
    <row r="194" spans="1:73">
      <c r="A194" s="13" t="s">
        <v>268</v>
      </c>
      <c r="B194" s="13"/>
      <c r="C194" s="13" t="s">
        <v>115</v>
      </c>
      <c r="D194" s="13"/>
      <c r="E194" s="32">
        <v>46334</v>
      </c>
      <c r="F194" s="11"/>
      <c r="G194" s="8">
        <v>4384679</v>
      </c>
      <c r="I194" s="8">
        <v>251692</v>
      </c>
      <c r="K194" s="8">
        <v>0</v>
      </c>
      <c r="M194" s="8">
        <v>1235053</v>
      </c>
      <c r="O194" s="8">
        <v>365006</v>
      </c>
      <c r="Q194" s="8">
        <v>370621</v>
      </c>
      <c r="S194" s="8">
        <v>17788</v>
      </c>
      <c r="U194" s="8">
        <v>784331</v>
      </c>
      <c r="W194" s="8">
        <v>376719</v>
      </c>
      <c r="Y194" s="8">
        <v>0</v>
      </c>
      <c r="AA194" s="8">
        <v>1017987</v>
      </c>
      <c r="AC194" s="8">
        <v>551224</v>
      </c>
      <c r="AE194" s="8">
        <v>46802</v>
      </c>
      <c r="AG194" s="8">
        <v>0</v>
      </c>
      <c r="AI194" s="8">
        <v>0</v>
      </c>
      <c r="AJ194" s="13" t="s">
        <v>268</v>
      </c>
      <c r="AK194" s="13"/>
      <c r="AL194" s="13" t="s">
        <v>115</v>
      </c>
      <c r="AN194" s="8">
        <v>136111</v>
      </c>
      <c r="AP194" s="8">
        <v>0</v>
      </c>
      <c r="AT194" s="8">
        <v>20328</v>
      </c>
      <c r="AV194" s="8">
        <v>0</v>
      </c>
      <c r="AX194" s="8">
        <v>0</v>
      </c>
      <c r="AZ194" s="8">
        <f t="shared" si="17"/>
        <v>9558341</v>
      </c>
      <c r="BB194" s="8">
        <v>0</v>
      </c>
      <c r="BH194" s="8">
        <v>0</v>
      </c>
      <c r="BJ194" s="8">
        <f t="shared" si="18"/>
        <v>9558341</v>
      </c>
      <c r="BL194" s="8">
        <f>+GenRev!AM194-GenExp!BJ194</f>
        <v>-679046</v>
      </c>
      <c r="BN194" s="8">
        <v>579528</v>
      </c>
      <c r="BP194" s="8">
        <v>0</v>
      </c>
      <c r="BS194" s="8">
        <f t="shared" si="16"/>
        <v>-99518</v>
      </c>
      <c r="BU194" s="9">
        <f>+BS194-'Gen Fd BS'!AA194+BQ194</f>
        <v>0</v>
      </c>
    </row>
    <row r="195" spans="1:73">
      <c r="A195" s="12" t="s">
        <v>1054</v>
      </c>
      <c r="B195" s="13"/>
      <c r="C195" s="13" t="s">
        <v>56</v>
      </c>
      <c r="D195" s="13"/>
      <c r="E195" s="32">
        <v>49197</v>
      </c>
      <c r="G195" s="8">
        <v>9558244</v>
      </c>
      <c r="I195" s="8">
        <v>1391234</v>
      </c>
      <c r="K195" s="8">
        <v>124215</v>
      </c>
      <c r="M195" s="8">
        <f>40880+143639</f>
        <v>184519</v>
      </c>
      <c r="O195" s="8">
        <v>904129</v>
      </c>
      <c r="Q195" s="8">
        <v>576889</v>
      </c>
      <c r="S195" s="8">
        <v>15606</v>
      </c>
      <c r="U195" s="8">
        <v>2009517</v>
      </c>
      <c r="W195" s="8">
        <v>522633</v>
      </c>
      <c r="Y195" s="8">
        <v>6516</v>
      </c>
      <c r="AA195" s="8">
        <v>1639804</v>
      </c>
      <c r="AC195" s="8">
        <v>1176473</v>
      </c>
      <c r="AE195" s="8">
        <v>72806</v>
      </c>
      <c r="AG195" s="8">
        <v>0</v>
      </c>
      <c r="AI195" s="8">
        <v>30292</v>
      </c>
      <c r="AJ195" s="13" t="s">
        <v>590</v>
      </c>
      <c r="AK195" s="13"/>
      <c r="AL195" s="13" t="s">
        <v>56</v>
      </c>
      <c r="AN195" s="8">
        <v>307224</v>
      </c>
      <c r="AP195" s="8">
        <v>290074</v>
      </c>
      <c r="AT195" s="8">
        <v>84864</v>
      </c>
      <c r="AV195" s="8">
        <v>12992</v>
      </c>
      <c r="AX195" s="8">
        <v>0</v>
      </c>
      <c r="AZ195" s="8">
        <f t="shared" si="17"/>
        <v>18908031</v>
      </c>
      <c r="BB195" s="8">
        <v>0</v>
      </c>
      <c r="BH195" s="8">
        <v>0</v>
      </c>
      <c r="BJ195" s="8">
        <f t="shared" si="18"/>
        <v>18908031</v>
      </c>
      <c r="BL195" s="8">
        <f>+GenRev!AM195-GenExp!BJ195</f>
        <v>635008</v>
      </c>
      <c r="BN195" s="8">
        <v>-809394</v>
      </c>
      <c r="BP195" s="8">
        <v>0</v>
      </c>
      <c r="BS195" s="8">
        <f t="shared" si="16"/>
        <v>-174386</v>
      </c>
      <c r="BU195" s="9">
        <f>+BS195-'Gen Fd BS'!AA195+BQ195</f>
        <v>0</v>
      </c>
    </row>
    <row r="196" spans="1:73">
      <c r="A196" s="13" t="s">
        <v>416</v>
      </c>
      <c r="B196" s="13"/>
      <c r="C196" s="13" t="s">
        <v>33</v>
      </c>
      <c r="D196" s="13"/>
      <c r="E196" s="32">
        <v>43984</v>
      </c>
      <c r="G196" s="8">
        <v>23034050</v>
      </c>
      <c r="I196" s="8">
        <v>6054911</v>
      </c>
      <c r="K196" s="8">
        <v>3212606</v>
      </c>
      <c r="M196" s="8">
        <f>155179+2755714</f>
        <v>2910893</v>
      </c>
      <c r="O196" s="8">
        <v>2692217</v>
      </c>
      <c r="Q196" s="8">
        <v>3577326</v>
      </c>
      <c r="S196" s="8">
        <v>96451</v>
      </c>
      <c r="U196" s="8">
        <v>4073362</v>
      </c>
      <c r="W196" s="8">
        <v>1450372</v>
      </c>
      <c r="Y196" s="8">
        <v>44346</v>
      </c>
      <c r="AA196" s="8">
        <v>6297179</v>
      </c>
      <c r="AC196" s="8">
        <v>2049143</v>
      </c>
      <c r="AE196" s="8">
        <v>92166</v>
      </c>
      <c r="AG196" s="8">
        <v>0</v>
      </c>
      <c r="AI196" s="8">
        <v>0</v>
      </c>
      <c r="AJ196" s="13" t="s">
        <v>416</v>
      </c>
      <c r="AK196" s="13"/>
      <c r="AL196" s="13" t="s">
        <v>33</v>
      </c>
      <c r="AN196" s="8">
        <v>856859</v>
      </c>
      <c r="AP196" s="8">
        <v>20361</v>
      </c>
      <c r="AT196" s="8">
        <v>280088</v>
      </c>
      <c r="AV196" s="8">
        <v>88219</v>
      </c>
      <c r="AX196" s="8">
        <v>0</v>
      </c>
      <c r="AZ196" s="8">
        <f t="shared" si="17"/>
        <v>56830549</v>
      </c>
      <c r="BB196" s="8">
        <v>75000</v>
      </c>
      <c r="BH196" s="8">
        <v>0</v>
      </c>
      <c r="BJ196" s="8">
        <f t="shared" si="18"/>
        <v>56905549</v>
      </c>
      <c r="BL196" s="8">
        <f>+GenRev!AM196-GenExp!BJ196</f>
        <v>204636</v>
      </c>
      <c r="BN196" s="8">
        <v>5786970</v>
      </c>
      <c r="BP196" s="8">
        <v>-6454</v>
      </c>
      <c r="BS196" s="8">
        <f t="shared" si="16"/>
        <v>5998060</v>
      </c>
      <c r="BU196" s="9">
        <f>+BS196-'Gen Fd BS'!AA196+BQ196</f>
        <v>0</v>
      </c>
    </row>
    <row r="197" spans="1:73">
      <c r="A197" s="13" t="s">
        <v>393</v>
      </c>
      <c r="B197" s="13"/>
      <c r="C197" s="13" t="s">
        <v>32</v>
      </c>
      <c r="D197" s="13"/>
      <c r="E197" s="32">
        <v>47332</v>
      </c>
      <c r="G197" s="8">
        <v>7209283</v>
      </c>
      <c r="I197" s="8">
        <v>2084423</v>
      </c>
      <c r="K197" s="8">
        <v>95127</v>
      </c>
      <c r="M197" s="8">
        <v>465914</v>
      </c>
      <c r="O197" s="8">
        <v>1054006</v>
      </c>
      <c r="Q197" s="8">
        <v>1470348</v>
      </c>
      <c r="S197" s="8">
        <v>37419</v>
      </c>
      <c r="U197" s="8">
        <v>1329121</v>
      </c>
      <c r="W197" s="8">
        <v>419686</v>
      </c>
      <c r="Y197" s="8">
        <v>389839</v>
      </c>
      <c r="AA197" s="8">
        <v>1708516</v>
      </c>
      <c r="AC197" s="8">
        <v>972890</v>
      </c>
      <c r="AE197" s="8">
        <v>209512</v>
      </c>
      <c r="AG197" s="8">
        <v>0</v>
      </c>
      <c r="AI197" s="8">
        <v>131584</v>
      </c>
      <c r="AJ197" s="13" t="s">
        <v>393</v>
      </c>
      <c r="AK197" s="13"/>
      <c r="AL197" s="13" t="s">
        <v>32</v>
      </c>
      <c r="AN197" s="8">
        <v>368525</v>
      </c>
      <c r="AP197" s="8">
        <v>117979</v>
      </c>
      <c r="AT197" s="8">
        <v>0</v>
      </c>
      <c r="AV197" s="8">
        <v>0</v>
      </c>
      <c r="AX197" s="8">
        <v>0</v>
      </c>
      <c r="AZ197" s="8">
        <f t="shared" si="17"/>
        <v>18064172</v>
      </c>
      <c r="BB197" s="8">
        <v>16750</v>
      </c>
      <c r="BH197" s="8">
        <v>0</v>
      </c>
      <c r="BJ197" s="8">
        <f t="shared" si="18"/>
        <v>18080922</v>
      </c>
      <c r="BL197" s="8">
        <f>+GenRev!AM197-GenExp!BJ197</f>
        <v>-1250487</v>
      </c>
      <c r="BN197" s="8">
        <v>3881755</v>
      </c>
      <c r="BP197" s="8">
        <v>0</v>
      </c>
      <c r="BS197" s="8">
        <f t="shared" si="16"/>
        <v>2631268</v>
      </c>
      <c r="BU197" s="9">
        <f>+BS197-'Gen Fd BS'!AA197+BQ197</f>
        <v>0</v>
      </c>
    </row>
    <row r="198" spans="1:73">
      <c r="A198" s="13" t="s">
        <v>488</v>
      </c>
      <c r="B198" s="13"/>
      <c r="C198" s="13" t="s">
        <v>44</v>
      </c>
      <c r="D198" s="13"/>
      <c r="E198" s="32">
        <v>48157</v>
      </c>
      <c r="G198" s="8">
        <v>7424720</v>
      </c>
      <c r="I198" s="8">
        <v>1680727</v>
      </c>
      <c r="K198" s="8">
        <v>244972</v>
      </c>
      <c r="M198" s="8">
        <v>1233979</v>
      </c>
      <c r="O198" s="8">
        <v>970337</v>
      </c>
      <c r="Q198" s="8">
        <v>369707</v>
      </c>
      <c r="S198" s="8">
        <v>16497</v>
      </c>
      <c r="U198" s="8">
        <v>1575581</v>
      </c>
      <c r="W198" s="8">
        <v>354309</v>
      </c>
      <c r="Y198" s="8">
        <v>0</v>
      </c>
      <c r="AA198" s="8">
        <v>1256345</v>
      </c>
      <c r="AC198" s="8">
        <v>1323286</v>
      </c>
      <c r="AE198" s="8">
        <v>210137</v>
      </c>
      <c r="AG198" s="8">
        <v>0</v>
      </c>
      <c r="AI198" s="8">
        <v>0</v>
      </c>
      <c r="AJ198" s="13" t="s">
        <v>488</v>
      </c>
      <c r="AK198" s="13"/>
      <c r="AL198" s="13" t="s">
        <v>44</v>
      </c>
      <c r="AN198" s="8">
        <v>488764</v>
      </c>
      <c r="AP198" s="8">
        <v>200</v>
      </c>
      <c r="AT198" s="8">
        <v>0</v>
      </c>
      <c r="AV198" s="8">
        <v>0</v>
      </c>
      <c r="AX198" s="8">
        <v>0</v>
      </c>
      <c r="AZ198" s="8">
        <f t="shared" si="17"/>
        <v>17149561</v>
      </c>
      <c r="BB198" s="8">
        <v>0</v>
      </c>
      <c r="BH198" s="8">
        <v>37359</v>
      </c>
      <c r="BJ198" s="8">
        <f t="shared" si="18"/>
        <v>17186920</v>
      </c>
      <c r="BL198" s="8">
        <f>+GenRev!AM198-GenExp!BJ198</f>
        <v>-918153</v>
      </c>
      <c r="BN198" s="8">
        <v>2640417</v>
      </c>
      <c r="BP198" s="8">
        <v>0</v>
      </c>
      <c r="BS198" s="8">
        <f t="shared" si="16"/>
        <v>1722264</v>
      </c>
      <c r="BU198" s="9">
        <f>+BS198-'Gen Fd BS'!AA198+BQ198</f>
        <v>0</v>
      </c>
    </row>
    <row r="199" spans="1:73">
      <c r="A199" s="13" t="s">
        <v>394</v>
      </c>
      <c r="B199" s="13"/>
      <c r="C199" s="13" t="s">
        <v>32</v>
      </c>
      <c r="D199" s="13"/>
      <c r="E199" s="32">
        <v>47340</v>
      </c>
      <c r="G199" s="8">
        <v>35324878</v>
      </c>
      <c r="I199" s="8">
        <v>8885438</v>
      </c>
      <c r="K199" s="8">
        <v>0</v>
      </c>
      <c r="M199" s="8">
        <v>1658693</v>
      </c>
      <c r="O199" s="8">
        <v>3401268</v>
      </c>
      <c r="Q199" s="8">
        <v>6801242</v>
      </c>
      <c r="S199" s="8">
        <v>41059</v>
      </c>
      <c r="U199" s="8">
        <v>5002064</v>
      </c>
      <c r="W199" s="8">
        <v>1255879</v>
      </c>
      <c r="Y199" s="8">
        <v>181110</v>
      </c>
      <c r="AA199" s="8">
        <v>6000952</v>
      </c>
      <c r="AC199" s="8">
        <v>4163542</v>
      </c>
      <c r="AE199" s="8">
        <v>521609</v>
      </c>
      <c r="AG199" s="8">
        <v>0</v>
      </c>
      <c r="AI199" s="8">
        <v>62776</v>
      </c>
      <c r="AJ199" s="13" t="s">
        <v>394</v>
      </c>
      <c r="AK199" s="13"/>
      <c r="AL199" s="13" t="s">
        <v>32</v>
      </c>
      <c r="AN199" s="8">
        <v>1524780</v>
      </c>
      <c r="AP199" s="8">
        <v>0</v>
      </c>
      <c r="AT199" s="8">
        <v>0</v>
      </c>
      <c r="AV199" s="8">
        <v>0</v>
      </c>
      <c r="AX199" s="8">
        <v>0</v>
      </c>
      <c r="AZ199" s="8">
        <f t="shared" si="17"/>
        <v>74825290</v>
      </c>
      <c r="BB199" s="8">
        <v>305241</v>
      </c>
      <c r="BH199" s="8">
        <v>0</v>
      </c>
      <c r="BJ199" s="8">
        <f t="shared" si="18"/>
        <v>75130531</v>
      </c>
      <c r="BL199" s="8">
        <f>+GenRev!AM199-GenExp!BJ199</f>
        <v>-3363776</v>
      </c>
      <c r="BN199" s="8">
        <v>24042954</v>
      </c>
      <c r="BP199" s="8">
        <v>0</v>
      </c>
      <c r="BS199" s="8">
        <f t="shared" si="16"/>
        <v>20679178</v>
      </c>
      <c r="BU199" s="9">
        <f>+BS199-'Gen Fd BS'!AA199+BQ199</f>
        <v>0</v>
      </c>
    </row>
    <row r="200" spans="1:73" hidden="1">
      <c r="A200" s="13" t="s">
        <v>836</v>
      </c>
      <c r="B200" s="13"/>
      <c r="C200" s="13" t="s">
        <v>70</v>
      </c>
      <c r="D200" s="13"/>
      <c r="E200" s="32">
        <v>50484</v>
      </c>
      <c r="G200" s="8">
        <v>4523260</v>
      </c>
      <c r="I200" s="8">
        <v>743903</v>
      </c>
      <c r="K200" s="8">
        <v>275059</v>
      </c>
      <c r="O200" s="8">
        <v>294051</v>
      </c>
      <c r="Q200" s="8">
        <v>461043</v>
      </c>
      <c r="S200" s="8">
        <v>36250</v>
      </c>
      <c r="U200" s="8">
        <v>1006800</v>
      </c>
      <c r="W200" s="8">
        <v>398905</v>
      </c>
      <c r="AA200" s="8">
        <v>1102222</v>
      </c>
      <c r="AC200" s="8">
        <v>720315</v>
      </c>
      <c r="AE200" s="8">
        <v>33925</v>
      </c>
      <c r="AJ200" s="13" t="s">
        <v>716</v>
      </c>
      <c r="AK200" s="13"/>
      <c r="AL200" s="13" t="s">
        <v>70</v>
      </c>
      <c r="AN200" s="8">
        <v>156369</v>
      </c>
      <c r="AX200" s="8">
        <v>0</v>
      </c>
      <c r="AZ200" s="8">
        <f t="shared" si="17"/>
        <v>9752102</v>
      </c>
      <c r="BB200" s="8">
        <v>13862</v>
      </c>
      <c r="BH200" s="8">
        <f>88976-49097-4557</f>
        <v>35322</v>
      </c>
      <c r="BJ200" s="8">
        <f t="shared" si="18"/>
        <v>9801286</v>
      </c>
      <c r="BL200" s="8">
        <f>+GenRev!AM200-GenExp!BJ200</f>
        <v>-39203</v>
      </c>
      <c r="BN200" s="8">
        <v>369098</v>
      </c>
      <c r="BP200" s="8">
        <v>0</v>
      </c>
      <c r="BS200" s="8">
        <f t="shared" si="16"/>
        <v>329895</v>
      </c>
      <c r="BU200" s="9">
        <f>+BS200-'Gen Fd BS'!AA200+BQ200</f>
        <v>0</v>
      </c>
    </row>
    <row r="201" spans="1:73" s="35" customFormat="1">
      <c r="A201" s="34" t="s">
        <v>644</v>
      </c>
      <c r="B201" s="34"/>
      <c r="C201" s="34" t="s">
        <v>61</v>
      </c>
      <c r="D201" s="34"/>
      <c r="E201" s="32">
        <v>49783</v>
      </c>
      <c r="G201" s="8">
        <v>3402521</v>
      </c>
      <c r="H201" s="8"/>
      <c r="I201" s="8">
        <v>435006</v>
      </c>
      <c r="J201" s="8"/>
      <c r="K201" s="8">
        <v>75</v>
      </c>
      <c r="L201" s="8"/>
      <c r="M201" s="8">
        <v>0</v>
      </c>
      <c r="N201" s="8"/>
      <c r="O201" s="8">
        <v>430001</v>
      </c>
      <c r="P201" s="8"/>
      <c r="Q201" s="8">
        <v>359950</v>
      </c>
      <c r="R201" s="8"/>
      <c r="S201" s="8">
        <v>34257</v>
      </c>
      <c r="T201" s="8"/>
      <c r="U201" s="8">
        <v>676148</v>
      </c>
      <c r="V201" s="8"/>
      <c r="W201" s="8">
        <v>203348</v>
      </c>
      <c r="X201" s="8"/>
      <c r="Y201" s="8">
        <v>636</v>
      </c>
      <c r="Z201" s="8"/>
      <c r="AA201" s="8">
        <v>583154</v>
      </c>
      <c r="AB201" s="8"/>
      <c r="AC201" s="8">
        <v>395289</v>
      </c>
      <c r="AD201" s="8"/>
      <c r="AE201" s="8">
        <v>41754</v>
      </c>
      <c r="AF201" s="8"/>
      <c r="AG201" s="8">
        <v>0</v>
      </c>
      <c r="AH201" s="8"/>
      <c r="AI201" s="8">
        <v>0</v>
      </c>
      <c r="AJ201" s="13" t="s">
        <v>644</v>
      </c>
      <c r="AK201" s="13"/>
      <c r="AL201" s="13" t="s">
        <v>61</v>
      </c>
      <c r="AM201" s="8"/>
      <c r="AN201" s="8">
        <v>252450</v>
      </c>
      <c r="AO201" s="8"/>
      <c r="AP201" s="8">
        <v>0</v>
      </c>
      <c r="AQ201" s="8"/>
      <c r="AR201" s="8"/>
      <c r="AS201" s="8"/>
      <c r="AT201" s="8">
        <v>0</v>
      </c>
      <c r="AU201" s="8"/>
      <c r="AV201" s="8">
        <v>0</v>
      </c>
      <c r="AW201" s="8"/>
      <c r="AX201" s="8">
        <v>0</v>
      </c>
      <c r="AY201" s="8"/>
      <c r="AZ201" s="8">
        <f t="shared" si="17"/>
        <v>6814589</v>
      </c>
      <c r="BA201" s="8"/>
      <c r="BB201" s="8">
        <v>99010</v>
      </c>
      <c r="BC201" s="8"/>
      <c r="BD201" s="8"/>
      <c r="BE201" s="8"/>
      <c r="BF201" s="8"/>
      <c r="BG201" s="8"/>
      <c r="BH201" s="8">
        <v>0</v>
      </c>
      <c r="BI201" s="8"/>
      <c r="BJ201" s="8">
        <f t="shared" si="18"/>
        <v>6913599</v>
      </c>
      <c r="BK201" s="8"/>
      <c r="BL201" s="8">
        <f>+GenRev!AM201-GenExp!BJ201</f>
        <v>-37122</v>
      </c>
      <c r="BM201" s="8"/>
      <c r="BN201" s="8">
        <v>2344880</v>
      </c>
      <c r="BO201" s="8"/>
      <c r="BP201" s="8">
        <v>0</v>
      </c>
      <c r="BQ201" s="8"/>
      <c r="BR201" s="8"/>
      <c r="BS201" s="8">
        <f t="shared" si="16"/>
        <v>2307758</v>
      </c>
      <c r="BT201" s="8"/>
      <c r="BU201" s="9">
        <f>+BS201-'Gen Fd BS'!AA201+BQ201</f>
        <v>0</v>
      </c>
    </row>
    <row r="202" spans="1:73" s="35" customFormat="1" hidden="1">
      <c r="A202" s="13" t="s">
        <v>938</v>
      </c>
      <c r="B202" s="13"/>
      <c r="C202" s="13" t="s">
        <v>534</v>
      </c>
      <c r="D202" s="34"/>
      <c r="E202" s="32"/>
      <c r="G202" s="8">
        <v>3645859</v>
      </c>
      <c r="H202" s="8"/>
      <c r="I202" s="8">
        <v>1121548</v>
      </c>
      <c r="J202" s="8"/>
      <c r="K202" s="8">
        <v>269975</v>
      </c>
      <c r="L202" s="8"/>
      <c r="M202" s="8">
        <v>6140</v>
      </c>
      <c r="N202" s="8"/>
      <c r="O202" s="8">
        <v>176134</v>
      </c>
      <c r="P202" s="8"/>
      <c r="Q202" s="8">
        <v>335404</v>
      </c>
      <c r="R202" s="8"/>
      <c r="S202" s="8">
        <v>31444</v>
      </c>
      <c r="T202" s="8"/>
      <c r="U202" s="8">
        <v>743502</v>
      </c>
      <c r="V202" s="8"/>
      <c r="W202" s="8">
        <v>228770</v>
      </c>
      <c r="X202" s="8"/>
      <c r="Y202" s="8">
        <v>6787</v>
      </c>
      <c r="Z202" s="8"/>
      <c r="AA202" s="8">
        <v>884566</v>
      </c>
      <c r="AB202" s="8"/>
      <c r="AC202" s="8">
        <v>246494</v>
      </c>
      <c r="AD202" s="8"/>
      <c r="AE202" s="8">
        <v>84675</v>
      </c>
      <c r="AF202" s="8"/>
      <c r="AG202" s="8"/>
      <c r="AH202" s="8"/>
      <c r="AI202" s="8"/>
      <c r="AJ202" s="13" t="s">
        <v>938</v>
      </c>
      <c r="AK202" s="13"/>
      <c r="AL202" s="13" t="s">
        <v>534</v>
      </c>
      <c r="AM202" s="8"/>
      <c r="AN202" s="8">
        <v>184682</v>
      </c>
      <c r="AO202" s="8"/>
      <c r="AP202" s="8"/>
      <c r="AQ202" s="8"/>
      <c r="AR202" s="8"/>
      <c r="AS202" s="8"/>
      <c r="AT202" s="8">
        <v>2866</v>
      </c>
      <c r="AU202" s="8"/>
      <c r="AV202" s="8"/>
      <c r="AW202" s="8"/>
      <c r="AX202" s="8">
        <v>0</v>
      </c>
      <c r="AY202" s="8"/>
      <c r="AZ202" s="8">
        <f t="shared" si="17"/>
        <v>7968846</v>
      </c>
      <c r="BA202" s="8"/>
      <c r="BB202" s="8">
        <v>355000</v>
      </c>
      <c r="BC202" s="8"/>
      <c r="BD202" s="8"/>
      <c r="BE202" s="8"/>
      <c r="BF202" s="8"/>
      <c r="BG202" s="8"/>
      <c r="BH202" s="8">
        <f>-18600+32600-1020</f>
        <v>12980</v>
      </c>
      <c r="BI202" s="8"/>
      <c r="BJ202" s="8">
        <f t="shared" si="18"/>
        <v>8336826</v>
      </c>
      <c r="BK202" s="8"/>
      <c r="BL202" s="8">
        <f>+GenRev!AM202-GenExp!BJ202</f>
        <v>46262</v>
      </c>
      <c r="BM202" s="8"/>
      <c r="BN202" s="8">
        <v>2146853</v>
      </c>
      <c r="BO202" s="8"/>
      <c r="BP202" s="8">
        <v>0</v>
      </c>
      <c r="BQ202" s="8"/>
      <c r="BR202" s="8"/>
      <c r="BS202" s="8">
        <f t="shared" si="16"/>
        <v>2193115</v>
      </c>
      <c r="BT202" s="8"/>
      <c r="BU202" s="9">
        <f>+BS202-'Gen Fd BS'!AA202+BQ202</f>
        <v>0</v>
      </c>
    </row>
    <row r="203" spans="1:73">
      <c r="A203" s="13" t="s">
        <v>636</v>
      </c>
      <c r="B203" s="13"/>
      <c r="C203" s="13" t="s">
        <v>60</v>
      </c>
      <c r="D203" s="13"/>
      <c r="E203" s="13">
        <v>43992</v>
      </c>
      <c r="G203" s="8">
        <v>10173108</v>
      </c>
      <c r="I203" s="8">
        <v>1959061</v>
      </c>
      <c r="K203" s="8">
        <v>230555</v>
      </c>
      <c r="M203" s="8">
        <f>8242+139774</f>
        <v>148016</v>
      </c>
      <c r="O203" s="8">
        <v>1125525</v>
      </c>
      <c r="Q203" s="8">
        <v>1077720</v>
      </c>
      <c r="S203" s="8">
        <v>31852</v>
      </c>
      <c r="U203" s="8">
        <v>1831794</v>
      </c>
      <c r="W203" s="8">
        <v>556274</v>
      </c>
      <c r="Y203" s="8">
        <v>0</v>
      </c>
      <c r="AA203" s="8">
        <v>2186249</v>
      </c>
      <c r="AC203" s="8">
        <v>890974</v>
      </c>
      <c r="AE203" s="8">
        <v>58482</v>
      </c>
      <c r="AG203" s="8">
        <v>0</v>
      </c>
      <c r="AI203" s="8">
        <v>46422</v>
      </c>
      <c r="AJ203" s="13" t="s">
        <v>636</v>
      </c>
      <c r="AK203" s="13"/>
      <c r="AL203" s="13" t="s">
        <v>60</v>
      </c>
      <c r="AN203" s="8">
        <v>302055</v>
      </c>
      <c r="AP203" s="8">
        <v>65848</v>
      </c>
      <c r="AT203" s="8">
        <v>67000</v>
      </c>
      <c r="AV203" s="8">
        <v>4106</v>
      </c>
      <c r="AX203" s="8">
        <v>0</v>
      </c>
      <c r="AZ203" s="8">
        <f t="shared" si="17"/>
        <v>20755041</v>
      </c>
      <c r="BB203" s="8">
        <v>138613</v>
      </c>
      <c r="BH203" s="8">
        <v>0</v>
      </c>
      <c r="BJ203" s="8">
        <f t="shared" si="18"/>
        <v>20893654</v>
      </c>
      <c r="BL203" s="8">
        <f>+GenRev!AM203-GenExp!BJ203</f>
        <v>-1390865</v>
      </c>
      <c r="BN203" s="8">
        <v>10640380</v>
      </c>
      <c r="BP203" s="8">
        <v>0</v>
      </c>
      <c r="BS203" s="8">
        <f t="shared" ref="BS203:BS224" si="19">+BN203+BL203-BP203</f>
        <v>9249515</v>
      </c>
      <c r="BU203" s="9">
        <f>+BS203-'Gen Fd BS'!AA203+BQ203</f>
        <v>0</v>
      </c>
    </row>
    <row r="204" spans="1:73">
      <c r="A204" s="13" t="s">
        <v>709</v>
      </c>
      <c r="B204" s="13"/>
      <c r="C204" s="13" t="s">
        <v>69</v>
      </c>
      <c r="D204" s="13"/>
      <c r="E204" s="32">
        <v>44008</v>
      </c>
      <c r="G204" s="8">
        <v>13221068</v>
      </c>
      <c r="I204" s="8">
        <v>3119303</v>
      </c>
      <c r="K204" s="8">
        <v>486219</v>
      </c>
      <c r="M204" s="8">
        <v>34987</v>
      </c>
      <c r="O204" s="8">
        <v>1111621</v>
      </c>
      <c r="Q204" s="8">
        <v>1345723</v>
      </c>
      <c r="S204" s="8">
        <v>28235</v>
      </c>
      <c r="U204" s="8">
        <v>1986609</v>
      </c>
      <c r="W204" s="8">
        <v>619279</v>
      </c>
      <c r="Y204" s="8">
        <v>167176</v>
      </c>
      <c r="AA204" s="8">
        <v>2547503</v>
      </c>
      <c r="AC204" s="8">
        <v>1080357</v>
      </c>
      <c r="AE204" s="8">
        <v>387907</v>
      </c>
      <c r="AG204" s="8">
        <v>0</v>
      </c>
      <c r="AI204" s="8">
        <v>0</v>
      </c>
      <c r="AJ204" s="13" t="s">
        <v>709</v>
      </c>
      <c r="AK204" s="13"/>
      <c r="AL204" s="13" t="s">
        <v>69</v>
      </c>
      <c r="AN204" s="8">
        <v>532803</v>
      </c>
      <c r="AP204" s="8">
        <v>1228721</v>
      </c>
      <c r="AT204" s="8">
        <v>0</v>
      </c>
      <c r="AV204" s="8">
        <v>0</v>
      </c>
      <c r="AX204" s="8">
        <v>0</v>
      </c>
      <c r="AZ204" s="8">
        <f t="shared" si="17"/>
        <v>27897511</v>
      </c>
      <c r="BB204" s="8">
        <v>0</v>
      </c>
      <c r="BH204" s="8">
        <v>0</v>
      </c>
      <c r="BJ204" s="8">
        <f t="shared" si="18"/>
        <v>27897511</v>
      </c>
      <c r="BL204" s="8">
        <f>+GenRev!AM204-GenExp!BJ204</f>
        <v>82296</v>
      </c>
      <c r="BN204" s="8">
        <v>5115401</v>
      </c>
      <c r="BP204" s="8">
        <v>0</v>
      </c>
      <c r="BS204" s="8">
        <f t="shared" si="19"/>
        <v>5197697</v>
      </c>
      <c r="BU204" s="9">
        <f>+BS204-'Gen Fd BS'!AA204+BQ204</f>
        <v>0</v>
      </c>
    </row>
    <row r="205" spans="1:73">
      <c r="A205" s="13" t="s">
        <v>564</v>
      </c>
      <c r="B205" s="13"/>
      <c r="C205" s="13" t="s">
        <v>51</v>
      </c>
      <c r="D205" s="13"/>
      <c r="E205" s="32">
        <v>48843</v>
      </c>
      <c r="G205" s="8">
        <v>9520151</v>
      </c>
      <c r="I205" s="8">
        <v>1250848</v>
      </c>
      <c r="K205" s="8">
        <v>196454</v>
      </c>
      <c r="M205" s="8">
        <v>181119</v>
      </c>
      <c r="O205" s="8">
        <v>715217</v>
      </c>
      <c r="Q205" s="8">
        <v>906272</v>
      </c>
      <c r="S205" s="8">
        <v>105952</v>
      </c>
      <c r="U205" s="8">
        <v>1383596</v>
      </c>
      <c r="W205" s="8">
        <v>364809</v>
      </c>
      <c r="Y205" s="8">
        <v>0</v>
      </c>
      <c r="AA205" s="8">
        <v>1641264</v>
      </c>
      <c r="AC205" s="8">
        <v>1545271</v>
      </c>
      <c r="AE205" s="8">
        <v>94847</v>
      </c>
      <c r="AG205" s="8">
        <v>2466</v>
      </c>
      <c r="AI205" s="8">
        <v>0</v>
      </c>
      <c r="AJ205" s="13" t="s">
        <v>564</v>
      </c>
      <c r="AK205" s="13"/>
      <c r="AL205" s="13" t="s">
        <v>51</v>
      </c>
      <c r="AN205" s="8">
        <v>316974</v>
      </c>
      <c r="AP205" s="8">
        <v>0</v>
      </c>
      <c r="AT205" s="8">
        <v>38743</v>
      </c>
      <c r="AV205" s="8">
        <v>12440</v>
      </c>
      <c r="AX205" s="8">
        <v>0</v>
      </c>
      <c r="AZ205" s="8">
        <f t="shared" si="17"/>
        <v>18276423</v>
      </c>
      <c r="BB205" s="8">
        <v>201000</v>
      </c>
      <c r="BH205" s="8">
        <v>0</v>
      </c>
      <c r="BJ205" s="8">
        <f t="shared" si="18"/>
        <v>18477423</v>
      </c>
      <c r="BL205" s="8">
        <f>+GenRev!AM205-GenExp!BJ205</f>
        <v>-113415</v>
      </c>
      <c r="BN205" s="8">
        <v>3165157</v>
      </c>
      <c r="BP205" s="8">
        <v>0</v>
      </c>
      <c r="BS205" s="8">
        <f t="shared" si="19"/>
        <v>3051742</v>
      </c>
      <c r="BU205" s="9">
        <f>+BS205-'Gen Fd BS'!AA205+BQ205</f>
        <v>0</v>
      </c>
    </row>
    <row r="206" spans="1:73" hidden="1">
      <c r="A206" s="12" t="s">
        <v>835</v>
      </c>
      <c r="B206" s="13"/>
      <c r="C206" s="13" t="s">
        <v>21</v>
      </c>
      <c r="D206" s="13"/>
      <c r="E206" s="32">
        <v>46649</v>
      </c>
      <c r="G206" s="8">
        <v>2621723</v>
      </c>
      <c r="I206" s="8">
        <v>638967</v>
      </c>
      <c r="K206" s="8">
        <v>177999</v>
      </c>
      <c r="M206" s="8">
        <f>59878+17130</f>
        <v>77008</v>
      </c>
      <c r="O206" s="8">
        <v>221774</v>
      </c>
      <c r="Q206" s="8">
        <v>431866</v>
      </c>
      <c r="S206" s="8">
        <v>29593</v>
      </c>
      <c r="U206" s="8">
        <v>538579</v>
      </c>
      <c r="W206" s="8">
        <v>187282</v>
      </c>
      <c r="AA206" s="8">
        <v>459045</v>
      </c>
      <c r="AC206" s="8">
        <v>430944</v>
      </c>
      <c r="AE206" s="8">
        <v>62542</v>
      </c>
      <c r="AJ206" s="12" t="s">
        <v>835</v>
      </c>
      <c r="AK206" s="13"/>
      <c r="AL206" s="13" t="s">
        <v>21</v>
      </c>
      <c r="AN206" s="8">
        <v>136599</v>
      </c>
      <c r="AP206" s="8">
        <v>132000</v>
      </c>
      <c r="AX206" s="8">
        <v>0</v>
      </c>
      <c r="AZ206" s="8">
        <f t="shared" ref="AZ206:AZ209" si="20">SUM(G206:AX206)</f>
        <v>6145921</v>
      </c>
      <c r="BB206" s="8">
        <v>15000</v>
      </c>
      <c r="BH206" s="8">
        <v>0</v>
      </c>
      <c r="BJ206" s="8">
        <f t="shared" ref="BJ206:BJ224" si="21">+AZ206+BB206+BD206+BH206</f>
        <v>6160921</v>
      </c>
      <c r="BL206" s="8">
        <f>+GenRev!AM206-GenExp!BJ206</f>
        <v>28829</v>
      </c>
      <c r="BN206" s="8">
        <v>2412812</v>
      </c>
      <c r="BP206" s="8">
        <v>0</v>
      </c>
      <c r="BS206" s="8">
        <f t="shared" si="19"/>
        <v>2441641</v>
      </c>
      <c r="BU206" s="9">
        <f>+BS206-'Gen Fd BS'!AA206+BQ206</f>
        <v>-26981</v>
      </c>
    </row>
    <row r="207" spans="1:73" hidden="1">
      <c r="A207" s="12" t="s">
        <v>939</v>
      </c>
      <c r="B207" s="13"/>
      <c r="C207" s="13" t="s">
        <v>40</v>
      </c>
      <c r="D207" s="13"/>
      <c r="E207" s="32">
        <v>47852</v>
      </c>
      <c r="G207" s="8">
        <v>4418150</v>
      </c>
      <c r="I207" s="8">
        <v>829587</v>
      </c>
      <c r="K207" s="8">
        <v>152386</v>
      </c>
      <c r="M207" s="8">
        <v>59733</v>
      </c>
      <c r="O207" s="8">
        <v>401519</v>
      </c>
      <c r="Q207" s="8">
        <v>483258</v>
      </c>
      <c r="S207" s="8">
        <v>36450</v>
      </c>
      <c r="U207" s="8">
        <v>839805</v>
      </c>
      <c r="W207" s="8">
        <v>237666</v>
      </c>
      <c r="Y207" s="8">
        <v>68955</v>
      </c>
      <c r="AA207" s="8">
        <v>788860</v>
      </c>
      <c r="AC207" s="8">
        <v>502520</v>
      </c>
      <c r="AI207" s="8">
        <v>881</v>
      </c>
      <c r="AJ207" s="12" t="s">
        <v>939</v>
      </c>
      <c r="AK207" s="13"/>
      <c r="AL207" s="13" t="s">
        <v>40</v>
      </c>
      <c r="AN207" s="8">
        <v>278942</v>
      </c>
      <c r="AX207" s="8">
        <v>0</v>
      </c>
      <c r="AZ207" s="8">
        <f t="shared" si="20"/>
        <v>9098712</v>
      </c>
      <c r="BB207" s="8">
        <v>600</v>
      </c>
      <c r="BH207" s="8">
        <v>0</v>
      </c>
      <c r="BJ207" s="8">
        <f t="shared" si="21"/>
        <v>9099312</v>
      </c>
      <c r="BL207" s="8">
        <f>+GenRev!AM207-GenExp!BJ207</f>
        <v>-597875</v>
      </c>
      <c r="BN207" s="8">
        <v>1997206</v>
      </c>
      <c r="BP207" s="8">
        <v>0</v>
      </c>
      <c r="BS207" s="8">
        <f t="shared" si="19"/>
        <v>1399331</v>
      </c>
      <c r="BU207" s="9">
        <f>+BS207-'Gen Fd BS'!AA207+BQ207</f>
        <v>0</v>
      </c>
    </row>
    <row r="208" spans="1:73">
      <c r="A208" s="13" t="s">
        <v>623</v>
      </c>
      <c r="B208" s="13"/>
      <c r="C208" s="13" t="s">
        <v>79</v>
      </c>
      <c r="D208" s="13"/>
      <c r="E208" s="32">
        <v>44016</v>
      </c>
      <c r="G208" s="8">
        <v>15966352</v>
      </c>
      <c r="I208" s="8">
        <v>4014458</v>
      </c>
      <c r="K208" s="8">
        <v>94290</v>
      </c>
      <c r="M208" s="8">
        <v>51399</v>
      </c>
      <c r="O208" s="8">
        <v>1785109</v>
      </c>
      <c r="Q208" s="8">
        <v>1207006</v>
      </c>
      <c r="S208" s="8">
        <v>46033</v>
      </c>
      <c r="U208" s="8">
        <v>2526607</v>
      </c>
      <c r="W208" s="8">
        <v>1100012</v>
      </c>
      <c r="Y208" s="8">
        <v>111180</v>
      </c>
      <c r="AA208" s="8">
        <v>2940195</v>
      </c>
      <c r="AC208" s="8">
        <v>1197659</v>
      </c>
      <c r="AE208" s="8">
        <v>88567</v>
      </c>
      <c r="AG208" s="8">
        <v>0</v>
      </c>
      <c r="AI208" s="8">
        <v>14236</v>
      </c>
      <c r="AJ208" s="13" t="s">
        <v>623</v>
      </c>
      <c r="AK208" s="13"/>
      <c r="AL208" s="13" t="s">
        <v>79</v>
      </c>
      <c r="AN208" s="8">
        <v>462503</v>
      </c>
      <c r="AP208" s="8">
        <v>0</v>
      </c>
      <c r="AT208" s="8">
        <v>0</v>
      </c>
      <c r="AV208" s="8">
        <v>18452</v>
      </c>
      <c r="AX208" s="8">
        <v>0</v>
      </c>
      <c r="AZ208" s="8">
        <f t="shared" si="20"/>
        <v>31624058</v>
      </c>
      <c r="BB208" s="8">
        <v>0</v>
      </c>
      <c r="BH208" s="8">
        <v>0</v>
      </c>
      <c r="BJ208" s="8">
        <f t="shared" si="21"/>
        <v>31624058</v>
      </c>
      <c r="BL208" s="8">
        <f>+GenRev!AM208-GenExp!BJ208</f>
        <v>20550664</v>
      </c>
      <c r="BN208" s="8">
        <v>1689185</v>
      </c>
      <c r="BP208" s="8">
        <v>0</v>
      </c>
      <c r="BS208" s="8">
        <f t="shared" si="19"/>
        <v>22239849</v>
      </c>
      <c r="BU208" s="9">
        <f>+BS208-'Gen Fd BS'!AA208+BQ208</f>
        <v>0</v>
      </c>
    </row>
    <row r="209" spans="1:75">
      <c r="A209" s="13" t="s">
        <v>717</v>
      </c>
      <c r="B209" s="13"/>
      <c r="C209" s="13" t="s">
        <v>70</v>
      </c>
      <c r="D209" s="13"/>
      <c r="E209" s="32">
        <v>50492</v>
      </c>
      <c r="G209" s="8">
        <v>2608725</v>
      </c>
      <c r="I209" s="8">
        <v>423042</v>
      </c>
      <c r="K209" s="8">
        <v>258093</v>
      </c>
      <c r="M209" s="8">
        <v>0</v>
      </c>
      <c r="O209" s="8">
        <v>240762</v>
      </c>
      <c r="Q209" s="8">
        <v>106820</v>
      </c>
      <c r="S209" s="8">
        <v>43989</v>
      </c>
      <c r="U209" s="8">
        <v>734110</v>
      </c>
      <c r="W209" s="8">
        <v>248892</v>
      </c>
      <c r="Y209" s="8">
        <v>0</v>
      </c>
      <c r="AA209" s="8">
        <v>923240</v>
      </c>
      <c r="AC209" s="8">
        <v>570056</v>
      </c>
      <c r="AE209" s="8">
        <v>8380</v>
      </c>
      <c r="AG209" s="8">
        <v>0</v>
      </c>
      <c r="AI209" s="8">
        <v>0</v>
      </c>
      <c r="AJ209" s="13" t="s">
        <v>717</v>
      </c>
      <c r="AK209" s="13"/>
      <c r="AL209" s="13" t="s">
        <v>70</v>
      </c>
      <c r="AN209" s="8">
        <v>51228</v>
      </c>
      <c r="AP209" s="8">
        <v>1590</v>
      </c>
      <c r="AT209" s="8">
        <v>20543</v>
      </c>
      <c r="AV209" s="8">
        <v>5312</v>
      </c>
      <c r="AX209" s="8">
        <v>0</v>
      </c>
      <c r="AZ209" s="8">
        <f t="shared" si="20"/>
        <v>6244782</v>
      </c>
      <c r="BB209" s="8">
        <v>0</v>
      </c>
      <c r="BH209" s="8">
        <v>0</v>
      </c>
      <c r="BJ209" s="8">
        <f t="shared" si="21"/>
        <v>6244782</v>
      </c>
      <c r="BL209" s="8">
        <f>+GenRev!AM209-GenExp!BJ209</f>
        <v>725166</v>
      </c>
      <c r="BN209" s="8">
        <v>201692</v>
      </c>
      <c r="BP209" s="8">
        <v>0</v>
      </c>
      <c r="BS209" s="8">
        <f t="shared" si="19"/>
        <v>926858</v>
      </c>
      <c r="BU209" s="9">
        <f>+BS209-'Gen Fd BS'!AA209+BQ209</f>
        <v>0</v>
      </c>
    </row>
    <row r="210" spans="1:75">
      <c r="A210" s="13" t="s">
        <v>356</v>
      </c>
      <c r="B210" s="13"/>
      <c r="C210" s="13" t="s">
        <v>27</v>
      </c>
      <c r="D210" s="13"/>
      <c r="E210" s="32">
        <v>46961</v>
      </c>
      <c r="G210" s="8">
        <v>37767328</v>
      </c>
      <c r="I210" s="8">
        <v>9596523</v>
      </c>
      <c r="K210" s="8">
        <v>998076</v>
      </c>
      <c r="M210" s="8">
        <v>0</v>
      </c>
      <c r="O210" s="8">
        <v>3340738</v>
      </c>
      <c r="Q210" s="8">
        <v>3200101</v>
      </c>
      <c r="S210" s="8">
        <v>256100</v>
      </c>
      <c r="U210" s="8">
        <v>7280871</v>
      </c>
      <c r="W210" s="8">
        <v>1414030</v>
      </c>
      <c r="Y210" s="8">
        <v>0</v>
      </c>
      <c r="AA210" s="8">
        <v>5979642</v>
      </c>
      <c r="AC210" s="8">
        <v>2429630</v>
      </c>
      <c r="AE210" s="8">
        <v>313507</v>
      </c>
      <c r="AG210" s="8">
        <v>0</v>
      </c>
      <c r="AI210" s="8">
        <v>0</v>
      </c>
      <c r="AJ210" s="13" t="s">
        <v>356</v>
      </c>
      <c r="AK210" s="13"/>
      <c r="AL210" s="13" t="s">
        <v>27</v>
      </c>
      <c r="AN210" s="8">
        <v>897780</v>
      </c>
      <c r="AP210" s="8">
        <v>1596960</v>
      </c>
      <c r="AT210" s="8">
        <v>100000</v>
      </c>
      <c r="AV210" s="8">
        <v>112503</v>
      </c>
      <c r="AX210" s="8">
        <v>363308</v>
      </c>
      <c r="AZ210" s="8">
        <f t="shared" ref="AZ210:AZ224" si="22">SUM(G210:AX210)</f>
        <v>75647097</v>
      </c>
      <c r="BB210" s="8">
        <v>0</v>
      </c>
      <c r="BH210" s="8">
        <v>0</v>
      </c>
      <c r="BJ210" s="8">
        <f t="shared" si="21"/>
        <v>75647097</v>
      </c>
      <c r="BL210" s="8">
        <f>+GenRev!AM210-GenExp!BJ210</f>
        <v>-784804</v>
      </c>
      <c r="BN210" s="8">
        <v>29821837</v>
      </c>
      <c r="BP210" s="8">
        <v>0</v>
      </c>
      <c r="BS210" s="8">
        <f t="shared" si="19"/>
        <v>29037033</v>
      </c>
      <c r="BU210" s="9">
        <f>+BS210-'Gen Fd BS'!AA210+BQ210</f>
        <v>0</v>
      </c>
    </row>
    <row r="211" spans="1:75">
      <c r="A211" s="13" t="s">
        <v>294</v>
      </c>
      <c r="B211" s="13"/>
      <c r="C211" s="13" t="s">
        <v>113</v>
      </c>
      <c r="D211" s="13"/>
      <c r="E211" s="32">
        <v>44024</v>
      </c>
      <c r="G211" s="8">
        <v>8197606</v>
      </c>
      <c r="I211" s="8">
        <v>1899193</v>
      </c>
      <c r="K211" s="8">
        <v>54593</v>
      </c>
      <c r="M211" s="8">
        <v>0</v>
      </c>
      <c r="O211" s="8">
        <v>921921</v>
      </c>
      <c r="Q211" s="8">
        <v>699282</v>
      </c>
      <c r="S211" s="8">
        <v>68384</v>
      </c>
      <c r="U211" s="8">
        <v>1378640</v>
      </c>
      <c r="W211" s="8">
        <v>392819</v>
      </c>
      <c r="Y211" s="8">
        <v>0</v>
      </c>
      <c r="AA211" s="8">
        <v>1575239</v>
      </c>
      <c r="AC211" s="8">
        <v>905654</v>
      </c>
      <c r="AE211" s="8">
        <v>86203</v>
      </c>
      <c r="AG211" s="8">
        <v>0</v>
      </c>
      <c r="AI211" s="8">
        <v>977</v>
      </c>
      <c r="AJ211" s="13" t="s">
        <v>294</v>
      </c>
      <c r="AK211" s="13"/>
      <c r="AL211" s="13" t="s">
        <v>113</v>
      </c>
      <c r="AN211" s="8">
        <v>439799</v>
      </c>
      <c r="AP211" s="8">
        <v>0</v>
      </c>
      <c r="AT211" s="8">
        <v>34075</v>
      </c>
      <c r="AV211" s="8">
        <v>3844</v>
      </c>
      <c r="AX211" s="8">
        <v>0</v>
      </c>
      <c r="AZ211" s="8">
        <f t="shared" si="22"/>
        <v>16658229</v>
      </c>
      <c r="BB211" s="8">
        <f>121646-6312</f>
        <v>115334</v>
      </c>
      <c r="BH211" s="8">
        <v>0</v>
      </c>
      <c r="BJ211" s="8">
        <f t="shared" si="21"/>
        <v>16773563</v>
      </c>
      <c r="BL211" s="8">
        <f>+GenRev!AM211-GenExp!BJ211</f>
        <v>-421836</v>
      </c>
      <c r="BN211" s="8">
        <v>2060632</v>
      </c>
      <c r="BP211" s="8">
        <v>0</v>
      </c>
      <c r="BS211" s="8">
        <f t="shared" si="19"/>
        <v>1638796</v>
      </c>
      <c r="BU211" s="9">
        <f>+BS211-'Gen Fd BS'!AA211+BQ211</f>
        <v>0</v>
      </c>
    </row>
    <row r="212" spans="1:75">
      <c r="A212" s="13" t="s">
        <v>375</v>
      </c>
      <c r="B212" s="13"/>
      <c r="C212" s="13" t="s">
        <v>29</v>
      </c>
      <c r="D212" s="13"/>
      <c r="E212" s="32">
        <v>65680</v>
      </c>
      <c r="G212" s="8">
        <v>7885216</v>
      </c>
      <c r="I212" s="8">
        <v>2069975</v>
      </c>
      <c r="K212" s="8">
        <v>490008</v>
      </c>
      <c r="M212" s="8">
        <v>1828645</v>
      </c>
      <c r="O212" s="8">
        <v>585928</v>
      </c>
      <c r="Q212" s="8">
        <v>292568</v>
      </c>
      <c r="S212" s="8">
        <v>90602</v>
      </c>
      <c r="U212" s="8">
        <v>1528333</v>
      </c>
      <c r="W212" s="8">
        <v>550105</v>
      </c>
      <c r="Y212" s="8">
        <v>24137</v>
      </c>
      <c r="AA212" s="8">
        <v>1780218</v>
      </c>
      <c r="AC212" s="8">
        <v>2078242</v>
      </c>
      <c r="AE212" s="8">
        <v>233796</v>
      </c>
      <c r="AG212" s="8">
        <v>0</v>
      </c>
      <c r="AI212" s="8">
        <v>0</v>
      </c>
      <c r="AJ212" s="13" t="s">
        <v>375</v>
      </c>
      <c r="AK212" s="13"/>
      <c r="AL212" s="13" t="s">
        <v>29</v>
      </c>
      <c r="AN212" s="8">
        <v>281263</v>
      </c>
      <c r="AP212" s="8">
        <v>0</v>
      </c>
      <c r="AT212" s="8">
        <v>0</v>
      </c>
      <c r="AV212" s="8">
        <v>0</v>
      </c>
      <c r="AX212" s="8">
        <v>0</v>
      </c>
      <c r="AZ212" s="8">
        <f t="shared" si="22"/>
        <v>19719036</v>
      </c>
      <c r="BB212" s="8">
        <v>72201</v>
      </c>
      <c r="BH212" s="8">
        <v>0</v>
      </c>
      <c r="BJ212" s="8">
        <f t="shared" si="21"/>
        <v>19791237</v>
      </c>
      <c r="BL212" s="8">
        <f>+GenRev!AM212-GenExp!BJ212</f>
        <v>-159844</v>
      </c>
      <c r="BN212" s="8">
        <v>1981046</v>
      </c>
      <c r="BP212" s="8">
        <v>0</v>
      </c>
      <c r="BS212" s="8">
        <f t="shared" si="19"/>
        <v>1821202</v>
      </c>
      <c r="BU212" s="9">
        <f>+BS212-'Gen Fd BS'!AA212+BQ212</f>
        <v>0</v>
      </c>
    </row>
    <row r="213" spans="1:75">
      <c r="A213" s="13" t="s">
        <v>376</v>
      </c>
      <c r="B213" s="13"/>
      <c r="C213" s="13" t="s">
        <v>29</v>
      </c>
      <c r="D213" s="13"/>
      <c r="E213" s="32">
        <v>44032</v>
      </c>
      <c r="G213" s="8">
        <v>7435135</v>
      </c>
      <c r="I213" s="8">
        <v>2310147</v>
      </c>
      <c r="K213" s="8">
        <v>97275</v>
      </c>
      <c r="M213" s="8">
        <v>815351</v>
      </c>
      <c r="O213" s="8">
        <v>958050</v>
      </c>
      <c r="Q213" s="8">
        <v>475916</v>
      </c>
      <c r="S213" s="8">
        <v>23957</v>
      </c>
      <c r="U213" s="8">
        <v>1710655</v>
      </c>
      <c r="W213" s="8">
        <v>380980</v>
      </c>
      <c r="Y213" s="8">
        <v>0</v>
      </c>
      <c r="AA213" s="8">
        <v>1314798</v>
      </c>
      <c r="AC213" s="8">
        <v>1442819</v>
      </c>
      <c r="AE213" s="8">
        <v>56154</v>
      </c>
      <c r="AG213" s="8">
        <v>0</v>
      </c>
      <c r="AI213" s="8">
        <v>1782</v>
      </c>
      <c r="AJ213" s="13" t="s">
        <v>376</v>
      </c>
      <c r="AK213" s="13"/>
      <c r="AL213" s="13" t="s">
        <v>29</v>
      </c>
      <c r="AN213" s="8">
        <v>305266</v>
      </c>
      <c r="AP213" s="8">
        <v>213166</v>
      </c>
      <c r="AT213" s="8">
        <v>0</v>
      </c>
      <c r="AV213" s="8">
        <v>0</v>
      </c>
      <c r="AX213" s="8">
        <v>0</v>
      </c>
      <c r="AZ213" s="8">
        <f t="shared" si="22"/>
        <v>17541451</v>
      </c>
      <c r="BB213" s="8">
        <v>268607</v>
      </c>
      <c r="BH213" s="8">
        <v>0</v>
      </c>
      <c r="BJ213" s="8">
        <f t="shared" si="21"/>
        <v>17810058</v>
      </c>
      <c r="BL213" s="8">
        <f>+GenRev!AM213-GenExp!BJ213</f>
        <v>-12749</v>
      </c>
      <c r="BN213" s="8">
        <v>-102031</v>
      </c>
      <c r="BP213" s="8">
        <v>48808</v>
      </c>
      <c r="BS213" s="8">
        <f t="shared" si="19"/>
        <v>-163588</v>
      </c>
      <c r="BU213" s="9">
        <f>+BS213-'Gen Fd BS'!AA213+BQ213</f>
        <v>0</v>
      </c>
    </row>
    <row r="214" spans="1:75">
      <c r="A214" s="13" t="s">
        <v>696</v>
      </c>
      <c r="B214" s="13"/>
      <c r="C214" s="13" t="s">
        <v>65</v>
      </c>
      <c r="D214" s="13"/>
      <c r="E214" s="32">
        <v>50278</v>
      </c>
      <c r="G214" s="8">
        <v>5371389</v>
      </c>
      <c r="I214" s="8">
        <v>676099</v>
      </c>
      <c r="K214" s="8">
        <v>1508</v>
      </c>
      <c r="M214" s="8">
        <v>80858</v>
      </c>
      <c r="O214" s="8">
        <v>264811</v>
      </c>
      <c r="Q214" s="8">
        <v>444392</v>
      </c>
      <c r="S214" s="8">
        <v>10638</v>
      </c>
      <c r="U214" s="8">
        <v>1036445</v>
      </c>
      <c r="W214" s="8">
        <v>364871</v>
      </c>
      <c r="Y214" s="8">
        <v>0</v>
      </c>
      <c r="AA214" s="8">
        <v>874054</v>
      </c>
      <c r="AC214" s="8">
        <v>793967</v>
      </c>
      <c r="AE214" s="8">
        <v>39862</v>
      </c>
      <c r="AG214" s="8">
        <v>0</v>
      </c>
      <c r="AI214" s="8">
        <v>0</v>
      </c>
      <c r="AJ214" s="13" t="s">
        <v>696</v>
      </c>
      <c r="AK214" s="13"/>
      <c r="AL214" s="13" t="s">
        <v>65</v>
      </c>
      <c r="AN214" s="8">
        <v>246134</v>
      </c>
      <c r="AP214" s="8">
        <v>0</v>
      </c>
      <c r="AT214" s="8">
        <v>0</v>
      </c>
      <c r="AV214" s="8">
        <v>0</v>
      </c>
      <c r="AX214" s="8">
        <v>0</v>
      </c>
      <c r="AZ214" s="8">
        <f t="shared" si="22"/>
        <v>10205028</v>
      </c>
      <c r="BB214" s="8">
        <v>21550</v>
      </c>
      <c r="BH214" s="8">
        <v>0</v>
      </c>
      <c r="BJ214" s="8">
        <f t="shared" si="21"/>
        <v>10226578</v>
      </c>
      <c r="BL214" s="8">
        <f>+GenRev!AM214-GenExp!BJ214</f>
        <v>-60739</v>
      </c>
      <c r="BN214" s="8">
        <v>2966716</v>
      </c>
      <c r="BP214" s="8">
        <v>0</v>
      </c>
      <c r="BS214" s="8">
        <f t="shared" si="19"/>
        <v>2905977</v>
      </c>
      <c r="BU214" s="9">
        <f>+BS214-'Gen Fd BS'!AA214+BQ214</f>
        <v>0</v>
      </c>
    </row>
    <row r="215" spans="1:75">
      <c r="A215" s="12" t="s">
        <v>308</v>
      </c>
      <c r="B215" s="13"/>
      <c r="C215" s="13" t="s">
        <v>20</v>
      </c>
      <c r="D215" s="13"/>
      <c r="E215" s="32">
        <v>44040</v>
      </c>
      <c r="G215" s="8">
        <v>13990620</v>
      </c>
      <c r="I215" s="8">
        <v>3304386</v>
      </c>
      <c r="K215" s="8">
        <v>419050</v>
      </c>
      <c r="M215" s="8">
        <f>586821+1796018</f>
        <v>2382839</v>
      </c>
      <c r="O215" s="8">
        <v>2738538</v>
      </c>
      <c r="Q215" s="8">
        <v>2598587</v>
      </c>
      <c r="S215" s="8">
        <v>108585</v>
      </c>
      <c r="U215" s="8">
        <v>2563025</v>
      </c>
      <c r="W215" s="8">
        <v>924292</v>
      </c>
      <c r="Y215" s="8">
        <v>823081</v>
      </c>
      <c r="AA215" s="8">
        <v>3955835</v>
      </c>
      <c r="AC215" s="8">
        <v>1023498</v>
      </c>
      <c r="AE215" s="8">
        <v>364928</v>
      </c>
      <c r="AG215" s="8">
        <v>0</v>
      </c>
      <c r="AI215" s="8">
        <f>1198+121179</f>
        <v>122377</v>
      </c>
      <c r="AJ215" s="13" t="s">
        <v>308</v>
      </c>
      <c r="AK215" s="13"/>
      <c r="AL215" s="13" t="s">
        <v>20</v>
      </c>
      <c r="AN215" s="8">
        <v>298191</v>
      </c>
      <c r="AP215" s="8">
        <v>0</v>
      </c>
      <c r="AT215" s="8">
        <v>387533</v>
      </c>
      <c r="AV215" s="8">
        <v>63738</v>
      </c>
      <c r="AX215" s="8">
        <v>0</v>
      </c>
      <c r="AZ215" s="8">
        <f t="shared" si="22"/>
        <v>36069103</v>
      </c>
      <c r="BB215" s="8">
        <v>45645</v>
      </c>
      <c r="BH215" s="8">
        <v>0</v>
      </c>
      <c r="BJ215" s="8">
        <f t="shared" si="21"/>
        <v>36114748</v>
      </c>
      <c r="BL215" s="8">
        <f>+GenRev!AM215-GenExp!BJ215</f>
        <v>273033</v>
      </c>
      <c r="BN215" s="8">
        <v>1752743</v>
      </c>
      <c r="BP215" s="8">
        <v>0</v>
      </c>
      <c r="BS215" s="8">
        <f t="shared" si="19"/>
        <v>2025776</v>
      </c>
      <c r="BU215" s="9">
        <f>+BS215-'Gen Fd BS'!AA215+BQ215</f>
        <v>0</v>
      </c>
      <c r="BW215" s="8" t="s">
        <v>979</v>
      </c>
    </row>
    <row r="216" spans="1:75">
      <c r="A216" s="12" t="s">
        <v>888</v>
      </c>
      <c r="B216" s="13"/>
      <c r="C216" s="13" t="s">
        <v>12</v>
      </c>
      <c r="D216" s="13"/>
      <c r="E216" s="32">
        <v>44057</v>
      </c>
      <c r="F216" s="11"/>
      <c r="G216" s="8">
        <v>11010308</v>
      </c>
      <c r="I216" s="8">
        <v>2559594</v>
      </c>
      <c r="K216" s="8">
        <v>424687</v>
      </c>
      <c r="M216" s="8">
        <v>1292250</v>
      </c>
      <c r="O216" s="8">
        <v>1426747</v>
      </c>
      <c r="Q216" s="8">
        <v>524160</v>
      </c>
      <c r="S216" s="8">
        <v>27425</v>
      </c>
      <c r="U216" s="8">
        <v>1807616</v>
      </c>
      <c r="W216" s="8">
        <v>475560</v>
      </c>
      <c r="Y216" s="8">
        <v>35584</v>
      </c>
      <c r="AA216" s="8">
        <v>2335351</v>
      </c>
      <c r="AC216" s="8">
        <v>1203269</v>
      </c>
      <c r="AE216" s="8">
        <v>4033</v>
      </c>
      <c r="AG216" s="8">
        <v>0</v>
      </c>
      <c r="AI216" s="8">
        <v>44402</v>
      </c>
      <c r="AJ216" s="12" t="s">
        <v>888</v>
      </c>
      <c r="AK216" s="13"/>
      <c r="AL216" s="13" t="s">
        <v>12</v>
      </c>
      <c r="AN216" s="8">
        <v>476136</v>
      </c>
      <c r="AP216" s="8">
        <v>42462</v>
      </c>
      <c r="AT216" s="8">
        <v>0</v>
      </c>
      <c r="AV216" s="8">
        <v>0</v>
      </c>
      <c r="AX216" s="8">
        <v>0</v>
      </c>
      <c r="AZ216" s="8">
        <f t="shared" si="22"/>
        <v>23689584</v>
      </c>
      <c r="BB216" s="8">
        <v>136792</v>
      </c>
      <c r="BH216" s="8">
        <v>0</v>
      </c>
      <c r="BJ216" s="8">
        <f t="shared" si="21"/>
        <v>23826376</v>
      </c>
      <c r="BL216" s="8">
        <f>+GenRev!AM216-GenExp!BJ216</f>
        <v>-1692564</v>
      </c>
      <c r="BN216" s="8">
        <v>3893395</v>
      </c>
      <c r="BP216" s="8">
        <v>0</v>
      </c>
      <c r="BS216" s="8">
        <f t="shared" si="19"/>
        <v>2200831</v>
      </c>
      <c r="BU216" s="9">
        <f>+BS216-'Gen Fd BS'!AA216+BQ216</f>
        <v>0</v>
      </c>
    </row>
    <row r="217" spans="1:75">
      <c r="A217" s="13" t="s">
        <v>573</v>
      </c>
      <c r="B217" s="13"/>
      <c r="C217" s="13" t="s">
        <v>53</v>
      </c>
      <c r="D217" s="13"/>
      <c r="E217" s="32">
        <v>48942</v>
      </c>
      <c r="G217" s="8">
        <v>7348412</v>
      </c>
      <c r="I217" s="8">
        <v>678333</v>
      </c>
      <c r="K217" s="8">
        <v>0</v>
      </c>
      <c r="M217" s="8">
        <v>0</v>
      </c>
      <c r="O217" s="8">
        <v>334580</v>
      </c>
      <c r="Q217" s="8">
        <v>126985</v>
      </c>
      <c r="S217" s="8">
        <v>9513</v>
      </c>
      <c r="U217" s="8">
        <v>956490</v>
      </c>
      <c r="W217" s="8">
        <v>327899</v>
      </c>
      <c r="Y217" s="8">
        <v>18434</v>
      </c>
      <c r="AA217" s="8">
        <v>936454</v>
      </c>
      <c r="AC217" s="8">
        <v>445165</v>
      </c>
      <c r="AE217" s="8">
        <v>280401</v>
      </c>
      <c r="AG217" s="8">
        <v>0</v>
      </c>
      <c r="AI217" s="8">
        <v>894</v>
      </c>
      <c r="AJ217" s="13" t="s">
        <v>573</v>
      </c>
      <c r="AK217" s="13"/>
      <c r="AL217" s="13" t="s">
        <v>53</v>
      </c>
      <c r="AN217" s="8">
        <v>205247</v>
      </c>
      <c r="AP217" s="8">
        <v>0</v>
      </c>
      <c r="AT217" s="8">
        <v>65262</v>
      </c>
      <c r="AV217" s="8">
        <v>50538</v>
      </c>
      <c r="AX217" s="8">
        <v>0</v>
      </c>
      <c r="AZ217" s="8">
        <f t="shared" si="22"/>
        <v>11784607</v>
      </c>
      <c r="BB217" s="8">
        <v>83159</v>
      </c>
      <c r="BH217" s="8">
        <v>0</v>
      </c>
      <c r="BJ217" s="8">
        <f t="shared" si="21"/>
        <v>11867766</v>
      </c>
      <c r="BL217" s="8">
        <f>+GenRev!AM217-GenExp!BJ217</f>
        <v>-541402</v>
      </c>
      <c r="BN217" s="8">
        <v>1200119</v>
      </c>
      <c r="BP217" s="8">
        <v>0</v>
      </c>
      <c r="BS217" s="8">
        <f t="shared" si="19"/>
        <v>658717</v>
      </c>
      <c r="BU217" s="9">
        <f>+BS217-'Gen Fd BS'!AA217+BQ217</f>
        <v>0</v>
      </c>
    </row>
    <row r="218" spans="1:75" hidden="1">
      <c r="A218" s="12" t="s">
        <v>940</v>
      </c>
      <c r="B218" s="13"/>
      <c r="C218" s="13" t="s">
        <v>77</v>
      </c>
      <c r="D218" s="13"/>
      <c r="E218" s="32">
        <v>45377</v>
      </c>
      <c r="G218" s="8">
        <v>4096132</v>
      </c>
      <c r="I218" s="8">
        <v>427683</v>
      </c>
      <c r="K218" s="8">
        <v>163317</v>
      </c>
      <c r="M218" s="8">
        <v>28882</v>
      </c>
      <c r="O218" s="8">
        <v>380931</v>
      </c>
      <c r="Q218" s="8">
        <v>551370</v>
      </c>
      <c r="S218" s="8">
        <v>34528</v>
      </c>
      <c r="U218" s="8">
        <v>696369</v>
      </c>
      <c r="W218" s="8">
        <v>312390</v>
      </c>
      <c r="Y218" s="8">
        <v>32799</v>
      </c>
      <c r="AA218" s="8">
        <v>708278</v>
      </c>
      <c r="AC218" s="8">
        <v>457176</v>
      </c>
      <c r="AE218" s="8">
        <v>51338</v>
      </c>
      <c r="AG218" s="8">
        <v>0</v>
      </c>
      <c r="AJ218" s="12" t="s">
        <v>940</v>
      </c>
      <c r="AK218" s="13"/>
      <c r="AL218" s="13" t="s">
        <v>77</v>
      </c>
      <c r="AN218" s="8">
        <v>102326</v>
      </c>
      <c r="AZ218" s="8">
        <f t="shared" si="22"/>
        <v>8043519</v>
      </c>
      <c r="BH218" s="8">
        <v>0</v>
      </c>
      <c r="BJ218" s="8">
        <f t="shared" si="21"/>
        <v>8043519</v>
      </c>
      <c r="BL218" s="8">
        <f>+GenRev!AM218-GenExp!BJ218</f>
        <v>-85884</v>
      </c>
      <c r="BN218" s="8">
        <v>836324</v>
      </c>
      <c r="BP218" s="8">
        <v>0</v>
      </c>
      <c r="BS218" s="8">
        <f t="shared" si="19"/>
        <v>750440</v>
      </c>
      <c r="BU218" s="9">
        <f>+BS218-'Gen Fd BS'!AA218+BQ218</f>
        <v>-42289</v>
      </c>
    </row>
    <row r="219" spans="1:75" s="35" customFormat="1">
      <c r="A219" s="34" t="s">
        <v>624</v>
      </c>
      <c r="B219" s="34"/>
      <c r="C219" s="34" t="s">
        <v>79</v>
      </c>
      <c r="D219" s="34"/>
      <c r="E219" s="34">
        <v>45385</v>
      </c>
      <c r="G219" s="8">
        <v>4453657</v>
      </c>
      <c r="H219" s="8"/>
      <c r="I219" s="8">
        <v>499989</v>
      </c>
      <c r="J219" s="8"/>
      <c r="K219" s="8">
        <v>159749</v>
      </c>
      <c r="L219" s="8"/>
      <c r="M219" s="8">
        <v>0</v>
      </c>
      <c r="N219" s="8"/>
      <c r="O219" s="8">
        <v>376161</v>
      </c>
      <c r="P219" s="8"/>
      <c r="Q219" s="8">
        <v>35596</v>
      </c>
      <c r="R219" s="8"/>
      <c r="S219" s="8">
        <v>47132</v>
      </c>
      <c r="T219" s="8"/>
      <c r="U219" s="8">
        <v>767212</v>
      </c>
      <c r="V219" s="8"/>
      <c r="W219" s="8">
        <v>442448</v>
      </c>
      <c r="X219" s="8"/>
      <c r="Y219" s="8">
        <v>6378</v>
      </c>
      <c r="Z219" s="8"/>
      <c r="AA219" s="8">
        <v>966089</v>
      </c>
      <c r="AB219" s="8"/>
      <c r="AC219" s="8">
        <v>287482</v>
      </c>
      <c r="AD219" s="8"/>
      <c r="AE219" s="8">
        <v>1225</v>
      </c>
      <c r="AF219" s="8"/>
      <c r="AG219" s="8">
        <v>0</v>
      </c>
      <c r="AH219" s="8"/>
      <c r="AI219" s="8">
        <v>97180</v>
      </c>
      <c r="AJ219" s="34" t="s">
        <v>624</v>
      </c>
      <c r="AK219" s="34"/>
      <c r="AL219" s="34" t="s">
        <v>79</v>
      </c>
      <c r="AN219" s="8">
        <v>207466</v>
      </c>
      <c r="AO219" s="8"/>
      <c r="AP219" s="8">
        <v>0</v>
      </c>
      <c r="AQ219" s="8"/>
      <c r="AR219" s="8"/>
      <c r="AS219" s="8"/>
      <c r="AT219" s="8">
        <v>0</v>
      </c>
      <c r="AU219" s="8"/>
      <c r="AV219" s="8">
        <v>0</v>
      </c>
      <c r="AW219" s="8"/>
      <c r="AX219" s="8">
        <v>0</v>
      </c>
      <c r="AY219" s="8"/>
      <c r="AZ219" s="8">
        <f t="shared" si="22"/>
        <v>8347764</v>
      </c>
      <c r="BA219" s="8"/>
      <c r="BB219" s="8">
        <v>0</v>
      </c>
      <c r="BC219" s="8"/>
      <c r="BD219" s="8"/>
      <c r="BE219" s="8"/>
      <c r="BF219" s="8"/>
      <c r="BG219" s="8"/>
      <c r="BH219" s="8">
        <v>0</v>
      </c>
      <c r="BI219" s="8"/>
      <c r="BJ219" s="8">
        <f t="shared" si="21"/>
        <v>8347764</v>
      </c>
      <c r="BK219" s="8"/>
      <c r="BL219" s="8">
        <f>+GenRev!AM219-GenExp!BJ219</f>
        <v>-225127</v>
      </c>
      <c r="BM219" s="8"/>
      <c r="BN219" s="8">
        <v>2241153</v>
      </c>
      <c r="BO219" s="8"/>
      <c r="BP219" s="8">
        <v>0</v>
      </c>
      <c r="BQ219" s="8"/>
      <c r="BR219" s="8"/>
      <c r="BS219" s="8">
        <f t="shared" si="19"/>
        <v>2016026</v>
      </c>
      <c r="BU219" s="44">
        <f>+BS219-'Gen Fd BS'!AA219+BQ219</f>
        <v>0</v>
      </c>
    </row>
    <row r="220" spans="1:75">
      <c r="A220" s="13" t="s">
        <v>679</v>
      </c>
      <c r="B220" s="13"/>
      <c r="C220" s="13" t="s">
        <v>64</v>
      </c>
      <c r="D220" s="13"/>
      <c r="E220" s="32">
        <v>44065</v>
      </c>
      <c r="G220" s="8">
        <v>5803355</v>
      </c>
      <c r="I220" s="8">
        <v>924567</v>
      </c>
      <c r="K220" s="8">
        <v>128010</v>
      </c>
      <c r="M220" s="8">
        <v>707386</v>
      </c>
      <c r="O220" s="8">
        <v>516402</v>
      </c>
      <c r="Q220" s="8">
        <v>295551</v>
      </c>
      <c r="S220" s="8">
        <v>34042</v>
      </c>
      <c r="U220" s="8">
        <v>1086580</v>
      </c>
      <c r="W220" s="8">
        <v>746261</v>
      </c>
      <c r="Y220" s="8">
        <v>0</v>
      </c>
      <c r="AA220" s="8">
        <v>1479710</v>
      </c>
      <c r="AC220" s="8">
        <v>445838</v>
      </c>
      <c r="AE220" s="8">
        <v>4000</v>
      </c>
      <c r="AG220" s="8">
        <v>0</v>
      </c>
      <c r="AI220" s="8">
        <v>0</v>
      </c>
      <c r="AJ220" s="13" t="s">
        <v>679</v>
      </c>
      <c r="AK220" s="13"/>
      <c r="AL220" s="13" t="s">
        <v>64</v>
      </c>
      <c r="AN220" s="8">
        <v>381567</v>
      </c>
      <c r="AP220" s="8">
        <v>9792</v>
      </c>
      <c r="AT220" s="8">
        <v>100000</v>
      </c>
      <c r="AV220" s="8">
        <v>52500</v>
      </c>
      <c r="AX220" s="8">
        <v>0</v>
      </c>
      <c r="AZ220" s="8">
        <f t="shared" si="22"/>
        <v>12715561</v>
      </c>
      <c r="BB220" s="8">
        <f>7419-1697</f>
        <v>5722</v>
      </c>
      <c r="BH220" s="8">
        <v>0</v>
      </c>
      <c r="BJ220" s="8">
        <f t="shared" si="21"/>
        <v>12721283</v>
      </c>
      <c r="BL220" s="8">
        <f>+GenRev!AM220-GenExp!BJ220</f>
        <v>621178</v>
      </c>
      <c r="BN220" s="8">
        <v>4362032</v>
      </c>
      <c r="BP220" s="8">
        <v>0</v>
      </c>
      <c r="BS220" s="8">
        <f t="shared" si="19"/>
        <v>4983210</v>
      </c>
      <c r="BU220" s="9">
        <f>+BS220-'Gen Fd BS'!AA220+BQ220</f>
        <v>0</v>
      </c>
    </row>
    <row r="221" spans="1:75" hidden="1">
      <c r="A221" s="12" t="s">
        <v>1030</v>
      </c>
      <c r="B221" s="13"/>
      <c r="C221" s="13" t="s">
        <v>28</v>
      </c>
      <c r="D221" s="13"/>
      <c r="E221" s="32">
        <v>47068</v>
      </c>
      <c r="F221" s="11"/>
      <c r="AG221" s="8">
        <v>0</v>
      </c>
      <c r="AJ221" s="13" t="s">
        <v>370</v>
      </c>
      <c r="AK221" s="13"/>
      <c r="AL221" s="13" t="s">
        <v>28</v>
      </c>
      <c r="AZ221" s="8">
        <f t="shared" si="22"/>
        <v>0</v>
      </c>
      <c r="BH221" s="8">
        <v>0</v>
      </c>
      <c r="BJ221" s="8">
        <f t="shared" si="21"/>
        <v>0</v>
      </c>
      <c r="BL221" s="8">
        <f>+GenRev!AM221-GenExp!BJ221</f>
        <v>0</v>
      </c>
      <c r="BP221" s="8">
        <v>0</v>
      </c>
      <c r="BS221" s="8">
        <f t="shared" si="19"/>
        <v>0</v>
      </c>
      <c r="BU221" s="9">
        <f>+BS221-'Gen Fd BS'!AA221+BQ221</f>
        <v>0</v>
      </c>
      <c r="BW221" s="15" t="s">
        <v>973</v>
      </c>
    </row>
    <row r="222" spans="1:75">
      <c r="A222" s="13" t="s">
        <v>269</v>
      </c>
      <c r="B222" s="13"/>
      <c r="C222" s="13" t="s">
        <v>115</v>
      </c>
      <c r="D222" s="13"/>
      <c r="E222" s="32">
        <v>46342</v>
      </c>
      <c r="F222" s="11"/>
      <c r="G222" s="8">
        <v>9682260</v>
      </c>
      <c r="I222" s="8">
        <v>1612694</v>
      </c>
      <c r="K222" s="8">
        <v>543314</v>
      </c>
      <c r="M222" s="8">
        <v>0</v>
      </c>
      <c r="O222" s="8">
        <v>1371218</v>
      </c>
      <c r="Q222" s="8">
        <v>3065125</v>
      </c>
      <c r="S222" s="8">
        <v>46452</v>
      </c>
      <c r="U222" s="8">
        <v>1493944</v>
      </c>
      <c r="W222" s="8">
        <v>545157</v>
      </c>
      <c r="Y222" s="8">
        <v>5830</v>
      </c>
      <c r="AA222" s="8">
        <v>1737544</v>
      </c>
      <c r="AC222" s="8">
        <v>2275084</v>
      </c>
      <c r="AE222" s="8">
        <v>0</v>
      </c>
      <c r="AG222" s="8">
        <v>0</v>
      </c>
      <c r="AI222" s="8">
        <v>311</v>
      </c>
      <c r="AJ222" s="13" t="s">
        <v>269</v>
      </c>
      <c r="AK222" s="13"/>
      <c r="AL222" s="13" t="s">
        <v>115</v>
      </c>
      <c r="AN222" s="8">
        <v>290774</v>
      </c>
      <c r="AP222" s="8">
        <v>0</v>
      </c>
      <c r="AT222" s="8">
        <v>0</v>
      </c>
      <c r="AV222" s="8">
        <v>0</v>
      </c>
      <c r="AX222" s="8">
        <v>0</v>
      </c>
      <c r="AZ222" s="8">
        <f t="shared" si="22"/>
        <v>22669707</v>
      </c>
      <c r="BB222" s="8">
        <v>4</v>
      </c>
      <c r="BH222" s="8">
        <v>0</v>
      </c>
      <c r="BJ222" s="8">
        <f t="shared" si="21"/>
        <v>22669711</v>
      </c>
      <c r="BL222" s="8">
        <f>+GenRev!AM222-GenExp!BJ222</f>
        <v>-846868</v>
      </c>
      <c r="BN222" s="8">
        <v>3259256</v>
      </c>
      <c r="BP222" s="8">
        <v>0</v>
      </c>
      <c r="BS222" s="8">
        <f t="shared" si="19"/>
        <v>2412388</v>
      </c>
      <c r="BU222" s="9">
        <f>+BS222-'Gen Fd BS'!AA222+BQ222</f>
        <v>0</v>
      </c>
    </row>
    <row r="223" spans="1:75">
      <c r="A223" s="13" t="s">
        <v>254</v>
      </c>
      <c r="B223" s="13"/>
      <c r="C223" s="13" t="s">
        <v>255</v>
      </c>
      <c r="D223" s="13"/>
      <c r="E223" s="32">
        <v>46193</v>
      </c>
      <c r="F223" s="11"/>
      <c r="G223" s="8">
        <v>7274538</v>
      </c>
      <c r="I223" s="8">
        <v>1614332</v>
      </c>
      <c r="K223" s="8">
        <v>788</v>
      </c>
      <c r="M223" s="8">
        <v>1425495</v>
      </c>
      <c r="O223" s="8">
        <v>848992</v>
      </c>
      <c r="Q223" s="8">
        <v>1223988</v>
      </c>
      <c r="S223" s="8">
        <v>94955</v>
      </c>
      <c r="U223" s="8">
        <v>1494183</v>
      </c>
      <c r="W223" s="8">
        <v>421320</v>
      </c>
      <c r="Y223" s="8">
        <v>40185</v>
      </c>
      <c r="AA223" s="8">
        <v>1406018</v>
      </c>
      <c r="AC223" s="8">
        <v>1371906</v>
      </c>
      <c r="AE223" s="8">
        <v>201392</v>
      </c>
      <c r="AG223" s="8">
        <v>0</v>
      </c>
      <c r="AI223" s="8">
        <v>0</v>
      </c>
      <c r="AJ223" s="13" t="s">
        <v>254</v>
      </c>
      <c r="AK223" s="13"/>
      <c r="AL223" s="13" t="s">
        <v>255</v>
      </c>
      <c r="AN223" s="8">
        <v>336822</v>
      </c>
      <c r="AP223" s="8">
        <v>41456</v>
      </c>
      <c r="AT223" s="8">
        <v>21000</v>
      </c>
      <c r="AV223" s="8">
        <v>13653</v>
      </c>
      <c r="AX223" s="8">
        <v>0</v>
      </c>
      <c r="AZ223" s="8">
        <f t="shared" si="22"/>
        <v>17831023</v>
      </c>
      <c r="BB223" s="8">
        <v>51000</v>
      </c>
      <c r="BH223" s="8">
        <v>0</v>
      </c>
      <c r="BJ223" s="8">
        <f t="shared" si="21"/>
        <v>17882023</v>
      </c>
      <c r="BL223" s="8">
        <f>+GenRev!AM223-GenExp!BJ223</f>
        <v>-724238</v>
      </c>
      <c r="BN223" s="8">
        <v>1060943</v>
      </c>
      <c r="BP223" s="8">
        <v>0</v>
      </c>
      <c r="BS223" s="8">
        <f t="shared" si="19"/>
        <v>336705</v>
      </c>
      <c r="BU223" s="9">
        <f>+BS223-'Gen Fd BS'!AA223+BQ223</f>
        <v>0</v>
      </c>
    </row>
    <row r="224" spans="1:75">
      <c r="A224" s="13" t="s">
        <v>220</v>
      </c>
      <c r="B224" s="13"/>
      <c r="C224" s="13" t="s">
        <v>12</v>
      </c>
      <c r="D224" s="13"/>
      <c r="E224" s="32">
        <v>45864</v>
      </c>
      <c r="G224" s="8">
        <v>6118876</v>
      </c>
      <c r="I224" s="8">
        <v>707808</v>
      </c>
      <c r="K224" s="8">
        <v>183687</v>
      </c>
      <c r="M224" s="8">
        <v>38461</v>
      </c>
      <c r="O224" s="8">
        <v>486060</v>
      </c>
      <c r="Q224" s="8">
        <v>381068</v>
      </c>
      <c r="S224" s="8">
        <v>17633</v>
      </c>
      <c r="U224" s="8">
        <v>1259436</v>
      </c>
      <c r="W224" s="8">
        <v>293559</v>
      </c>
      <c r="Y224" s="8">
        <v>28107</v>
      </c>
      <c r="AA224" s="8">
        <v>1029212</v>
      </c>
      <c r="AC224" s="8">
        <v>1280895</v>
      </c>
      <c r="AE224" s="8">
        <v>16281</v>
      </c>
      <c r="AG224" s="8">
        <v>0</v>
      </c>
      <c r="AI224" s="8">
        <v>0</v>
      </c>
      <c r="AJ224" s="13" t="s">
        <v>220</v>
      </c>
      <c r="AK224" s="13"/>
      <c r="AL224" s="13" t="s">
        <v>12</v>
      </c>
      <c r="AN224" s="8">
        <v>276947</v>
      </c>
      <c r="AP224" s="8">
        <v>0</v>
      </c>
      <c r="AT224" s="8">
        <v>0</v>
      </c>
      <c r="AV224" s="8">
        <v>0</v>
      </c>
      <c r="AX224" s="8">
        <v>0</v>
      </c>
      <c r="AZ224" s="8">
        <f t="shared" si="22"/>
        <v>12118030</v>
      </c>
      <c r="BB224" s="8">
        <v>19160</v>
      </c>
      <c r="BH224" s="8">
        <v>0</v>
      </c>
      <c r="BJ224" s="8">
        <f t="shared" si="21"/>
        <v>12137190</v>
      </c>
      <c r="BL224" s="8">
        <f>+GenRev!AM224-GenExp!BJ224</f>
        <v>-956368</v>
      </c>
      <c r="BN224" s="8">
        <v>2993792</v>
      </c>
      <c r="BP224" s="8">
        <v>0</v>
      </c>
      <c r="BS224" s="8">
        <f t="shared" si="19"/>
        <v>2037424</v>
      </c>
      <c r="BU224" s="9">
        <f>+BS224-'Gen Fd BS'!AA224+BQ224</f>
        <v>0</v>
      </c>
    </row>
    <row r="225" spans="1:75">
      <c r="A225" s="13" t="s">
        <v>357</v>
      </c>
      <c r="B225" s="13"/>
      <c r="C225" s="13" t="s">
        <v>27</v>
      </c>
      <c r="D225" s="13"/>
      <c r="E225" s="32">
        <v>44073</v>
      </c>
      <c r="G225" s="8">
        <v>7077277</v>
      </c>
      <c r="I225" s="8">
        <v>2364273</v>
      </c>
      <c r="K225" s="8">
        <v>111221</v>
      </c>
      <c r="M225" s="8">
        <v>0</v>
      </c>
      <c r="O225" s="8">
        <v>1303016</v>
      </c>
      <c r="Q225" s="8">
        <v>651780</v>
      </c>
      <c r="S225" s="8">
        <v>18566</v>
      </c>
      <c r="U225" s="8">
        <v>1036179</v>
      </c>
      <c r="W225" s="8">
        <v>491219</v>
      </c>
      <c r="Y225" s="8">
        <v>0</v>
      </c>
      <c r="AA225" s="8">
        <v>1470367</v>
      </c>
      <c r="AC225" s="8">
        <v>15674</v>
      </c>
      <c r="AE225" s="8">
        <v>54718</v>
      </c>
      <c r="AG225" s="8">
        <v>0</v>
      </c>
      <c r="AI225" s="8">
        <v>0</v>
      </c>
      <c r="AJ225" s="13" t="s">
        <v>357</v>
      </c>
      <c r="AK225" s="13"/>
      <c r="AL225" s="13" t="s">
        <v>27</v>
      </c>
      <c r="AN225" s="8">
        <v>574088</v>
      </c>
      <c r="AP225" s="8">
        <v>264527</v>
      </c>
      <c r="AT225" s="8">
        <v>127215</v>
      </c>
      <c r="AV225" s="8">
        <v>2678</v>
      </c>
      <c r="AX225" s="8">
        <v>64144</v>
      </c>
      <c r="AZ225" s="8">
        <f t="shared" ref="AZ225:AZ291" si="23">SUM(G225:AX225)</f>
        <v>15626942</v>
      </c>
      <c r="BB225" s="8">
        <v>58787</v>
      </c>
      <c r="BH225" s="8">
        <v>0</v>
      </c>
      <c r="BJ225" s="8">
        <f t="shared" ref="BJ225:BJ291" si="24">+AZ225+BB225+BD225+BH225</f>
        <v>15685729</v>
      </c>
      <c r="BL225" s="8">
        <f>+GenRev!AM225-GenExp!BJ225</f>
        <v>625769</v>
      </c>
      <c r="BN225" s="8">
        <v>7337724</v>
      </c>
      <c r="BP225" s="8">
        <v>0</v>
      </c>
      <c r="BS225" s="8">
        <f t="shared" ref="BS225:BS270" si="25">+BN225+BL225-BP225</f>
        <v>7963493</v>
      </c>
      <c r="BU225" s="9">
        <f>+BS225-'Gen Fd BS'!AA225+BQ225</f>
        <v>0</v>
      </c>
    </row>
    <row r="226" spans="1:75">
      <c r="A226" s="12" t="s">
        <v>942</v>
      </c>
      <c r="B226" s="13"/>
      <c r="C226" s="13" t="s">
        <v>42</v>
      </c>
      <c r="D226" s="13"/>
      <c r="E226" s="32">
        <v>45393</v>
      </c>
      <c r="G226" s="8">
        <v>10842477</v>
      </c>
      <c r="I226" s="8">
        <v>1749415</v>
      </c>
      <c r="K226" s="8">
        <v>156148</v>
      </c>
      <c r="M226" s="8">
        <v>0</v>
      </c>
      <c r="O226" s="8">
        <v>1476626</v>
      </c>
      <c r="Q226" s="8">
        <v>1365707</v>
      </c>
      <c r="S226" s="8">
        <v>60091</v>
      </c>
      <c r="U226" s="8">
        <v>1388981</v>
      </c>
      <c r="W226" s="8">
        <v>634007</v>
      </c>
      <c r="Y226" s="8">
        <v>116480</v>
      </c>
      <c r="AA226" s="8">
        <v>1924781</v>
      </c>
      <c r="AC226" s="8">
        <v>1524591</v>
      </c>
      <c r="AE226" s="8">
        <v>337888</v>
      </c>
      <c r="AG226" s="8">
        <v>0</v>
      </c>
      <c r="AI226" s="8">
        <v>18325</v>
      </c>
      <c r="AJ226" s="12" t="s">
        <v>942</v>
      </c>
      <c r="AK226" s="13"/>
      <c r="AL226" s="13" t="s">
        <v>42</v>
      </c>
      <c r="AN226" s="8">
        <v>555424</v>
      </c>
      <c r="AP226" s="8">
        <v>0</v>
      </c>
      <c r="AT226" s="8">
        <v>231044</v>
      </c>
      <c r="AV226" s="8">
        <v>71527</v>
      </c>
      <c r="AX226" s="8">
        <v>0</v>
      </c>
      <c r="AZ226" s="8">
        <f t="shared" si="23"/>
        <v>22453512</v>
      </c>
      <c r="BB226" s="8">
        <v>0</v>
      </c>
      <c r="BH226" s="8">
        <v>0</v>
      </c>
      <c r="BJ226" s="8">
        <f t="shared" si="24"/>
        <v>22453512</v>
      </c>
      <c r="BL226" s="8">
        <f>+GenRev!AM226-GenExp!BJ226</f>
        <v>-887822</v>
      </c>
      <c r="BN226" s="8">
        <v>6111227</v>
      </c>
      <c r="BP226" s="8">
        <v>0</v>
      </c>
      <c r="BS226" s="8">
        <f t="shared" si="25"/>
        <v>5223405</v>
      </c>
      <c r="BU226" s="9">
        <f>+BS226-'Gen Fd BS'!AA226+BQ226</f>
        <v>0</v>
      </c>
    </row>
    <row r="227" spans="1:75">
      <c r="A227" s="13" t="s">
        <v>628</v>
      </c>
      <c r="B227" s="13"/>
      <c r="C227" s="13" t="s">
        <v>59</v>
      </c>
      <c r="D227" s="13"/>
      <c r="E227" s="32">
        <v>49619</v>
      </c>
      <c r="G227" s="8">
        <v>1818507</v>
      </c>
      <c r="I227" s="8">
        <v>272155</v>
      </c>
      <c r="K227" s="8">
        <v>165465</v>
      </c>
      <c r="M227" s="8">
        <v>711522</v>
      </c>
      <c r="O227" s="8">
        <v>409867</v>
      </c>
      <c r="Q227" s="8">
        <v>200684</v>
      </c>
      <c r="S227" s="8">
        <v>30335</v>
      </c>
      <c r="U227" s="8">
        <v>498070</v>
      </c>
      <c r="W227" s="8">
        <v>224689</v>
      </c>
      <c r="Y227" s="8">
        <v>0</v>
      </c>
      <c r="AA227" s="8">
        <v>690899</v>
      </c>
      <c r="AC227" s="8">
        <v>440470</v>
      </c>
      <c r="AE227" s="8">
        <v>0</v>
      </c>
      <c r="AG227" s="8">
        <v>0</v>
      </c>
      <c r="AI227" s="8">
        <v>0</v>
      </c>
      <c r="AJ227" s="13" t="s">
        <v>628</v>
      </c>
      <c r="AK227" s="13"/>
      <c r="AL227" s="13" t="s">
        <v>59</v>
      </c>
      <c r="AN227" s="8">
        <v>55710</v>
      </c>
      <c r="AP227" s="8">
        <v>0</v>
      </c>
      <c r="AT227" s="8">
        <v>0</v>
      </c>
      <c r="AV227" s="8">
        <v>0</v>
      </c>
      <c r="AX227" s="8">
        <v>0</v>
      </c>
      <c r="AZ227" s="8">
        <f t="shared" si="23"/>
        <v>5518373</v>
      </c>
      <c r="BB227" s="8">
        <v>82508</v>
      </c>
      <c r="BH227" s="8">
        <v>0</v>
      </c>
      <c r="BJ227" s="8">
        <f t="shared" si="24"/>
        <v>5600881</v>
      </c>
      <c r="BL227" s="8">
        <f>+GenRev!AM227-GenExp!BJ227</f>
        <v>1684</v>
      </c>
      <c r="BN227" s="8">
        <v>254110</v>
      </c>
      <c r="BP227" s="8">
        <v>0</v>
      </c>
      <c r="BS227" s="8">
        <f t="shared" si="25"/>
        <v>255794</v>
      </c>
      <c r="BU227" s="9">
        <f>+BS227-'Gen Fd BS'!AA227+BQ227</f>
        <v>0</v>
      </c>
    </row>
    <row r="228" spans="1:75">
      <c r="A228" s="13" t="s">
        <v>628</v>
      </c>
      <c r="B228" s="13"/>
      <c r="C228" s="13" t="s">
        <v>63</v>
      </c>
      <c r="D228" s="13"/>
      <c r="E228" s="32">
        <v>50013</v>
      </c>
      <c r="G228" s="8">
        <v>16262525</v>
      </c>
      <c r="I228" s="8">
        <v>5091808</v>
      </c>
      <c r="K228" s="8">
        <v>157606</v>
      </c>
      <c r="M228" s="8">
        <v>1239876</v>
      </c>
      <c r="O228" s="8">
        <v>1800501</v>
      </c>
      <c r="Q228" s="8">
        <v>1365928</v>
      </c>
      <c r="S228" s="8">
        <v>41937</v>
      </c>
      <c r="U228" s="8">
        <v>2508445</v>
      </c>
      <c r="W228" s="8">
        <v>808164</v>
      </c>
      <c r="Y228" s="8">
        <v>148033</v>
      </c>
      <c r="AA228" s="8">
        <v>3293203</v>
      </c>
      <c r="AC228" s="8">
        <v>1521385</v>
      </c>
      <c r="AE228" s="8">
        <v>24163</v>
      </c>
      <c r="AG228" s="8">
        <v>0</v>
      </c>
      <c r="AI228" s="8">
        <v>0</v>
      </c>
      <c r="AJ228" s="13" t="s">
        <v>628</v>
      </c>
      <c r="AK228" s="13"/>
      <c r="AL228" s="13" t="s">
        <v>63</v>
      </c>
      <c r="AN228" s="8">
        <v>791052</v>
      </c>
      <c r="AP228" s="8">
        <v>0</v>
      </c>
      <c r="AT228" s="8">
        <v>0</v>
      </c>
      <c r="AV228" s="8">
        <v>0</v>
      </c>
      <c r="AX228" s="8">
        <v>0</v>
      </c>
      <c r="AZ228" s="8">
        <f t="shared" si="23"/>
        <v>35054626</v>
      </c>
      <c r="BB228" s="8">
        <v>120000</v>
      </c>
      <c r="BH228" s="8">
        <v>0</v>
      </c>
      <c r="BJ228" s="8">
        <f t="shared" si="24"/>
        <v>35174626</v>
      </c>
      <c r="BL228" s="8">
        <f>+GenRev!AM228-GenExp!BJ228</f>
        <v>-3024026</v>
      </c>
      <c r="BN228" s="8">
        <v>1096630</v>
      </c>
      <c r="BP228" s="8">
        <v>0</v>
      </c>
      <c r="BS228" s="8">
        <f t="shared" si="25"/>
        <v>-1927396</v>
      </c>
      <c r="BU228" s="9">
        <f>+BS228-'Gen Fd BS'!AA228+BQ228</f>
        <v>0</v>
      </c>
    </row>
    <row r="229" spans="1:75">
      <c r="A229" s="13" t="s">
        <v>628</v>
      </c>
      <c r="B229" s="13"/>
      <c r="C229" s="13" t="s">
        <v>71</v>
      </c>
      <c r="D229" s="13"/>
      <c r="E229" s="32">
        <v>50559</v>
      </c>
      <c r="G229" s="8">
        <v>4669529</v>
      </c>
      <c r="I229" s="8">
        <v>657056</v>
      </c>
      <c r="K229" s="8">
        <v>204576</v>
      </c>
      <c r="M229" s="8">
        <v>648281</v>
      </c>
      <c r="O229" s="8">
        <v>243187</v>
      </c>
      <c r="Q229" s="8">
        <v>305362</v>
      </c>
      <c r="S229" s="8">
        <v>45618</v>
      </c>
      <c r="U229" s="8">
        <v>1031656</v>
      </c>
      <c r="W229" s="8">
        <v>313167</v>
      </c>
      <c r="Y229" s="8">
        <v>464</v>
      </c>
      <c r="AA229" s="8">
        <v>854531</v>
      </c>
      <c r="AC229" s="8">
        <v>638424</v>
      </c>
      <c r="AE229" s="8">
        <v>89224</v>
      </c>
      <c r="AG229" s="8">
        <v>0</v>
      </c>
      <c r="AI229" s="8">
        <v>0</v>
      </c>
      <c r="AJ229" s="13" t="s">
        <v>628</v>
      </c>
      <c r="AK229" s="13"/>
      <c r="AL229" s="13" t="s">
        <v>71</v>
      </c>
      <c r="AN229" s="8">
        <v>295426</v>
      </c>
      <c r="AP229" s="8">
        <v>45494</v>
      </c>
      <c r="AT229" s="8">
        <v>47928</v>
      </c>
      <c r="AV229" s="8">
        <v>18948</v>
      </c>
      <c r="AX229" s="8">
        <v>0</v>
      </c>
      <c r="AZ229" s="8">
        <f t="shared" si="23"/>
        <v>10108871</v>
      </c>
      <c r="BB229" s="8">
        <v>0</v>
      </c>
      <c r="BH229" s="8">
        <v>0</v>
      </c>
      <c r="BJ229" s="8">
        <f t="shared" si="24"/>
        <v>10108871</v>
      </c>
      <c r="BL229" s="8">
        <f>+GenRev!AM229-GenExp!BJ229</f>
        <v>270446</v>
      </c>
      <c r="BN229" s="8">
        <v>-42159</v>
      </c>
      <c r="BP229" s="8">
        <v>0</v>
      </c>
      <c r="BS229" s="8">
        <f t="shared" si="25"/>
        <v>228287</v>
      </c>
      <c r="BU229" s="9">
        <f>+BS229-'Gen Fd BS'!AA229+BQ229</f>
        <v>0</v>
      </c>
    </row>
    <row r="230" spans="1:75">
      <c r="A230" s="13" t="s">
        <v>386</v>
      </c>
      <c r="B230" s="13"/>
      <c r="C230" s="13" t="s">
        <v>116</v>
      </c>
      <c r="D230" s="13"/>
      <c r="E230" s="13">
        <v>47266</v>
      </c>
      <c r="G230" s="8">
        <v>5002557</v>
      </c>
      <c r="I230" s="8">
        <v>904080</v>
      </c>
      <c r="K230" s="8">
        <v>91242</v>
      </c>
      <c r="M230" s="8">
        <v>19371</v>
      </c>
      <c r="O230" s="8">
        <v>1113149</v>
      </c>
      <c r="Q230" s="8">
        <v>438150</v>
      </c>
      <c r="S230" s="8">
        <v>78280</v>
      </c>
      <c r="U230" s="8">
        <v>1050366</v>
      </c>
      <c r="W230" s="8">
        <v>325931</v>
      </c>
      <c r="Y230" s="8">
        <v>0</v>
      </c>
      <c r="AA230" s="8">
        <v>961833</v>
      </c>
      <c r="AC230" s="8">
        <v>804423</v>
      </c>
      <c r="AE230" s="8">
        <v>0</v>
      </c>
      <c r="AG230" s="8">
        <v>0</v>
      </c>
      <c r="AI230" s="8">
        <v>5676</v>
      </c>
      <c r="AJ230" s="13" t="s">
        <v>386</v>
      </c>
      <c r="AK230" s="13"/>
      <c r="AL230" s="13" t="s">
        <v>116</v>
      </c>
      <c r="AN230" s="8">
        <v>242049</v>
      </c>
      <c r="AP230" s="8">
        <v>177606</v>
      </c>
      <c r="AT230" s="8">
        <v>0</v>
      </c>
      <c r="AV230" s="8">
        <v>0</v>
      </c>
      <c r="AX230" s="8">
        <v>0</v>
      </c>
      <c r="AZ230" s="8">
        <f t="shared" si="23"/>
        <v>11214713</v>
      </c>
      <c r="BB230" s="8">
        <v>32812</v>
      </c>
      <c r="BH230" s="8">
        <v>0</v>
      </c>
      <c r="BJ230" s="8">
        <f t="shared" si="24"/>
        <v>11247525</v>
      </c>
      <c r="BL230" s="8">
        <f>+GenRev!AM230-GenExp!BJ230</f>
        <v>1334730</v>
      </c>
      <c r="BN230" s="8">
        <v>2807034</v>
      </c>
      <c r="BP230" s="8">
        <v>0</v>
      </c>
      <c r="BS230" s="8">
        <f t="shared" si="25"/>
        <v>4141764</v>
      </c>
      <c r="BU230" s="9">
        <f>+BS230-'Gen Fd BS'!AA230+BQ230</f>
        <v>0</v>
      </c>
    </row>
    <row r="231" spans="1:75">
      <c r="A231" s="13" t="s">
        <v>437</v>
      </c>
      <c r="B231" s="13"/>
      <c r="C231" s="13" t="s">
        <v>435</v>
      </c>
      <c r="D231" s="13"/>
      <c r="E231" s="32">
        <v>45401</v>
      </c>
      <c r="F231" s="11"/>
      <c r="G231" s="8">
        <v>8178221</v>
      </c>
      <c r="I231" s="8">
        <v>1411758</v>
      </c>
      <c r="K231" s="8">
        <v>524474</v>
      </c>
      <c r="M231" s="8">
        <v>968827</v>
      </c>
      <c r="O231" s="8">
        <v>696450</v>
      </c>
      <c r="Q231" s="8">
        <v>241136</v>
      </c>
      <c r="S231" s="8">
        <v>65533</v>
      </c>
      <c r="U231" s="8">
        <v>1465489</v>
      </c>
      <c r="W231" s="8">
        <v>382805</v>
      </c>
      <c r="Y231" s="8">
        <v>0</v>
      </c>
      <c r="AA231" s="8">
        <v>1667429</v>
      </c>
      <c r="AC231" s="8">
        <v>1085582</v>
      </c>
      <c r="AE231" s="8">
        <v>2078</v>
      </c>
      <c r="AG231" s="8">
        <v>0</v>
      </c>
      <c r="AI231" s="8">
        <v>0</v>
      </c>
      <c r="AJ231" s="13" t="s">
        <v>437</v>
      </c>
      <c r="AK231" s="13"/>
      <c r="AL231" s="13" t="s">
        <v>435</v>
      </c>
      <c r="AN231" s="8">
        <v>205978</v>
      </c>
      <c r="AP231" s="8">
        <v>95018</v>
      </c>
      <c r="AT231" s="8">
        <v>20672</v>
      </c>
      <c r="AV231" s="8">
        <v>7686</v>
      </c>
      <c r="AX231" s="8">
        <v>0</v>
      </c>
      <c r="AZ231" s="8">
        <f t="shared" si="23"/>
        <v>17019136</v>
      </c>
      <c r="BB231" s="8">
        <v>192759</v>
      </c>
      <c r="BH231" s="8">
        <v>0</v>
      </c>
      <c r="BJ231" s="8">
        <f t="shared" si="24"/>
        <v>17211895</v>
      </c>
      <c r="BL231" s="8">
        <f>+GenRev!AM231-GenExp!BJ231</f>
        <v>1028765</v>
      </c>
      <c r="BN231" s="8">
        <v>2851131</v>
      </c>
      <c r="BP231" s="8">
        <v>0</v>
      </c>
      <c r="BS231" s="8">
        <f t="shared" si="25"/>
        <v>3879896</v>
      </c>
      <c r="BU231" s="9">
        <f>+BS231-'Gen Fd BS'!AA231+BQ231</f>
        <v>0</v>
      </c>
    </row>
    <row r="232" spans="1:75">
      <c r="A232" s="13" t="s">
        <v>261</v>
      </c>
      <c r="B232" s="13"/>
      <c r="C232" s="13" t="s">
        <v>17</v>
      </c>
      <c r="D232" s="13"/>
      <c r="E232" s="32">
        <v>46235</v>
      </c>
      <c r="G232" s="8">
        <v>7080183</v>
      </c>
      <c r="I232" s="8">
        <v>948808</v>
      </c>
      <c r="K232" s="8">
        <v>514624</v>
      </c>
      <c r="M232" s="8">
        <v>412634</v>
      </c>
      <c r="O232" s="8">
        <v>591575</v>
      </c>
      <c r="Q232" s="8">
        <v>364726</v>
      </c>
      <c r="S232" s="8">
        <v>118921</v>
      </c>
      <c r="U232" s="8">
        <v>1574877</v>
      </c>
      <c r="W232" s="8">
        <v>494925</v>
      </c>
      <c r="Y232" s="8">
        <v>9186</v>
      </c>
      <c r="AA232" s="8">
        <v>1399409</v>
      </c>
      <c r="AC232" s="8">
        <v>1126209</v>
      </c>
      <c r="AE232" s="8">
        <v>91180</v>
      </c>
      <c r="AG232" s="8">
        <v>0</v>
      </c>
      <c r="AI232" s="8">
        <v>0</v>
      </c>
      <c r="AJ232" s="13" t="s">
        <v>261</v>
      </c>
      <c r="AK232" s="13"/>
      <c r="AL232" s="13" t="s">
        <v>17</v>
      </c>
      <c r="AN232" s="8">
        <v>297717</v>
      </c>
      <c r="AP232" s="8">
        <v>0</v>
      </c>
      <c r="AT232" s="8">
        <v>23295</v>
      </c>
      <c r="AV232" s="8">
        <v>3737</v>
      </c>
      <c r="AX232" s="8">
        <v>0</v>
      </c>
      <c r="AZ232" s="8">
        <f t="shared" si="23"/>
        <v>15052006</v>
      </c>
      <c r="BB232" s="8">
        <v>0</v>
      </c>
      <c r="BH232" s="8">
        <v>0</v>
      </c>
      <c r="BJ232" s="8">
        <f t="shared" si="24"/>
        <v>15052006</v>
      </c>
      <c r="BL232" s="8">
        <f>+GenRev!AM232-GenExp!BJ232</f>
        <v>82086</v>
      </c>
      <c r="BN232" s="8">
        <v>1994478</v>
      </c>
      <c r="BP232" s="8">
        <v>0</v>
      </c>
      <c r="BS232" s="8">
        <f t="shared" si="25"/>
        <v>2076564</v>
      </c>
      <c r="BU232" s="9">
        <f>+BS232-'Gen Fd BS'!AA232+BQ232</f>
        <v>0</v>
      </c>
    </row>
    <row r="233" spans="1:75">
      <c r="A233" s="13" t="s">
        <v>327</v>
      </c>
      <c r="B233" s="13"/>
      <c r="C233" s="13" t="s">
        <v>21</v>
      </c>
      <c r="D233" s="13"/>
      <c r="E233" s="32">
        <v>44099</v>
      </c>
      <c r="G233" s="8">
        <v>12075874</v>
      </c>
      <c r="I233" s="8">
        <v>2813235</v>
      </c>
      <c r="K233" s="8">
        <v>2006401</v>
      </c>
      <c r="M233" s="8">
        <v>77921</v>
      </c>
      <c r="O233" s="8">
        <v>1229401</v>
      </c>
      <c r="Q233" s="8">
        <v>974383</v>
      </c>
      <c r="S233" s="8">
        <v>124265</v>
      </c>
      <c r="U233" s="8">
        <v>1882567</v>
      </c>
      <c r="W233" s="8">
        <v>718324</v>
      </c>
      <c r="Y233" s="8">
        <v>4376</v>
      </c>
      <c r="AA233" s="8">
        <v>1650248</v>
      </c>
      <c r="AC233" s="8">
        <v>1043706</v>
      </c>
      <c r="AE233" s="8">
        <v>171073</v>
      </c>
      <c r="AG233" s="8">
        <v>0</v>
      </c>
      <c r="AI233" s="8">
        <v>0</v>
      </c>
      <c r="AJ233" s="13" t="s">
        <v>327</v>
      </c>
      <c r="AK233" s="13"/>
      <c r="AL233" s="13" t="s">
        <v>21</v>
      </c>
      <c r="AN233" s="8">
        <v>361685</v>
      </c>
      <c r="AP233" s="8">
        <v>9014</v>
      </c>
      <c r="AT233" s="8">
        <v>0</v>
      </c>
      <c r="AV233" s="8">
        <v>0</v>
      </c>
      <c r="AX233" s="8">
        <v>0</v>
      </c>
      <c r="AZ233" s="8">
        <f t="shared" si="23"/>
        <v>25142473</v>
      </c>
      <c r="BB233" s="8">
        <f>183962</f>
        <v>183962</v>
      </c>
      <c r="BH233" s="8">
        <v>0</v>
      </c>
      <c r="BJ233" s="8">
        <f t="shared" si="24"/>
        <v>25326435</v>
      </c>
      <c r="BL233" s="8">
        <f>+GenRev!AM233-GenExp!BJ233</f>
        <v>104622</v>
      </c>
      <c r="BN233" s="8">
        <v>3463302</v>
      </c>
      <c r="BP233" s="8">
        <v>0</v>
      </c>
      <c r="BS233" s="8">
        <f t="shared" si="25"/>
        <v>3567924</v>
      </c>
      <c r="BU233" s="9">
        <f>+BS233-'Gen Fd BS'!AA236+BQ233</f>
        <v>0</v>
      </c>
    </row>
    <row r="234" spans="1:75">
      <c r="A234" s="13" t="s">
        <v>358</v>
      </c>
      <c r="B234" s="13"/>
      <c r="C234" s="13" t="s">
        <v>27</v>
      </c>
      <c r="D234" s="13"/>
      <c r="E234" s="32">
        <v>46979</v>
      </c>
      <c r="G234" s="8">
        <v>28505313</v>
      </c>
      <c r="I234" s="8">
        <v>7972128</v>
      </c>
      <c r="K234" s="8">
        <v>262310</v>
      </c>
      <c r="M234" s="8">
        <v>174706</v>
      </c>
      <c r="O234" s="8">
        <v>2753517</v>
      </c>
      <c r="Q234" s="8">
        <v>1176398</v>
      </c>
      <c r="S234" s="8">
        <v>1258989</v>
      </c>
      <c r="U234" s="8">
        <v>3411206</v>
      </c>
      <c r="W234" s="8">
        <v>1043915</v>
      </c>
      <c r="Y234" s="8">
        <v>182247</v>
      </c>
      <c r="AA234" s="8">
        <v>4524674</v>
      </c>
      <c r="AC234" s="8">
        <v>3835472</v>
      </c>
      <c r="AE234" s="8">
        <v>532071</v>
      </c>
      <c r="AG234" s="8">
        <v>0</v>
      </c>
      <c r="AI234" s="8">
        <v>185651</v>
      </c>
      <c r="AJ234" s="13" t="s">
        <v>358</v>
      </c>
      <c r="AK234" s="13"/>
      <c r="AL234" s="13" t="s">
        <v>27</v>
      </c>
      <c r="AN234" s="8">
        <v>531336</v>
      </c>
      <c r="AP234" s="8">
        <v>0</v>
      </c>
      <c r="AT234" s="8">
        <v>0</v>
      </c>
      <c r="AV234" s="8">
        <v>0</v>
      </c>
      <c r="AX234" s="8">
        <v>0</v>
      </c>
      <c r="AZ234" s="8">
        <f t="shared" si="23"/>
        <v>56349933</v>
      </c>
      <c r="BB234" s="8">
        <v>27962</v>
      </c>
      <c r="BH234" s="8">
        <v>0</v>
      </c>
      <c r="BJ234" s="8">
        <f t="shared" si="24"/>
        <v>56377895</v>
      </c>
      <c r="BL234" s="8">
        <f>+GenRev!AM234-GenExp!BJ234</f>
        <v>1322781</v>
      </c>
      <c r="BN234" s="8">
        <v>958342</v>
      </c>
      <c r="BP234" s="8">
        <v>0</v>
      </c>
      <c r="BS234" s="8">
        <f t="shared" si="25"/>
        <v>2281123</v>
      </c>
      <c r="BU234" s="9">
        <f>+BS234-'Gen Fd BS'!AA237+BQ234</f>
        <v>0</v>
      </c>
      <c r="BW234" s="15" t="s">
        <v>905</v>
      </c>
    </row>
    <row r="235" spans="1:75">
      <c r="A235" s="13" t="s">
        <v>244</v>
      </c>
      <c r="B235" s="13"/>
      <c r="C235" s="13" t="s">
        <v>242</v>
      </c>
      <c r="D235" s="13"/>
      <c r="E235" s="32">
        <v>44107</v>
      </c>
      <c r="G235" s="8">
        <v>31357769</v>
      </c>
      <c r="I235" s="8">
        <v>8057029</v>
      </c>
      <c r="K235" s="8">
        <v>1475196</v>
      </c>
      <c r="M235" s="8">
        <v>0</v>
      </c>
      <c r="O235" s="8">
        <v>4903890</v>
      </c>
      <c r="Q235" s="8">
        <v>2882666</v>
      </c>
      <c r="S235" s="8">
        <v>365736</v>
      </c>
      <c r="U235" s="8">
        <v>4607846</v>
      </c>
      <c r="W235" s="8">
        <v>993110</v>
      </c>
      <c r="Y235" s="8">
        <v>350784</v>
      </c>
      <c r="AA235" s="8">
        <v>7248162</v>
      </c>
      <c r="AC235" s="8">
        <v>2569797</v>
      </c>
      <c r="AE235" s="8">
        <v>746461</v>
      </c>
      <c r="AG235" s="8">
        <v>364</v>
      </c>
      <c r="AI235" s="8">
        <v>0</v>
      </c>
      <c r="AJ235" s="13" t="s">
        <v>244</v>
      </c>
      <c r="AK235" s="13"/>
      <c r="AL235" s="13" t="s">
        <v>242</v>
      </c>
      <c r="AN235" s="8">
        <v>781754</v>
      </c>
      <c r="AP235" s="8">
        <v>10900</v>
      </c>
      <c r="AT235" s="8">
        <v>150900</v>
      </c>
      <c r="AV235" s="8">
        <v>0</v>
      </c>
      <c r="AX235" s="8">
        <v>0</v>
      </c>
      <c r="AZ235" s="8">
        <f t="shared" si="23"/>
        <v>66502364</v>
      </c>
      <c r="BB235" s="8">
        <v>230000</v>
      </c>
      <c r="BH235" s="8">
        <f>13572</f>
        <v>13572</v>
      </c>
      <c r="BJ235" s="8">
        <f t="shared" si="24"/>
        <v>66745936</v>
      </c>
      <c r="BL235" s="8">
        <f>+GenRev!AM235-GenExp!BJ235</f>
        <v>786821</v>
      </c>
      <c r="BN235" s="8">
        <v>-5104143</v>
      </c>
      <c r="BP235" s="8">
        <v>0</v>
      </c>
      <c r="BS235" s="8">
        <f t="shared" si="25"/>
        <v>-4317322</v>
      </c>
      <c r="BU235" s="9">
        <f>+BS235-'Gen Fd BS'!AA238+BQ235</f>
        <v>0</v>
      </c>
    </row>
    <row r="236" spans="1:75">
      <c r="A236" s="12" t="s">
        <v>981</v>
      </c>
      <c r="B236" s="13"/>
      <c r="C236" s="13" t="s">
        <v>27</v>
      </c>
      <c r="D236" s="13"/>
      <c r="E236" s="32">
        <v>46953</v>
      </c>
      <c r="G236" s="8">
        <v>9071738</v>
      </c>
      <c r="I236" s="8">
        <v>1315490</v>
      </c>
      <c r="K236" s="8">
        <v>232793</v>
      </c>
      <c r="M236" s="8">
        <v>1695566</v>
      </c>
      <c r="O236" s="8">
        <v>1546262</v>
      </c>
      <c r="Q236" s="8">
        <v>339326</v>
      </c>
      <c r="S236" s="8">
        <v>13502</v>
      </c>
      <c r="U236" s="8">
        <v>1882506</v>
      </c>
      <c r="W236" s="8">
        <v>1216350</v>
      </c>
      <c r="Y236" s="8">
        <v>0</v>
      </c>
      <c r="AA236" s="8">
        <v>2679702</v>
      </c>
      <c r="AC236" s="8">
        <v>863212</v>
      </c>
      <c r="AE236" s="8">
        <v>39377</v>
      </c>
      <c r="AG236" s="8">
        <v>0</v>
      </c>
      <c r="AI236" s="8">
        <v>889</v>
      </c>
      <c r="AJ236" s="13" t="s">
        <v>359</v>
      </c>
      <c r="AK236" s="13"/>
      <c r="AL236" s="13" t="s">
        <v>27</v>
      </c>
      <c r="AN236" s="8">
        <v>511495</v>
      </c>
      <c r="AP236" s="8">
        <v>0</v>
      </c>
      <c r="AT236" s="8">
        <v>0</v>
      </c>
      <c r="AV236" s="8">
        <v>0</v>
      </c>
      <c r="AX236" s="8">
        <v>0</v>
      </c>
      <c r="AZ236" s="8">
        <f t="shared" si="23"/>
        <v>21408208</v>
      </c>
      <c r="BB236" s="8">
        <v>176751</v>
      </c>
      <c r="BH236" s="8">
        <v>0</v>
      </c>
      <c r="BJ236" s="8">
        <f t="shared" si="24"/>
        <v>21584959</v>
      </c>
      <c r="BL236" s="8">
        <f>+GenRev!AM236-GenExp!BJ236</f>
        <v>965245</v>
      </c>
      <c r="BN236" s="8">
        <v>4316972</v>
      </c>
      <c r="BP236" s="8">
        <v>0</v>
      </c>
      <c r="BS236" s="8">
        <f t="shared" si="25"/>
        <v>5282217</v>
      </c>
      <c r="BU236" s="9">
        <f>+BS236-'Gen Fd BS'!AA239+BQ236</f>
        <v>0</v>
      </c>
    </row>
    <row r="237" spans="1:75" ht="12.75">
      <c r="A237" s="13" t="s">
        <v>422</v>
      </c>
      <c r="B237" s="13"/>
      <c r="C237" s="13" t="s">
        <v>421</v>
      </c>
      <c r="D237" s="13"/>
      <c r="E237" s="32">
        <v>47498</v>
      </c>
      <c r="G237" s="8">
        <v>2304583</v>
      </c>
      <c r="I237" s="8">
        <v>294428</v>
      </c>
      <c r="K237" s="8">
        <v>212018</v>
      </c>
      <c r="M237" s="8">
        <v>0</v>
      </c>
      <c r="O237" s="8">
        <v>152058</v>
      </c>
      <c r="Q237" s="8">
        <v>97418</v>
      </c>
      <c r="S237" s="8">
        <v>81003</v>
      </c>
      <c r="U237" s="8">
        <v>435708</v>
      </c>
      <c r="W237" s="8">
        <v>215133</v>
      </c>
      <c r="Y237" s="8">
        <v>0</v>
      </c>
      <c r="AA237" s="8">
        <v>292486</v>
      </c>
      <c r="AC237" s="8">
        <v>216850</v>
      </c>
      <c r="AE237" s="8">
        <v>963</v>
      </c>
      <c r="AG237" s="8">
        <v>0</v>
      </c>
      <c r="AI237" s="8">
        <v>4700</v>
      </c>
      <c r="AJ237" s="13" t="s">
        <v>422</v>
      </c>
      <c r="AK237" s="13"/>
      <c r="AL237" s="13" t="s">
        <v>421</v>
      </c>
      <c r="AN237" s="8">
        <v>121059</v>
      </c>
      <c r="AP237" s="8">
        <v>0</v>
      </c>
      <c r="AT237" s="8">
        <v>0</v>
      </c>
      <c r="AV237" s="8">
        <v>0</v>
      </c>
      <c r="AX237" s="8">
        <v>0</v>
      </c>
      <c r="AZ237" s="8">
        <f t="shared" si="23"/>
        <v>4428407</v>
      </c>
      <c r="BB237" s="8">
        <v>2000</v>
      </c>
      <c r="BC237" s="122"/>
      <c r="BH237" s="8">
        <v>0</v>
      </c>
      <c r="BJ237" s="8">
        <f t="shared" si="24"/>
        <v>4430407</v>
      </c>
      <c r="BL237" s="8">
        <f>+GenRev!AM237-GenExp!BJ237</f>
        <v>121867</v>
      </c>
      <c r="BN237" s="8">
        <v>1930117</v>
      </c>
      <c r="BP237" s="8">
        <v>0</v>
      </c>
      <c r="BS237" s="8">
        <f t="shared" si="25"/>
        <v>2051984</v>
      </c>
      <c r="BU237" s="9">
        <f>+BS237-'Gen Fd BS'!AA240+BQ237</f>
        <v>0</v>
      </c>
    </row>
    <row r="238" spans="1:75">
      <c r="A238" s="13" t="s">
        <v>645</v>
      </c>
      <c r="B238" s="13"/>
      <c r="C238" s="13" t="s">
        <v>61</v>
      </c>
      <c r="D238" s="13"/>
      <c r="E238" s="32">
        <v>49791</v>
      </c>
      <c r="G238" s="8">
        <v>4054914</v>
      </c>
      <c r="I238" s="8">
        <v>939915</v>
      </c>
      <c r="K238" s="8">
        <v>98782</v>
      </c>
      <c r="M238" s="8">
        <f>16710+47871</f>
        <v>64581</v>
      </c>
      <c r="O238" s="8">
        <v>156730</v>
      </c>
      <c r="Q238" s="8">
        <v>368738</v>
      </c>
      <c r="S238" s="8">
        <v>12376</v>
      </c>
      <c r="U238" s="8">
        <v>539405</v>
      </c>
      <c r="W238" s="8">
        <v>243965</v>
      </c>
      <c r="Y238" s="8">
        <v>1712</v>
      </c>
      <c r="AA238" s="8">
        <v>575371</v>
      </c>
      <c r="AC238" s="8">
        <v>502054</v>
      </c>
      <c r="AE238" s="8">
        <v>11835</v>
      </c>
      <c r="AG238" s="8">
        <v>0</v>
      </c>
      <c r="AI238" s="8">
        <v>0</v>
      </c>
      <c r="AJ238" s="13" t="s">
        <v>645</v>
      </c>
      <c r="AK238" s="13"/>
      <c r="AL238" s="13" t="s">
        <v>61</v>
      </c>
      <c r="AN238" s="8">
        <v>147179</v>
      </c>
      <c r="AP238" s="8">
        <v>7547</v>
      </c>
      <c r="AT238" s="8">
        <v>15507</v>
      </c>
      <c r="AV238" s="8">
        <v>4863</v>
      </c>
      <c r="AX238" s="8">
        <v>0</v>
      </c>
      <c r="AZ238" s="8">
        <f t="shared" si="23"/>
        <v>7745474</v>
      </c>
      <c r="BB238" s="8">
        <v>0</v>
      </c>
      <c r="BH238" s="8">
        <v>0</v>
      </c>
      <c r="BJ238" s="8">
        <f t="shared" si="24"/>
        <v>7745474</v>
      </c>
      <c r="BL238" s="8">
        <f>+GenRev!AM238-GenExp!BJ238</f>
        <v>-196927</v>
      </c>
      <c r="BN238" s="8">
        <v>1555854</v>
      </c>
      <c r="BP238" s="8">
        <v>0</v>
      </c>
      <c r="BS238" s="8">
        <f t="shared" si="25"/>
        <v>1358927</v>
      </c>
      <c r="BU238" s="9">
        <f>+BS238-'Gen Fd BS'!AA241+BQ238</f>
        <v>0</v>
      </c>
    </row>
    <row r="239" spans="1:75">
      <c r="A239" s="13" t="s">
        <v>429</v>
      </c>
      <c r="B239" s="13"/>
      <c r="C239" s="13" t="s">
        <v>428</v>
      </c>
      <c r="D239" s="13"/>
      <c r="E239" s="32">
        <v>45245</v>
      </c>
      <c r="G239" s="8">
        <v>8190369</v>
      </c>
      <c r="I239" s="8">
        <v>1608650</v>
      </c>
      <c r="K239" s="8">
        <v>380557</v>
      </c>
      <c r="M239" s="8">
        <v>50731</v>
      </c>
      <c r="O239" s="8">
        <v>726740</v>
      </c>
      <c r="Q239" s="8">
        <v>376707</v>
      </c>
      <c r="S239" s="8">
        <v>210508</v>
      </c>
      <c r="U239" s="8">
        <v>1302306</v>
      </c>
      <c r="W239" s="8">
        <v>516838</v>
      </c>
      <c r="Y239" s="8">
        <v>0</v>
      </c>
      <c r="AA239" s="8">
        <v>1303057</v>
      </c>
      <c r="AC239" s="8">
        <v>1351900</v>
      </c>
      <c r="AE239" s="8">
        <v>279559</v>
      </c>
      <c r="AG239" s="8">
        <v>0</v>
      </c>
      <c r="AI239" s="8">
        <v>44885</v>
      </c>
      <c r="AJ239" s="13" t="s">
        <v>429</v>
      </c>
      <c r="AK239" s="13"/>
      <c r="AL239" s="13" t="s">
        <v>428</v>
      </c>
      <c r="AN239" s="8">
        <v>145424</v>
      </c>
      <c r="AP239" s="8">
        <v>512127</v>
      </c>
      <c r="AT239" s="8">
        <v>41084</v>
      </c>
      <c r="AV239" s="8">
        <v>1510</v>
      </c>
      <c r="AX239" s="8">
        <v>0</v>
      </c>
      <c r="AZ239" s="8">
        <f t="shared" si="23"/>
        <v>17042952</v>
      </c>
      <c r="BB239" s="8">
        <v>0</v>
      </c>
      <c r="BH239" s="8">
        <v>0</v>
      </c>
      <c r="BJ239" s="8">
        <f t="shared" si="24"/>
        <v>17042952</v>
      </c>
      <c r="BL239" s="8">
        <f>+GenRev!AM239-GenExp!BJ239</f>
        <v>-1198339</v>
      </c>
      <c r="BN239" s="8">
        <v>3386047</v>
      </c>
      <c r="BP239" s="8">
        <v>-8018</v>
      </c>
      <c r="BS239" s="8">
        <f t="shared" si="25"/>
        <v>2195726</v>
      </c>
      <c r="BU239" s="9">
        <f>+BS239-'Gen Fd BS'!AA242+BQ239</f>
        <v>0</v>
      </c>
    </row>
    <row r="240" spans="1:75">
      <c r="A240" s="13" t="s">
        <v>473</v>
      </c>
      <c r="B240" s="13"/>
      <c r="C240" s="13" t="s">
        <v>42</v>
      </c>
      <c r="D240" s="13"/>
      <c r="E240" s="32">
        <v>44115</v>
      </c>
      <c r="G240" s="8">
        <v>8244336</v>
      </c>
      <c r="I240" s="8">
        <v>0</v>
      </c>
      <c r="K240" s="8">
        <v>0</v>
      </c>
      <c r="M240" s="8">
        <v>0</v>
      </c>
      <c r="O240" s="8">
        <v>630640</v>
      </c>
      <c r="Q240" s="8">
        <v>271017</v>
      </c>
      <c r="S240" s="8">
        <v>12061</v>
      </c>
      <c r="U240" s="8">
        <v>1273230</v>
      </c>
      <c r="W240" s="8">
        <v>477616</v>
      </c>
      <c r="Y240" s="8">
        <v>17636</v>
      </c>
      <c r="AA240" s="8">
        <v>1250717</v>
      </c>
      <c r="AC240" s="8">
        <v>513898</v>
      </c>
      <c r="AE240" s="8">
        <v>209066</v>
      </c>
      <c r="AG240" s="8">
        <v>3335</v>
      </c>
      <c r="AI240" s="8">
        <v>0</v>
      </c>
      <c r="AJ240" s="13" t="s">
        <v>473</v>
      </c>
      <c r="AK240" s="13"/>
      <c r="AL240" s="13" t="s">
        <v>42</v>
      </c>
      <c r="AN240" s="8">
        <v>345604</v>
      </c>
      <c r="AP240" s="8">
        <v>328968</v>
      </c>
      <c r="AT240" s="8">
        <v>72884</v>
      </c>
      <c r="AV240" s="8">
        <v>11454</v>
      </c>
      <c r="AX240" s="8">
        <v>0</v>
      </c>
      <c r="AZ240" s="8">
        <f t="shared" si="23"/>
        <v>13662462</v>
      </c>
      <c r="BB240" s="8">
        <v>20000</v>
      </c>
      <c r="BH240" s="8">
        <v>0</v>
      </c>
      <c r="BJ240" s="8">
        <f t="shared" si="24"/>
        <v>13682462</v>
      </c>
      <c r="BL240" s="8">
        <f>+GenRev!AM240-GenExp!BJ240</f>
        <v>1260969</v>
      </c>
      <c r="BN240" s="8">
        <v>1837695</v>
      </c>
      <c r="BP240" s="8">
        <v>0</v>
      </c>
      <c r="BS240" s="8">
        <f t="shared" si="25"/>
        <v>3098664</v>
      </c>
      <c r="BU240" s="9">
        <f>+BS240-'Gen Fd BS'!AA243+BQ240</f>
        <v>0</v>
      </c>
    </row>
    <row r="241" spans="1:75" hidden="1">
      <c r="A241" s="12" t="s">
        <v>945</v>
      </c>
      <c r="B241" s="13"/>
      <c r="C241" s="13" t="s">
        <v>22</v>
      </c>
      <c r="D241" s="13"/>
      <c r="E241" s="32">
        <v>45419</v>
      </c>
      <c r="G241" s="8">
        <v>3628646</v>
      </c>
      <c r="I241" s="8">
        <v>870090</v>
      </c>
      <c r="K241" s="8">
        <v>186856</v>
      </c>
      <c r="O241" s="8">
        <v>357531</v>
      </c>
      <c r="Q241" s="8">
        <v>348688</v>
      </c>
      <c r="S241" s="8">
        <v>33386</v>
      </c>
      <c r="U241" s="8">
        <v>733624</v>
      </c>
      <c r="W241" s="8">
        <v>236098</v>
      </c>
      <c r="AA241" s="8">
        <v>633015</v>
      </c>
      <c r="AC241" s="8">
        <v>243396</v>
      </c>
      <c r="AE241" s="8">
        <v>26901</v>
      </c>
      <c r="AI241" s="8">
        <v>12122</v>
      </c>
      <c r="AJ241" s="13" t="s">
        <v>946</v>
      </c>
      <c r="AK241" s="13"/>
      <c r="AL241" s="13" t="s">
        <v>22</v>
      </c>
      <c r="AN241" s="8">
        <v>227409</v>
      </c>
      <c r="AP241" s="8">
        <v>2900</v>
      </c>
      <c r="AZ241" s="8">
        <f t="shared" si="23"/>
        <v>7540662</v>
      </c>
      <c r="BB241" s="8">
        <v>11240</v>
      </c>
      <c r="BH241" s="8">
        <v>0</v>
      </c>
      <c r="BJ241" s="8">
        <f t="shared" si="24"/>
        <v>7551902</v>
      </c>
      <c r="BL241" s="8">
        <f>+GenRev!AM241-GenExp!BJ241</f>
        <v>464963</v>
      </c>
      <c r="BN241" s="8">
        <v>3113471</v>
      </c>
      <c r="BS241" s="8">
        <f t="shared" si="25"/>
        <v>3578434</v>
      </c>
      <c r="BU241" s="9">
        <f>+BS241-'Gen Fd BS'!AA244+BQ241</f>
        <v>-94564</v>
      </c>
    </row>
    <row r="242" spans="1:75">
      <c r="A242" s="13" t="s">
        <v>528</v>
      </c>
      <c r="B242" s="13"/>
      <c r="C242" s="13" t="s">
        <v>47</v>
      </c>
      <c r="D242" s="13"/>
      <c r="E242" s="32">
        <v>48496</v>
      </c>
      <c r="G242" s="8">
        <v>11691507</v>
      </c>
      <c r="I242" s="8">
        <v>2657208</v>
      </c>
      <c r="K242" s="8">
        <v>293248</v>
      </c>
      <c r="M242" s="8">
        <v>265997</v>
      </c>
      <c r="O242" s="8">
        <v>1394877</v>
      </c>
      <c r="Q242" s="8">
        <v>1229179</v>
      </c>
      <c r="S242" s="8">
        <v>33633</v>
      </c>
      <c r="U242" s="8">
        <v>2030126</v>
      </c>
      <c r="W242" s="8">
        <v>564982</v>
      </c>
      <c r="Y242" s="8">
        <v>50472</v>
      </c>
      <c r="AA242" s="8">
        <v>3049780</v>
      </c>
      <c r="AC242" s="8">
        <v>1572186</v>
      </c>
      <c r="AE242" s="8">
        <v>186871</v>
      </c>
      <c r="AG242" s="8">
        <v>219</v>
      </c>
      <c r="AI242" s="8">
        <v>0</v>
      </c>
      <c r="AJ242" s="13" t="s">
        <v>528</v>
      </c>
      <c r="AK242" s="13"/>
      <c r="AL242" s="13" t="s">
        <v>47</v>
      </c>
      <c r="AN242" s="8">
        <v>808883</v>
      </c>
      <c r="AP242" s="8">
        <v>143460</v>
      </c>
      <c r="AT242" s="8">
        <v>39562</v>
      </c>
      <c r="AV242" s="8">
        <v>7602</v>
      </c>
      <c r="AX242" s="8">
        <v>0</v>
      </c>
      <c r="AZ242" s="8">
        <f t="shared" si="23"/>
        <v>26019792</v>
      </c>
      <c r="BB242" s="8">
        <v>13100</v>
      </c>
      <c r="BH242" s="8">
        <v>0</v>
      </c>
      <c r="BJ242" s="8">
        <f t="shared" si="24"/>
        <v>26032892</v>
      </c>
      <c r="BL242" s="8">
        <f>+GenRev!AM242-GenExp!BJ242</f>
        <v>-1390067</v>
      </c>
      <c r="BN242" s="8">
        <v>8796425</v>
      </c>
      <c r="BP242" s="8">
        <v>0</v>
      </c>
      <c r="BS242" s="8">
        <f t="shared" si="25"/>
        <v>7406358</v>
      </c>
      <c r="BU242" s="9">
        <f>+BS242-'Gen Fd BS'!AA245+BQ242</f>
        <v>0</v>
      </c>
    </row>
    <row r="243" spans="1:75">
      <c r="A243" s="13" t="s">
        <v>528</v>
      </c>
      <c r="B243" s="13"/>
      <c r="C243" s="13" t="s">
        <v>78</v>
      </c>
      <c r="D243" s="13"/>
      <c r="E243" s="32">
        <v>48801</v>
      </c>
      <c r="G243" s="8">
        <v>6385622</v>
      </c>
      <c r="I243" s="8">
        <v>1760502</v>
      </c>
      <c r="K243" s="8">
        <v>139818</v>
      </c>
      <c r="M243" s="8">
        <v>0</v>
      </c>
      <c r="O243" s="8">
        <v>483740</v>
      </c>
      <c r="Q243" s="8">
        <v>704615</v>
      </c>
      <c r="S243" s="8">
        <v>210506</v>
      </c>
      <c r="U243" s="8">
        <v>1103065</v>
      </c>
      <c r="W243" s="8">
        <v>340084</v>
      </c>
      <c r="Y243" s="8">
        <v>0</v>
      </c>
      <c r="AA243" s="8">
        <v>1238388</v>
      </c>
      <c r="AC243" s="8">
        <v>1249521</v>
      </c>
      <c r="AE243" s="8">
        <v>0</v>
      </c>
      <c r="AG243" s="8">
        <v>0</v>
      </c>
      <c r="AI243" s="8">
        <v>0</v>
      </c>
      <c r="AJ243" s="13" t="s">
        <v>528</v>
      </c>
      <c r="AK243" s="13"/>
      <c r="AL243" s="13" t="s">
        <v>78</v>
      </c>
      <c r="AN243" s="8">
        <v>195192</v>
      </c>
      <c r="AP243" s="8">
        <v>570859</v>
      </c>
      <c r="AT243" s="8">
        <v>14559</v>
      </c>
      <c r="AV243" s="8">
        <v>3549</v>
      </c>
      <c r="AX243" s="8">
        <v>0</v>
      </c>
      <c r="AZ243" s="8">
        <f t="shared" si="23"/>
        <v>14400020</v>
      </c>
      <c r="BB243" s="8">
        <v>0</v>
      </c>
      <c r="BH243" s="8">
        <v>0</v>
      </c>
      <c r="BJ243" s="8">
        <f t="shared" si="24"/>
        <v>14400020</v>
      </c>
      <c r="BL243" s="8">
        <f>+GenRev!AM243-GenExp!BJ243</f>
        <v>-1170203</v>
      </c>
      <c r="BN243" s="8">
        <v>3914448</v>
      </c>
      <c r="BP243" s="8">
        <v>0</v>
      </c>
      <c r="BS243" s="8">
        <f t="shared" si="25"/>
        <v>2744245</v>
      </c>
      <c r="BU243" s="9">
        <f>+BS243-'Gen Fd BS'!AA246+BQ243</f>
        <v>0</v>
      </c>
    </row>
    <row r="244" spans="1:75">
      <c r="A244" s="13" t="s">
        <v>360</v>
      </c>
      <c r="B244" s="13"/>
      <c r="C244" s="13" t="s">
        <v>27</v>
      </c>
      <c r="D244" s="13"/>
      <c r="E244" s="32">
        <v>47019</v>
      </c>
      <c r="F244" s="11"/>
      <c r="G244" s="8">
        <v>79304370</v>
      </c>
      <c r="I244" s="8">
        <v>13232023</v>
      </c>
      <c r="K244" s="8">
        <v>1010225</v>
      </c>
      <c r="M244" s="8">
        <v>0</v>
      </c>
      <c r="O244" s="8">
        <v>9455731</v>
      </c>
      <c r="Q244" s="8">
        <v>9075268</v>
      </c>
      <c r="S244" s="8">
        <v>296409</v>
      </c>
      <c r="U244" s="8">
        <v>9456725</v>
      </c>
      <c r="W244" s="8">
        <v>3676881</v>
      </c>
      <c r="Y244" s="8">
        <v>911239</v>
      </c>
      <c r="AA244" s="8">
        <v>12691927</v>
      </c>
      <c r="AC244" s="8">
        <v>7032047</v>
      </c>
      <c r="AE244" s="8">
        <v>502765</v>
      </c>
      <c r="AG244" s="8">
        <v>0</v>
      </c>
      <c r="AI244" s="8">
        <v>0</v>
      </c>
      <c r="AJ244" s="13" t="s">
        <v>360</v>
      </c>
      <c r="AK244" s="13"/>
      <c r="AL244" s="13" t="s">
        <v>27</v>
      </c>
      <c r="AN244" s="8">
        <v>2972966</v>
      </c>
      <c r="AP244" s="8">
        <f>117800+61200+90688</f>
        <v>269688</v>
      </c>
      <c r="AT244" s="8">
        <v>463522</v>
      </c>
      <c r="AV244" s="8">
        <v>51481</v>
      </c>
      <c r="AX244" s="8">
        <v>74173</v>
      </c>
      <c r="AZ244" s="8">
        <f t="shared" si="23"/>
        <v>150477440</v>
      </c>
      <c r="BB244" s="8">
        <v>0</v>
      </c>
      <c r="BH244" s="8">
        <v>0</v>
      </c>
      <c r="BJ244" s="8">
        <f t="shared" si="24"/>
        <v>150477440</v>
      </c>
      <c r="BL244" s="8">
        <f>+GenRev!AM244-GenExp!BJ244</f>
        <v>14925567</v>
      </c>
      <c r="BN244" s="8">
        <v>22975583</v>
      </c>
      <c r="BP244" s="8">
        <v>0</v>
      </c>
      <c r="BS244" s="8">
        <f t="shared" si="25"/>
        <v>37901150</v>
      </c>
      <c r="BU244" s="9">
        <f>+BS244-'Gen Fd BS'!AA247+BQ244</f>
        <v>0</v>
      </c>
    </row>
    <row r="245" spans="1:75">
      <c r="A245" s="13" t="s">
        <v>438</v>
      </c>
      <c r="B245" s="13"/>
      <c r="C245" s="13" t="s">
        <v>435</v>
      </c>
      <c r="D245" s="13"/>
      <c r="E245" s="32">
        <v>44123</v>
      </c>
      <c r="G245" s="8">
        <v>8739004</v>
      </c>
      <c r="I245" s="8">
        <v>894546</v>
      </c>
      <c r="K245" s="8">
        <v>788177</v>
      </c>
      <c r="M245" s="8">
        <v>2101493</v>
      </c>
      <c r="O245" s="8">
        <v>858063</v>
      </c>
      <c r="Q245" s="8">
        <v>1239189</v>
      </c>
      <c r="S245" s="8">
        <v>38905</v>
      </c>
      <c r="U245" s="8">
        <v>2206028</v>
      </c>
      <c r="W245" s="8">
        <v>611709</v>
      </c>
      <c r="Y245" s="8">
        <v>1440</v>
      </c>
      <c r="AA245" s="8">
        <v>1588205</v>
      </c>
      <c r="AC245" s="8">
        <v>1473605</v>
      </c>
      <c r="AE245" s="8">
        <v>87482</v>
      </c>
      <c r="AG245" s="8">
        <v>0</v>
      </c>
      <c r="AI245" s="8">
        <v>4734</v>
      </c>
      <c r="AJ245" s="13" t="s">
        <v>438</v>
      </c>
      <c r="AK245" s="13"/>
      <c r="AL245" s="13" t="s">
        <v>435</v>
      </c>
      <c r="AN245" s="8">
        <v>278078</v>
      </c>
      <c r="AP245" s="8">
        <v>0</v>
      </c>
      <c r="AT245" s="8">
        <v>73420</v>
      </c>
      <c r="AV245" s="8">
        <v>2783</v>
      </c>
      <c r="AX245" s="8">
        <v>0</v>
      </c>
      <c r="AZ245" s="8">
        <f t="shared" si="23"/>
        <v>20986861</v>
      </c>
      <c r="BB245" s="8">
        <v>255567</v>
      </c>
      <c r="BH245" s="8">
        <v>0</v>
      </c>
      <c r="BJ245" s="8">
        <f t="shared" si="24"/>
        <v>21242428</v>
      </c>
      <c r="BL245" s="8">
        <f>+GenRev!AM245-GenExp!BJ245</f>
        <v>734992</v>
      </c>
      <c r="BN245" s="8">
        <v>2431774</v>
      </c>
      <c r="BP245" s="8">
        <v>0</v>
      </c>
      <c r="BS245" s="8">
        <f t="shared" si="25"/>
        <v>3166766</v>
      </c>
      <c r="BU245" s="9">
        <f>+BS245-'Gen Fd BS'!AA248+BQ245</f>
        <v>0</v>
      </c>
    </row>
    <row r="246" spans="1:75">
      <c r="A246" s="13" t="s">
        <v>214</v>
      </c>
      <c r="B246" s="13"/>
      <c r="C246" s="13" t="s">
        <v>11</v>
      </c>
      <c r="D246" s="13"/>
      <c r="E246" s="32">
        <v>45823</v>
      </c>
      <c r="G246" s="8">
        <v>4297785</v>
      </c>
      <c r="I246" s="8">
        <v>596141</v>
      </c>
      <c r="K246" s="8">
        <v>365464</v>
      </c>
      <c r="M246" s="8">
        <v>237716</v>
      </c>
      <c r="O246" s="8">
        <v>354137</v>
      </c>
      <c r="Q246" s="8">
        <v>265503</v>
      </c>
      <c r="S246" s="8">
        <v>32208</v>
      </c>
      <c r="U246" s="8">
        <v>783278</v>
      </c>
      <c r="W246" s="8">
        <v>344766</v>
      </c>
      <c r="Y246" s="8">
        <v>0</v>
      </c>
      <c r="AA246" s="8">
        <v>655657</v>
      </c>
      <c r="AC246" s="8">
        <v>653862</v>
      </c>
      <c r="AE246" s="8">
        <v>0</v>
      </c>
      <c r="AG246" s="8">
        <v>0</v>
      </c>
      <c r="AI246" s="8">
        <v>782</v>
      </c>
      <c r="AJ246" s="13" t="s">
        <v>214</v>
      </c>
      <c r="AK246" s="13"/>
      <c r="AL246" s="13" t="s">
        <v>11</v>
      </c>
      <c r="AN246" s="8">
        <v>230140</v>
      </c>
      <c r="AP246" s="8">
        <v>0</v>
      </c>
      <c r="AT246" s="8">
        <v>0</v>
      </c>
      <c r="AV246" s="8">
        <v>0</v>
      </c>
      <c r="AX246" s="8">
        <v>0</v>
      </c>
      <c r="AZ246" s="8">
        <f t="shared" si="23"/>
        <v>8817439</v>
      </c>
      <c r="BB246" s="8">
        <v>31166</v>
      </c>
      <c r="BH246" s="8">
        <v>0</v>
      </c>
      <c r="BJ246" s="8">
        <f t="shared" si="24"/>
        <v>8848605</v>
      </c>
      <c r="BL246" s="8">
        <f>+GenRev!AM249-GenExp!BJ246</f>
        <v>834913</v>
      </c>
      <c r="BN246" s="8">
        <v>772934</v>
      </c>
      <c r="BP246" s="8">
        <v>0</v>
      </c>
      <c r="BS246" s="8">
        <f t="shared" si="25"/>
        <v>1607847</v>
      </c>
      <c r="BU246" s="9">
        <f>+BS246-'Gen Fd BS'!AA249+BQ246</f>
        <v>0</v>
      </c>
    </row>
    <row r="247" spans="1:75">
      <c r="A247" s="13" t="s">
        <v>430</v>
      </c>
      <c r="B247" s="13"/>
      <c r="C247" s="13" t="s">
        <v>34</v>
      </c>
      <c r="D247" s="13"/>
      <c r="E247" s="32">
        <v>47571</v>
      </c>
      <c r="G247" s="8">
        <v>2343438</v>
      </c>
      <c r="I247" s="8">
        <v>339216</v>
      </c>
      <c r="K247" s="8">
        <v>113548</v>
      </c>
      <c r="M247" s="8">
        <v>0</v>
      </c>
      <c r="O247" s="8">
        <v>245847</v>
      </c>
      <c r="Q247" s="8">
        <v>154098</v>
      </c>
      <c r="S247" s="8">
        <v>18312</v>
      </c>
      <c r="U247" s="8">
        <v>521200</v>
      </c>
      <c r="W247" s="8">
        <v>144781</v>
      </c>
      <c r="Y247" s="8">
        <v>8151</v>
      </c>
      <c r="AA247" s="8">
        <v>319524</v>
      </c>
      <c r="AC247" s="8">
        <v>148521</v>
      </c>
      <c r="AE247" s="8">
        <v>67019</v>
      </c>
      <c r="AG247" s="8">
        <v>0</v>
      </c>
      <c r="AI247" s="8">
        <v>0</v>
      </c>
      <c r="AJ247" s="13" t="s">
        <v>430</v>
      </c>
      <c r="AK247" s="13"/>
      <c r="AL247" s="13" t="s">
        <v>34</v>
      </c>
      <c r="AN247" s="8">
        <v>174613</v>
      </c>
      <c r="AP247" s="8">
        <v>0</v>
      </c>
      <c r="AT247" s="8">
        <v>0</v>
      </c>
      <c r="AV247" s="8">
        <v>0</v>
      </c>
      <c r="AX247" s="8">
        <v>0</v>
      </c>
      <c r="AZ247" s="8">
        <f t="shared" si="23"/>
        <v>4598268</v>
      </c>
      <c r="BB247" s="8">
        <v>415</v>
      </c>
      <c r="BH247" s="8">
        <v>0</v>
      </c>
      <c r="BJ247" s="8">
        <f t="shared" si="24"/>
        <v>4598683</v>
      </c>
      <c r="BL247" s="8">
        <f>+GenRev!AM250-GenExp!BJ247</f>
        <v>51029</v>
      </c>
      <c r="BN247" s="8">
        <v>1804808</v>
      </c>
      <c r="BP247" s="8">
        <v>0</v>
      </c>
      <c r="BS247" s="8">
        <f t="shared" si="25"/>
        <v>1855837</v>
      </c>
      <c r="BU247" s="9">
        <f>+BS247-'Gen Fd BS'!AA250+BQ247</f>
        <v>0</v>
      </c>
    </row>
    <row r="248" spans="1:75">
      <c r="A248" s="13" t="s">
        <v>680</v>
      </c>
      <c r="B248" s="13"/>
      <c r="C248" s="13" t="s">
        <v>64</v>
      </c>
      <c r="D248" s="13"/>
      <c r="E248" s="32">
        <v>50161</v>
      </c>
      <c r="G248" s="8">
        <v>13377755</v>
      </c>
      <c r="I248" s="8">
        <v>2917464</v>
      </c>
      <c r="K248" s="8">
        <v>613789</v>
      </c>
      <c r="M248" s="8">
        <v>1326290</v>
      </c>
      <c r="O248" s="8">
        <v>1793870</v>
      </c>
      <c r="Q248" s="8">
        <v>732262</v>
      </c>
      <c r="S248" s="8">
        <v>298178</v>
      </c>
      <c r="U248" s="8">
        <v>2496060</v>
      </c>
      <c r="W248" s="8">
        <v>699169</v>
      </c>
      <c r="Y248" s="8">
        <v>93423</v>
      </c>
      <c r="AA248" s="8">
        <v>2999315</v>
      </c>
      <c r="AC248" s="8">
        <v>1903920</v>
      </c>
      <c r="AE248" s="8">
        <v>18883</v>
      </c>
      <c r="AG248" s="8">
        <v>0</v>
      </c>
      <c r="AI248" s="8">
        <v>521</v>
      </c>
      <c r="AJ248" s="13" t="s">
        <v>680</v>
      </c>
      <c r="AK248" s="13"/>
      <c r="AL248" s="13" t="s">
        <v>64</v>
      </c>
      <c r="AN248" s="8">
        <v>548507</v>
      </c>
      <c r="AP248" s="8">
        <v>0</v>
      </c>
      <c r="AT248" s="8">
        <v>0</v>
      </c>
      <c r="AV248" s="8">
        <v>4303</v>
      </c>
      <c r="AX248" s="8">
        <v>0</v>
      </c>
      <c r="AZ248" s="8">
        <f t="shared" si="23"/>
        <v>29823709</v>
      </c>
      <c r="BB248" s="8">
        <v>0</v>
      </c>
      <c r="BH248" s="8">
        <v>0</v>
      </c>
      <c r="BJ248" s="8">
        <f t="shared" si="24"/>
        <v>29823709</v>
      </c>
      <c r="BL248" s="8">
        <f>+GenRev!AM251-GenExp!BJ248</f>
        <v>-271828</v>
      </c>
      <c r="BN248" s="8">
        <v>-1899401</v>
      </c>
      <c r="BP248" s="8">
        <v>0</v>
      </c>
      <c r="BS248" s="8">
        <f t="shared" si="25"/>
        <v>-2171229</v>
      </c>
      <c r="BU248" s="9">
        <f>+BS248-'Gen Fd BS'!AA251+BQ248</f>
        <v>0</v>
      </c>
    </row>
    <row r="249" spans="1:75">
      <c r="A249" s="13" t="s">
        <v>681</v>
      </c>
      <c r="B249" s="13"/>
      <c r="C249" s="13" t="s">
        <v>64</v>
      </c>
      <c r="D249" s="13"/>
      <c r="E249" s="32">
        <v>45427</v>
      </c>
      <c r="G249" s="8">
        <v>8414104</v>
      </c>
      <c r="I249" s="8">
        <v>1521637</v>
      </c>
      <c r="K249" s="8">
        <v>333759</v>
      </c>
      <c r="M249" s="8">
        <v>490197</v>
      </c>
      <c r="O249" s="8">
        <v>1003967</v>
      </c>
      <c r="Q249" s="8">
        <v>733194</v>
      </c>
      <c r="S249" s="8">
        <v>18436</v>
      </c>
      <c r="U249" s="8">
        <v>1553060</v>
      </c>
      <c r="W249" s="8">
        <v>518616</v>
      </c>
      <c r="Y249" s="8">
        <v>43995</v>
      </c>
      <c r="AA249" s="8">
        <v>1953594</v>
      </c>
      <c r="AC249" s="8">
        <v>863415</v>
      </c>
      <c r="AE249" s="8">
        <v>288102</v>
      </c>
      <c r="AG249" s="8">
        <v>0</v>
      </c>
      <c r="AI249" s="8">
        <v>312189</v>
      </c>
      <c r="AJ249" s="13" t="s">
        <v>681</v>
      </c>
      <c r="AK249" s="13"/>
      <c r="AL249" s="13" t="s">
        <v>64</v>
      </c>
      <c r="AN249" s="8">
        <v>417451</v>
      </c>
      <c r="AP249" s="8">
        <v>0</v>
      </c>
      <c r="AT249" s="8">
        <v>58524</v>
      </c>
      <c r="AV249" s="8">
        <v>3088</v>
      </c>
      <c r="AX249" s="8">
        <v>0</v>
      </c>
      <c r="AZ249" s="8">
        <f t="shared" si="23"/>
        <v>18527328</v>
      </c>
      <c r="BB249" s="8">
        <v>369805</v>
      </c>
      <c r="BH249" s="8">
        <v>0</v>
      </c>
      <c r="BJ249" s="8">
        <f t="shared" si="24"/>
        <v>18897133</v>
      </c>
      <c r="BL249" s="8">
        <f>+GenRev!AM252-GenExp!BJ249</f>
        <v>8428</v>
      </c>
      <c r="BN249" s="8">
        <v>5252200</v>
      </c>
      <c r="BP249" s="8">
        <v>0</v>
      </c>
      <c r="BS249" s="8">
        <f t="shared" si="25"/>
        <v>5260628</v>
      </c>
      <c r="BU249" s="9">
        <f>+BS249-'Gen Fd BS'!AA252+BQ249</f>
        <v>0</v>
      </c>
    </row>
    <row r="250" spans="1:75">
      <c r="A250" s="13" t="s">
        <v>547</v>
      </c>
      <c r="B250" s="13"/>
      <c r="C250" s="13" t="s">
        <v>50</v>
      </c>
      <c r="D250" s="13"/>
      <c r="E250" s="32">
        <v>48751</v>
      </c>
      <c r="G250" s="8">
        <v>40662285</v>
      </c>
      <c r="I250" s="8">
        <v>0</v>
      </c>
      <c r="K250" s="8">
        <v>0</v>
      </c>
      <c r="M250" s="8">
        <v>0</v>
      </c>
      <c r="O250" s="8">
        <v>2500755</v>
      </c>
      <c r="Q250" s="8">
        <v>3517435</v>
      </c>
      <c r="S250" s="8">
        <v>29076</v>
      </c>
      <c r="U250" s="8">
        <v>4071958</v>
      </c>
      <c r="W250" s="8">
        <v>1047685</v>
      </c>
      <c r="Y250" s="8">
        <v>593551</v>
      </c>
      <c r="AA250" s="8">
        <v>5035840</v>
      </c>
      <c r="AC250" s="8">
        <v>2966083</v>
      </c>
      <c r="AE250" s="8">
        <v>549253</v>
      </c>
      <c r="AG250" s="8">
        <v>0</v>
      </c>
      <c r="AI250" s="8">
        <v>0</v>
      </c>
      <c r="AJ250" s="13" t="s">
        <v>547</v>
      </c>
      <c r="AK250" s="13"/>
      <c r="AL250" s="13" t="s">
        <v>50</v>
      </c>
      <c r="AN250" s="8">
        <v>543042</v>
      </c>
      <c r="AP250" s="8">
        <v>0</v>
      </c>
      <c r="AT250" s="8">
        <v>30365</v>
      </c>
      <c r="AV250" s="8">
        <v>44306</v>
      </c>
      <c r="AX250" s="8">
        <v>0</v>
      </c>
      <c r="AZ250" s="8">
        <f t="shared" si="23"/>
        <v>61591634</v>
      </c>
      <c r="BB250" s="8">
        <v>731000</v>
      </c>
      <c r="BH250" s="8">
        <v>0</v>
      </c>
      <c r="BJ250" s="8">
        <f t="shared" si="24"/>
        <v>62322634</v>
      </c>
      <c r="BL250" s="8">
        <f>+GenRev!AM253-GenExp!BJ250</f>
        <v>-316919</v>
      </c>
      <c r="BN250" s="8">
        <v>23126953</v>
      </c>
      <c r="BP250" s="8">
        <v>15448</v>
      </c>
      <c r="BS250" s="8">
        <f t="shared" si="25"/>
        <v>22794586</v>
      </c>
      <c r="BU250" s="9">
        <f>+BS250-'Gen Fd BS'!AA253+BQ250</f>
        <v>0</v>
      </c>
      <c r="BW250" s="8" t="s">
        <v>913</v>
      </c>
    </row>
    <row r="251" spans="1:75">
      <c r="A251" s="13" t="s">
        <v>666</v>
      </c>
      <c r="B251" s="13"/>
      <c r="C251" s="13" t="s">
        <v>63</v>
      </c>
      <c r="D251" s="13"/>
      <c r="E251" s="32">
        <v>50021</v>
      </c>
      <c r="G251" s="8">
        <v>27177176</v>
      </c>
      <c r="I251" s="8">
        <v>5996465</v>
      </c>
      <c r="K251" s="8">
        <v>378932</v>
      </c>
      <c r="M251" s="8">
        <v>943250</v>
      </c>
      <c r="O251" s="8">
        <v>3477698</v>
      </c>
      <c r="Q251" s="8">
        <v>4454026</v>
      </c>
      <c r="S251" s="8">
        <v>43359</v>
      </c>
      <c r="U251" s="8">
        <v>3839833</v>
      </c>
      <c r="W251" s="8">
        <v>1663574</v>
      </c>
      <c r="Y251" s="8">
        <v>563147</v>
      </c>
      <c r="AA251" s="8">
        <v>5077949</v>
      </c>
      <c r="AC251" s="8">
        <v>3240860</v>
      </c>
      <c r="AE251" s="8">
        <v>418183</v>
      </c>
      <c r="AG251" s="8">
        <v>0</v>
      </c>
      <c r="AI251" s="8">
        <v>0</v>
      </c>
      <c r="AJ251" s="13" t="s">
        <v>666</v>
      </c>
      <c r="AK251" s="13"/>
      <c r="AL251" s="13" t="s">
        <v>63</v>
      </c>
      <c r="AN251" s="8">
        <v>909542</v>
      </c>
      <c r="AP251" s="8">
        <v>0</v>
      </c>
      <c r="AT251" s="8">
        <v>0</v>
      </c>
      <c r="AV251" s="8">
        <v>0</v>
      </c>
      <c r="AX251" s="8">
        <v>0</v>
      </c>
      <c r="AZ251" s="8">
        <f t="shared" si="23"/>
        <v>58183994</v>
      </c>
      <c r="BB251" s="8">
        <v>35000</v>
      </c>
      <c r="BH251" s="8">
        <v>0</v>
      </c>
      <c r="BJ251" s="8">
        <f t="shared" si="24"/>
        <v>58218994</v>
      </c>
      <c r="BL251" s="8">
        <f>+GenRev!AM254-GenExp!BJ251</f>
        <v>587370</v>
      </c>
      <c r="BN251" s="8">
        <v>12433090</v>
      </c>
      <c r="BP251" s="8">
        <v>0</v>
      </c>
      <c r="BS251" s="8">
        <f t="shared" si="25"/>
        <v>13020460</v>
      </c>
      <c r="BU251" s="9">
        <f>+BS251-'Gen Fd BS'!AA254+BQ251</f>
        <v>0</v>
      </c>
    </row>
    <row r="252" spans="1:75">
      <c r="A252" s="13" t="s">
        <v>618</v>
      </c>
      <c r="B252" s="13"/>
      <c r="C252" s="13" t="s">
        <v>58</v>
      </c>
      <c r="D252" s="13"/>
      <c r="E252" s="32">
        <v>49502</v>
      </c>
      <c r="G252" s="8">
        <v>5276938</v>
      </c>
      <c r="I252" s="8">
        <v>687916</v>
      </c>
      <c r="K252" s="8">
        <v>159954</v>
      </c>
      <c r="M252" s="8">
        <v>0</v>
      </c>
      <c r="O252" s="8">
        <v>301469</v>
      </c>
      <c r="Q252" s="8">
        <v>129008</v>
      </c>
      <c r="S252" s="8">
        <v>30278</v>
      </c>
      <c r="U252" s="8">
        <v>795976</v>
      </c>
      <c r="W252" s="8">
        <v>538409</v>
      </c>
      <c r="Y252" s="8">
        <v>0</v>
      </c>
      <c r="AA252" s="8">
        <v>1134128</v>
      </c>
      <c r="AC252" s="8">
        <v>816562</v>
      </c>
      <c r="AE252" s="8">
        <v>0</v>
      </c>
      <c r="AG252" s="8">
        <v>0</v>
      </c>
      <c r="AI252" s="8">
        <v>0</v>
      </c>
      <c r="AJ252" s="13" t="s">
        <v>618</v>
      </c>
      <c r="AK252" s="13"/>
      <c r="AL252" s="13" t="s">
        <v>58</v>
      </c>
      <c r="AN252" s="8">
        <v>173216</v>
      </c>
      <c r="AP252" s="8">
        <v>0</v>
      </c>
      <c r="AT252" s="8">
        <v>39111</v>
      </c>
      <c r="AV252" s="8">
        <v>9924</v>
      </c>
      <c r="AX252" s="8">
        <v>0</v>
      </c>
      <c r="AZ252" s="9">
        <f t="shared" si="23"/>
        <v>10092889</v>
      </c>
      <c r="BB252" s="8">
        <v>8590</v>
      </c>
      <c r="BH252" s="8">
        <v>0</v>
      </c>
      <c r="BJ252" s="8">
        <f t="shared" si="24"/>
        <v>10101479</v>
      </c>
      <c r="BL252" s="8">
        <f>+GenRev!AM255-GenExp!BJ252</f>
        <v>-97705</v>
      </c>
      <c r="BN252" s="8">
        <v>4547230</v>
      </c>
      <c r="BP252" s="8">
        <v>0</v>
      </c>
      <c r="BS252" s="8">
        <f t="shared" si="25"/>
        <v>4449525</v>
      </c>
      <c r="BU252" s="9">
        <f>+BS252-'Gen Fd BS'!AA255+BQ252</f>
        <v>0</v>
      </c>
    </row>
    <row r="253" spans="1:75">
      <c r="A253" s="13" t="s">
        <v>337</v>
      </c>
      <c r="B253" s="13"/>
      <c r="C253" s="13" t="s">
        <v>24</v>
      </c>
      <c r="D253" s="13"/>
      <c r="E253" s="32">
        <v>44131</v>
      </c>
      <c r="G253" s="8">
        <v>6468470</v>
      </c>
      <c r="I253" s="8">
        <v>1565093</v>
      </c>
      <c r="K253" s="8">
        <v>0</v>
      </c>
      <c r="M253" s="8">
        <v>900</v>
      </c>
      <c r="O253" s="8">
        <v>378283</v>
      </c>
      <c r="Q253" s="8">
        <v>668116</v>
      </c>
      <c r="S253" s="8">
        <v>32663</v>
      </c>
      <c r="U253" s="8">
        <v>1407271</v>
      </c>
      <c r="W253" s="8">
        <v>517604</v>
      </c>
      <c r="Y253" s="8">
        <v>95</v>
      </c>
      <c r="AA253" s="8">
        <v>1617189</v>
      </c>
      <c r="AC253" s="8">
        <v>808298</v>
      </c>
      <c r="AE253" s="8">
        <v>1416</v>
      </c>
      <c r="AG253" s="8">
        <v>0</v>
      </c>
      <c r="AI253" s="8">
        <v>69689</v>
      </c>
      <c r="AJ253" s="13" t="s">
        <v>337</v>
      </c>
      <c r="AK253" s="13"/>
      <c r="AL253" s="13" t="s">
        <v>24</v>
      </c>
      <c r="AN253" s="8">
        <v>354060</v>
      </c>
      <c r="AP253" s="8">
        <v>0</v>
      </c>
      <c r="AT253" s="8">
        <v>38982</v>
      </c>
      <c r="AV253" s="8">
        <v>50142</v>
      </c>
      <c r="AX253" s="8">
        <v>0</v>
      </c>
      <c r="AZ253" s="8">
        <f t="shared" si="23"/>
        <v>13978271</v>
      </c>
      <c r="BB253" s="8">
        <v>22304</v>
      </c>
      <c r="BH253" s="8">
        <v>0</v>
      </c>
      <c r="BJ253" s="8">
        <f t="shared" si="24"/>
        <v>14000575</v>
      </c>
      <c r="BL253" s="8">
        <f>+GenRev!AM256-GenExp!BJ253</f>
        <v>1655453</v>
      </c>
      <c r="BN253" s="8">
        <v>4468965</v>
      </c>
      <c r="BP253" s="8">
        <v>0</v>
      </c>
      <c r="BS253" s="8">
        <f t="shared" si="25"/>
        <v>6124418</v>
      </c>
      <c r="BU253" s="9">
        <f>+BS253-'Gen Fd BS'!AA256+BQ253</f>
        <v>0</v>
      </c>
    </row>
    <row r="254" spans="1:75">
      <c r="A254" s="13" t="s">
        <v>309</v>
      </c>
      <c r="B254" s="13"/>
      <c r="C254" s="13" t="s">
        <v>20</v>
      </c>
      <c r="D254" s="13"/>
      <c r="E254" s="32">
        <v>46565</v>
      </c>
      <c r="G254" s="8">
        <v>7295246</v>
      </c>
      <c r="I254" s="8">
        <v>216371</v>
      </c>
      <c r="K254" s="8">
        <v>129480</v>
      </c>
      <c r="M254" s="8">
        <v>2759</v>
      </c>
      <c r="O254" s="8">
        <v>731491</v>
      </c>
      <c r="Q254" s="8">
        <v>1852178</v>
      </c>
      <c r="S254" s="8">
        <v>224299</v>
      </c>
      <c r="U254" s="8">
        <v>1011669</v>
      </c>
      <c r="W254" s="8">
        <v>533830</v>
      </c>
      <c r="Y254" s="8">
        <v>175179</v>
      </c>
      <c r="AA254" s="8">
        <v>1934319</v>
      </c>
      <c r="AC254" s="8">
        <v>766615</v>
      </c>
      <c r="AE254" s="8">
        <v>0</v>
      </c>
      <c r="AG254" s="8">
        <v>400</v>
      </c>
      <c r="AI254" s="8">
        <v>0</v>
      </c>
      <c r="AJ254" s="13" t="s">
        <v>309</v>
      </c>
      <c r="AK254" s="13"/>
      <c r="AL254" s="13" t="s">
        <v>20</v>
      </c>
      <c r="AN254" s="8">
        <v>464943</v>
      </c>
      <c r="AP254" s="8">
        <v>0</v>
      </c>
      <c r="AT254" s="8">
        <v>0</v>
      </c>
      <c r="AV254" s="8">
        <v>0</v>
      </c>
      <c r="AX254" s="8">
        <v>0</v>
      </c>
      <c r="AZ254" s="8">
        <f t="shared" si="23"/>
        <v>15338779</v>
      </c>
      <c r="BB254" s="8">
        <v>604104</v>
      </c>
      <c r="BH254" s="8">
        <v>0</v>
      </c>
      <c r="BJ254" s="8">
        <f t="shared" si="24"/>
        <v>15942883</v>
      </c>
      <c r="BL254" s="8">
        <f>+GenRev!AM257-GenExp!BJ254</f>
        <v>89327</v>
      </c>
      <c r="BN254" s="8">
        <v>1366007</v>
      </c>
      <c r="BP254" s="8">
        <v>0</v>
      </c>
      <c r="BS254" s="8">
        <f t="shared" si="25"/>
        <v>1455334</v>
      </c>
      <c r="BU254" s="9">
        <f>+BS254-'Gen Fd BS'!AA257+BQ254</f>
        <v>0</v>
      </c>
    </row>
    <row r="255" spans="1:75">
      <c r="A255" s="13" t="s">
        <v>451</v>
      </c>
      <c r="B255" s="13"/>
      <c r="C255" s="13" t="s">
        <v>39</v>
      </c>
      <c r="D255" s="13"/>
      <c r="E255" s="32">
        <v>47803</v>
      </c>
      <c r="G255" s="8">
        <v>8943987</v>
      </c>
      <c r="I255" s="8">
        <v>2135406</v>
      </c>
      <c r="K255" s="8">
        <v>280823</v>
      </c>
      <c r="M255" s="8">
        <v>22994</v>
      </c>
      <c r="O255" s="8">
        <v>785800</v>
      </c>
      <c r="Q255" s="8">
        <v>526640</v>
      </c>
      <c r="S255" s="8">
        <v>18306</v>
      </c>
      <c r="U255" s="8">
        <v>1456509</v>
      </c>
      <c r="W255" s="8">
        <v>409761</v>
      </c>
      <c r="Y255" s="8">
        <v>0</v>
      </c>
      <c r="AA255" s="8">
        <v>2174415</v>
      </c>
      <c r="AC255" s="8">
        <v>1162323</v>
      </c>
      <c r="AE255" s="8">
        <v>4766</v>
      </c>
      <c r="AG255" s="8">
        <v>0</v>
      </c>
      <c r="AI255" s="8">
        <v>4548</v>
      </c>
      <c r="AJ255" s="13" t="s">
        <v>451</v>
      </c>
      <c r="AK255" s="13"/>
      <c r="AL255" s="13" t="s">
        <v>39</v>
      </c>
      <c r="AN255" s="8">
        <v>231697</v>
      </c>
      <c r="AP255" s="8">
        <v>14082</v>
      </c>
      <c r="AT255" s="8">
        <v>113250</v>
      </c>
      <c r="AV255" s="8">
        <v>5676</v>
      </c>
      <c r="AX255" s="8">
        <v>0</v>
      </c>
      <c r="AZ255" s="8">
        <f t="shared" si="23"/>
        <v>18290983</v>
      </c>
      <c r="BB255" s="8">
        <v>66373</v>
      </c>
      <c r="BH255" s="8">
        <v>0</v>
      </c>
      <c r="BJ255" s="8">
        <f t="shared" si="24"/>
        <v>18357356</v>
      </c>
      <c r="BL255" s="8">
        <f>+GenRev!AM258-GenExp!BJ255</f>
        <v>-1095789</v>
      </c>
      <c r="BN255" s="8">
        <v>64380</v>
      </c>
      <c r="BP255" s="8">
        <v>0</v>
      </c>
      <c r="BS255" s="8">
        <f t="shared" si="25"/>
        <v>-1031409</v>
      </c>
      <c r="BU255" s="9">
        <f>+BS255-'Gen Fd BS'!AA258+BQ255</f>
        <v>0</v>
      </c>
    </row>
    <row r="256" spans="1:75">
      <c r="A256" s="13" t="s">
        <v>395</v>
      </c>
      <c r="B256" s="13"/>
      <c r="C256" s="13" t="s">
        <v>32</v>
      </c>
      <c r="D256" s="13"/>
      <c r="E256" s="32">
        <v>45435</v>
      </c>
      <c r="G256" s="8">
        <v>13666987</v>
      </c>
      <c r="I256" s="8">
        <v>2091572</v>
      </c>
      <c r="K256" s="8">
        <v>100760</v>
      </c>
      <c r="M256" s="8">
        <v>992472</v>
      </c>
      <c r="O256" s="8">
        <v>2148905</v>
      </c>
      <c r="Q256" s="8">
        <v>1751808</v>
      </c>
      <c r="S256" s="8">
        <v>23653</v>
      </c>
      <c r="U256" s="8">
        <v>2235975</v>
      </c>
      <c r="W256" s="8">
        <v>706996</v>
      </c>
      <c r="Y256" s="8">
        <v>59196</v>
      </c>
      <c r="AA256" s="8">
        <v>3308629</v>
      </c>
      <c r="AC256" s="8">
        <v>1521447</v>
      </c>
      <c r="AE256" s="8">
        <v>61327</v>
      </c>
      <c r="AG256" s="8">
        <v>0</v>
      </c>
      <c r="AI256" s="8">
        <v>46883</v>
      </c>
      <c r="AJ256" s="13" t="s">
        <v>395</v>
      </c>
      <c r="AK256" s="13"/>
      <c r="AL256" s="13" t="s">
        <v>32</v>
      </c>
      <c r="AN256" s="8">
        <v>627920</v>
      </c>
      <c r="AP256" s="8">
        <v>178462</v>
      </c>
      <c r="AT256" s="8">
        <v>485000</v>
      </c>
      <c r="AV256" s="8">
        <v>49795</v>
      </c>
      <c r="AX256" s="8">
        <v>0</v>
      </c>
      <c r="AZ256" s="8">
        <f t="shared" si="23"/>
        <v>30057787</v>
      </c>
      <c r="BB256" s="8">
        <v>0</v>
      </c>
      <c r="BH256" s="8">
        <v>0</v>
      </c>
      <c r="BJ256" s="8">
        <f t="shared" si="24"/>
        <v>30057787</v>
      </c>
      <c r="BL256" s="8">
        <f>+GenRev!AM259-GenExp!BJ256</f>
        <v>3395377</v>
      </c>
      <c r="BN256" s="8">
        <v>26396099</v>
      </c>
      <c r="BP256" s="8">
        <v>0</v>
      </c>
      <c r="BS256" s="8">
        <f t="shared" si="25"/>
        <v>29791476</v>
      </c>
      <c r="BU256" s="9">
        <f>+BS256-'Gen Fd BS'!AA259+BQ256</f>
        <v>0</v>
      </c>
    </row>
    <row r="257" spans="1:75" hidden="1">
      <c r="A257" s="12" t="s">
        <v>947</v>
      </c>
      <c r="B257" s="12"/>
      <c r="C257" s="12" t="s">
        <v>43</v>
      </c>
      <c r="D257" s="13"/>
      <c r="E257" s="32"/>
      <c r="G257" s="8">
        <v>6980353</v>
      </c>
      <c r="I257" s="8">
        <v>1462548</v>
      </c>
      <c r="K257" s="8">
        <v>321753</v>
      </c>
      <c r="M257" s="8">
        <v>1217546</v>
      </c>
      <c r="O257" s="8">
        <v>424528</v>
      </c>
      <c r="Q257" s="8">
        <v>815722</v>
      </c>
      <c r="S257" s="8">
        <v>28064</v>
      </c>
      <c r="U257" s="8">
        <v>1326333</v>
      </c>
      <c r="W257" s="8">
        <v>467858</v>
      </c>
      <c r="AA257" s="8">
        <v>1378339</v>
      </c>
      <c r="AC257" s="8">
        <v>969795</v>
      </c>
      <c r="AE257" s="8">
        <v>322765</v>
      </c>
      <c r="AI257" s="8">
        <v>34932</v>
      </c>
      <c r="AJ257" s="12" t="s">
        <v>947</v>
      </c>
      <c r="AK257" s="12"/>
      <c r="AL257" s="12" t="s">
        <v>43</v>
      </c>
      <c r="AN257" s="8">
        <v>420880</v>
      </c>
      <c r="AX257" s="8">
        <v>0</v>
      </c>
      <c r="AZ257" s="8">
        <f t="shared" si="23"/>
        <v>16171416</v>
      </c>
      <c r="BB257" s="8">
        <v>141600</v>
      </c>
      <c r="BH257" s="8">
        <v>0</v>
      </c>
      <c r="BJ257" s="8">
        <f t="shared" si="24"/>
        <v>16313016</v>
      </c>
      <c r="BL257" s="8">
        <f>+GenRev!AM260-GenExp!BJ257</f>
        <v>-19210</v>
      </c>
      <c r="BN257" s="8">
        <v>3206680</v>
      </c>
      <c r="BS257" s="8">
        <f t="shared" si="25"/>
        <v>3187470</v>
      </c>
      <c r="BU257" s="9">
        <f>+BS257-'Gen Fd BS'!AA260+BQ257</f>
        <v>-286</v>
      </c>
    </row>
    <row r="258" spans="1:75">
      <c r="A258" s="13" t="s">
        <v>697</v>
      </c>
      <c r="B258" s="13"/>
      <c r="C258" s="13" t="s">
        <v>65</v>
      </c>
      <c r="D258" s="13"/>
      <c r="E258" s="32">
        <v>50286</v>
      </c>
      <c r="G258" s="8">
        <v>5863683</v>
      </c>
      <c r="I258" s="8">
        <v>744271</v>
      </c>
      <c r="K258" s="8">
        <v>188134</v>
      </c>
      <c r="M258" s="8">
        <f>173423+1371054</f>
        <v>1544477</v>
      </c>
      <c r="O258" s="8">
        <v>538839</v>
      </c>
      <c r="Q258" s="8">
        <v>410430</v>
      </c>
      <c r="S258" s="8">
        <v>42931</v>
      </c>
      <c r="U258" s="8">
        <v>1133999</v>
      </c>
      <c r="W258" s="8">
        <v>360502</v>
      </c>
      <c r="Y258" s="8">
        <v>119926</v>
      </c>
      <c r="AA258" s="8">
        <v>1868097</v>
      </c>
      <c r="AC258" s="8">
        <v>1122400</v>
      </c>
      <c r="AE258" s="8">
        <v>10215</v>
      </c>
      <c r="AG258" s="8">
        <v>0</v>
      </c>
      <c r="AI258" s="8">
        <v>0</v>
      </c>
      <c r="AJ258" s="13" t="s">
        <v>697</v>
      </c>
      <c r="AK258" s="13"/>
      <c r="AL258" s="13" t="s">
        <v>65</v>
      </c>
      <c r="AN258" s="8">
        <v>255663</v>
      </c>
      <c r="AP258" s="8">
        <v>196850</v>
      </c>
      <c r="AT258" s="8">
        <v>54867</v>
      </c>
      <c r="AV258" s="8">
        <v>7391</v>
      </c>
      <c r="AX258" s="8">
        <v>0</v>
      </c>
      <c r="AZ258" s="8">
        <f t="shared" si="23"/>
        <v>14462675</v>
      </c>
      <c r="BB258" s="8">
        <v>0</v>
      </c>
      <c r="BH258" s="8">
        <v>0</v>
      </c>
      <c r="BJ258" s="8">
        <f t="shared" si="24"/>
        <v>14462675</v>
      </c>
      <c r="BL258" s="8">
        <f>+GenRev!AM261-GenExp!BJ258</f>
        <v>71062</v>
      </c>
      <c r="BN258" s="8">
        <v>462899</v>
      </c>
      <c r="BP258" s="8">
        <v>0</v>
      </c>
      <c r="BS258" s="8">
        <f t="shared" si="25"/>
        <v>533961</v>
      </c>
      <c r="BU258" s="9">
        <f>+BS258-'Gen Fd BS'!AA261+BQ258</f>
        <v>0</v>
      </c>
    </row>
    <row r="259" spans="1:75">
      <c r="A259" s="13" t="s">
        <v>469</v>
      </c>
      <c r="B259" s="13"/>
      <c r="C259" s="13" t="s">
        <v>466</v>
      </c>
      <c r="D259" s="13"/>
      <c r="E259" s="32">
        <v>44149</v>
      </c>
      <c r="G259" s="8">
        <v>5194350</v>
      </c>
      <c r="I259" s="8">
        <v>1381434</v>
      </c>
      <c r="K259" s="8">
        <v>183325</v>
      </c>
      <c r="M259" s="8">
        <v>33321</v>
      </c>
      <c r="O259" s="8">
        <v>610108</v>
      </c>
      <c r="Q259" s="8">
        <v>264131</v>
      </c>
      <c r="S259" s="8">
        <v>182758</v>
      </c>
      <c r="U259" s="8">
        <v>1282357</v>
      </c>
      <c r="W259" s="8">
        <v>482181</v>
      </c>
      <c r="Y259" s="8">
        <v>0</v>
      </c>
      <c r="AA259" s="8">
        <v>1751435</v>
      </c>
      <c r="AC259" s="8">
        <v>470336</v>
      </c>
      <c r="AE259" s="8">
        <v>102619</v>
      </c>
      <c r="AG259" s="8">
        <v>0</v>
      </c>
      <c r="AI259" s="8">
        <v>0</v>
      </c>
      <c r="AJ259" s="13" t="s">
        <v>469</v>
      </c>
      <c r="AK259" s="13"/>
      <c r="AL259" s="13" t="s">
        <v>466</v>
      </c>
      <c r="AN259" s="8">
        <v>346669</v>
      </c>
      <c r="AP259" s="8">
        <v>58790</v>
      </c>
      <c r="AT259" s="8">
        <v>0</v>
      </c>
      <c r="AV259" s="8">
        <v>0</v>
      </c>
      <c r="AX259" s="8">
        <v>0</v>
      </c>
      <c r="AZ259" s="8">
        <f t="shared" si="23"/>
        <v>12343814</v>
      </c>
      <c r="BB259" s="8">
        <v>122091</v>
      </c>
      <c r="BH259" s="8">
        <v>0</v>
      </c>
      <c r="BJ259" s="8">
        <f t="shared" si="24"/>
        <v>12465905</v>
      </c>
      <c r="BL259" s="8">
        <f>+GenRev!AM262-GenExp!BJ259</f>
        <v>-951628</v>
      </c>
      <c r="BN259" s="8">
        <v>2147831</v>
      </c>
      <c r="BP259" s="8">
        <v>0</v>
      </c>
      <c r="BS259" s="8">
        <f t="shared" si="25"/>
        <v>1196203</v>
      </c>
      <c r="BU259" s="9">
        <f>+BS259-'Gen Fd BS'!AA262+BQ259</f>
        <v>0</v>
      </c>
    </row>
    <row r="260" spans="1:75" hidden="1">
      <c r="A260" s="12" t="s">
        <v>948</v>
      </c>
      <c r="B260" s="13"/>
      <c r="C260" s="13" t="s">
        <v>61</v>
      </c>
      <c r="D260" s="13"/>
      <c r="E260" s="32">
        <v>49809</v>
      </c>
      <c r="G260" s="8">
        <v>2311148</v>
      </c>
      <c r="I260" s="8">
        <v>419173</v>
      </c>
      <c r="K260" s="8">
        <v>4981</v>
      </c>
      <c r="O260" s="8">
        <v>175448</v>
      </c>
      <c r="Q260" s="8">
        <v>164680</v>
      </c>
      <c r="S260" s="8">
        <v>10542</v>
      </c>
      <c r="U260" s="8">
        <v>403723</v>
      </c>
      <c r="W260" s="8">
        <v>230719</v>
      </c>
      <c r="AA260" s="8">
        <v>531515</v>
      </c>
      <c r="AC260" s="8">
        <v>185327</v>
      </c>
      <c r="AJ260" s="12" t="s">
        <v>892</v>
      </c>
      <c r="AK260" s="13"/>
      <c r="AL260" s="13" t="s">
        <v>61</v>
      </c>
      <c r="AN260" s="8">
        <v>86198</v>
      </c>
      <c r="AP260" s="8">
        <v>5256</v>
      </c>
      <c r="AX260" s="8">
        <v>0</v>
      </c>
      <c r="AZ260" s="8">
        <f t="shared" si="23"/>
        <v>4528710</v>
      </c>
      <c r="BB260" s="8">
        <v>15000</v>
      </c>
      <c r="BH260" s="8">
        <v>0</v>
      </c>
      <c r="BJ260" s="8">
        <f t="shared" si="24"/>
        <v>4543710</v>
      </c>
      <c r="BL260" s="8">
        <f>+GenRev!AM263-GenExp!BJ260</f>
        <v>-61105</v>
      </c>
      <c r="BN260" s="8">
        <v>807388</v>
      </c>
      <c r="BS260" s="8">
        <f t="shared" si="25"/>
        <v>746283</v>
      </c>
      <c r="BU260" s="9">
        <f>+BS260-'Gen Fd BS'!AA263+BQ260</f>
        <v>0</v>
      </c>
    </row>
    <row r="261" spans="1:75" hidden="1">
      <c r="A261" s="12" t="s">
        <v>983</v>
      </c>
      <c r="B261" s="13"/>
      <c r="C261" s="13" t="s">
        <v>38</v>
      </c>
      <c r="D261" s="13"/>
      <c r="E261" s="32"/>
      <c r="G261" s="8">
        <v>9460965</v>
      </c>
      <c r="I261" s="8">
        <v>2482095</v>
      </c>
      <c r="K261" s="8">
        <v>138027</v>
      </c>
      <c r="O261" s="8">
        <v>505107</v>
      </c>
      <c r="Q261" s="8">
        <v>866329</v>
      </c>
      <c r="S261" s="8">
        <v>173320</v>
      </c>
      <c r="U261" s="8">
        <v>1860483</v>
      </c>
      <c r="W261" s="8">
        <v>626990</v>
      </c>
      <c r="Y261" s="8">
        <v>28406</v>
      </c>
      <c r="AA261" s="8">
        <v>2704901</v>
      </c>
      <c r="AC261" s="8">
        <v>1188101</v>
      </c>
      <c r="AE261" s="8">
        <v>4135</v>
      </c>
      <c r="AJ261" s="12" t="s">
        <v>893</v>
      </c>
      <c r="AK261" s="13"/>
      <c r="AL261" s="13" t="s">
        <v>38</v>
      </c>
      <c r="AN261" s="8">
        <v>428263</v>
      </c>
      <c r="AX261" s="8">
        <v>0</v>
      </c>
      <c r="AZ261" s="8">
        <f t="shared" si="23"/>
        <v>20467122</v>
      </c>
      <c r="BB261" s="8">
        <v>84667</v>
      </c>
      <c r="BD261" s="8">
        <f>10124-299445</f>
        <v>-289321</v>
      </c>
      <c r="BH261" s="8">
        <v>0</v>
      </c>
      <c r="BJ261" s="8">
        <f t="shared" si="24"/>
        <v>20262468</v>
      </c>
      <c r="BL261" s="8">
        <f>+GenRev!AM264-GenExp!BJ261</f>
        <v>-108721</v>
      </c>
      <c r="BN261" s="8">
        <v>1959766</v>
      </c>
      <c r="BS261" s="8">
        <f t="shared" si="25"/>
        <v>1851045</v>
      </c>
      <c r="BU261" s="9">
        <f>+BS261-'Gen Fd BS'!AA264+BQ261</f>
        <v>-6916</v>
      </c>
      <c r="BW261" s="8" t="s">
        <v>956</v>
      </c>
    </row>
    <row r="262" spans="1:75">
      <c r="A262" s="13" t="s">
        <v>652</v>
      </c>
      <c r="B262" s="13"/>
      <c r="C262" s="13" t="s">
        <v>62</v>
      </c>
      <c r="D262" s="13"/>
      <c r="E262" s="32">
        <v>49858</v>
      </c>
      <c r="G262" s="8">
        <v>21080851</v>
      </c>
      <c r="I262" s="8">
        <v>2495619</v>
      </c>
      <c r="K262" s="8">
        <v>453127</v>
      </c>
      <c r="M262" s="8">
        <v>1155537</v>
      </c>
      <c r="O262" s="8">
        <v>2351207</v>
      </c>
      <c r="Q262" s="8">
        <v>2392510</v>
      </c>
      <c r="S262" s="8">
        <v>17397</v>
      </c>
      <c r="U262" s="8">
        <v>3153170</v>
      </c>
      <c r="W262" s="8">
        <v>939667</v>
      </c>
      <c r="Y262" s="8">
        <v>326492</v>
      </c>
      <c r="AA262" s="8">
        <v>5411372</v>
      </c>
      <c r="AC262" s="8">
        <v>2547641</v>
      </c>
      <c r="AE262" s="8">
        <v>1148666</v>
      </c>
      <c r="AG262" s="8">
        <v>0</v>
      </c>
      <c r="AI262" s="8">
        <v>7822</v>
      </c>
      <c r="AJ262" s="13" t="s">
        <v>652</v>
      </c>
      <c r="AK262" s="13"/>
      <c r="AL262" s="13" t="s">
        <v>62</v>
      </c>
      <c r="AN262" s="8">
        <v>1187571</v>
      </c>
      <c r="AP262" s="8">
        <v>31324</v>
      </c>
      <c r="AT262" s="8">
        <v>132627</v>
      </c>
      <c r="AV262" s="8">
        <v>37144</v>
      </c>
      <c r="AX262" s="8">
        <v>0</v>
      </c>
      <c r="AZ262" s="8">
        <f t="shared" si="23"/>
        <v>44869744</v>
      </c>
      <c r="BB262" s="8">
        <v>11401</v>
      </c>
      <c r="BH262" s="8">
        <v>0</v>
      </c>
      <c r="BJ262" s="8">
        <f t="shared" si="24"/>
        <v>44881145</v>
      </c>
      <c r="BL262" s="8">
        <f>+GenRev!AM265-GenExp!BJ262</f>
        <v>1502557</v>
      </c>
      <c r="BN262" s="8">
        <v>2279998</v>
      </c>
      <c r="BP262" s="8">
        <v>-17762</v>
      </c>
      <c r="BS262" s="8">
        <f t="shared" si="25"/>
        <v>3800317</v>
      </c>
      <c r="BU262" s="9">
        <f>+BS262-'Gen Fd BS'!AA265+BQ262</f>
        <v>0</v>
      </c>
    </row>
    <row r="263" spans="1:75">
      <c r="A263" s="13" t="s">
        <v>512</v>
      </c>
      <c r="B263" s="13"/>
      <c r="C263" s="13" t="s">
        <v>45</v>
      </c>
      <c r="D263" s="13"/>
      <c r="E263" s="32">
        <v>48322</v>
      </c>
      <c r="F263" s="11"/>
      <c r="G263" s="8">
        <v>2911091</v>
      </c>
      <c r="I263" s="8">
        <v>871962</v>
      </c>
      <c r="K263" s="8">
        <v>85260</v>
      </c>
      <c r="M263" s="8">
        <v>0</v>
      </c>
      <c r="O263" s="8">
        <v>199807</v>
      </c>
      <c r="Q263" s="8">
        <v>154140</v>
      </c>
      <c r="S263" s="8">
        <v>80823</v>
      </c>
      <c r="U263" s="8">
        <v>538085</v>
      </c>
      <c r="W263" s="8">
        <v>350521</v>
      </c>
      <c r="Y263" s="8">
        <v>0</v>
      </c>
      <c r="AA263" s="8">
        <v>689000</v>
      </c>
      <c r="AC263" s="8">
        <v>652623</v>
      </c>
      <c r="AE263" s="8">
        <v>0</v>
      </c>
      <c r="AG263" s="8">
        <v>0</v>
      </c>
      <c r="AI263" s="8">
        <v>907</v>
      </c>
      <c r="AJ263" s="13" t="s">
        <v>512</v>
      </c>
      <c r="AK263" s="13"/>
      <c r="AL263" s="13" t="s">
        <v>45</v>
      </c>
      <c r="AN263" s="8">
        <v>258152</v>
      </c>
      <c r="AP263" s="8">
        <v>0</v>
      </c>
      <c r="AT263" s="8">
        <v>0</v>
      </c>
      <c r="AV263" s="8">
        <v>0</v>
      </c>
      <c r="AX263" s="8">
        <v>0</v>
      </c>
      <c r="AZ263" s="8">
        <f t="shared" si="23"/>
        <v>6792371</v>
      </c>
      <c r="BB263" s="8">
        <v>65608</v>
      </c>
      <c r="BH263" s="8">
        <v>0</v>
      </c>
      <c r="BJ263" s="8">
        <f t="shared" si="24"/>
        <v>6857979</v>
      </c>
      <c r="BL263" s="8">
        <f>+GenRev!AM266-GenExp!BJ263</f>
        <v>387929</v>
      </c>
      <c r="BN263" s="8">
        <v>1497788</v>
      </c>
      <c r="BP263" s="8">
        <v>0</v>
      </c>
      <c r="BS263" s="8">
        <f t="shared" si="25"/>
        <v>1885717</v>
      </c>
      <c r="BU263" s="9">
        <f>+BS263-'Gen Fd BS'!AA266+BQ263</f>
        <v>0</v>
      </c>
    </row>
    <row r="264" spans="1:75">
      <c r="A264" s="13" t="s">
        <v>591</v>
      </c>
      <c r="B264" s="13"/>
      <c r="C264" s="13" t="s">
        <v>56</v>
      </c>
      <c r="D264" s="13"/>
      <c r="E264" s="32">
        <v>49205</v>
      </c>
      <c r="G264" s="8">
        <v>5888613</v>
      </c>
      <c r="I264" s="8">
        <v>1043566</v>
      </c>
      <c r="K264" s="8">
        <v>0</v>
      </c>
      <c r="M264" s="8">
        <v>0</v>
      </c>
      <c r="O264" s="8">
        <v>501069</v>
      </c>
      <c r="Q264" s="8">
        <v>355289</v>
      </c>
      <c r="S264" s="8">
        <v>33083</v>
      </c>
      <c r="U264" s="8">
        <v>918253</v>
      </c>
      <c r="W264" s="8">
        <v>263969</v>
      </c>
      <c r="Y264" s="8">
        <v>0</v>
      </c>
      <c r="AA264" s="8">
        <v>1335442</v>
      </c>
      <c r="AC264" s="8">
        <v>825695</v>
      </c>
      <c r="AE264" s="8">
        <v>81446</v>
      </c>
      <c r="AG264" s="8">
        <v>0</v>
      </c>
      <c r="AI264" s="8">
        <v>0</v>
      </c>
      <c r="AJ264" s="13" t="s">
        <v>591</v>
      </c>
      <c r="AK264" s="13"/>
      <c r="AL264" s="13" t="s">
        <v>56</v>
      </c>
      <c r="AN264" s="8">
        <v>395927</v>
      </c>
      <c r="AP264" s="8">
        <v>0</v>
      </c>
      <c r="AT264" s="8">
        <v>27350</v>
      </c>
      <c r="AV264" s="8">
        <v>6574</v>
      </c>
      <c r="AX264" s="8">
        <v>0</v>
      </c>
      <c r="AZ264" s="8">
        <f t="shared" si="23"/>
        <v>11676276</v>
      </c>
      <c r="BB264" s="8">
        <v>423</v>
      </c>
      <c r="BH264" s="8">
        <v>0</v>
      </c>
      <c r="BJ264" s="8">
        <f t="shared" si="24"/>
        <v>11676699</v>
      </c>
      <c r="BL264" s="8">
        <f>+GenRev!AM267-GenExp!BJ264</f>
        <v>644172</v>
      </c>
      <c r="BN264" s="8">
        <v>885404</v>
      </c>
      <c r="BP264" s="8">
        <v>0</v>
      </c>
      <c r="BS264" s="8">
        <f t="shared" si="25"/>
        <v>1529576</v>
      </c>
      <c r="BU264" s="9">
        <f>+BS264-'Gen Fd BS'!AA267+BQ264</f>
        <v>0</v>
      </c>
    </row>
    <row r="265" spans="1:75">
      <c r="A265" s="12" t="s">
        <v>984</v>
      </c>
      <c r="B265" s="13"/>
      <c r="C265" s="13" t="s">
        <v>12</v>
      </c>
      <c r="D265" s="13"/>
      <c r="E265" s="32">
        <v>45872</v>
      </c>
      <c r="G265" s="8">
        <v>7984953</v>
      </c>
      <c r="I265" s="8">
        <v>1136361</v>
      </c>
      <c r="K265" s="8">
        <v>154317</v>
      </c>
      <c r="M265" s="8">
        <v>0</v>
      </c>
      <c r="O265" s="8">
        <v>1330531</v>
      </c>
      <c r="Q265" s="8">
        <v>104156</v>
      </c>
      <c r="S265" s="8">
        <v>22094</v>
      </c>
      <c r="U265" s="8">
        <v>1011457</v>
      </c>
      <c r="W265" s="8">
        <v>570610</v>
      </c>
      <c r="Y265" s="8">
        <v>10526</v>
      </c>
      <c r="AA265" s="8">
        <v>1573962</v>
      </c>
      <c r="AC265" s="8">
        <v>1081342</v>
      </c>
      <c r="AE265" s="8">
        <v>64395</v>
      </c>
      <c r="AG265" s="8">
        <v>0</v>
      </c>
      <c r="AI265" s="8">
        <v>74376</v>
      </c>
      <c r="AJ265" s="13" t="s">
        <v>221</v>
      </c>
      <c r="AK265" s="13"/>
      <c r="AL265" s="13" t="s">
        <v>12</v>
      </c>
      <c r="AN265" s="8">
        <v>373033</v>
      </c>
      <c r="AP265" s="8">
        <v>0</v>
      </c>
      <c r="AT265" s="8">
        <v>0</v>
      </c>
      <c r="AV265" s="8">
        <v>0</v>
      </c>
      <c r="AX265" s="8">
        <v>0</v>
      </c>
      <c r="AZ265" s="8">
        <f t="shared" si="23"/>
        <v>15492113</v>
      </c>
      <c r="BB265" s="8">
        <v>89296</v>
      </c>
      <c r="BH265" s="8">
        <v>0</v>
      </c>
      <c r="BJ265" s="8">
        <f t="shared" si="24"/>
        <v>15581409</v>
      </c>
      <c r="BL265" s="8">
        <f>+GenRev!AM268-GenExp!BJ265</f>
        <v>82287</v>
      </c>
      <c r="BN265" s="8">
        <v>3417510</v>
      </c>
      <c r="BP265" s="8">
        <v>0</v>
      </c>
      <c r="BS265" s="8">
        <f t="shared" si="25"/>
        <v>3499797</v>
      </c>
      <c r="BU265" s="9">
        <f>+BS265-'Gen Fd BS'!AA268+BQ265</f>
        <v>0</v>
      </c>
      <c r="BW265" s="8" t="s">
        <v>956</v>
      </c>
    </row>
    <row r="266" spans="1:75">
      <c r="A266" s="13" t="s">
        <v>504</v>
      </c>
      <c r="B266" s="13"/>
      <c r="C266" s="13" t="s">
        <v>505</v>
      </c>
      <c r="D266" s="13"/>
      <c r="E266" s="32">
        <v>48256</v>
      </c>
      <c r="G266" s="8">
        <v>4688602</v>
      </c>
      <c r="I266" s="8">
        <v>1184457</v>
      </c>
      <c r="K266" s="8">
        <v>0</v>
      </c>
      <c r="M266" s="8">
        <v>0</v>
      </c>
      <c r="O266" s="8">
        <v>467692</v>
      </c>
      <c r="Q266" s="8">
        <v>528728</v>
      </c>
      <c r="S266" s="8">
        <v>70508</v>
      </c>
      <c r="U266" s="8">
        <v>739401</v>
      </c>
      <c r="W266" s="8">
        <v>406779</v>
      </c>
      <c r="Y266" s="8">
        <v>58222</v>
      </c>
      <c r="AA266" s="8">
        <v>1304997</v>
      </c>
      <c r="AC266" s="8">
        <v>489621</v>
      </c>
      <c r="AE266" s="8">
        <v>260326</v>
      </c>
      <c r="AG266" s="8">
        <v>0</v>
      </c>
      <c r="AI266" s="8">
        <v>0</v>
      </c>
      <c r="AJ266" s="13" t="s">
        <v>504</v>
      </c>
      <c r="AK266" s="13"/>
      <c r="AL266" s="13" t="s">
        <v>505</v>
      </c>
      <c r="AN266" s="8">
        <v>400429</v>
      </c>
      <c r="AP266" s="8">
        <v>1674</v>
      </c>
      <c r="AT266" s="8">
        <v>24623</v>
      </c>
      <c r="AV266" s="8">
        <v>1597</v>
      </c>
      <c r="AX266" s="8">
        <v>0</v>
      </c>
      <c r="AZ266" s="8">
        <f t="shared" si="23"/>
        <v>10627656</v>
      </c>
      <c r="BB266" s="8">
        <v>752595</v>
      </c>
      <c r="BH266" s="8">
        <v>0</v>
      </c>
      <c r="BJ266" s="8">
        <f t="shared" si="24"/>
        <v>11380251</v>
      </c>
      <c r="BL266" s="8">
        <f>+GenRev!AM269-GenExp!BJ266</f>
        <v>-668340</v>
      </c>
      <c r="BN266" s="8">
        <v>7933607</v>
      </c>
      <c r="BP266" s="8">
        <v>0</v>
      </c>
      <c r="BS266" s="8">
        <f t="shared" si="25"/>
        <v>7265267</v>
      </c>
      <c r="BU266" s="9">
        <f>+BS266-'Gen Fd BS'!AA269+BQ266</f>
        <v>0</v>
      </c>
    </row>
    <row r="267" spans="1:75">
      <c r="A267" s="12" t="s">
        <v>548</v>
      </c>
      <c r="B267" s="13"/>
      <c r="C267" s="13" t="s">
        <v>50</v>
      </c>
      <c r="D267" s="13"/>
      <c r="E267" s="32">
        <v>48686</v>
      </c>
      <c r="G267" s="8">
        <v>1345922</v>
      </c>
      <c r="I267" s="8">
        <v>1203269</v>
      </c>
      <c r="K267" s="8">
        <v>0</v>
      </c>
      <c r="M267" s="8">
        <v>1798075</v>
      </c>
      <c r="O267" s="8">
        <v>199515</v>
      </c>
      <c r="Q267" s="8">
        <v>60221</v>
      </c>
      <c r="S267" s="8">
        <v>19230</v>
      </c>
      <c r="U267" s="8">
        <v>675052</v>
      </c>
      <c r="W267" s="8">
        <v>222535</v>
      </c>
      <c r="Y267" s="8">
        <v>297</v>
      </c>
      <c r="AA267" s="8">
        <v>670288</v>
      </c>
      <c r="AC267" s="8">
        <v>418214</v>
      </c>
      <c r="AE267" s="8">
        <v>23636</v>
      </c>
      <c r="AG267" s="8">
        <v>0</v>
      </c>
      <c r="AI267" s="8">
        <v>2020</v>
      </c>
      <c r="AJ267" s="13" t="s">
        <v>548</v>
      </c>
      <c r="AK267" s="13"/>
      <c r="AL267" s="13" t="s">
        <v>50</v>
      </c>
      <c r="AN267" s="8">
        <v>105504</v>
      </c>
      <c r="AP267" s="8">
        <v>0</v>
      </c>
      <c r="AT267" s="8">
        <v>10495</v>
      </c>
      <c r="AV267" s="8">
        <v>50613</v>
      </c>
      <c r="AX267" s="8">
        <v>0</v>
      </c>
      <c r="AZ267" s="8">
        <f t="shared" si="23"/>
        <v>6804886</v>
      </c>
      <c r="BB267" s="8">
        <v>0</v>
      </c>
      <c r="BH267" s="8">
        <v>0</v>
      </c>
      <c r="BJ267" s="8">
        <f t="shared" si="24"/>
        <v>6804886</v>
      </c>
      <c r="BL267" s="8">
        <f>+GenRev!AM270-GenExp!BJ267</f>
        <v>2207599</v>
      </c>
      <c r="BN267" s="8">
        <v>-1026246</v>
      </c>
      <c r="BP267" s="8">
        <v>0</v>
      </c>
      <c r="BS267" s="8">
        <f t="shared" si="25"/>
        <v>1181353</v>
      </c>
      <c r="BU267" s="9">
        <f>+BS267-'Gen Fd BS'!AA270+BQ267</f>
        <v>0</v>
      </c>
      <c r="BW267" s="8" t="s">
        <v>956</v>
      </c>
    </row>
    <row r="268" spans="1:75" hidden="1">
      <c r="A268" s="12" t="s">
        <v>949</v>
      </c>
      <c r="B268" s="12"/>
      <c r="C268" s="12" t="s">
        <v>603</v>
      </c>
      <c r="D268" s="13"/>
      <c r="E268" s="32"/>
      <c r="G268" s="8">
        <v>1875327</v>
      </c>
      <c r="I268" s="8">
        <v>200031</v>
      </c>
      <c r="K268" s="8">
        <v>51049</v>
      </c>
      <c r="M268" s="8">
        <v>850</v>
      </c>
      <c r="O268" s="8">
        <v>55814</v>
      </c>
      <c r="Q268" s="8">
        <v>90932</v>
      </c>
      <c r="S268" s="8">
        <v>21235</v>
      </c>
      <c r="U268" s="8">
        <v>390656</v>
      </c>
      <c r="W268" s="8">
        <v>125722</v>
      </c>
      <c r="AA268" s="8">
        <v>395666</v>
      </c>
      <c r="AC268" s="8">
        <v>141089</v>
      </c>
      <c r="AE268" s="8">
        <v>9755</v>
      </c>
      <c r="AJ268" s="12" t="s">
        <v>949</v>
      </c>
      <c r="AK268" s="12"/>
      <c r="AL268" s="12" t="s">
        <v>603</v>
      </c>
      <c r="AN268" s="8">
        <v>87427</v>
      </c>
      <c r="AP268" s="8">
        <v>6355</v>
      </c>
      <c r="AX268" s="8">
        <v>0</v>
      </c>
      <c r="AZ268" s="8">
        <f t="shared" si="23"/>
        <v>3451908</v>
      </c>
      <c r="BB268" s="8">
        <v>22186</v>
      </c>
      <c r="BH268" s="8">
        <v>0</v>
      </c>
      <c r="BJ268" s="8">
        <f t="shared" si="24"/>
        <v>3474094</v>
      </c>
      <c r="BL268" s="8">
        <f>+GenRev!AM271-GenExp!BJ268</f>
        <v>46176</v>
      </c>
      <c r="BN268" s="8">
        <v>289637</v>
      </c>
      <c r="BS268" s="8">
        <f t="shared" si="25"/>
        <v>335813</v>
      </c>
      <c r="BU268" s="9">
        <f>+BS268-'Gen Fd BS'!AA271+BQ268</f>
        <v>-550</v>
      </c>
    </row>
    <row r="269" spans="1:75">
      <c r="A269" s="13" t="s">
        <v>474</v>
      </c>
      <c r="B269" s="13"/>
      <c r="C269" s="13" t="s">
        <v>42</v>
      </c>
      <c r="D269" s="13"/>
      <c r="E269" s="32">
        <v>47985</v>
      </c>
      <c r="G269" s="8">
        <v>5944648</v>
      </c>
      <c r="I269" s="8">
        <v>1001331</v>
      </c>
      <c r="K269" s="8">
        <v>159007</v>
      </c>
      <c r="M269" s="8">
        <v>200357</v>
      </c>
      <c r="O269" s="8">
        <v>405377</v>
      </c>
      <c r="Q269" s="8">
        <v>504908</v>
      </c>
      <c r="S269" s="8">
        <v>66022</v>
      </c>
      <c r="U269" s="8">
        <v>977530</v>
      </c>
      <c r="W269" s="8">
        <v>289121</v>
      </c>
      <c r="Y269" s="8">
        <v>0</v>
      </c>
      <c r="AA269" s="8">
        <v>1236118</v>
      </c>
      <c r="AC269" s="8">
        <v>773136</v>
      </c>
      <c r="AE269" s="8">
        <v>40110</v>
      </c>
      <c r="AG269" s="8">
        <v>0</v>
      </c>
      <c r="AI269" s="8">
        <v>55487</v>
      </c>
      <c r="AJ269" s="13" t="s">
        <v>474</v>
      </c>
      <c r="AK269" s="13"/>
      <c r="AL269" s="13" t="s">
        <v>42</v>
      </c>
      <c r="AN269" s="8">
        <v>235946</v>
      </c>
      <c r="AP269" s="8">
        <v>0</v>
      </c>
      <c r="AT269" s="8">
        <v>28401</v>
      </c>
      <c r="AV269" s="8">
        <v>7071</v>
      </c>
      <c r="AX269" s="8">
        <v>0</v>
      </c>
      <c r="AZ269" s="8">
        <f t="shared" si="23"/>
        <v>11924570</v>
      </c>
      <c r="BB269" s="8">
        <v>124161</v>
      </c>
      <c r="BH269" s="8">
        <v>0</v>
      </c>
      <c r="BJ269" s="8">
        <f t="shared" si="24"/>
        <v>12048731</v>
      </c>
      <c r="BL269" s="8">
        <f>+GenRev!AM272-GenExp!BJ269</f>
        <v>247203</v>
      </c>
      <c r="BN269" s="8">
        <v>3874198</v>
      </c>
      <c r="BP269" s="8">
        <v>0</v>
      </c>
      <c r="BS269" s="8">
        <f t="shared" si="25"/>
        <v>4121401</v>
      </c>
      <c r="BU269" s="9">
        <f>+BS269-'Gen Fd BS'!AA272+BQ269</f>
        <v>0</v>
      </c>
    </row>
    <row r="270" spans="1:75">
      <c r="A270" s="13" t="s">
        <v>506</v>
      </c>
      <c r="B270" s="13"/>
      <c r="C270" s="13" t="s">
        <v>505</v>
      </c>
      <c r="D270" s="13"/>
      <c r="E270" s="32">
        <v>48264</v>
      </c>
      <c r="G270" s="8">
        <v>7032911</v>
      </c>
      <c r="I270" s="8">
        <v>1466959</v>
      </c>
      <c r="K270" s="8">
        <v>134873</v>
      </c>
      <c r="M270" s="8">
        <v>0</v>
      </c>
      <c r="O270" s="8">
        <v>976805</v>
      </c>
      <c r="Q270" s="8">
        <v>803562</v>
      </c>
      <c r="S270" s="8">
        <v>135241</v>
      </c>
      <c r="U270" s="8">
        <v>1466857</v>
      </c>
      <c r="W270" s="8">
        <v>478628</v>
      </c>
      <c r="Y270" s="8">
        <v>7780</v>
      </c>
      <c r="AA270" s="8">
        <v>1575120</v>
      </c>
      <c r="AC270" s="8">
        <v>1064322</v>
      </c>
      <c r="AE270" s="8">
        <v>0</v>
      </c>
      <c r="AG270" s="8">
        <v>0</v>
      </c>
      <c r="AI270" s="8">
        <v>0</v>
      </c>
      <c r="AJ270" s="13" t="s">
        <v>506</v>
      </c>
      <c r="AK270" s="13"/>
      <c r="AL270" s="13" t="s">
        <v>505</v>
      </c>
      <c r="AN270" s="8">
        <v>246102</v>
      </c>
      <c r="AP270" s="8">
        <v>0</v>
      </c>
      <c r="AT270" s="8">
        <v>22632</v>
      </c>
      <c r="AV270" s="8">
        <v>2448</v>
      </c>
      <c r="AX270" s="8">
        <v>0</v>
      </c>
      <c r="AZ270" s="8">
        <f t="shared" si="23"/>
        <v>15414240</v>
      </c>
      <c r="BB270" s="8">
        <f>500000-1305</f>
        <v>498695</v>
      </c>
      <c r="BH270" s="8">
        <v>0</v>
      </c>
      <c r="BJ270" s="8">
        <f t="shared" si="24"/>
        <v>15912935</v>
      </c>
      <c r="BL270" s="8">
        <f>+GenRev!AM273-GenExp!BJ270</f>
        <v>-125707</v>
      </c>
      <c r="BN270" s="8">
        <v>2445488</v>
      </c>
      <c r="BP270" s="8">
        <v>0</v>
      </c>
      <c r="BS270" s="8">
        <f t="shared" si="25"/>
        <v>2319781</v>
      </c>
      <c r="BU270" s="9">
        <f>+BS270-'Gen Fd BS'!AA273+BQ270</f>
        <v>0</v>
      </c>
    </row>
    <row r="271" spans="1:75">
      <c r="A271" s="13"/>
      <c r="B271" s="13"/>
      <c r="C271" s="13"/>
      <c r="D271" s="13"/>
      <c r="E271" s="32"/>
      <c r="AJ271" s="13"/>
      <c r="AK271" s="13"/>
      <c r="AL271" s="13"/>
    </row>
    <row r="272" spans="1:75">
      <c r="A272" s="13"/>
      <c r="B272" s="13"/>
      <c r="C272" s="13"/>
      <c r="D272" s="13"/>
      <c r="E272" s="32"/>
      <c r="AI272" s="8" t="s">
        <v>805</v>
      </c>
      <c r="AJ272" s="13"/>
      <c r="AK272" s="13"/>
      <c r="AL272" s="13"/>
      <c r="BS272" s="8" t="s">
        <v>805</v>
      </c>
    </row>
    <row r="273" spans="1:75">
      <c r="A273" s="13"/>
      <c r="B273" s="13"/>
      <c r="C273" s="13"/>
      <c r="D273" s="13"/>
      <c r="E273" s="32"/>
      <c r="AJ273" s="13"/>
      <c r="AK273" s="13"/>
      <c r="AL273" s="13"/>
    </row>
    <row r="274" spans="1:75">
      <c r="A274" s="13" t="s">
        <v>682</v>
      </c>
      <c r="B274" s="13"/>
      <c r="C274" s="13" t="s">
        <v>64</v>
      </c>
      <c r="D274" s="13"/>
      <c r="E274" s="32">
        <v>50179</v>
      </c>
      <c r="G274" s="35">
        <v>3861489</v>
      </c>
      <c r="H274" s="35"/>
      <c r="I274" s="35">
        <v>417939</v>
      </c>
      <c r="J274" s="35"/>
      <c r="K274" s="35">
        <v>111213</v>
      </c>
      <c r="L274" s="35"/>
      <c r="M274" s="35">
        <v>38816</v>
      </c>
      <c r="N274" s="35"/>
      <c r="O274" s="35">
        <v>271853</v>
      </c>
      <c r="P274" s="35"/>
      <c r="Q274" s="35">
        <v>131772</v>
      </c>
      <c r="R274" s="35"/>
      <c r="S274" s="35">
        <v>52064</v>
      </c>
      <c r="T274" s="35"/>
      <c r="U274" s="35">
        <v>681536</v>
      </c>
      <c r="V274" s="35"/>
      <c r="W274" s="35">
        <v>312701</v>
      </c>
      <c r="X274" s="35"/>
      <c r="Y274" s="35">
        <v>0</v>
      </c>
      <c r="Z274" s="35"/>
      <c r="AA274" s="35">
        <v>653514</v>
      </c>
      <c r="AB274" s="35"/>
      <c r="AC274" s="35">
        <v>704927</v>
      </c>
      <c r="AD274" s="35"/>
      <c r="AE274" s="35">
        <v>118252</v>
      </c>
      <c r="AF274" s="35"/>
      <c r="AG274" s="35">
        <v>0</v>
      </c>
      <c r="AH274" s="35"/>
      <c r="AI274" s="35">
        <v>452488</v>
      </c>
      <c r="AJ274" s="13" t="s">
        <v>682</v>
      </c>
      <c r="AK274" s="13"/>
      <c r="AL274" s="13" t="s">
        <v>64</v>
      </c>
      <c r="AN274" s="35">
        <v>160103</v>
      </c>
      <c r="AO274" s="35"/>
      <c r="AP274" s="35">
        <v>8346</v>
      </c>
      <c r="AQ274" s="35"/>
      <c r="AR274" s="35"/>
      <c r="AS274" s="35"/>
      <c r="AT274" s="35">
        <v>8939</v>
      </c>
      <c r="AU274" s="35"/>
      <c r="AV274" s="35">
        <v>2005</v>
      </c>
      <c r="AW274" s="35"/>
      <c r="AX274" s="35">
        <v>0</v>
      </c>
      <c r="AY274" s="35"/>
      <c r="AZ274" s="35">
        <f t="shared" si="23"/>
        <v>7987957</v>
      </c>
      <c r="BA274" s="35"/>
      <c r="BB274" s="35">
        <v>5378</v>
      </c>
      <c r="BC274" s="35"/>
      <c r="BD274" s="35"/>
      <c r="BE274" s="35"/>
      <c r="BF274" s="35"/>
      <c r="BG274" s="35"/>
      <c r="BH274" s="35">
        <v>0</v>
      </c>
      <c r="BI274" s="35"/>
      <c r="BJ274" s="35">
        <f t="shared" si="24"/>
        <v>7993335</v>
      </c>
      <c r="BK274" s="35"/>
      <c r="BL274" s="35">
        <f>+GenRev!AM274-GenExp!BJ274</f>
        <v>116475</v>
      </c>
      <c r="BM274" s="35"/>
      <c r="BN274" s="35">
        <v>1159543</v>
      </c>
      <c r="BO274" s="35"/>
      <c r="BP274" s="35">
        <v>0</v>
      </c>
      <c r="BQ274" s="35"/>
      <c r="BR274" s="35"/>
      <c r="BS274" s="35">
        <f t="shared" ref="BS274:BS298" si="26">+BN274+BL274-BP274</f>
        <v>1276018</v>
      </c>
      <c r="BU274" s="9">
        <f>+BS274-'Gen Fd BS'!AA274+BQ274</f>
        <v>0</v>
      </c>
    </row>
    <row r="275" spans="1:75">
      <c r="A275" s="13" t="s">
        <v>338</v>
      </c>
      <c r="B275" s="13"/>
      <c r="C275" s="13" t="s">
        <v>24</v>
      </c>
      <c r="D275" s="13"/>
      <c r="E275" s="32">
        <v>46797</v>
      </c>
      <c r="G275" s="8">
        <v>450290</v>
      </c>
      <c r="I275" s="8">
        <v>37916</v>
      </c>
      <c r="K275" s="8">
        <v>0</v>
      </c>
      <c r="M275" s="8">
        <v>0</v>
      </c>
      <c r="O275" s="8">
        <v>38735</v>
      </c>
      <c r="Q275" s="8">
        <v>88971</v>
      </c>
      <c r="S275" s="8">
        <v>27672</v>
      </c>
      <c r="U275" s="8">
        <v>94262</v>
      </c>
      <c r="W275" s="8">
        <v>35405</v>
      </c>
      <c r="Y275" s="8">
        <v>0</v>
      </c>
      <c r="AA275" s="8">
        <v>146997</v>
      </c>
      <c r="AC275" s="8">
        <v>0</v>
      </c>
      <c r="AE275" s="8">
        <v>0</v>
      </c>
      <c r="AG275" s="8">
        <v>0</v>
      </c>
      <c r="AI275" s="8">
        <v>0</v>
      </c>
      <c r="AJ275" s="13" t="s">
        <v>338</v>
      </c>
      <c r="AK275" s="13"/>
      <c r="AL275" s="13" t="s">
        <v>24</v>
      </c>
      <c r="AN275" s="8">
        <v>3102</v>
      </c>
      <c r="AP275" s="8">
        <v>60874</v>
      </c>
      <c r="AT275" s="8">
        <v>0</v>
      </c>
      <c r="AV275" s="8">
        <v>0</v>
      </c>
      <c r="AX275" s="8">
        <v>0</v>
      </c>
      <c r="AZ275" s="8">
        <f t="shared" si="23"/>
        <v>984224</v>
      </c>
      <c r="BB275" s="8">
        <v>0</v>
      </c>
      <c r="BH275" s="8">
        <v>0</v>
      </c>
      <c r="BJ275" s="8">
        <f t="shared" si="24"/>
        <v>984224</v>
      </c>
      <c r="BL275" s="8">
        <f>+GenRev!AM275-GenExp!BJ275</f>
        <v>54100</v>
      </c>
      <c r="BN275" s="8">
        <v>410467</v>
      </c>
      <c r="BP275" s="8">
        <v>0</v>
      </c>
      <c r="BS275" s="8">
        <f t="shared" si="26"/>
        <v>464567</v>
      </c>
      <c r="BU275" s="9">
        <f>+BS275-'Gen Fd BS'!AA275+BQ275</f>
        <v>0</v>
      </c>
    </row>
    <row r="276" spans="1:75">
      <c r="A276" s="13" t="s">
        <v>380</v>
      </c>
      <c r="B276" s="13"/>
      <c r="C276" s="13" t="s">
        <v>30</v>
      </c>
      <c r="D276" s="13"/>
      <c r="E276" s="32">
        <v>47191</v>
      </c>
      <c r="G276" s="8">
        <v>14421603</v>
      </c>
      <c r="I276" s="8">
        <v>3727314</v>
      </c>
      <c r="K276" s="8">
        <v>140538</v>
      </c>
      <c r="M276" s="8">
        <v>674978</v>
      </c>
      <c r="O276" s="8">
        <v>2069015</v>
      </c>
      <c r="Q276" s="8">
        <v>1064240</v>
      </c>
      <c r="S276" s="8">
        <v>50224</v>
      </c>
      <c r="U276" s="8">
        <v>2722593</v>
      </c>
      <c r="W276" s="8">
        <v>976585</v>
      </c>
      <c r="Y276" s="8">
        <v>46372</v>
      </c>
      <c r="AA276" s="8">
        <v>3697411</v>
      </c>
      <c r="AC276" s="8">
        <v>2428117</v>
      </c>
      <c r="AE276" s="8">
        <v>7066</v>
      </c>
      <c r="AG276" s="8">
        <v>0</v>
      </c>
      <c r="AI276" s="8">
        <f>102461+15544</f>
        <v>118005</v>
      </c>
      <c r="AJ276" s="13" t="s">
        <v>380</v>
      </c>
      <c r="AK276" s="13"/>
      <c r="AL276" s="13" t="s">
        <v>30</v>
      </c>
      <c r="AN276" s="8">
        <v>672583</v>
      </c>
      <c r="AP276" s="8">
        <v>32694</v>
      </c>
      <c r="AT276" s="8">
        <v>0</v>
      </c>
      <c r="AV276" s="8">
        <v>0</v>
      </c>
      <c r="AX276" s="8">
        <v>0</v>
      </c>
      <c r="AZ276" s="8">
        <f t="shared" si="23"/>
        <v>32849338</v>
      </c>
      <c r="BB276" s="8">
        <v>116585</v>
      </c>
      <c r="BH276" s="8">
        <v>0</v>
      </c>
      <c r="BJ276" s="8">
        <f t="shared" si="24"/>
        <v>32965923</v>
      </c>
      <c r="BL276" s="8">
        <f>+GenRev!AM276-GenExp!BJ276</f>
        <v>922982</v>
      </c>
      <c r="BN276" s="8">
        <v>7619371</v>
      </c>
      <c r="BP276" s="8">
        <v>0</v>
      </c>
      <c r="BS276" s="8">
        <f t="shared" si="26"/>
        <v>8542353</v>
      </c>
      <c r="BU276" s="9">
        <f>+BS276-'Gen Fd BS'!AA276+BQ276</f>
        <v>0</v>
      </c>
    </row>
    <row r="277" spans="1:75">
      <c r="A277" s="13" t="s">
        <v>592</v>
      </c>
      <c r="B277" s="13"/>
      <c r="C277" s="13" t="s">
        <v>56</v>
      </c>
      <c r="D277" s="13"/>
      <c r="E277" s="32">
        <v>44164</v>
      </c>
      <c r="G277" s="8">
        <v>17236053</v>
      </c>
      <c r="I277" s="8">
        <v>3623763</v>
      </c>
      <c r="K277" s="8">
        <v>2063590</v>
      </c>
      <c r="M277" s="8">
        <f>535344+800829</f>
        <v>1336173</v>
      </c>
      <c r="O277" s="8">
        <v>2205753</v>
      </c>
      <c r="Q277" s="8">
        <v>2542066</v>
      </c>
      <c r="S277" s="8">
        <v>189960</v>
      </c>
      <c r="U277" s="8">
        <v>2996360</v>
      </c>
      <c r="W277" s="8">
        <v>920996</v>
      </c>
      <c r="Y277" s="8">
        <v>330832</v>
      </c>
      <c r="AA277" s="8">
        <v>3186579</v>
      </c>
      <c r="AC277" s="8">
        <v>1378363</v>
      </c>
      <c r="AE277" s="8">
        <v>300062</v>
      </c>
      <c r="AG277" s="8">
        <v>57</v>
      </c>
      <c r="AI277" s="8">
        <v>118935</v>
      </c>
      <c r="AJ277" s="13" t="s">
        <v>592</v>
      </c>
      <c r="AK277" s="13"/>
      <c r="AL277" s="13" t="s">
        <v>56</v>
      </c>
      <c r="AN277" s="8">
        <v>837727</v>
      </c>
      <c r="AP277" s="8">
        <v>297471</v>
      </c>
      <c r="AT277" s="8">
        <v>292133</v>
      </c>
      <c r="AV277" s="8">
        <v>72795</v>
      </c>
      <c r="AX277" s="8">
        <v>0</v>
      </c>
      <c r="AZ277" s="8">
        <f t="shared" si="23"/>
        <v>39929668</v>
      </c>
      <c r="BB277" s="8">
        <v>603970</v>
      </c>
      <c r="BH277" s="8">
        <v>0</v>
      </c>
      <c r="BJ277" s="8">
        <f t="shared" si="24"/>
        <v>40533638</v>
      </c>
      <c r="BL277" s="8">
        <f>+GenRev!AM277-GenExp!BJ277</f>
        <v>2589147</v>
      </c>
      <c r="BN277" s="8">
        <v>10237361</v>
      </c>
      <c r="BP277" s="8">
        <v>0</v>
      </c>
      <c r="BS277" s="8">
        <f t="shared" si="26"/>
        <v>12826508</v>
      </c>
      <c r="BU277" s="9">
        <f>+BS277-'Gen Fd BS'!AA277+BQ277</f>
        <v>0</v>
      </c>
    </row>
    <row r="278" spans="1:75">
      <c r="A278" s="13" t="s">
        <v>423</v>
      </c>
      <c r="B278" s="13"/>
      <c r="C278" s="13" t="s">
        <v>421</v>
      </c>
      <c r="D278" s="13"/>
      <c r="E278" s="32">
        <v>44172</v>
      </c>
      <c r="G278" s="8">
        <v>9203293</v>
      </c>
      <c r="I278" s="8">
        <v>1978911</v>
      </c>
      <c r="K278" s="8">
        <v>220738</v>
      </c>
      <c r="M278" s="8">
        <v>0</v>
      </c>
      <c r="O278" s="8">
        <v>523094</v>
      </c>
      <c r="Q278" s="8">
        <v>725122</v>
      </c>
      <c r="S278" s="8">
        <v>38467</v>
      </c>
      <c r="U278" s="8">
        <v>1687768</v>
      </c>
      <c r="W278" s="8">
        <v>444427</v>
      </c>
      <c r="Y278" s="8">
        <v>0</v>
      </c>
      <c r="AA278" s="8">
        <v>1620259</v>
      </c>
      <c r="AC278" s="8">
        <v>706128</v>
      </c>
      <c r="AE278" s="8">
        <v>42556</v>
      </c>
      <c r="AG278" s="8">
        <v>0</v>
      </c>
      <c r="AI278" s="8">
        <v>0</v>
      </c>
      <c r="AJ278" s="13" t="s">
        <v>423</v>
      </c>
      <c r="AK278" s="13"/>
      <c r="AL278" s="13" t="s">
        <v>421</v>
      </c>
      <c r="AN278" s="8">
        <v>0</v>
      </c>
      <c r="AP278" s="8">
        <v>0</v>
      </c>
      <c r="AT278" s="8">
        <v>0</v>
      </c>
      <c r="AV278" s="8">
        <v>0</v>
      </c>
      <c r="AX278" s="8">
        <v>0</v>
      </c>
      <c r="AZ278" s="8">
        <f t="shared" si="23"/>
        <v>17190763</v>
      </c>
      <c r="BB278" s="8">
        <v>0</v>
      </c>
      <c r="BH278" s="8">
        <v>0</v>
      </c>
      <c r="BJ278" s="8">
        <f t="shared" si="24"/>
        <v>17190763</v>
      </c>
      <c r="BL278" s="8">
        <f>+GenRev!AM278-GenExp!BJ278</f>
        <v>-758783</v>
      </c>
      <c r="BN278" s="8">
        <v>3231807</v>
      </c>
      <c r="BP278" s="8">
        <v>0</v>
      </c>
      <c r="BS278" s="8">
        <f t="shared" si="26"/>
        <v>2473024</v>
      </c>
      <c r="BU278" s="9">
        <f>+BS278-'Gen Fd BS'!AA278+BQ278</f>
        <v>0</v>
      </c>
    </row>
    <row r="279" spans="1:75">
      <c r="A279" s="13" t="s">
        <v>549</v>
      </c>
      <c r="B279" s="13"/>
      <c r="C279" s="13" t="s">
        <v>50</v>
      </c>
      <c r="D279" s="13"/>
      <c r="E279" s="32">
        <v>44180</v>
      </c>
      <c r="G279" s="8">
        <v>33135784</v>
      </c>
      <c r="I279" s="8">
        <v>6571982</v>
      </c>
      <c r="K279" s="8">
        <v>1846936</v>
      </c>
      <c r="M279" s="8">
        <v>2706076</v>
      </c>
      <c r="O279" s="8">
        <v>6210571</v>
      </c>
      <c r="Q279" s="8">
        <v>3844888</v>
      </c>
      <c r="S279" s="8">
        <v>73370</v>
      </c>
      <c r="U279" s="8">
        <v>6115687</v>
      </c>
      <c r="W279" s="8">
        <v>1805519</v>
      </c>
      <c r="Y279" s="8">
        <v>547563</v>
      </c>
      <c r="AA279" s="8">
        <v>7959448</v>
      </c>
      <c r="AC279" s="8">
        <v>3019455</v>
      </c>
      <c r="AE279" s="8">
        <v>1594495</v>
      </c>
      <c r="AG279" s="8">
        <v>0</v>
      </c>
      <c r="AI279" s="8">
        <v>31987</v>
      </c>
      <c r="AJ279" s="13" t="s">
        <v>549</v>
      </c>
      <c r="AK279" s="13"/>
      <c r="AL279" s="13" t="s">
        <v>50</v>
      </c>
      <c r="AN279" s="8">
        <v>1304102</v>
      </c>
      <c r="AP279" s="8">
        <v>28393</v>
      </c>
      <c r="AT279" s="8">
        <v>457511</v>
      </c>
      <c r="AV279" s="8">
        <v>55419</v>
      </c>
      <c r="AX279" s="8">
        <v>0</v>
      </c>
      <c r="AZ279" s="8">
        <f t="shared" si="23"/>
        <v>77309186</v>
      </c>
      <c r="BB279" s="8">
        <v>13500</v>
      </c>
      <c r="BH279" s="8">
        <v>0</v>
      </c>
      <c r="BJ279" s="8">
        <f t="shared" si="24"/>
        <v>77322686</v>
      </c>
      <c r="BL279" s="8">
        <f>+GenRev!AM279-GenExp!BJ279</f>
        <v>1357260</v>
      </c>
      <c r="BN279" s="8">
        <v>8386014</v>
      </c>
      <c r="BP279" s="8">
        <v>-17642</v>
      </c>
      <c r="BS279" s="8">
        <f t="shared" si="26"/>
        <v>9760916</v>
      </c>
      <c r="BU279" s="9">
        <f>+BS279-'Gen Fd BS'!AA279+BQ279</f>
        <v>0</v>
      </c>
    </row>
    <row r="280" spans="1:75">
      <c r="A280" s="13" t="s">
        <v>489</v>
      </c>
      <c r="B280" s="13"/>
      <c r="C280" s="13" t="s">
        <v>44</v>
      </c>
      <c r="D280" s="13"/>
      <c r="E280" s="32">
        <v>48165</v>
      </c>
      <c r="G280" s="8">
        <v>6896750</v>
      </c>
      <c r="I280" s="8">
        <v>1134454</v>
      </c>
      <c r="K280" s="8">
        <v>102032</v>
      </c>
      <c r="M280" s="8">
        <v>89025</v>
      </c>
      <c r="O280" s="8">
        <v>648549</v>
      </c>
      <c r="Q280" s="8">
        <v>382585</v>
      </c>
      <c r="S280" s="8">
        <v>42208</v>
      </c>
      <c r="U280" s="8">
        <v>1072836</v>
      </c>
      <c r="W280" s="8">
        <v>380642</v>
      </c>
      <c r="Y280" s="8">
        <v>0</v>
      </c>
      <c r="AA280" s="8">
        <v>1277334</v>
      </c>
      <c r="AC280" s="8">
        <v>933416</v>
      </c>
      <c r="AE280" s="8">
        <v>462690</v>
      </c>
      <c r="AG280" s="8">
        <v>0</v>
      </c>
      <c r="AI280" s="8">
        <f>59162+8683</f>
        <v>67845</v>
      </c>
      <c r="AJ280" s="13" t="s">
        <v>489</v>
      </c>
      <c r="AK280" s="13"/>
      <c r="AL280" s="13" t="s">
        <v>44</v>
      </c>
      <c r="AN280" s="8">
        <v>259334</v>
      </c>
      <c r="AP280" s="8">
        <v>62100</v>
      </c>
      <c r="AT280" s="8">
        <v>0</v>
      </c>
      <c r="AV280" s="8">
        <v>0</v>
      </c>
      <c r="AX280" s="8">
        <v>0</v>
      </c>
      <c r="AZ280" s="8">
        <f t="shared" si="23"/>
        <v>13811800</v>
      </c>
      <c r="BB280" s="8">
        <f>28937</f>
        <v>28937</v>
      </c>
      <c r="BH280" s="8">
        <v>0</v>
      </c>
      <c r="BJ280" s="8">
        <f t="shared" si="24"/>
        <v>13840737</v>
      </c>
      <c r="BL280" s="8">
        <f>+GenRev!AM280-GenExp!BJ280</f>
        <v>389707</v>
      </c>
      <c r="BN280" s="8">
        <v>4230355</v>
      </c>
      <c r="BP280" s="8">
        <v>0</v>
      </c>
      <c r="BS280" s="8">
        <f t="shared" si="26"/>
        <v>4620062</v>
      </c>
      <c r="BU280" s="9">
        <f>+BS280-'Gen Fd BS'!AA280+BQ280</f>
        <v>0</v>
      </c>
    </row>
    <row r="281" spans="1:75">
      <c r="A281" s="13" t="s">
        <v>710</v>
      </c>
      <c r="B281" s="13"/>
      <c r="C281" s="13" t="s">
        <v>69</v>
      </c>
      <c r="D281" s="13"/>
      <c r="E281" s="32">
        <v>50435</v>
      </c>
      <c r="G281" s="8">
        <v>16947270</v>
      </c>
      <c r="I281" s="8">
        <v>3805455</v>
      </c>
      <c r="K281" s="8">
        <v>0</v>
      </c>
      <c r="M281" s="8">
        <v>664870</v>
      </c>
      <c r="O281" s="8">
        <v>1599461</v>
      </c>
      <c r="Q281" s="8">
        <v>1070199</v>
      </c>
      <c r="S281" s="8">
        <v>81060</v>
      </c>
      <c r="U281" s="8">
        <v>3446879</v>
      </c>
      <c r="W281" s="8">
        <v>462194</v>
      </c>
      <c r="Y281" s="8">
        <v>237074</v>
      </c>
      <c r="AA281" s="8">
        <v>3662939</v>
      </c>
      <c r="AC281" s="8">
        <v>2862862</v>
      </c>
      <c r="AE281" s="8">
        <v>250868</v>
      </c>
      <c r="AG281" s="8">
        <v>0</v>
      </c>
      <c r="AI281" s="8">
        <v>3674</v>
      </c>
      <c r="AJ281" s="13" t="s">
        <v>710</v>
      </c>
      <c r="AK281" s="13"/>
      <c r="AL281" s="13" t="s">
        <v>69</v>
      </c>
      <c r="AN281" s="8">
        <v>716636</v>
      </c>
      <c r="AP281" s="8">
        <v>0</v>
      </c>
      <c r="AT281" s="8">
        <v>908250</v>
      </c>
      <c r="AV281" s="8">
        <v>0</v>
      </c>
      <c r="AX281" s="8">
        <v>0</v>
      </c>
      <c r="AZ281" s="8">
        <f t="shared" si="23"/>
        <v>36719691</v>
      </c>
      <c r="BB281" s="8">
        <v>0</v>
      </c>
      <c r="BH281" s="8">
        <v>0</v>
      </c>
      <c r="BJ281" s="8">
        <f t="shared" si="24"/>
        <v>36719691</v>
      </c>
      <c r="BL281" s="8">
        <f>+GenRev!AM281-GenExp!BJ281</f>
        <v>-534957</v>
      </c>
      <c r="BN281" s="8">
        <v>8289751</v>
      </c>
      <c r="BP281" s="8">
        <v>0</v>
      </c>
      <c r="BS281" s="8">
        <f t="shared" si="26"/>
        <v>7754794</v>
      </c>
      <c r="BU281" s="9">
        <f>+BS281-'Gen Fd BS'!AA281+BQ281</f>
        <v>0</v>
      </c>
    </row>
    <row r="282" spans="1:75" hidden="1">
      <c r="A282" s="12" t="s">
        <v>1021</v>
      </c>
      <c r="B282" s="13"/>
      <c r="C282" s="13" t="s">
        <v>41</v>
      </c>
      <c r="D282" s="13"/>
      <c r="E282" s="32">
        <v>47878</v>
      </c>
      <c r="G282" s="8">
        <v>5683558</v>
      </c>
      <c r="I282" s="8">
        <v>995008</v>
      </c>
      <c r="K282" s="8">
        <v>49111</v>
      </c>
      <c r="M282" s="8">
        <v>111771</v>
      </c>
      <c r="O282" s="8">
        <v>665901</v>
      </c>
      <c r="Q282" s="8">
        <v>462299</v>
      </c>
      <c r="S282" s="8">
        <v>153316</v>
      </c>
      <c r="U282" s="8">
        <v>982323</v>
      </c>
      <c r="W282" s="8">
        <v>462354</v>
      </c>
      <c r="Y282" s="8">
        <v>26315</v>
      </c>
      <c r="AA282" s="8">
        <v>1336519</v>
      </c>
      <c r="AC282" s="8">
        <v>894454</v>
      </c>
      <c r="AE282" s="8">
        <v>143499</v>
      </c>
      <c r="AG282" s="8">
        <v>0</v>
      </c>
      <c r="AI282" s="8">
        <v>34842</v>
      </c>
      <c r="AJ282" s="13" t="s">
        <v>459</v>
      </c>
      <c r="AK282" s="13"/>
      <c r="AL282" s="13" t="s">
        <v>41</v>
      </c>
      <c r="AN282" s="8">
        <v>447672</v>
      </c>
      <c r="AX282" s="8">
        <v>0</v>
      </c>
      <c r="AZ282" s="8">
        <f t="shared" si="23"/>
        <v>12448942</v>
      </c>
      <c r="BB282" s="8">
        <v>42254</v>
      </c>
      <c r="BH282" s="8">
        <v>0</v>
      </c>
      <c r="BJ282" s="8">
        <f t="shared" si="24"/>
        <v>12491196</v>
      </c>
      <c r="BL282" s="8">
        <f>+GenRev!AM282-GenExp!BJ282</f>
        <v>522900</v>
      </c>
      <c r="BN282" s="8">
        <v>8096509</v>
      </c>
      <c r="BS282" s="8">
        <f t="shared" si="26"/>
        <v>8619409</v>
      </c>
      <c r="BU282" s="9">
        <f>+BS282-'Gen Fd BS'!AA282+BQ282</f>
        <v>-50000</v>
      </c>
      <c r="BW282" s="15"/>
    </row>
    <row r="283" spans="1:75">
      <c r="A283" s="13" t="s">
        <v>683</v>
      </c>
      <c r="B283" s="13"/>
      <c r="C283" s="13" t="s">
        <v>64</v>
      </c>
      <c r="D283" s="13"/>
      <c r="E283" s="32">
        <v>50245</v>
      </c>
      <c r="G283" s="8">
        <v>6277816</v>
      </c>
      <c r="I283" s="8">
        <v>1142249</v>
      </c>
      <c r="K283" s="8">
        <v>88461</v>
      </c>
      <c r="M283" s="8">
        <v>429403</v>
      </c>
      <c r="O283" s="8">
        <v>595525</v>
      </c>
      <c r="Q283" s="8">
        <v>175900</v>
      </c>
      <c r="S283" s="8">
        <v>64490</v>
      </c>
      <c r="U283" s="8">
        <v>1135741</v>
      </c>
      <c r="W283" s="8">
        <v>278122</v>
      </c>
      <c r="Y283" s="8">
        <v>0</v>
      </c>
      <c r="AA283" s="8">
        <v>1668719</v>
      </c>
      <c r="AC283" s="8">
        <v>544101</v>
      </c>
      <c r="AE283" s="8">
        <v>108449</v>
      </c>
      <c r="AG283" s="8">
        <v>0</v>
      </c>
      <c r="AI283" s="8">
        <v>3506</v>
      </c>
      <c r="AJ283" s="13" t="s">
        <v>683</v>
      </c>
      <c r="AK283" s="13"/>
      <c r="AL283" s="13" t="s">
        <v>64</v>
      </c>
      <c r="AN283" s="8">
        <v>250452</v>
      </c>
      <c r="AP283" s="8">
        <v>22840</v>
      </c>
      <c r="AT283" s="8">
        <v>38000</v>
      </c>
      <c r="AV283" s="8">
        <v>101827</v>
      </c>
      <c r="AX283" s="8">
        <v>0</v>
      </c>
      <c r="AZ283" s="8">
        <f t="shared" si="23"/>
        <v>12925601</v>
      </c>
      <c r="BB283" s="8">
        <v>0</v>
      </c>
      <c r="BH283" s="8">
        <v>0</v>
      </c>
      <c r="BJ283" s="8">
        <f t="shared" si="24"/>
        <v>12925601</v>
      </c>
      <c r="BL283" s="8">
        <f>+GenRev!AM283-GenExp!BJ283</f>
        <v>-554361</v>
      </c>
      <c r="BN283" s="8">
        <v>1428131</v>
      </c>
      <c r="BP283" s="8">
        <v>-547</v>
      </c>
      <c r="BS283" s="8">
        <f t="shared" si="26"/>
        <v>874317</v>
      </c>
      <c r="BU283" s="9">
        <f>+BS283-'Gen Fd BS'!AA283+BQ283</f>
        <v>0</v>
      </c>
    </row>
    <row r="284" spans="1:75">
      <c r="A284" s="13" t="s">
        <v>653</v>
      </c>
      <c r="B284" s="13"/>
      <c r="C284" s="13" t="s">
        <v>62</v>
      </c>
      <c r="D284" s="13"/>
      <c r="E284" s="32">
        <v>49866</v>
      </c>
      <c r="G284" s="8">
        <v>13682804</v>
      </c>
      <c r="I284" s="8">
        <v>2276571</v>
      </c>
      <c r="K284" s="8">
        <v>423167</v>
      </c>
      <c r="M284" s="8">
        <f>301805+881020</f>
        <v>1182825</v>
      </c>
      <c r="O284" s="8">
        <v>912344</v>
      </c>
      <c r="Q284" s="8">
        <v>1449146</v>
      </c>
      <c r="S284" s="8">
        <v>26288</v>
      </c>
      <c r="U284" s="8">
        <v>2667751</v>
      </c>
      <c r="W284" s="8">
        <v>593578</v>
      </c>
      <c r="Y284" s="8">
        <v>72969</v>
      </c>
      <c r="AA284" s="8">
        <v>3269373</v>
      </c>
      <c r="AC284" s="8">
        <v>2022818</v>
      </c>
      <c r="AE284" s="8">
        <v>38386</v>
      </c>
      <c r="AG284" s="8">
        <v>0</v>
      </c>
      <c r="AI284" s="8">
        <v>37337</v>
      </c>
      <c r="AJ284" s="13" t="s">
        <v>653</v>
      </c>
      <c r="AK284" s="13"/>
      <c r="AL284" s="13" t="s">
        <v>62</v>
      </c>
      <c r="AN284" s="8">
        <v>629387</v>
      </c>
      <c r="AP284" s="8">
        <v>58396</v>
      </c>
      <c r="AT284" s="8">
        <v>24642</v>
      </c>
      <c r="AV284" s="8">
        <v>1756</v>
      </c>
      <c r="AX284" s="8">
        <v>0</v>
      </c>
      <c r="AZ284" s="8">
        <f t="shared" si="23"/>
        <v>29369538</v>
      </c>
      <c r="BB284" s="8">
        <v>100443</v>
      </c>
      <c r="BH284" s="8">
        <v>0</v>
      </c>
      <c r="BJ284" s="8">
        <f t="shared" si="24"/>
        <v>29469981</v>
      </c>
      <c r="BL284" s="8">
        <f>+GenRev!AM284-GenExp!BJ284</f>
        <v>774878</v>
      </c>
      <c r="BN284" s="8">
        <v>3660978</v>
      </c>
      <c r="BP284" s="8">
        <v>0</v>
      </c>
      <c r="BS284" s="8">
        <f t="shared" si="26"/>
        <v>4435856</v>
      </c>
      <c r="BU284" s="9">
        <f>+BS284-'Gen Fd BS'!AA284+BQ284</f>
        <v>0</v>
      </c>
    </row>
    <row r="285" spans="1:75">
      <c r="A285" s="13" t="s">
        <v>653</v>
      </c>
      <c r="B285" s="13"/>
      <c r="C285" s="13" t="s">
        <v>72</v>
      </c>
      <c r="D285" s="13"/>
      <c r="E285" s="32">
        <v>50690</v>
      </c>
      <c r="G285" s="8">
        <v>6536657</v>
      </c>
      <c r="I285" s="8">
        <v>1164897</v>
      </c>
      <c r="K285" s="8">
        <v>172722</v>
      </c>
      <c r="M285" s="8">
        <v>0</v>
      </c>
      <c r="O285" s="8">
        <v>602036</v>
      </c>
      <c r="Q285" s="8">
        <v>515034</v>
      </c>
      <c r="S285" s="8">
        <v>89438</v>
      </c>
      <c r="U285" s="8">
        <v>1057562</v>
      </c>
      <c r="W285" s="8">
        <v>453536</v>
      </c>
      <c r="Y285" s="8">
        <v>0</v>
      </c>
      <c r="AA285" s="8">
        <v>1440529</v>
      </c>
      <c r="AC285" s="8">
        <v>673164</v>
      </c>
      <c r="AE285" s="8">
        <v>117203</v>
      </c>
      <c r="AG285" s="8">
        <v>0</v>
      </c>
      <c r="AI285" s="8">
        <v>0</v>
      </c>
      <c r="AJ285" s="13" t="s">
        <v>653</v>
      </c>
      <c r="AK285" s="13"/>
      <c r="AL285" s="13" t="s">
        <v>72</v>
      </c>
      <c r="AN285" s="8">
        <v>421148</v>
      </c>
      <c r="AP285" s="8">
        <v>0</v>
      </c>
      <c r="AT285" s="8">
        <v>0</v>
      </c>
      <c r="AV285" s="8">
        <v>0</v>
      </c>
      <c r="AX285" s="8">
        <v>0</v>
      </c>
      <c r="AZ285" s="8">
        <f t="shared" si="23"/>
        <v>13243926</v>
      </c>
      <c r="BB285" s="8">
        <v>114747</v>
      </c>
      <c r="BH285" s="8">
        <v>0</v>
      </c>
      <c r="BJ285" s="8">
        <f t="shared" si="24"/>
        <v>13358673</v>
      </c>
      <c r="BL285" s="8">
        <f>+GenRev!AM285-GenExp!BJ285</f>
        <v>-87885</v>
      </c>
      <c r="BN285" s="8">
        <v>2993958</v>
      </c>
      <c r="BP285" s="8">
        <v>0</v>
      </c>
      <c r="BS285" s="8">
        <f t="shared" si="26"/>
        <v>2906073</v>
      </c>
      <c r="BU285" s="9">
        <f>+BS285-'Gen Fd BS'!AA285+BQ285</f>
        <v>0</v>
      </c>
    </row>
    <row r="286" spans="1:75">
      <c r="A286" s="13" t="s">
        <v>684</v>
      </c>
      <c r="B286" s="13"/>
      <c r="C286" s="13" t="s">
        <v>64</v>
      </c>
      <c r="D286" s="13"/>
      <c r="E286" s="32">
        <v>50187</v>
      </c>
      <c r="G286" s="8">
        <v>6982120</v>
      </c>
      <c r="I286" s="8">
        <v>2197764</v>
      </c>
      <c r="K286" s="8">
        <v>1431</v>
      </c>
      <c r="M286" s="8">
        <v>0</v>
      </c>
      <c r="O286" s="8">
        <v>885475</v>
      </c>
      <c r="Q286" s="8">
        <v>742014</v>
      </c>
      <c r="S286" s="8">
        <v>43615</v>
      </c>
      <c r="U286" s="8">
        <v>1255518</v>
      </c>
      <c r="W286" s="8">
        <v>413195</v>
      </c>
      <c r="Y286" s="8">
        <v>0</v>
      </c>
      <c r="AA286" s="8">
        <v>1501768</v>
      </c>
      <c r="AC286" s="8">
        <v>649807</v>
      </c>
      <c r="AE286" s="8">
        <v>0</v>
      </c>
      <c r="AG286" s="8">
        <v>0</v>
      </c>
      <c r="AI286" s="8">
        <v>0</v>
      </c>
      <c r="AJ286" s="13" t="s">
        <v>684</v>
      </c>
      <c r="AK286" s="13"/>
      <c r="AL286" s="13" t="s">
        <v>64</v>
      </c>
      <c r="AN286" s="8">
        <v>341234</v>
      </c>
      <c r="AP286" s="8">
        <v>900</v>
      </c>
      <c r="AT286" s="8">
        <v>0</v>
      </c>
      <c r="AV286" s="8">
        <v>30000</v>
      </c>
      <c r="AX286" s="8">
        <v>0</v>
      </c>
      <c r="AZ286" s="8">
        <f t="shared" si="23"/>
        <v>15044841</v>
      </c>
      <c r="BB286" s="8">
        <v>430</v>
      </c>
      <c r="BH286" s="8">
        <v>0</v>
      </c>
      <c r="BJ286" s="8">
        <f t="shared" si="24"/>
        <v>15045271</v>
      </c>
      <c r="BL286" s="8">
        <f>+GenRev!AM286-GenExp!BJ286</f>
        <v>903822</v>
      </c>
      <c r="BN286" s="8">
        <v>-1995030</v>
      </c>
      <c r="BP286" s="8">
        <v>0</v>
      </c>
      <c r="BS286" s="8">
        <f t="shared" si="26"/>
        <v>-1091208</v>
      </c>
      <c r="BU286" s="9">
        <f>+BS286-'Gen Fd BS'!AA286+BQ286</f>
        <v>0</v>
      </c>
    </row>
    <row r="287" spans="1:75">
      <c r="A287" s="13" t="s">
        <v>310</v>
      </c>
      <c r="B287" s="13"/>
      <c r="C287" s="13" t="s">
        <v>20</v>
      </c>
      <c r="D287" s="13"/>
      <c r="E287" s="32">
        <v>44198</v>
      </c>
      <c r="F287" s="11"/>
      <c r="G287" s="8">
        <v>26782971</v>
      </c>
      <c r="I287" s="8">
        <v>9990299</v>
      </c>
      <c r="K287" s="8">
        <v>3208840</v>
      </c>
      <c r="M287" s="8">
        <f>129698+2965907</f>
        <v>3095605</v>
      </c>
      <c r="O287" s="8">
        <v>4498469</v>
      </c>
      <c r="Q287" s="8">
        <v>3709468</v>
      </c>
      <c r="S287" s="8">
        <v>179159</v>
      </c>
      <c r="U287" s="8">
        <v>3155114</v>
      </c>
      <c r="W287" s="8">
        <v>1726754</v>
      </c>
      <c r="Y287" s="8">
        <v>1013513</v>
      </c>
      <c r="AA287" s="8">
        <v>8327804</v>
      </c>
      <c r="AC287" s="8">
        <v>78421</v>
      </c>
      <c r="AE287" s="8">
        <v>481000</v>
      </c>
      <c r="AG287" s="8">
        <v>0</v>
      </c>
      <c r="AI287" s="8">
        <v>1300017</v>
      </c>
      <c r="AJ287" s="13" t="s">
        <v>310</v>
      </c>
      <c r="AK287" s="13"/>
      <c r="AL287" s="13" t="s">
        <v>20</v>
      </c>
      <c r="AN287" s="8">
        <v>790946</v>
      </c>
      <c r="AP287" s="8">
        <v>0</v>
      </c>
      <c r="AT287" s="8">
        <v>556838</v>
      </c>
      <c r="AV287" s="8">
        <v>22893</v>
      </c>
      <c r="AX287" s="8">
        <v>0</v>
      </c>
      <c r="AZ287" s="8">
        <f t="shared" si="23"/>
        <v>68918111</v>
      </c>
      <c r="BB287" s="8">
        <v>45000</v>
      </c>
      <c r="BH287" s="8">
        <v>0</v>
      </c>
      <c r="BJ287" s="8">
        <f t="shared" si="24"/>
        <v>68963111</v>
      </c>
      <c r="BL287" s="8">
        <f>+GenRev!AM287-GenExp!BJ287</f>
        <v>-2793038</v>
      </c>
      <c r="BN287" s="8">
        <v>17085665</v>
      </c>
      <c r="BP287" s="8">
        <v>0</v>
      </c>
      <c r="BS287" s="8">
        <f t="shared" si="26"/>
        <v>14292627</v>
      </c>
      <c r="BU287" s="9">
        <f>+BS287-'Gen Fd BS'!AA287+BQ287</f>
        <v>0</v>
      </c>
    </row>
    <row r="288" spans="1:75">
      <c r="A288" s="13" t="s">
        <v>864</v>
      </c>
      <c r="B288" s="13"/>
      <c r="C288" s="13" t="s">
        <v>42</v>
      </c>
      <c r="D288" s="13"/>
      <c r="E288" s="32">
        <v>47993</v>
      </c>
      <c r="G288" s="8">
        <v>11328133</v>
      </c>
      <c r="I288" s="8">
        <v>0</v>
      </c>
      <c r="K288" s="8">
        <v>0</v>
      </c>
      <c r="M288" s="8">
        <v>0</v>
      </c>
      <c r="O288" s="8">
        <v>1243846</v>
      </c>
      <c r="Q288" s="8">
        <v>331801</v>
      </c>
      <c r="S288" s="8">
        <v>50581</v>
      </c>
      <c r="U288" s="8">
        <v>1638493</v>
      </c>
      <c r="W288" s="8">
        <v>612586</v>
      </c>
      <c r="Y288" s="8">
        <v>17638</v>
      </c>
      <c r="AA288" s="8">
        <v>1591589</v>
      </c>
      <c r="AC288" s="8">
        <v>1470345</v>
      </c>
      <c r="AE288" s="8">
        <v>305226</v>
      </c>
      <c r="AG288" s="8">
        <v>0</v>
      </c>
      <c r="AI288" s="8">
        <v>11119</v>
      </c>
      <c r="AJ288" s="13" t="s">
        <v>475</v>
      </c>
      <c r="AK288" s="13"/>
      <c r="AL288" s="13" t="s">
        <v>42</v>
      </c>
      <c r="AN288" s="8">
        <v>212139</v>
      </c>
      <c r="AP288" s="8">
        <v>0</v>
      </c>
      <c r="AT288" s="8">
        <v>43136</v>
      </c>
      <c r="AV288" s="8">
        <v>9136</v>
      </c>
      <c r="AX288" s="8">
        <v>0</v>
      </c>
      <c r="AZ288" s="8">
        <f t="shared" si="23"/>
        <v>18865768</v>
      </c>
      <c r="BB288" s="8">
        <v>0</v>
      </c>
      <c r="BH288" s="8">
        <v>0</v>
      </c>
      <c r="BJ288" s="8">
        <f t="shared" si="24"/>
        <v>18865768</v>
      </c>
      <c r="BL288" s="8">
        <f>+GenRev!AM288-GenExp!BJ288</f>
        <v>65506</v>
      </c>
      <c r="BN288" s="8">
        <v>4920207</v>
      </c>
      <c r="BP288" s="8">
        <v>7498</v>
      </c>
      <c r="BS288" s="8">
        <f t="shared" si="26"/>
        <v>4978215</v>
      </c>
      <c r="BU288" s="9">
        <f>+BS288-'Gen Fd BS'!AA288+BQ288</f>
        <v>0</v>
      </c>
      <c r="BW288" s="8" t="s">
        <v>913</v>
      </c>
    </row>
    <row r="289" spans="1:75">
      <c r="A289" s="13" t="s">
        <v>245</v>
      </c>
      <c r="B289" s="13"/>
      <c r="C289" s="13" t="s">
        <v>242</v>
      </c>
      <c r="D289" s="13"/>
      <c r="E289" s="32">
        <v>46110</v>
      </c>
      <c r="G289" s="8">
        <v>69016378</v>
      </c>
      <c r="I289" s="8">
        <v>12984090</v>
      </c>
      <c r="K289" s="8">
        <v>335</v>
      </c>
      <c r="M289" s="8">
        <v>2656463</v>
      </c>
      <c r="O289" s="8">
        <v>8740060</v>
      </c>
      <c r="Q289" s="8">
        <v>11039794</v>
      </c>
      <c r="S289" s="8">
        <v>99449</v>
      </c>
      <c r="U289" s="8">
        <v>15986162</v>
      </c>
      <c r="W289" s="8">
        <v>1136132</v>
      </c>
      <c r="Y289" s="8">
        <v>319445</v>
      </c>
      <c r="AA289" s="8">
        <v>15033119</v>
      </c>
      <c r="AC289" s="8">
        <v>15445939</v>
      </c>
      <c r="AE289" s="8">
        <v>3702630</v>
      </c>
      <c r="AG289" s="8">
        <v>0</v>
      </c>
      <c r="AI289" s="8">
        <v>225454</v>
      </c>
      <c r="AJ289" s="13" t="s">
        <v>245</v>
      </c>
      <c r="AK289" s="13"/>
      <c r="AL289" s="13" t="s">
        <v>242</v>
      </c>
      <c r="AN289" s="8">
        <v>412012</v>
      </c>
      <c r="AP289" s="8">
        <v>1069983</v>
      </c>
      <c r="AT289" s="8">
        <v>0</v>
      </c>
      <c r="AV289" s="8">
        <v>0</v>
      </c>
      <c r="AX289" s="8">
        <v>0</v>
      </c>
      <c r="AZ289" s="8">
        <f t="shared" si="23"/>
        <v>157867445</v>
      </c>
      <c r="BB289" s="8">
        <v>1996206</v>
      </c>
      <c r="BH289" s="8">
        <v>0</v>
      </c>
      <c r="BJ289" s="8">
        <f t="shared" si="24"/>
        <v>159863651</v>
      </c>
      <c r="BL289" s="8">
        <f>+GenRev!AM289-GenExp!BJ289</f>
        <v>-6325224</v>
      </c>
      <c r="BN289" s="8">
        <v>37237436</v>
      </c>
      <c r="BP289" s="8">
        <v>0</v>
      </c>
      <c r="BS289" s="8">
        <f t="shared" si="26"/>
        <v>30912212</v>
      </c>
      <c r="BU289" s="9">
        <f>+BS289-'Gen Fd BS'!AA289+BQ289</f>
        <v>0</v>
      </c>
    </row>
    <row r="290" spans="1:75">
      <c r="A290" s="12" t="s">
        <v>986</v>
      </c>
      <c r="B290" s="13"/>
      <c r="C290" s="13" t="s">
        <v>79</v>
      </c>
      <c r="D290" s="13"/>
      <c r="E290" s="32">
        <v>49569</v>
      </c>
      <c r="G290" s="8">
        <v>4900449</v>
      </c>
      <c r="I290" s="8">
        <v>1109710</v>
      </c>
      <c r="K290" s="8">
        <v>6234</v>
      </c>
      <c r="M290" s="8">
        <v>28661</v>
      </c>
      <c r="O290" s="8">
        <v>628092</v>
      </c>
      <c r="Q290" s="8">
        <v>210043</v>
      </c>
      <c r="S290" s="8">
        <v>25067</v>
      </c>
      <c r="U290" s="8">
        <v>822717</v>
      </c>
      <c r="W290" s="8">
        <v>204549</v>
      </c>
      <c r="Y290" s="8">
        <v>179051</v>
      </c>
      <c r="AA290" s="8">
        <v>841680</v>
      </c>
      <c r="AC290" s="8">
        <v>663216</v>
      </c>
      <c r="AE290" s="8">
        <v>58450</v>
      </c>
      <c r="AG290" s="8">
        <v>0</v>
      </c>
      <c r="AI290" s="8">
        <v>0</v>
      </c>
      <c r="AJ290" s="13" t="s">
        <v>245</v>
      </c>
      <c r="AK290" s="13"/>
      <c r="AL290" s="13" t="s">
        <v>79</v>
      </c>
      <c r="AN290" s="8">
        <v>229179</v>
      </c>
      <c r="AP290" s="8">
        <v>0</v>
      </c>
      <c r="AT290" s="8">
        <v>45910</v>
      </c>
      <c r="AV290" s="8">
        <v>3284</v>
      </c>
      <c r="AX290" s="8">
        <v>0</v>
      </c>
      <c r="AZ290" s="8">
        <f t="shared" si="23"/>
        <v>9956292</v>
      </c>
      <c r="BB290" s="8">
        <v>120000</v>
      </c>
      <c r="BH290" s="8">
        <v>0</v>
      </c>
      <c r="BJ290" s="8">
        <f t="shared" si="24"/>
        <v>10076292</v>
      </c>
      <c r="BL290" s="8">
        <f>+GenRev!AM290-GenExp!BJ290</f>
        <v>88323</v>
      </c>
      <c r="BN290" s="8">
        <v>122274</v>
      </c>
      <c r="BP290" s="8">
        <v>0</v>
      </c>
      <c r="BS290" s="8">
        <f t="shared" si="26"/>
        <v>210597</v>
      </c>
      <c r="BU290" s="9">
        <f>+BS290-'Gen Fd BS'!AA290+BQ290</f>
        <v>0</v>
      </c>
      <c r="BW290" s="8" t="s">
        <v>956</v>
      </c>
    </row>
    <row r="291" spans="1:75">
      <c r="A291" s="13" t="s">
        <v>347</v>
      </c>
      <c r="B291" s="13"/>
      <c r="C291" s="13" t="s">
        <v>25</v>
      </c>
      <c r="D291" s="13"/>
      <c r="E291" s="32">
        <v>44206</v>
      </c>
      <c r="G291" s="8">
        <v>23761485</v>
      </c>
      <c r="I291" s="8">
        <v>5456085</v>
      </c>
      <c r="K291" s="8">
        <v>1761578</v>
      </c>
      <c r="M291" s="8">
        <v>0</v>
      </c>
      <c r="O291" s="8">
        <v>2224999</v>
      </c>
      <c r="Q291" s="8">
        <v>2085287</v>
      </c>
      <c r="S291" s="8">
        <v>126111</v>
      </c>
      <c r="U291" s="8">
        <v>3913386</v>
      </c>
      <c r="W291" s="8">
        <v>1778785</v>
      </c>
      <c r="Y291" s="8">
        <v>946366</v>
      </c>
      <c r="AA291" s="8">
        <v>4678181</v>
      </c>
      <c r="AC291" s="8">
        <v>1642108</v>
      </c>
      <c r="AE291" s="8">
        <v>330493</v>
      </c>
      <c r="AG291" s="8">
        <v>0</v>
      </c>
      <c r="AI291" s="8">
        <v>0</v>
      </c>
      <c r="AJ291" s="13" t="s">
        <v>347</v>
      </c>
      <c r="AK291" s="13"/>
      <c r="AL291" s="13" t="s">
        <v>25</v>
      </c>
      <c r="AN291" s="8">
        <v>746961</v>
      </c>
      <c r="AP291" s="8">
        <v>476088</v>
      </c>
      <c r="AT291" s="8">
        <v>0</v>
      </c>
      <c r="AV291" s="8">
        <v>0</v>
      </c>
      <c r="AX291" s="8">
        <v>0</v>
      </c>
      <c r="AZ291" s="8">
        <f t="shared" si="23"/>
        <v>49927913</v>
      </c>
      <c r="BB291" s="8">
        <v>28376</v>
      </c>
      <c r="BH291" s="8">
        <v>0</v>
      </c>
      <c r="BJ291" s="8">
        <f t="shared" si="24"/>
        <v>49956289</v>
      </c>
      <c r="BL291" s="8">
        <f>+GenRev!AM291-GenExp!BJ291</f>
        <v>3421714</v>
      </c>
      <c r="BN291" s="8">
        <v>10008551</v>
      </c>
      <c r="BP291" s="8">
        <v>0</v>
      </c>
      <c r="BS291" s="8">
        <f t="shared" si="26"/>
        <v>13430265</v>
      </c>
      <c r="BU291" s="9">
        <f>+BS291-'Gen Fd BS'!AA291+BQ291</f>
        <v>0</v>
      </c>
    </row>
    <row r="292" spans="1:75" s="35" customFormat="1" hidden="1">
      <c r="A292" s="12" t="s">
        <v>831</v>
      </c>
      <c r="B292" s="34"/>
      <c r="C292" s="34" t="s">
        <v>69</v>
      </c>
      <c r="D292" s="34"/>
      <c r="E292" s="32">
        <v>44214</v>
      </c>
      <c r="G292" s="8">
        <v>17408928</v>
      </c>
      <c r="H292" s="8"/>
      <c r="I292" s="8">
        <v>2958612</v>
      </c>
      <c r="J292" s="8"/>
      <c r="K292" s="8">
        <v>45341</v>
      </c>
      <c r="L292" s="8"/>
      <c r="M292" s="8">
        <v>1842002</v>
      </c>
      <c r="N292" s="8"/>
      <c r="O292" s="8">
        <v>2034246</v>
      </c>
      <c r="P292" s="8"/>
      <c r="Q292" s="8">
        <v>2298849</v>
      </c>
      <c r="R292" s="8"/>
      <c r="S292" s="8">
        <v>51086</v>
      </c>
      <c r="T292" s="8"/>
      <c r="U292" s="8">
        <v>2619397</v>
      </c>
      <c r="V292" s="8"/>
      <c r="W292" s="8">
        <v>824633</v>
      </c>
      <c r="X292" s="8"/>
      <c r="Y292" s="8">
        <v>12</v>
      </c>
      <c r="Z292" s="8"/>
      <c r="AA292" s="8">
        <v>3625103</v>
      </c>
      <c r="AB292" s="8"/>
      <c r="AC292" s="8">
        <v>4901204</v>
      </c>
      <c r="AD292" s="8"/>
      <c r="AE292" s="8">
        <v>242488</v>
      </c>
      <c r="AF292" s="8"/>
      <c r="AG292" s="8">
        <v>0</v>
      </c>
      <c r="AH292" s="8"/>
      <c r="AI292" s="8">
        <v>747</v>
      </c>
      <c r="AJ292" s="12" t="s">
        <v>831</v>
      </c>
      <c r="AK292" s="13"/>
      <c r="AL292" s="13" t="s">
        <v>69</v>
      </c>
      <c r="AM292" s="8"/>
      <c r="AN292" s="8">
        <v>656930</v>
      </c>
      <c r="AO292" s="8"/>
      <c r="AP292" s="8"/>
      <c r="AQ292" s="8"/>
      <c r="AR292" s="8"/>
      <c r="AS292" s="8"/>
      <c r="AT292" s="8">
        <v>800000</v>
      </c>
      <c r="AU292" s="8"/>
      <c r="AV292" s="8">
        <v>191194</v>
      </c>
      <c r="AW292" s="8"/>
      <c r="AX292" s="8">
        <v>0</v>
      </c>
      <c r="AY292" s="8"/>
      <c r="AZ292" s="8">
        <f>SUM(G292:AX292)</f>
        <v>40500772</v>
      </c>
      <c r="BA292" s="8"/>
      <c r="BB292" s="8"/>
      <c r="BC292" s="8"/>
      <c r="BD292" s="8">
        <f>164693-67578</f>
        <v>97115</v>
      </c>
      <c r="BE292" s="8"/>
      <c r="BF292" s="8"/>
      <c r="BG292" s="8"/>
      <c r="BH292" s="8">
        <v>0</v>
      </c>
      <c r="BI292" s="8"/>
      <c r="BJ292" s="8">
        <f>+AZ292+BB292+BD292+BH292</f>
        <v>40597887</v>
      </c>
      <c r="BK292" s="8"/>
      <c r="BL292" s="8">
        <f>+GenRev!AM292-GenExp!BJ292</f>
        <v>860900</v>
      </c>
      <c r="BM292" s="8"/>
      <c r="BN292" s="8">
        <v>7533020</v>
      </c>
      <c r="BO292" s="8"/>
      <c r="BP292" s="8"/>
      <c r="BQ292" s="8"/>
      <c r="BR292" s="8"/>
      <c r="BS292" s="8">
        <f t="shared" si="26"/>
        <v>8393920</v>
      </c>
      <c r="BT292" s="8"/>
      <c r="BU292" s="9">
        <f>+BS292-'Gen Fd BS'!AA292+BQ292</f>
        <v>-124523</v>
      </c>
    </row>
    <row r="293" spans="1:75">
      <c r="A293" s="13" t="s">
        <v>381</v>
      </c>
      <c r="B293" s="13"/>
      <c r="C293" s="13" t="s">
        <v>30</v>
      </c>
      <c r="D293" s="13"/>
      <c r="E293" s="13">
        <v>47209</v>
      </c>
      <c r="G293" s="8">
        <v>2761132</v>
      </c>
      <c r="I293" s="8">
        <v>853592</v>
      </c>
      <c r="K293" s="8">
        <v>140848</v>
      </c>
      <c r="M293" s="8">
        <v>0</v>
      </c>
      <c r="O293" s="8">
        <v>106059</v>
      </c>
      <c r="Q293" s="8">
        <v>96503</v>
      </c>
      <c r="S293" s="8">
        <v>18323</v>
      </c>
      <c r="U293" s="8">
        <v>535651</v>
      </c>
      <c r="W293" s="8">
        <v>190535</v>
      </c>
      <c r="Y293" s="8">
        <v>0</v>
      </c>
      <c r="AA293" s="8">
        <v>577392</v>
      </c>
      <c r="AC293" s="8">
        <v>444517</v>
      </c>
      <c r="AE293" s="8">
        <v>0</v>
      </c>
      <c r="AG293" s="8">
        <v>0</v>
      </c>
      <c r="AI293" s="8">
        <v>0</v>
      </c>
      <c r="AJ293" s="13" t="s">
        <v>381</v>
      </c>
      <c r="AK293" s="13"/>
      <c r="AL293" s="13" t="s">
        <v>30</v>
      </c>
      <c r="AN293" s="8">
        <v>95529</v>
      </c>
      <c r="AP293" s="8">
        <v>8500</v>
      </c>
      <c r="AT293" s="8">
        <v>0</v>
      </c>
      <c r="AV293" s="8">
        <v>0</v>
      </c>
      <c r="AX293" s="8">
        <v>0</v>
      </c>
      <c r="AZ293" s="8">
        <f t="shared" ref="AZ293:AZ304" si="27">SUM(G293:AX293)</f>
        <v>5828581</v>
      </c>
      <c r="BB293" s="8">
        <v>0</v>
      </c>
      <c r="BH293" s="8">
        <v>0</v>
      </c>
      <c r="BJ293" s="8">
        <f>+AZ293+BB293+BD293+BH293</f>
        <v>5828581</v>
      </c>
      <c r="BL293" s="8">
        <f>+GenRev!AM293-GenExp!BJ293</f>
        <v>-288642</v>
      </c>
      <c r="BN293" s="8">
        <v>373547</v>
      </c>
      <c r="BP293" s="8">
        <v>0</v>
      </c>
      <c r="BS293" s="8">
        <f t="shared" si="26"/>
        <v>84905</v>
      </c>
      <c r="BU293" s="9">
        <f>+BS293-'Gen Fd BS'!AA293+BQ293</f>
        <v>0</v>
      </c>
    </row>
    <row r="294" spans="1:75" hidden="1">
      <c r="A294" s="12" t="s">
        <v>987</v>
      </c>
      <c r="B294" s="13"/>
      <c r="C294" s="13" t="s">
        <v>603</v>
      </c>
      <c r="D294" s="13"/>
      <c r="E294" s="32">
        <v>49353</v>
      </c>
      <c r="G294" s="8">
        <v>2543043</v>
      </c>
      <c r="I294" s="8">
        <v>722800</v>
      </c>
      <c r="K294" s="8">
        <v>290468</v>
      </c>
      <c r="O294" s="8">
        <v>60415</v>
      </c>
      <c r="Q294" s="8">
        <v>135546</v>
      </c>
      <c r="S294" s="8">
        <v>28376</v>
      </c>
      <c r="U294" s="8">
        <v>514595</v>
      </c>
      <c r="W294" s="8">
        <v>219056</v>
      </c>
      <c r="AA294" s="8">
        <v>511450</v>
      </c>
      <c r="AC294" s="8">
        <v>267108</v>
      </c>
      <c r="AG294" s="8">
        <v>0</v>
      </c>
      <c r="AJ294" s="12" t="s">
        <v>987</v>
      </c>
      <c r="AK294" s="13"/>
      <c r="AL294" s="13" t="s">
        <v>603</v>
      </c>
      <c r="AN294" s="8">
        <v>165135</v>
      </c>
      <c r="AX294" s="8">
        <v>0</v>
      </c>
      <c r="AZ294" s="8">
        <f t="shared" si="27"/>
        <v>5457992</v>
      </c>
      <c r="BB294" s="8">
        <v>218004</v>
      </c>
      <c r="BD294" s="8">
        <f>743169-742231</f>
        <v>938</v>
      </c>
      <c r="BH294" s="8">
        <v>0</v>
      </c>
      <c r="BJ294" s="8">
        <f>+AZ294+BB294+BD294+BH294</f>
        <v>5676934</v>
      </c>
      <c r="BL294" s="8">
        <f>+GenRev!AM294-GenExp!BJ294</f>
        <v>2720</v>
      </c>
      <c r="BN294" s="8">
        <v>2078306</v>
      </c>
      <c r="BS294" s="8">
        <f t="shared" si="26"/>
        <v>2081026</v>
      </c>
      <c r="BU294" s="9">
        <f>+BS294-'Gen Fd BS'!AA294+BQ294</f>
        <v>0</v>
      </c>
    </row>
    <row r="295" spans="1:75">
      <c r="A295" s="13" t="s">
        <v>610</v>
      </c>
      <c r="B295" s="13"/>
      <c r="C295" s="13" t="s">
        <v>112</v>
      </c>
      <c r="D295" s="13"/>
      <c r="E295" s="32">
        <v>49437</v>
      </c>
      <c r="G295" s="8">
        <v>9757282</v>
      </c>
      <c r="I295" s="8">
        <v>1816745</v>
      </c>
      <c r="K295" s="8">
        <v>0</v>
      </c>
      <c r="M295" s="8">
        <v>824624</v>
      </c>
      <c r="O295" s="8">
        <v>515800</v>
      </c>
      <c r="Q295" s="8">
        <v>1794143</v>
      </c>
      <c r="S295" s="8">
        <v>37316</v>
      </c>
      <c r="U295" s="8">
        <v>1750950</v>
      </c>
      <c r="W295" s="8">
        <v>483127</v>
      </c>
      <c r="Y295" s="8">
        <v>8014</v>
      </c>
      <c r="AA295" s="8">
        <v>1952563</v>
      </c>
      <c r="AC295" s="8">
        <v>1207922</v>
      </c>
      <c r="AE295" s="8">
        <v>149485</v>
      </c>
      <c r="AG295" s="8">
        <v>0</v>
      </c>
      <c r="AI295" s="8">
        <v>10877</v>
      </c>
      <c r="AJ295" s="13" t="s">
        <v>610</v>
      </c>
      <c r="AK295" s="13"/>
      <c r="AL295" s="13" t="s">
        <v>112</v>
      </c>
      <c r="AN295" s="8">
        <v>835903</v>
      </c>
      <c r="AP295" s="8">
        <v>0</v>
      </c>
      <c r="AT295" s="8">
        <v>26447</v>
      </c>
      <c r="AV295" s="8">
        <v>9935</v>
      </c>
      <c r="AX295" s="8">
        <v>0</v>
      </c>
      <c r="AZ295" s="8">
        <f t="shared" si="27"/>
        <v>21181133</v>
      </c>
      <c r="BB295" s="8">
        <v>0</v>
      </c>
      <c r="BH295" s="8">
        <v>0</v>
      </c>
      <c r="BJ295" s="8">
        <f t="shared" ref="BJ295:BJ317" si="28">+AZ295+BB295+BD295+BH295</f>
        <v>21181133</v>
      </c>
      <c r="BL295" s="8">
        <f>+GenRev!AM295-GenExp!BJ295</f>
        <v>-1098598</v>
      </c>
      <c r="BN295" s="8">
        <v>3358635</v>
      </c>
      <c r="BP295" s="8">
        <v>-9352</v>
      </c>
      <c r="BS295" s="8">
        <f t="shared" si="26"/>
        <v>2269389</v>
      </c>
      <c r="BU295" s="9">
        <f>+BS295-'Gen Fd BS'!AA295+BQ295</f>
        <v>0</v>
      </c>
    </row>
    <row r="296" spans="1:75">
      <c r="A296" s="13" t="s">
        <v>431</v>
      </c>
      <c r="B296" s="13"/>
      <c r="C296" s="13" t="s">
        <v>34</v>
      </c>
      <c r="D296" s="13"/>
      <c r="E296" s="32">
        <v>47589</v>
      </c>
      <c r="G296" s="8">
        <v>4185012</v>
      </c>
      <c r="I296" s="8">
        <v>1899505</v>
      </c>
      <c r="K296" s="8">
        <v>229238</v>
      </c>
      <c r="M296" s="8">
        <f>58124+332986</f>
        <v>391110</v>
      </c>
      <c r="O296" s="8">
        <v>665889</v>
      </c>
      <c r="Q296" s="8">
        <v>401304</v>
      </c>
      <c r="S296" s="8">
        <v>54805</v>
      </c>
      <c r="U296" s="8">
        <v>760116</v>
      </c>
      <c r="W296" s="8">
        <v>336763</v>
      </c>
      <c r="Y296" s="8">
        <v>0</v>
      </c>
      <c r="AA296" s="8">
        <v>830620</v>
      </c>
      <c r="AC296" s="8">
        <v>475490</v>
      </c>
      <c r="AE296" s="8">
        <v>235854</v>
      </c>
      <c r="AG296" s="8">
        <v>0</v>
      </c>
      <c r="AI296" s="8">
        <v>0</v>
      </c>
      <c r="AJ296" s="13" t="s">
        <v>431</v>
      </c>
      <c r="AK296" s="13"/>
      <c r="AL296" s="13" t="s">
        <v>34</v>
      </c>
      <c r="AN296" s="8">
        <v>285924</v>
      </c>
      <c r="AP296" s="8">
        <v>28250</v>
      </c>
      <c r="AT296" s="8">
        <v>0</v>
      </c>
      <c r="AV296" s="8">
        <v>0</v>
      </c>
      <c r="AX296" s="8">
        <v>0</v>
      </c>
      <c r="AZ296" s="8">
        <f t="shared" si="27"/>
        <v>10779880</v>
      </c>
      <c r="BB296" s="8">
        <v>0</v>
      </c>
      <c r="BH296" s="8">
        <v>0</v>
      </c>
      <c r="BJ296" s="8">
        <f t="shared" si="28"/>
        <v>10779880</v>
      </c>
      <c r="BL296" s="8">
        <f>+GenRev!AM296-GenExp!BJ296</f>
        <v>931602</v>
      </c>
      <c r="BN296" s="8">
        <v>2650616</v>
      </c>
      <c r="BP296" s="8">
        <v>0</v>
      </c>
      <c r="BS296" s="8">
        <f t="shared" si="26"/>
        <v>3582218</v>
      </c>
      <c r="BU296" s="9">
        <f>+BS296-'Gen Fd BS'!AA296+BQ296</f>
        <v>0</v>
      </c>
    </row>
    <row r="297" spans="1:75">
      <c r="A297" s="12" t="s">
        <v>988</v>
      </c>
      <c r="B297" s="13"/>
      <c r="C297" s="13" t="s">
        <v>64</v>
      </c>
      <c r="D297" s="13"/>
      <c r="E297" s="32">
        <v>50195</v>
      </c>
      <c r="G297" s="8">
        <v>8716304</v>
      </c>
      <c r="I297" s="8">
        <v>576560</v>
      </c>
      <c r="K297" s="8">
        <v>75854</v>
      </c>
      <c r="M297" s="8">
        <v>61530</v>
      </c>
      <c r="O297" s="8">
        <v>503344</v>
      </c>
      <c r="Q297" s="8">
        <v>395414</v>
      </c>
      <c r="S297" s="8">
        <v>11094</v>
      </c>
      <c r="U297" s="8">
        <v>2161076</v>
      </c>
      <c r="W297" s="8">
        <v>546774</v>
      </c>
      <c r="Y297" s="8">
        <v>11662</v>
      </c>
      <c r="AA297" s="8">
        <v>1663602</v>
      </c>
      <c r="AC297" s="8">
        <v>940029</v>
      </c>
      <c r="AE297" s="8">
        <v>33419</v>
      </c>
      <c r="AG297" s="8">
        <v>0</v>
      </c>
      <c r="AI297" s="8">
        <v>45297</v>
      </c>
      <c r="AJ297" s="13" t="s">
        <v>685</v>
      </c>
      <c r="AK297" s="13"/>
      <c r="AL297" s="13" t="s">
        <v>64</v>
      </c>
      <c r="AN297" s="8">
        <v>361887</v>
      </c>
      <c r="AP297" s="8">
        <v>0</v>
      </c>
      <c r="AT297" s="8">
        <v>0</v>
      </c>
      <c r="AV297" s="8">
        <v>45463</v>
      </c>
      <c r="AX297" s="8">
        <v>0</v>
      </c>
      <c r="AZ297" s="8">
        <f t="shared" si="27"/>
        <v>16149309</v>
      </c>
      <c r="BB297" s="8">
        <v>60815</v>
      </c>
      <c r="BH297" s="8">
        <v>0</v>
      </c>
      <c r="BJ297" s="8">
        <f t="shared" si="28"/>
        <v>16210124</v>
      </c>
      <c r="BL297" s="8">
        <f>+GenRev!AM297-GenExp!BJ297</f>
        <v>-498785</v>
      </c>
      <c r="BN297" s="8">
        <v>-2086108</v>
      </c>
      <c r="BP297" s="8">
        <v>-14042</v>
      </c>
      <c r="BS297" s="8">
        <f t="shared" si="26"/>
        <v>-2570851</v>
      </c>
      <c r="BU297" s="9">
        <f>+BS297-'Gen Fd BS'!AA297+BQ297</f>
        <v>0</v>
      </c>
    </row>
    <row r="298" spans="1:75">
      <c r="A298" s="13" t="s">
        <v>869</v>
      </c>
      <c r="B298" s="13"/>
      <c r="C298" s="13" t="s">
        <v>25</v>
      </c>
      <c r="D298" s="13"/>
      <c r="E298" s="32">
        <v>46888</v>
      </c>
      <c r="G298" s="8">
        <v>5150703</v>
      </c>
      <c r="I298" s="8">
        <v>1105580</v>
      </c>
      <c r="K298" s="8">
        <v>396778</v>
      </c>
      <c r="M298" s="8">
        <v>87545</v>
      </c>
      <c r="O298" s="8">
        <v>644356</v>
      </c>
      <c r="Q298" s="8">
        <v>577424</v>
      </c>
      <c r="S298" s="8">
        <v>117817</v>
      </c>
      <c r="U298" s="8">
        <v>946508</v>
      </c>
      <c r="W298" s="8">
        <v>444637</v>
      </c>
      <c r="Y298" s="8">
        <v>0</v>
      </c>
      <c r="AA298" s="8">
        <v>1353672</v>
      </c>
      <c r="AC298" s="8">
        <v>729957</v>
      </c>
      <c r="AE298" s="8">
        <v>0</v>
      </c>
      <c r="AG298" s="8">
        <v>0</v>
      </c>
      <c r="AI298" s="8">
        <v>1676</v>
      </c>
      <c r="AJ298" s="13" t="s">
        <v>869</v>
      </c>
      <c r="AK298" s="13"/>
      <c r="AL298" s="13" t="s">
        <v>25</v>
      </c>
      <c r="AN298" s="8">
        <v>271311</v>
      </c>
      <c r="AP298" s="8">
        <v>0</v>
      </c>
      <c r="AT298" s="8">
        <v>17188</v>
      </c>
      <c r="AV298" s="8">
        <v>7010</v>
      </c>
      <c r="AX298" s="8">
        <v>0</v>
      </c>
      <c r="AZ298" s="8">
        <f t="shared" si="27"/>
        <v>11852162</v>
      </c>
      <c r="BB298" s="8">
        <v>0</v>
      </c>
      <c r="BH298" s="8">
        <v>0</v>
      </c>
      <c r="BJ298" s="8">
        <f t="shared" si="28"/>
        <v>11852162</v>
      </c>
      <c r="BL298" s="8">
        <f>+GenRev!AM298-GenExp!BJ298</f>
        <v>683370</v>
      </c>
      <c r="BN298" s="8">
        <v>3343193</v>
      </c>
      <c r="BP298" s="8">
        <v>0</v>
      </c>
      <c r="BS298" s="8">
        <f t="shared" si="26"/>
        <v>4026563</v>
      </c>
      <c r="BU298" s="9">
        <f>+BS298-'Gen Fd BS'!AA298+BQ298</f>
        <v>0</v>
      </c>
    </row>
    <row r="299" spans="1:75">
      <c r="A299" s="13" t="s">
        <v>417</v>
      </c>
      <c r="B299" s="13"/>
      <c r="C299" s="13" t="s">
        <v>33</v>
      </c>
      <c r="D299" s="13"/>
      <c r="E299" s="32">
        <v>47449</v>
      </c>
      <c r="F299" s="11"/>
      <c r="G299" s="8">
        <v>6146864</v>
      </c>
      <c r="I299" s="8">
        <v>1228574</v>
      </c>
      <c r="K299" s="8">
        <v>324843</v>
      </c>
      <c r="M299" s="8">
        <v>0</v>
      </c>
      <c r="O299" s="8">
        <v>788214</v>
      </c>
      <c r="Q299" s="8">
        <v>585480</v>
      </c>
      <c r="S299" s="8">
        <v>14557</v>
      </c>
      <c r="U299" s="8">
        <v>907089</v>
      </c>
      <c r="W299" s="8">
        <v>298733</v>
      </c>
      <c r="Y299" s="8">
        <v>1812</v>
      </c>
      <c r="AA299" s="8">
        <v>1153270</v>
      </c>
      <c r="AC299" s="8">
        <v>604295</v>
      </c>
      <c r="AE299" s="8">
        <v>127710</v>
      </c>
      <c r="AG299" s="8">
        <v>0</v>
      </c>
      <c r="AI299" s="8">
        <v>0</v>
      </c>
      <c r="AJ299" s="13" t="s">
        <v>417</v>
      </c>
      <c r="AK299" s="13"/>
      <c r="AL299" s="13" t="s">
        <v>33</v>
      </c>
      <c r="AN299" s="8">
        <v>309523</v>
      </c>
      <c r="AP299" s="8">
        <v>85129</v>
      </c>
      <c r="AT299" s="8">
        <v>0</v>
      </c>
      <c r="AV299" s="8">
        <v>0</v>
      </c>
      <c r="AX299" s="8">
        <v>0</v>
      </c>
      <c r="AZ299" s="8">
        <f t="shared" si="27"/>
        <v>12576093</v>
      </c>
      <c r="BB299" s="8">
        <v>381364</v>
      </c>
      <c r="BH299" s="8">
        <v>0</v>
      </c>
      <c r="BJ299" s="8">
        <f t="shared" si="28"/>
        <v>12957457</v>
      </c>
      <c r="BL299" s="8">
        <f>+GenRev!AM299-GenExp!BJ299</f>
        <v>-1373805</v>
      </c>
      <c r="BN299" s="8">
        <v>4992458</v>
      </c>
      <c r="BP299" s="8">
        <v>0</v>
      </c>
      <c r="BS299" s="8">
        <f t="shared" ref="BS299:BS319" si="29">+BN299+BL299-BP299</f>
        <v>3618653</v>
      </c>
      <c r="BU299" s="9">
        <f>+BS299-'Gen Fd BS'!AA299+BQ299</f>
        <v>0</v>
      </c>
    </row>
    <row r="300" spans="1:75">
      <c r="A300" s="13" t="s">
        <v>476</v>
      </c>
      <c r="B300" s="13"/>
      <c r="C300" s="13" t="s">
        <v>42</v>
      </c>
      <c r="D300" s="13"/>
      <c r="E300" s="32">
        <v>48009</v>
      </c>
      <c r="G300" s="8">
        <v>11316287</v>
      </c>
      <c r="I300" s="8">
        <v>2732269</v>
      </c>
      <c r="K300" s="8">
        <v>289699</v>
      </c>
      <c r="M300" s="8">
        <v>203579</v>
      </c>
      <c r="O300" s="8">
        <v>874788</v>
      </c>
      <c r="Q300" s="8">
        <v>1116051</v>
      </c>
      <c r="S300" s="8">
        <v>134291</v>
      </c>
      <c r="U300" s="8">
        <v>2017801</v>
      </c>
      <c r="W300" s="8">
        <v>541493</v>
      </c>
      <c r="Y300" s="8">
        <v>0</v>
      </c>
      <c r="AA300" s="8">
        <v>2904620</v>
      </c>
      <c r="AC300" s="8">
        <v>1958992</v>
      </c>
      <c r="AE300" s="8">
        <v>184023</v>
      </c>
      <c r="AG300" s="8">
        <v>0</v>
      </c>
      <c r="AI300" s="8">
        <v>0</v>
      </c>
      <c r="AJ300" s="13" t="s">
        <v>476</v>
      </c>
      <c r="AK300" s="13"/>
      <c r="AL300" s="13" t="s">
        <v>42</v>
      </c>
      <c r="AN300" s="8">
        <v>263171</v>
      </c>
      <c r="AP300" s="8">
        <v>246578</v>
      </c>
      <c r="AT300" s="8">
        <v>13185</v>
      </c>
      <c r="AV300" s="8">
        <v>1816</v>
      </c>
      <c r="AX300" s="8">
        <v>0</v>
      </c>
      <c r="AZ300" s="8">
        <f t="shared" si="27"/>
        <v>24798643</v>
      </c>
      <c r="BB300" s="8">
        <v>0</v>
      </c>
      <c r="BH300" s="8">
        <v>0</v>
      </c>
      <c r="BJ300" s="8">
        <f t="shared" si="28"/>
        <v>24798643</v>
      </c>
      <c r="BL300" s="8">
        <f>+GenRev!AM300-GenExp!BJ300</f>
        <v>950921</v>
      </c>
      <c r="BN300" s="8">
        <v>2271170</v>
      </c>
      <c r="BP300" s="8">
        <v>0</v>
      </c>
      <c r="BS300" s="8">
        <f t="shared" si="29"/>
        <v>3222091</v>
      </c>
      <c r="BU300" s="9">
        <f>+BS300-'Gen Fd BS'!AA300+BQ300</f>
        <v>0</v>
      </c>
    </row>
    <row r="301" spans="1:75">
      <c r="A301" s="13" t="s">
        <v>477</v>
      </c>
      <c r="B301" s="13"/>
      <c r="C301" s="13" t="s">
        <v>42</v>
      </c>
      <c r="D301" s="13"/>
      <c r="E301" s="32">
        <v>48017</v>
      </c>
      <c r="F301" s="11"/>
      <c r="G301" s="8">
        <v>6676846</v>
      </c>
      <c r="I301" s="8">
        <v>1311860</v>
      </c>
      <c r="K301" s="8">
        <v>273743</v>
      </c>
      <c r="M301" s="8">
        <v>90893</v>
      </c>
      <c r="O301" s="8">
        <v>485524</v>
      </c>
      <c r="Q301" s="8">
        <v>777110</v>
      </c>
      <c r="S301" s="8">
        <v>65929</v>
      </c>
      <c r="U301" s="8">
        <v>1498894</v>
      </c>
      <c r="W301" s="8">
        <v>418158</v>
      </c>
      <c r="Y301" s="8">
        <v>172649</v>
      </c>
      <c r="AA301" s="8">
        <v>1571169</v>
      </c>
      <c r="AC301" s="8">
        <v>1283016</v>
      </c>
      <c r="AE301" s="8">
        <v>133337</v>
      </c>
      <c r="AG301" s="8">
        <v>0</v>
      </c>
      <c r="AI301" s="8">
        <v>0</v>
      </c>
      <c r="AJ301" s="13" t="s">
        <v>477</v>
      </c>
      <c r="AK301" s="13"/>
      <c r="AL301" s="13" t="s">
        <v>42</v>
      </c>
      <c r="AN301" s="8">
        <v>228118</v>
      </c>
      <c r="AP301" s="8">
        <v>131059</v>
      </c>
      <c r="AT301" s="8">
        <v>230044</v>
      </c>
      <c r="AV301" s="8">
        <v>99501</v>
      </c>
      <c r="AX301" s="8">
        <v>0</v>
      </c>
      <c r="AZ301" s="8">
        <f t="shared" si="27"/>
        <v>15447850</v>
      </c>
      <c r="BB301" s="8">
        <v>88529</v>
      </c>
      <c r="BH301" s="8">
        <v>0</v>
      </c>
      <c r="BJ301" s="8">
        <f t="shared" si="28"/>
        <v>15536379</v>
      </c>
      <c r="BL301" s="8">
        <f>+GenRev!AM301-GenExp!BJ301</f>
        <v>654872</v>
      </c>
      <c r="BN301" s="8">
        <v>3206015</v>
      </c>
      <c r="BP301" s="8">
        <v>0</v>
      </c>
      <c r="BS301" s="8">
        <f t="shared" si="29"/>
        <v>3860887</v>
      </c>
      <c r="BU301" s="9">
        <f>+BS301-'Gen Fd BS'!AA301+BQ301</f>
        <v>0</v>
      </c>
    </row>
    <row r="302" spans="1:75" hidden="1">
      <c r="A302" s="13" t="s">
        <v>989</v>
      </c>
      <c r="B302" s="13"/>
      <c r="C302" s="13" t="s">
        <v>10</v>
      </c>
      <c r="D302" s="13"/>
      <c r="E302" s="32"/>
      <c r="F302" s="11"/>
      <c r="G302" s="8">
        <v>13625973</v>
      </c>
      <c r="I302" s="8">
        <v>3760388</v>
      </c>
      <c r="K302" s="8">
        <v>1892391</v>
      </c>
      <c r="M302" s="8">
        <f>156032+7398200</f>
        <v>7554232</v>
      </c>
      <c r="O302" s="8">
        <v>2104961</v>
      </c>
      <c r="Q302" s="8">
        <v>561428</v>
      </c>
      <c r="S302" s="8">
        <v>147384</v>
      </c>
      <c r="U302" s="8">
        <v>3942267</v>
      </c>
      <c r="W302" s="8">
        <v>854213</v>
      </c>
      <c r="Y302" s="8">
        <v>135569</v>
      </c>
      <c r="AA302" s="8">
        <v>4782195</v>
      </c>
      <c r="AC302" s="8">
        <v>578602</v>
      </c>
      <c r="AE302" s="8">
        <v>521010</v>
      </c>
      <c r="AG302" s="8">
        <v>0</v>
      </c>
      <c r="AJ302" s="13" t="s">
        <v>989</v>
      </c>
      <c r="AK302" s="13"/>
      <c r="AL302" s="13" t="s">
        <v>10</v>
      </c>
      <c r="AN302" s="8">
        <v>332297</v>
      </c>
      <c r="AP302" s="8">
        <v>49120</v>
      </c>
      <c r="AX302" s="8">
        <v>0</v>
      </c>
      <c r="AZ302" s="8">
        <f t="shared" si="27"/>
        <v>40842030</v>
      </c>
      <c r="BB302" s="8">
        <v>278500</v>
      </c>
      <c r="BH302" s="8">
        <v>0</v>
      </c>
      <c r="BJ302" s="8">
        <f t="shared" si="28"/>
        <v>41120530</v>
      </c>
      <c r="BL302" s="8">
        <f>+GenRev!AM302-GenExp!BJ302</f>
        <v>1103047</v>
      </c>
      <c r="BN302" s="8">
        <v>1547257</v>
      </c>
      <c r="BS302" s="8">
        <f t="shared" si="29"/>
        <v>2650304</v>
      </c>
      <c r="BU302" s="9">
        <f>+BS302-'Gen Fd BS'!AA302+BQ302</f>
        <v>-51967</v>
      </c>
    </row>
    <row r="303" spans="1:75">
      <c r="A303" s="13" t="s">
        <v>705</v>
      </c>
      <c r="B303" s="13"/>
      <c r="C303" s="13" t="s">
        <v>67</v>
      </c>
      <c r="D303" s="13"/>
      <c r="E303" s="32">
        <v>50369</v>
      </c>
      <c r="G303" s="8">
        <v>3315192</v>
      </c>
      <c r="I303" s="8">
        <v>1112674</v>
      </c>
      <c r="K303" s="8">
        <v>163502</v>
      </c>
      <c r="M303" s="8">
        <v>657890</v>
      </c>
      <c r="O303" s="8">
        <v>137756</v>
      </c>
      <c r="Q303" s="8">
        <v>268174</v>
      </c>
      <c r="S303" s="8">
        <v>28330</v>
      </c>
      <c r="U303" s="8">
        <v>833099</v>
      </c>
      <c r="W303" s="8">
        <v>254815</v>
      </c>
      <c r="Y303" s="8">
        <v>0</v>
      </c>
      <c r="AA303" s="8">
        <v>528463</v>
      </c>
      <c r="AC303" s="8">
        <v>346407</v>
      </c>
      <c r="AE303" s="8">
        <v>9228</v>
      </c>
      <c r="AG303" s="8">
        <v>0</v>
      </c>
      <c r="AI303" s="8">
        <v>0</v>
      </c>
      <c r="AJ303" s="13" t="s">
        <v>705</v>
      </c>
      <c r="AK303" s="13"/>
      <c r="AL303" s="13" t="s">
        <v>67</v>
      </c>
      <c r="AN303" s="8">
        <v>125629</v>
      </c>
      <c r="AP303" s="8">
        <v>5806</v>
      </c>
      <c r="AT303" s="8">
        <v>0</v>
      </c>
      <c r="AV303" s="8">
        <v>0</v>
      </c>
      <c r="AX303" s="8">
        <v>0</v>
      </c>
      <c r="AZ303" s="8">
        <f t="shared" si="27"/>
        <v>7786965</v>
      </c>
      <c r="BB303" s="8">
        <v>3499</v>
      </c>
      <c r="BH303" s="8">
        <v>0</v>
      </c>
      <c r="BJ303" s="8">
        <f t="shared" si="28"/>
        <v>7790464</v>
      </c>
      <c r="BL303" s="8">
        <f>+GenRev!AM303-GenExp!BJ303</f>
        <v>1020356</v>
      </c>
      <c r="BN303" s="8">
        <v>6839197</v>
      </c>
      <c r="BP303" s="8">
        <v>0</v>
      </c>
      <c r="BS303" s="8">
        <f t="shared" si="29"/>
        <v>7859553</v>
      </c>
      <c r="BU303" s="9">
        <f>+BS303-'Gen Fd BS'!AA303+BQ303</f>
        <v>0</v>
      </c>
    </row>
    <row r="304" spans="1:75">
      <c r="A304" s="13" t="s">
        <v>283</v>
      </c>
      <c r="B304" s="13"/>
      <c r="C304" s="13" t="s">
        <v>114</v>
      </c>
      <c r="D304" s="13"/>
      <c r="E304" s="32">
        <v>45450</v>
      </c>
      <c r="G304" s="8">
        <v>3570524</v>
      </c>
      <c r="I304" s="8">
        <v>1254395</v>
      </c>
      <c r="K304" s="8">
        <v>77977</v>
      </c>
      <c r="M304" s="8">
        <v>272998</v>
      </c>
      <c r="O304" s="8">
        <v>478712</v>
      </c>
      <c r="Q304" s="8">
        <v>135379</v>
      </c>
      <c r="S304" s="8">
        <v>32608</v>
      </c>
      <c r="U304" s="8">
        <v>683211</v>
      </c>
      <c r="W304" s="8">
        <v>246744</v>
      </c>
      <c r="Y304" s="8">
        <v>0</v>
      </c>
      <c r="AA304" s="8">
        <v>711995</v>
      </c>
      <c r="AC304" s="8">
        <v>356001</v>
      </c>
      <c r="AE304" s="8">
        <v>45345</v>
      </c>
      <c r="AG304" s="8">
        <v>0</v>
      </c>
      <c r="AI304" s="8">
        <v>0</v>
      </c>
      <c r="AJ304" s="13" t="s">
        <v>283</v>
      </c>
      <c r="AK304" s="13"/>
      <c r="AL304" s="13" t="s">
        <v>114</v>
      </c>
      <c r="AN304" s="8">
        <v>142731</v>
      </c>
      <c r="AP304" s="8">
        <v>0</v>
      </c>
      <c r="AT304" s="8">
        <v>0</v>
      </c>
      <c r="AV304" s="8">
        <v>0</v>
      </c>
      <c r="AX304" s="8">
        <v>0</v>
      </c>
      <c r="AZ304" s="8">
        <f t="shared" si="27"/>
        <v>8008620</v>
      </c>
      <c r="BB304" s="8">
        <v>0</v>
      </c>
      <c r="BH304" s="8">
        <v>0</v>
      </c>
      <c r="BJ304" s="8">
        <f t="shared" si="28"/>
        <v>8008620</v>
      </c>
      <c r="BL304" s="8">
        <f>+GenRev!AM304-GenExp!BJ304</f>
        <v>406794</v>
      </c>
      <c r="BN304" s="8">
        <v>2234918</v>
      </c>
      <c r="BP304" s="8">
        <v>0</v>
      </c>
      <c r="BS304" s="8">
        <f t="shared" si="29"/>
        <v>2641712</v>
      </c>
      <c r="BU304" s="9">
        <f>+BS304-'Gen Fd BS'!AA304+BQ304</f>
        <v>0</v>
      </c>
    </row>
    <row r="305" spans="1:75">
      <c r="A305" s="13" t="s">
        <v>711</v>
      </c>
      <c r="B305" s="13"/>
      <c r="C305" s="13" t="s">
        <v>69</v>
      </c>
      <c r="D305" s="13"/>
      <c r="E305" s="32">
        <v>50443</v>
      </c>
      <c r="G305" s="8">
        <v>14589174</v>
      </c>
      <c r="I305" s="8">
        <v>3300046</v>
      </c>
      <c r="K305" s="8">
        <v>0</v>
      </c>
      <c r="M305" s="8">
        <v>944444</v>
      </c>
      <c r="O305" s="8">
        <v>1250696</v>
      </c>
      <c r="Q305" s="8">
        <v>1335314</v>
      </c>
      <c r="S305" s="8">
        <v>38425</v>
      </c>
      <c r="U305" s="8">
        <v>2631809</v>
      </c>
      <c r="W305" s="8">
        <v>687637</v>
      </c>
      <c r="Y305" s="8">
        <v>259827</v>
      </c>
      <c r="AA305" s="8">
        <v>2307276</v>
      </c>
      <c r="AC305" s="8">
        <v>2503736</v>
      </c>
      <c r="AE305" s="8">
        <v>263938</v>
      </c>
      <c r="AG305" s="8">
        <v>0</v>
      </c>
      <c r="AI305" s="8">
        <v>0</v>
      </c>
      <c r="AJ305" s="13" t="s">
        <v>711</v>
      </c>
      <c r="AK305" s="13"/>
      <c r="AL305" s="13" t="s">
        <v>69</v>
      </c>
      <c r="AN305" s="8">
        <v>541599</v>
      </c>
      <c r="AP305" s="8">
        <v>0</v>
      </c>
      <c r="AT305" s="8">
        <v>0</v>
      </c>
      <c r="AV305" s="8">
        <v>0</v>
      </c>
      <c r="AX305" s="8">
        <v>0</v>
      </c>
      <c r="AZ305" s="8">
        <f t="shared" ref="AZ305:AZ317" si="30">SUM(G305:AX305)</f>
        <v>30653921</v>
      </c>
      <c r="BB305" s="8">
        <f>110000-3259</f>
        <v>106741</v>
      </c>
      <c r="BH305" s="8">
        <v>0</v>
      </c>
      <c r="BJ305" s="8">
        <f t="shared" si="28"/>
        <v>30760662</v>
      </c>
      <c r="BL305" s="8">
        <f>+GenRev!AM305-GenExp!BJ305</f>
        <v>-1508323</v>
      </c>
      <c r="BN305" s="8">
        <v>821042</v>
      </c>
      <c r="BP305" s="8">
        <v>0</v>
      </c>
      <c r="BS305" s="8">
        <f t="shared" si="29"/>
        <v>-687281</v>
      </c>
      <c r="BU305" s="9">
        <f>+BS305-'Gen Fd BS'!AA305+BQ305</f>
        <v>0</v>
      </c>
    </row>
    <row r="306" spans="1:75" hidden="1">
      <c r="A306" s="77" t="s">
        <v>995</v>
      </c>
      <c r="B306" s="13"/>
      <c r="C306" s="13" t="s">
        <v>32</v>
      </c>
      <c r="D306" s="13"/>
      <c r="E306" s="32">
        <v>44230</v>
      </c>
      <c r="G306" s="8">
        <v>3155917</v>
      </c>
      <c r="I306" s="8">
        <v>560315</v>
      </c>
      <c r="K306" s="8">
        <v>37430</v>
      </c>
      <c r="M306" s="8">
        <v>23486</v>
      </c>
      <c r="O306" s="8">
        <v>320707</v>
      </c>
      <c r="Q306" s="8">
        <v>178385</v>
      </c>
      <c r="S306" s="8">
        <v>106878</v>
      </c>
      <c r="U306" s="8">
        <v>840065</v>
      </c>
      <c r="W306" s="8">
        <v>281637</v>
      </c>
      <c r="Y306" s="8">
        <v>5124</v>
      </c>
      <c r="AA306" s="8">
        <v>1012009</v>
      </c>
      <c r="AC306" s="8">
        <v>14762</v>
      </c>
      <c r="AE306" s="8">
        <v>121916</v>
      </c>
      <c r="AG306" s="8">
        <v>0</v>
      </c>
      <c r="AI306" s="8">
        <v>785</v>
      </c>
      <c r="AJ306" s="13" t="s">
        <v>396</v>
      </c>
      <c r="AK306" s="13"/>
      <c r="AL306" s="13" t="s">
        <v>32</v>
      </c>
      <c r="AN306" s="8">
        <v>148419</v>
      </c>
      <c r="AX306" s="8">
        <v>0</v>
      </c>
      <c r="AZ306" s="8">
        <f t="shared" si="30"/>
        <v>6807835</v>
      </c>
      <c r="BB306" s="8">
        <f>450948-42985</f>
        <v>407963</v>
      </c>
      <c r="BD306" s="8">
        <f>108569-36877</f>
        <v>71692</v>
      </c>
      <c r="BH306" s="8">
        <v>0</v>
      </c>
      <c r="BJ306" s="8">
        <f t="shared" si="28"/>
        <v>7287490</v>
      </c>
      <c r="BL306" s="8">
        <f>+GenRev!AM306-GenExp!BJ306</f>
        <v>-1029257</v>
      </c>
      <c r="BN306" s="8">
        <v>4235263</v>
      </c>
      <c r="BS306" s="8">
        <f t="shared" si="29"/>
        <v>3206006</v>
      </c>
      <c r="BU306" s="9">
        <f>+BS306-'Gen Fd BS'!AA306+BQ306</f>
        <v>0</v>
      </c>
      <c r="BW306" s="15" t="s">
        <v>905</v>
      </c>
    </row>
    <row r="307" spans="1:75">
      <c r="A307" s="13" t="s">
        <v>582</v>
      </c>
      <c r="B307" s="13"/>
      <c r="C307" s="13" t="s">
        <v>54</v>
      </c>
      <c r="D307" s="13"/>
      <c r="E307" s="32">
        <v>49080</v>
      </c>
      <c r="G307" s="8">
        <v>9485576</v>
      </c>
      <c r="I307" s="8">
        <v>1492050</v>
      </c>
      <c r="K307" s="8">
        <v>15858</v>
      </c>
      <c r="M307" s="8">
        <v>51809</v>
      </c>
      <c r="O307" s="8">
        <v>836059</v>
      </c>
      <c r="Q307" s="8">
        <v>933880</v>
      </c>
      <c r="S307" s="8">
        <v>108077</v>
      </c>
      <c r="U307" s="8">
        <v>1494758</v>
      </c>
      <c r="W307" s="8">
        <v>475760</v>
      </c>
      <c r="Y307" s="8">
        <v>360</v>
      </c>
      <c r="AA307" s="8">
        <v>1782800</v>
      </c>
      <c r="AC307" s="8">
        <v>1905031</v>
      </c>
      <c r="AE307" s="8">
        <v>207511</v>
      </c>
      <c r="AG307" s="8">
        <v>0</v>
      </c>
      <c r="AI307" s="8">
        <v>0</v>
      </c>
      <c r="AJ307" s="13" t="s">
        <v>582</v>
      </c>
      <c r="AK307" s="13"/>
      <c r="AL307" s="13" t="s">
        <v>54</v>
      </c>
      <c r="AN307" s="8">
        <v>265597</v>
      </c>
      <c r="AP307" s="8">
        <v>0</v>
      </c>
      <c r="AT307" s="8">
        <v>0</v>
      </c>
      <c r="AV307" s="8">
        <v>0</v>
      </c>
      <c r="AX307" s="8">
        <v>0</v>
      </c>
      <c r="AZ307" s="8">
        <f t="shared" si="30"/>
        <v>19055126</v>
      </c>
      <c r="BB307" s="8">
        <v>0</v>
      </c>
      <c r="BH307" s="8">
        <v>0</v>
      </c>
      <c r="BJ307" s="8">
        <f t="shared" si="28"/>
        <v>19055126</v>
      </c>
      <c r="BL307" s="8">
        <f>+GenRev!AM307-GenExp!BJ307</f>
        <v>745307</v>
      </c>
      <c r="BN307" s="8">
        <v>5652267</v>
      </c>
      <c r="BP307" s="8">
        <v>0</v>
      </c>
      <c r="BS307" s="8">
        <f t="shared" si="29"/>
        <v>6397574</v>
      </c>
      <c r="BU307" s="9">
        <f>+BS307-'Gen Fd BS'!AA310+BQ307</f>
        <v>0</v>
      </c>
    </row>
    <row r="308" spans="1:75">
      <c r="A308" s="13" t="s">
        <v>440</v>
      </c>
      <c r="B308" s="13"/>
      <c r="C308" s="13" t="s">
        <v>35</v>
      </c>
      <c r="D308" s="13"/>
      <c r="E308" s="32">
        <v>44248</v>
      </c>
      <c r="G308" s="8">
        <v>12834805</v>
      </c>
      <c r="I308" s="8">
        <v>3621937</v>
      </c>
      <c r="K308" s="8">
        <v>634003</v>
      </c>
      <c r="M308" s="8">
        <v>242</v>
      </c>
      <c r="O308" s="8">
        <v>2369496</v>
      </c>
      <c r="Q308" s="8">
        <v>1775522</v>
      </c>
      <c r="S308" s="8">
        <v>130015</v>
      </c>
      <c r="U308" s="8">
        <v>2619250</v>
      </c>
      <c r="W308" s="8">
        <v>963137</v>
      </c>
      <c r="Y308" s="8">
        <v>0</v>
      </c>
      <c r="AA308" s="8">
        <v>3352736</v>
      </c>
      <c r="AC308" s="8">
        <v>2444587</v>
      </c>
      <c r="AE308" s="8">
        <v>0</v>
      </c>
      <c r="AG308" s="8">
        <v>0</v>
      </c>
      <c r="AI308" s="8">
        <v>10622</v>
      </c>
      <c r="AJ308" s="13" t="s">
        <v>440</v>
      </c>
      <c r="AK308" s="13"/>
      <c r="AL308" s="13" t="s">
        <v>35</v>
      </c>
      <c r="AN308" s="8">
        <v>474528</v>
      </c>
      <c r="AP308" s="8">
        <v>0</v>
      </c>
      <c r="AT308" s="8">
        <v>0</v>
      </c>
      <c r="AV308" s="8">
        <v>0</v>
      </c>
      <c r="AX308" s="8">
        <v>0</v>
      </c>
      <c r="AZ308" s="8">
        <f t="shared" si="30"/>
        <v>31230880</v>
      </c>
      <c r="BB308" s="8">
        <v>822360</v>
      </c>
      <c r="BH308" s="8">
        <v>0</v>
      </c>
      <c r="BJ308" s="8">
        <f t="shared" si="28"/>
        <v>32053240</v>
      </c>
      <c r="BL308" s="8">
        <f>+GenRev!AM308-GenExp!BJ308</f>
        <v>-774911</v>
      </c>
      <c r="BN308" s="8">
        <v>3820596</v>
      </c>
      <c r="BP308" s="8">
        <v>879</v>
      </c>
      <c r="BS308" s="8">
        <f t="shared" si="29"/>
        <v>3044806</v>
      </c>
      <c r="BU308" s="9">
        <f>+BS308-'Gen Fd BS'!AA311+BQ308</f>
        <v>0</v>
      </c>
    </row>
    <row r="309" spans="1:75">
      <c r="A309" s="13" t="s">
        <v>507</v>
      </c>
      <c r="B309" s="13"/>
      <c r="C309" s="13" t="s">
        <v>505</v>
      </c>
      <c r="D309" s="13"/>
      <c r="E309" s="32">
        <v>44255</v>
      </c>
      <c r="G309" s="8">
        <v>9653458</v>
      </c>
      <c r="I309" s="8">
        <v>2987798</v>
      </c>
      <c r="K309" s="8">
        <v>340326</v>
      </c>
      <c r="M309" s="8">
        <v>0</v>
      </c>
      <c r="O309" s="8">
        <v>656765</v>
      </c>
      <c r="Q309" s="8">
        <v>1089488</v>
      </c>
      <c r="S309" s="8">
        <v>99197</v>
      </c>
      <c r="U309" s="8">
        <v>1804577</v>
      </c>
      <c r="W309" s="8">
        <v>544292</v>
      </c>
      <c r="Y309" s="8">
        <v>0</v>
      </c>
      <c r="AA309" s="8">
        <v>2229853</v>
      </c>
      <c r="AC309" s="8">
        <v>965879</v>
      </c>
      <c r="AE309" s="8">
        <v>135810</v>
      </c>
      <c r="AG309" s="8">
        <v>0</v>
      </c>
      <c r="AI309" s="8">
        <v>0</v>
      </c>
      <c r="AJ309" s="13" t="s">
        <v>507</v>
      </c>
      <c r="AK309" s="13"/>
      <c r="AL309" s="13" t="s">
        <v>505</v>
      </c>
      <c r="AN309" s="8">
        <v>431821</v>
      </c>
      <c r="AP309" s="8">
        <v>289377</v>
      </c>
      <c r="AT309" s="8">
        <v>149183</v>
      </c>
      <c r="AV309" s="8">
        <v>47112</v>
      </c>
      <c r="AX309" s="8">
        <v>0</v>
      </c>
      <c r="AZ309" s="8">
        <f t="shared" si="30"/>
        <v>21424936</v>
      </c>
      <c r="BB309" s="8">
        <f>12255</f>
        <v>12255</v>
      </c>
      <c r="BH309" s="8">
        <v>0</v>
      </c>
      <c r="BJ309" s="8">
        <f t="shared" si="28"/>
        <v>21437191</v>
      </c>
      <c r="BL309" s="8">
        <f>+GenRev!AM309-GenExp!BJ309</f>
        <v>-548130</v>
      </c>
      <c r="BN309" s="8">
        <v>2242204</v>
      </c>
      <c r="BP309" s="8">
        <v>0</v>
      </c>
      <c r="BS309" s="8">
        <f t="shared" si="29"/>
        <v>1694074</v>
      </c>
      <c r="BU309" s="9">
        <f>+BS309-'Gen Fd BS'!AA312+BQ309</f>
        <v>0</v>
      </c>
    </row>
    <row r="310" spans="1:75">
      <c r="A310" s="13" t="s">
        <v>490</v>
      </c>
      <c r="B310" s="13"/>
      <c r="C310" s="13" t="s">
        <v>44</v>
      </c>
      <c r="D310" s="13"/>
      <c r="E310" s="32">
        <v>44263</v>
      </c>
      <c r="G310" s="8">
        <v>27187045</v>
      </c>
      <c r="I310" s="8">
        <v>7796631</v>
      </c>
      <c r="K310" s="8">
        <v>2335621</v>
      </c>
      <c r="M310" s="8">
        <f>341+1118+14623726</f>
        <v>14625185</v>
      </c>
      <c r="O310" s="8">
        <v>877920</v>
      </c>
      <c r="Q310" s="8">
        <v>953941</v>
      </c>
      <c r="S310" s="8">
        <v>451047</v>
      </c>
      <c r="U310" s="8">
        <v>5075188</v>
      </c>
      <c r="W310" s="8">
        <v>1563637</v>
      </c>
      <c r="Y310" s="8">
        <v>495024</v>
      </c>
      <c r="AA310" s="8">
        <v>7730216</v>
      </c>
      <c r="AC310" s="8">
        <v>2298048</v>
      </c>
      <c r="AE310" s="8">
        <v>814990</v>
      </c>
      <c r="AG310" s="8">
        <v>0</v>
      </c>
      <c r="AI310" s="8">
        <v>84628</v>
      </c>
      <c r="AJ310" s="13" t="s">
        <v>490</v>
      </c>
      <c r="AK310" s="13"/>
      <c r="AL310" s="13" t="s">
        <v>44</v>
      </c>
      <c r="AN310" s="8">
        <v>1382561</v>
      </c>
      <c r="AP310" s="8">
        <v>42118</v>
      </c>
      <c r="AT310" s="8">
        <v>1080000</v>
      </c>
      <c r="AV310" s="8">
        <v>179550</v>
      </c>
      <c r="AX310" s="8">
        <v>0</v>
      </c>
      <c r="AZ310" s="8">
        <f t="shared" si="30"/>
        <v>74973350</v>
      </c>
      <c r="BB310" s="8">
        <v>466979</v>
      </c>
      <c r="BH310" s="8">
        <v>0</v>
      </c>
      <c r="BJ310" s="8">
        <f t="shared" si="28"/>
        <v>75440329</v>
      </c>
      <c r="BL310" s="8">
        <f>+GenRev!AM310-GenExp!BJ310</f>
        <v>5063155</v>
      </c>
      <c r="BN310" s="8">
        <v>-299867</v>
      </c>
      <c r="BP310" s="8">
        <v>0</v>
      </c>
      <c r="BS310" s="8">
        <f t="shared" si="29"/>
        <v>4763288</v>
      </c>
      <c r="BU310" s="9">
        <f>+BS310-'Gen Fd BS'!AA313+BQ310</f>
        <v>0</v>
      </c>
    </row>
    <row r="311" spans="1:75">
      <c r="A311" s="13" t="s">
        <v>686</v>
      </c>
      <c r="B311" s="13"/>
      <c r="C311" s="13" t="s">
        <v>64</v>
      </c>
      <c r="D311" s="13"/>
      <c r="E311" s="32">
        <v>50203</v>
      </c>
      <c r="G311" s="8">
        <v>3212124</v>
      </c>
      <c r="I311" s="8">
        <v>501790</v>
      </c>
      <c r="K311" s="8">
        <v>37601</v>
      </c>
      <c r="M311" s="8">
        <v>214051</v>
      </c>
      <c r="O311" s="8">
        <v>164054</v>
      </c>
      <c r="Q311" s="8">
        <v>141237</v>
      </c>
      <c r="S311" s="8">
        <v>114032</v>
      </c>
      <c r="U311" s="8">
        <v>522029</v>
      </c>
      <c r="W311" s="8">
        <v>346105</v>
      </c>
      <c r="Y311" s="8">
        <v>4961</v>
      </c>
      <c r="AA311" s="8">
        <v>1539184</v>
      </c>
      <c r="AC311" s="8">
        <v>264077</v>
      </c>
      <c r="AE311" s="8">
        <v>34863</v>
      </c>
      <c r="AG311" s="8">
        <v>0</v>
      </c>
      <c r="AI311" s="8">
        <v>8000</v>
      </c>
      <c r="AJ311" s="13" t="s">
        <v>686</v>
      </c>
      <c r="AK311" s="13"/>
      <c r="AL311" s="13" t="s">
        <v>64</v>
      </c>
      <c r="AN311" s="8">
        <v>181169</v>
      </c>
      <c r="AP311" s="8">
        <v>0</v>
      </c>
      <c r="AT311" s="8">
        <v>63493</v>
      </c>
      <c r="AV311" s="8">
        <v>5813</v>
      </c>
      <c r="AX311" s="8">
        <v>0</v>
      </c>
      <c r="AZ311" s="8">
        <f t="shared" si="30"/>
        <v>7354583</v>
      </c>
      <c r="BB311" s="8">
        <v>0</v>
      </c>
      <c r="BH311" s="8">
        <v>0</v>
      </c>
      <c r="BJ311" s="8">
        <f t="shared" si="28"/>
        <v>7354583</v>
      </c>
      <c r="BL311" s="8">
        <f>+GenRev!AM311-GenExp!BJ311</f>
        <v>-656432</v>
      </c>
      <c r="BN311" s="8">
        <v>2058822</v>
      </c>
      <c r="BP311" s="8">
        <v>0</v>
      </c>
      <c r="BS311" s="8">
        <f t="shared" si="29"/>
        <v>1402390</v>
      </c>
      <c r="BU311" s="9">
        <f>+BS311-'Gen Fd BS'!AA314+BQ311</f>
        <v>0</v>
      </c>
    </row>
    <row r="312" spans="1:75">
      <c r="A312" s="12" t="s">
        <v>991</v>
      </c>
      <c r="B312" s="13"/>
      <c r="C312" s="13" t="s">
        <v>11</v>
      </c>
      <c r="D312" s="13"/>
      <c r="E312" s="32">
        <v>45468</v>
      </c>
      <c r="G312" s="8">
        <v>5227778</v>
      </c>
      <c r="I312" s="8">
        <v>571555</v>
      </c>
      <c r="K312" s="8">
        <v>314807</v>
      </c>
      <c r="M312" s="8">
        <v>826630</v>
      </c>
      <c r="O312" s="8">
        <v>730284</v>
      </c>
      <c r="Q312" s="8">
        <v>707926</v>
      </c>
      <c r="S312" s="8">
        <v>27443</v>
      </c>
      <c r="U312" s="8">
        <v>967577</v>
      </c>
      <c r="W312" s="8">
        <v>430315</v>
      </c>
      <c r="Y312" s="8">
        <v>11390</v>
      </c>
      <c r="AA312" s="8">
        <v>1053201</v>
      </c>
      <c r="AC312" s="8">
        <v>828651</v>
      </c>
      <c r="AE312" s="8">
        <v>77408</v>
      </c>
      <c r="AG312" s="8">
        <v>0</v>
      </c>
      <c r="AI312" s="8">
        <v>51625</v>
      </c>
      <c r="AJ312" s="12" t="s">
        <v>991</v>
      </c>
      <c r="AK312" s="13"/>
      <c r="AL312" s="13" t="s">
        <v>11</v>
      </c>
      <c r="AN312" s="8">
        <v>297085</v>
      </c>
      <c r="AP312" s="8">
        <v>44490</v>
      </c>
      <c r="AT312" s="8">
        <v>12134</v>
      </c>
      <c r="AV312" s="8">
        <v>35324</v>
      </c>
      <c r="AX312" s="8">
        <v>0</v>
      </c>
      <c r="AZ312" s="8">
        <f t="shared" si="30"/>
        <v>12215623</v>
      </c>
      <c r="BB312" s="8">
        <v>40000</v>
      </c>
      <c r="BH312" s="8">
        <v>0</v>
      </c>
      <c r="BJ312" s="8">
        <f t="shared" si="28"/>
        <v>12255623</v>
      </c>
      <c r="BL312" s="8">
        <f>+GenRev!AM312-GenExp!BJ312</f>
        <v>245029</v>
      </c>
      <c r="BN312" s="8">
        <v>3400316</v>
      </c>
      <c r="BP312" s="8">
        <v>0</v>
      </c>
      <c r="BS312" s="8">
        <f t="shared" si="29"/>
        <v>3645345</v>
      </c>
      <c r="BU312" s="9">
        <f>+BS312-'Gen Fd BS'!AA315+BQ312</f>
        <v>0</v>
      </c>
      <c r="BW312" s="8" t="s">
        <v>956</v>
      </c>
    </row>
    <row r="313" spans="1:75">
      <c r="A313" s="13" t="s">
        <v>654</v>
      </c>
      <c r="B313" s="13"/>
      <c r="C313" s="13" t="s">
        <v>62</v>
      </c>
      <c r="D313" s="13"/>
      <c r="E313" s="32">
        <v>49874</v>
      </c>
      <c r="G313" s="8">
        <v>11468692</v>
      </c>
      <c r="I313" s="8">
        <v>2542754</v>
      </c>
      <c r="K313" s="8">
        <v>476096</v>
      </c>
      <c r="M313" s="8">
        <v>752322</v>
      </c>
      <c r="O313" s="8">
        <v>1004211</v>
      </c>
      <c r="Q313" s="8">
        <v>747192</v>
      </c>
      <c r="S313" s="8">
        <v>55000</v>
      </c>
      <c r="U313" s="8">
        <v>1642828</v>
      </c>
      <c r="W313" s="8">
        <v>436620</v>
      </c>
      <c r="Y313" s="8">
        <v>97353</v>
      </c>
      <c r="AA313" s="8">
        <v>2289933</v>
      </c>
      <c r="AC313" s="8">
        <v>1110033</v>
      </c>
      <c r="AE313" s="8">
        <v>2402</v>
      </c>
      <c r="AG313" s="8">
        <v>0</v>
      </c>
      <c r="AI313" s="8">
        <v>12792</v>
      </c>
      <c r="AJ313" s="13" t="s">
        <v>654</v>
      </c>
      <c r="AK313" s="13"/>
      <c r="AL313" s="13" t="s">
        <v>62</v>
      </c>
      <c r="AN313" s="8">
        <v>517722</v>
      </c>
      <c r="AP313" s="8">
        <v>70571</v>
      </c>
      <c r="AT313" s="8">
        <v>0</v>
      </c>
      <c r="AV313" s="8">
        <v>0</v>
      </c>
      <c r="AX313" s="8">
        <v>0</v>
      </c>
      <c r="AZ313" s="8">
        <f t="shared" si="30"/>
        <v>23226521</v>
      </c>
      <c r="BB313" s="8">
        <v>59600</v>
      </c>
      <c r="BH313" s="8">
        <v>0</v>
      </c>
      <c r="BJ313" s="8">
        <f t="shared" si="28"/>
        <v>23286121</v>
      </c>
      <c r="BL313" s="8">
        <f>+GenRev!AM313-GenExp!BJ313</f>
        <v>641863</v>
      </c>
      <c r="BN313" s="8">
        <v>1127161</v>
      </c>
      <c r="BP313" s="8">
        <v>0</v>
      </c>
      <c r="BS313" s="8">
        <f t="shared" si="29"/>
        <v>1769024</v>
      </c>
      <c r="BU313" s="9">
        <f>+BS313-'Gen Fd BS'!AA316+BQ313</f>
        <v>0</v>
      </c>
    </row>
    <row r="314" spans="1:75">
      <c r="A314" s="13" t="s">
        <v>397</v>
      </c>
      <c r="B314" s="13"/>
      <c r="C314" s="13" t="s">
        <v>32</v>
      </c>
      <c r="D314" s="13"/>
      <c r="E314" s="32">
        <v>44271</v>
      </c>
      <c r="G314" s="8">
        <v>18085378</v>
      </c>
      <c r="I314" s="8">
        <v>4631258</v>
      </c>
      <c r="K314" s="8">
        <v>162856</v>
      </c>
      <c r="M314" s="8">
        <v>447206</v>
      </c>
      <c r="O314" s="8">
        <v>2053945</v>
      </c>
      <c r="Q314" s="8">
        <v>924666</v>
      </c>
      <c r="S314" s="8">
        <v>69759</v>
      </c>
      <c r="U314" s="8">
        <v>2934144</v>
      </c>
      <c r="W314" s="8">
        <v>1005404</v>
      </c>
      <c r="Y314" s="8">
        <v>223211</v>
      </c>
      <c r="AA314" s="8">
        <v>2734269</v>
      </c>
      <c r="AC314" s="8">
        <v>2844556</v>
      </c>
      <c r="AE314" s="8">
        <v>498022</v>
      </c>
      <c r="AG314" s="8">
        <v>0</v>
      </c>
      <c r="AI314" s="8">
        <v>6034</v>
      </c>
      <c r="AJ314" s="13" t="s">
        <v>397</v>
      </c>
      <c r="AK314" s="13"/>
      <c r="AL314" s="13" t="s">
        <v>32</v>
      </c>
      <c r="AN314" s="8">
        <v>694874</v>
      </c>
      <c r="AP314" s="8">
        <v>18313</v>
      </c>
      <c r="AT314" s="8">
        <v>0</v>
      </c>
      <c r="AV314" s="8">
        <v>0</v>
      </c>
      <c r="AX314" s="8">
        <v>0</v>
      </c>
      <c r="AZ314" s="8">
        <f t="shared" si="30"/>
        <v>37333895</v>
      </c>
      <c r="BB314" s="8">
        <v>0</v>
      </c>
      <c r="BH314" s="8">
        <v>0</v>
      </c>
      <c r="BJ314" s="8">
        <f t="shared" si="28"/>
        <v>37333895</v>
      </c>
      <c r="BL314" s="8">
        <f>+GenRev!AM314-GenExp!BJ314</f>
        <v>739822</v>
      </c>
      <c r="BN314" s="8">
        <v>5182606</v>
      </c>
      <c r="BP314" s="8">
        <v>0</v>
      </c>
      <c r="BS314" s="8">
        <f t="shared" si="29"/>
        <v>5922428</v>
      </c>
      <c r="BU314" s="9">
        <f>+BS314-'Gen Fd BS'!AA317+BQ314</f>
        <v>0</v>
      </c>
    </row>
    <row r="315" spans="1:75">
      <c r="A315" s="13" t="s">
        <v>513</v>
      </c>
      <c r="B315" s="13"/>
      <c r="C315" s="13" t="s">
        <v>45</v>
      </c>
      <c r="D315" s="13"/>
      <c r="E315" s="32">
        <v>48330</v>
      </c>
      <c r="G315" s="8">
        <v>2422255</v>
      </c>
      <c r="I315" s="8">
        <v>134143</v>
      </c>
      <c r="K315" s="8">
        <v>29417</v>
      </c>
      <c r="M315" s="8">
        <v>11172</v>
      </c>
      <c r="O315" s="8">
        <v>343785</v>
      </c>
      <c r="Q315" s="8">
        <v>123423</v>
      </c>
      <c r="S315" s="8">
        <v>22343</v>
      </c>
      <c r="U315" s="8">
        <v>333955</v>
      </c>
      <c r="W315" s="8">
        <v>131215</v>
      </c>
      <c r="Y315" s="8">
        <v>0</v>
      </c>
      <c r="AA315" s="8">
        <v>537737</v>
      </c>
      <c r="AC315" s="8">
        <v>118584</v>
      </c>
      <c r="AE315" s="8">
        <v>54028</v>
      </c>
      <c r="AG315" s="8">
        <v>0</v>
      </c>
      <c r="AI315" s="8">
        <v>0</v>
      </c>
      <c r="AJ315" s="13" t="s">
        <v>513</v>
      </c>
      <c r="AK315" s="13"/>
      <c r="AL315" s="13" t="s">
        <v>45</v>
      </c>
      <c r="AN315" s="8">
        <v>185752</v>
      </c>
      <c r="AP315" s="8">
        <v>0</v>
      </c>
      <c r="AT315" s="8">
        <v>0</v>
      </c>
      <c r="AV315" s="8">
        <v>0</v>
      </c>
      <c r="AX315" s="8">
        <v>0</v>
      </c>
      <c r="AZ315" s="8">
        <f t="shared" si="30"/>
        <v>4447809</v>
      </c>
      <c r="BB315" s="8">
        <v>195407</v>
      </c>
      <c r="BH315" s="8">
        <v>0</v>
      </c>
      <c r="BJ315" s="8">
        <f t="shared" si="28"/>
        <v>4643216</v>
      </c>
      <c r="BL315" s="8">
        <f>+GenRev!AM315-GenExp!BJ315</f>
        <v>-83253</v>
      </c>
      <c r="BN315" s="8">
        <v>1414705</v>
      </c>
      <c r="BP315" s="8">
        <v>0</v>
      </c>
      <c r="BS315" s="8">
        <f t="shared" si="29"/>
        <v>1331452</v>
      </c>
      <c r="BU315" s="9">
        <f>+BS315-'Gen Fd BS'!AA318+BQ315</f>
        <v>0</v>
      </c>
    </row>
    <row r="316" spans="1:75">
      <c r="A316" s="13" t="s">
        <v>611</v>
      </c>
      <c r="B316" s="13"/>
      <c r="C316" s="13" t="s">
        <v>112</v>
      </c>
      <c r="D316" s="13"/>
      <c r="E316" s="32">
        <v>49445</v>
      </c>
      <c r="F316" s="11"/>
      <c r="G316" s="8">
        <v>2091165</v>
      </c>
      <c r="I316" s="8">
        <v>341558</v>
      </c>
      <c r="K316" s="8">
        <v>2804</v>
      </c>
      <c r="M316" s="8">
        <v>480089</v>
      </c>
      <c r="O316" s="8">
        <v>63244</v>
      </c>
      <c r="Q316" s="8">
        <v>176053</v>
      </c>
      <c r="S316" s="8">
        <v>18098</v>
      </c>
      <c r="U316" s="8">
        <v>498461</v>
      </c>
      <c r="W316" s="8">
        <v>214663</v>
      </c>
      <c r="Y316" s="8">
        <v>0</v>
      </c>
      <c r="AA316" s="8">
        <v>421684</v>
      </c>
      <c r="AC316" s="8">
        <v>374608</v>
      </c>
      <c r="AE316" s="8">
        <v>42806</v>
      </c>
      <c r="AG316" s="8">
        <v>102995</v>
      </c>
      <c r="AI316" s="8">
        <v>1318</v>
      </c>
      <c r="AJ316" s="13" t="s">
        <v>611</v>
      </c>
      <c r="AK316" s="13"/>
      <c r="AL316" s="13" t="s">
        <v>112</v>
      </c>
      <c r="AN316" s="8">
        <v>15980</v>
      </c>
      <c r="AP316" s="8">
        <v>0</v>
      </c>
      <c r="AT316" s="8">
        <v>0</v>
      </c>
      <c r="AV316" s="8">
        <v>0</v>
      </c>
      <c r="AX316" s="8">
        <v>0</v>
      </c>
      <c r="AZ316" s="8">
        <f t="shared" si="30"/>
        <v>4845526</v>
      </c>
      <c r="BB316" s="8">
        <v>0</v>
      </c>
      <c r="BH316" s="8">
        <v>0</v>
      </c>
      <c r="BJ316" s="8">
        <f t="shared" si="28"/>
        <v>4845526</v>
      </c>
      <c r="BL316" s="8">
        <f>+GenRev!AM316-GenExp!BJ316</f>
        <v>374292</v>
      </c>
      <c r="BN316" s="8">
        <v>2277860</v>
      </c>
      <c r="BP316" s="8">
        <v>0</v>
      </c>
      <c r="BS316" s="8">
        <f t="shared" si="29"/>
        <v>2652152</v>
      </c>
      <c r="BU316" s="9">
        <f>+BS316-'Gen Fd BS'!AA319+BQ316</f>
        <v>0</v>
      </c>
    </row>
    <row r="317" spans="1:75" s="35" customFormat="1">
      <c r="A317" s="34" t="s">
        <v>439</v>
      </c>
      <c r="B317" s="34"/>
      <c r="C317" s="34" t="s">
        <v>435</v>
      </c>
      <c r="D317" s="34"/>
      <c r="E317" s="34">
        <v>47639</v>
      </c>
      <c r="G317" s="8">
        <v>5349871</v>
      </c>
      <c r="H317" s="8"/>
      <c r="I317" s="8">
        <v>909291</v>
      </c>
      <c r="J317" s="8"/>
      <c r="K317" s="8">
        <v>194040</v>
      </c>
      <c r="L317" s="8"/>
      <c r="M317" s="8">
        <v>58725</v>
      </c>
      <c r="N317" s="8"/>
      <c r="O317" s="8">
        <v>366196</v>
      </c>
      <c r="P317" s="8"/>
      <c r="Q317" s="8">
        <v>451640</v>
      </c>
      <c r="R317" s="8"/>
      <c r="S317" s="8">
        <v>42626</v>
      </c>
      <c r="T317" s="8"/>
      <c r="U317" s="8">
        <v>990714</v>
      </c>
      <c r="V317" s="8"/>
      <c r="W317" s="8">
        <v>290629</v>
      </c>
      <c r="X317" s="8"/>
      <c r="Y317" s="8">
        <v>38180</v>
      </c>
      <c r="Z317" s="8"/>
      <c r="AA317" s="8">
        <v>1145020</v>
      </c>
      <c r="AB317" s="8"/>
      <c r="AC317" s="8">
        <v>930488</v>
      </c>
      <c r="AD317" s="8"/>
      <c r="AE317" s="8">
        <v>5000</v>
      </c>
      <c r="AF317" s="8"/>
      <c r="AG317" s="8">
        <v>518</v>
      </c>
      <c r="AH317" s="8"/>
      <c r="AI317" s="8">
        <v>1079</v>
      </c>
      <c r="AJ317" s="34" t="s">
        <v>439</v>
      </c>
      <c r="AK317" s="34"/>
      <c r="AL317" s="34" t="s">
        <v>435</v>
      </c>
      <c r="AN317" s="8">
        <v>116306</v>
      </c>
      <c r="AO317" s="8"/>
      <c r="AP317" s="8">
        <v>0</v>
      </c>
      <c r="AQ317" s="8"/>
      <c r="AR317" s="8"/>
      <c r="AS317" s="8"/>
      <c r="AT317" s="8">
        <v>564</v>
      </c>
      <c r="AU317" s="8"/>
      <c r="AV317" s="8">
        <v>17</v>
      </c>
      <c r="AW317" s="8"/>
      <c r="AX317" s="8">
        <v>0</v>
      </c>
      <c r="AY317" s="8"/>
      <c r="AZ317" s="8">
        <f t="shared" si="30"/>
        <v>10890904</v>
      </c>
      <c r="BA317" s="8"/>
      <c r="BB317" s="8">
        <v>0</v>
      </c>
      <c r="BC317" s="8"/>
      <c r="BD317" s="8"/>
      <c r="BE317" s="8"/>
      <c r="BF317" s="8"/>
      <c r="BG317" s="8"/>
      <c r="BH317" s="8">
        <v>0</v>
      </c>
      <c r="BI317" s="8"/>
      <c r="BJ317" s="8">
        <f t="shared" si="28"/>
        <v>10890904</v>
      </c>
      <c r="BK317" s="8"/>
      <c r="BL317" s="8">
        <f>+GenRev!AM317-GenExp!BJ317</f>
        <v>301699</v>
      </c>
      <c r="BM317" s="8"/>
      <c r="BN317" s="8">
        <v>6309910</v>
      </c>
      <c r="BO317" s="8"/>
      <c r="BP317" s="8">
        <v>0</v>
      </c>
      <c r="BQ317" s="8"/>
      <c r="BR317" s="8"/>
      <c r="BS317" s="8">
        <f t="shared" si="29"/>
        <v>6611609</v>
      </c>
      <c r="BU317" s="9">
        <f>+BS317-'Gen Fd BS'!AA320+BQ317</f>
        <v>0</v>
      </c>
    </row>
    <row r="318" spans="1:75">
      <c r="A318" s="13" t="s">
        <v>1077</v>
      </c>
      <c r="B318" s="13"/>
      <c r="C318" s="13" t="s">
        <v>50</v>
      </c>
      <c r="D318" s="13"/>
      <c r="E318" s="32">
        <v>48702</v>
      </c>
      <c r="G318" s="8">
        <v>15092770</v>
      </c>
      <c r="I318" s="8">
        <v>3582207</v>
      </c>
      <c r="K318" s="8">
        <v>1556463</v>
      </c>
      <c r="M318" s="8">
        <v>1505449</v>
      </c>
      <c r="O318" s="8">
        <v>1910575</v>
      </c>
      <c r="Q318" s="8">
        <v>2176259</v>
      </c>
      <c r="S318" s="8">
        <v>76072</v>
      </c>
      <c r="U318" s="8">
        <v>2766747</v>
      </c>
      <c r="W318" s="8">
        <v>475242</v>
      </c>
      <c r="Y318" s="8">
        <v>31096</v>
      </c>
      <c r="AA318" s="8">
        <v>3757161</v>
      </c>
      <c r="AC318" s="8">
        <v>1428293</v>
      </c>
      <c r="AE318" s="8">
        <v>278521</v>
      </c>
      <c r="AG318" s="8">
        <v>0</v>
      </c>
      <c r="AI318" s="8">
        <v>12620</v>
      </c>
      <c r="AJ318" s="13" t="s">
        <v>550</v>
      </c>
      <c r="AK318" s="13"/>
      <c r="AL318" s="13" t="s">
        <v>50</v>
      </c>
      <c r="AN318" s="8">
        <v>509211</v>
      </c>
      <c r="AP318" s="8">
        <v>0</v>
      </c>
      <c r="AT318" s="8">
        <v>136000</v>
      </c>
      <c r="AV318" s="8">
        <v>82541</v>
      </c>
      <c r="AX318" s="8">
        <v>0</v>
      </c>
      <c r="AZ318" s="8">
        <f t="shared" ref="AZ318:AZ386" si="31">SUM(G318:AX318)</f>
        <v>35377227</v>
      </c>
      <c r="BB318" s="8">
        <v>6000</v>
      </c>
      <c r="BH318" s="8">
        <v>0</v>
      </c>
      <c r="BJ318" s="8">
        <f t="shared" ref="BJ318:BJ386" si="32">+AZ318+BB318+BD318+BH318</f>
        <v>35383227</v>
      </c>
      <c r="BL318" s="8">
        <f>+GenRev!AM318-GenExp!BJ318</f>
        <v>34751</v>
      </c>
      <c r="BN318" s="8">
        <v>10750664</v>
      </c>
      <c r="BP318" s="8">
        <v>0</v>
      </c>
      <c r="BS318" s="8">
        <f t="shared" si="29"/>
        <v>10785415</v>
      </c>
      <c r="BU318" s="9">
        <f>+BS318-'Gen Fd BS'!AA321+BQ318</f>
        <v>0</v>
      </c>
      <c r="BW318" s="15" t="s">
        <v>905</v>
      </c>
    </row>
    <row r="319" spans="1:75">
      <c r="A319" s="13" t="s">
        <v>398</v>
      </c>
      <c r="B319" s="13"/>
      <c r="C319" s="13" t="s">
        <v>32</v>
      </c>
      <c r="D319" s="13"/>
      <c r="E319" s="32">
        <v>44289</v>
      </c>
      <c r="G319" s="8">
        <v>7141423</v>
      </c>
      <c r="I319" s="8">
        <v>1801291</v>
      </c>
      <c r="K319" s="8">
        <v>0</v>
      </c>
      <c r="M319" s="8">
        <v>76905</v>
      </c>
      <c r="O319" s="8">
        <v>1045370</v>
      </c>
      <c r="Q319" s="8">
        <v>320047</v>
      </c>
      <c r="S319" s="8">
        <v>35660</v>
      </c>
      <c r="U319" s="8">
        <v>969561</v>
      </c>
      <c r="W319" s="8">
        <v>461731</v>
      </c>
      <c r="Y319" s="8">
        <v>50641</v>
      </c>
      <c r="AA319" s="8">
        <v>1632998</v>
      </c>
      <c r="AC319" s="8">
        <v>739623</v>
      </c>
      <c r="AE319" s="8">
        <v>344407</v>
      </c>
      <c r="AG319" s="8">
        <v>0</v>
      </c>
      <c r="AI319" s="8">
        <v>0</v>
      </c>
      <c r="AJ319" s="13" t="s">
        <v>398</v>
      </c>
      <c r="AK319" s="13"/>
      <c r="AL319" s="13" t="s">
        <v>32</v>
      </c>
      <c r="AN319" s="8">
        <v>292596</v>
      </c>
      <c r="AP319" s="8">
        <v>0</v>
      </c>
      <c r="AT319" s="8">
        <v>180621</v>
      </c>
      <c r="AV319" s="8">
        <v>14335</v>
      </c>
      <c r="AX319" s="8">
        <v>0</v>
      </c>
      <c r="AZ319" s="8">
        <f t="shared" si="31"/>
        <v>15107209</v>
      </c>
      <c r="BB319" s="8">
        <v>2500</v>
      </c>
      <c r="BH319" s="8">
        <v>0</v>
      </c>
      <c r="BJ319" s="8">
        <f t="shared" si="32"/>
        <v>15109709</v>
      </c>
      <c r="BL319" s="8">
        <f>+GenRev!AM319-GenExp!BJ319</f>
        <v>990092</v>
      </c>
      <c r="BN319" s="8">
        <v>5791317</v>
      </c>
      <c r="BP319" s="8">
        <v>0</v>
      </c>
      <c r="BS319" s="8">
        <f t="shared" si="29"/>
        <v>6781409</v>
      </c>
      <c r="BU319" s="9">
        <f>+BS319-'Gen Fd BS'!AA322+BQ319</f>
        <v>0</v>
      </c>
    </row>
    <row r="320" spans="1:75">
      <c r="A320" s="13" t="s">
        <v>246</v>
      </c>
      <c r="B320" s="13"/>
      <c r="C320" s="13" t="s">
        <v>242</v>
      </c>
      <c r="D320" s="13"/>
      <c r="E320" s="32">
        <v>46128</v>
      </c>
      <c r="F320" s="11"/>
      <c r="G320" s="8">
        <v>5428367</v>
      </c>
      <c r="I320" s="8">
        <v>913634</v>
      </c>
      <c r="K320" s="8">
        <v>0</v>
      </c>
      <c r="M320" s="8">
        <v>419026</v>
      </c>
      <c r="O320" s="8">
        <v>713919</v>
      </c>
      <c r="Q320" s="8">
        <v>420288</v>
      </c>
      <c r="S320" s="8">
        <v>115368</v>
      </c>
      <c r="U320" s="8">
        <v>1173176</v>
      </c>
      <c r="W320" s="8">
        <v>358612</v>
      </c>
      <c r="Y320" s="8">
        <v>1267</v>
      </c>
      <c r="AA320" s="8">
        <v>1284240</v>
      </c>
      <c r="AC320" s="8">
        <v>1065620</v>
      </c>
      <c r="AE320" s="8">
        <v>278860</v>
      </c>
      <c r="AG320" s="8">
        <v>0</v>
      </c>
      <c r="AI320" s="8">
        <v>0</v>
      </c>
      <c r="AJ320" s="13" t="s">
        <v>246</v>
      </c>
      <c r="AK320" s="13"/>
      <c r="AL320" s="13" t="s">
        <v>242</v>
      </c>
      <c r="AN320" s="8">
        <v>242134</v>
      </c>
      <c r="AP320" s="8">
        <v>44418</v>
      </c>
      <c r="AT320" s="8">
        <v>0</v>
      </c>
      <c r="AV320" s="8">
        <v>0</v>
      </c>
      <c r="AX320" s="8">
        <v>0</v>
      </c>
      <c r="AZ320" s="8">
        <f t="shared" si="31"/>
        <v>12458929</v>
      </c>
      <c r="BB320" s="8">
        <v>2593</v>
      </c>
      <c r="BH320" s="8">
        <v>0</v>
      </c>
      <c r="BJ320" s="8">
        <f t="shared" si="32"/>
        <v>12461522</v>
      </c>
      <c r="BL320" s="8">
        <f>+GenRev!AM320-GenExp!BJ320</f>
        <v>458541</v>
      </c>
      <c r="BN320" s="8">
        <v>2245542</v>
      </c>
      <c r="BP320" s="8">
        <v>0</v>
      </c>
      <c r="BS320" s="8">
        <f t="shared" ref="BS320:BS365" si="33">+BN320+BL320-BP320</f>
        <v>2704083</v>
      </c>
      <c r="BU320" s="9">
        <f>+BS320-'Gen Fd BS'!AA323+BQ320</f>
        <v>0</v>
      </c>
    </row>
    <row r="321" spans="1:75" hidden="1">
      <c r="A321" s="12" t="s">
        <v>993</v>
      </c>
      <c r="B321" s="12"/>
      <c r="C321" s="12" t="s">
        <v>41</v>
      </c>
      <c r="D321" s="13"/>
      <c r="E321" s="32"/>
      <c r="F321" s="11"/>
      <c r="G321" s="8">
        <v>13730295</v>
      </c>
      <c r="I321" s="8">
        <v>3333719</v>
      </c>
      <c r="K321" s="8">
        <v>213859</v>
      </c>
      <c r="M321" s="8">
        <f>2890+188264</f>
        <v>191154</v>
      </c>
      <c r="O321" s="8">
        <v>1598596</v>
      </c>
      <c r="Q321" s="8">
        <v>408074</v>
      </c>
      <c r="S321" s="8">
        <v>359332</v>
      </c>
      <c r="U321" s="8">
        <v>2145844</v>
      </c>
      <c r="W321" s="8">
        <v>591720</v>
      </c>
      <c r="Y321" s="8">
        <v>896407</v>
      </c>
      <c r="AA321" s="8">
        <v>2053903</v>
      </c>
      <c r="AC321" s="8">
        <v>1734259</v>
      </c>
      <c r="AE321" s="8">
        <v>801364</v>
      </c>
      <c r="AJ321" s="12" t="s">
        <v>993</v>
      </c>
      <c r="AK321" s="12"/>
      <c r="AL321" s="12" t="s">
        <v>41</v>
      </c>
      <c r="AN321" s="8">
        <v>476954</v>
      </c>
      <c r="AX321" s="8">
        <v>0</v>
      </c>
      <c r="AZ321" s="8">
        <f t="shared" si="31"/>
        <v>28535480</v>
      </c>
      <c r="BB321" s="8">
        <v>253961</v>
      </c>
      <c r="BD321" s="8">
        <f>376456-440564</f>
        <v>-64108</v>
      </c>
      <c r="BH321" s="8">
        <v>0</v>
      </c>
      <c r="BJ321" s="8">
        <f t="shared" si="32"/>
        <v>28725333</v>
      </c>
      <c r="BL321" s="8">
        <f>+GenRev!AM321-GenExp!BJ321</f>
        <v>-932748</v>
      </c>
      <c r="BN321" s="8">
        <v>4063870</v>
      </c>
      <c r="BP321" s="8">
        <v>0</v>
      </c>
      <c r="BS321" s="8">
        <f t="shared" si="33"/>
        <v>3131122</v>
      </c>
      <c r="BU321" s="9">
        <f>+BS321-'Gen Fd BS'!AA324+BQ321</f>
        <v>-9121</v>
      </c>
    </row>
    <row r="322" spans="1:75">
      <c r="A322" s="13" t="s">
        <v>246</v>
      </c>
      <c r="B322" s="13"/>
      <c r="C322" s="13" t="s">
        <v>112</v>
      </c>
      <c r="D322" s="13"/>
      <c r="E322" s="32">
        <v>49452</v>
      </c>
      <c r="G322" s="8">
        <v>11466516</v>
      </c>
      <c r="I322" s="8">
        <v>2661363</v>
      </c>
      <c r="K322" s="8">
        <v>2944496</v>
      </c>
      <c r="M322" s="8">
        <v>1970182</v>
      </c>
      <c r="O322" s="8">
        <v>1147849</v>
      </c>
      <c r="Q322" s="8">
        <v>1403537</v>
      </c>
      <c r="S322" s="8">
        <v>40403</v>
      </c>
      <c r="U322" s="8">
        <v>2117553</v>
      </c>
      <c r="W322" s="8">
        <v>528782</v>
      </c>
      <c r="Y322" s="8">
        <v>67579</v>
      </c>
      <c r="AA322" s="8">
        <v>3085619</v>
      </c>
      <c r="AC322" s="8">
        <v>1294486</v>
      </c>
      <c r="AE322" s="8">
        <v>229936</v>
      </c>
      <c r="AG322" s="8">
        <v>0</v>
      </c>
      <c r="AI322" s="8">
        <v>45138</v>
      </c>
      <c r="AJ322" s="13" t="s">
        <v>246</v>
      </c>
      <c r="AK322" s="13"/>
      <c r="AL322" s="13" t="s">
        <v>112</v>
      </c>
      <c r="AN322" s="8">
        <v>434747</v>
      </c>
      <c r="AP322" s="8">
        <v>227643</v>
      </c>
      <c r="AT322" s="8">
        <v>0</v>
      </c>
      <c r="AV322" s="8">
        <v>0</v>
      </c>
      <c r="AX322" s="8">
        <v>0</v>
      </c>
      <c r="AZ322" s="8">
        <f t="shared" si="31"/>
        <v>29665829</v>
      </c>
      <c r="BB322" s="8">
        <v>208998</v>
      </c>
      <c r="BH322" s="8">
        <v>0</v>
      </c>
      <c r="BJ322" s="8">
        <f t="shared" si="32"/>
        <v>29874827</v>
      </c>
      <c r="BL322" s="8">
        <f>+GenRev!AM322-GenExp!BJ322</f>
        <v>-832326</v>
      </c>
      <c r="BN322" s="8">
        <v>9246048</v>
      </c>
      <c r="BP322" s="8">
        <v>0</v>
      </c>
      <c r="BS322" s="8">
        <f t="shared" si="33"/>
        <v>8413722</v>
      </c>
      <c r="BU322" s="9">
        <f>+BS322-'Gen Fd BS'!AA325+BQ322</f>
        <v>0</v>
      </c>
    </row>
    <row r="323" spans="1:75">
      <c r="A323" s="12" t="s">
        <v>1023</v>
      </c>
      <c r="B323" s="12"/>
      <c r="C323" s="12" t="s">
        <v>505</v>
      </c>
      <c r="D323" s="13"/>
      <c r="E323" s="32"/>
      <c r="G323" s="8">
        <v>6337313</v>
      </c>
      <c r="I323" s="8">
        <v>548532</v>
      </c>
      <c r="K323" s="8">
        <v>456908</v>
      </c>
      <c r="M323" s="8">
        <v>0</v>
      </c>
      <c r="O323" s="8">
        <v>363938</v>
      </c>
      <c r="Q323" s="8">
        <v>455449</v>
      </c>
      <c r="S323" s="8">
        <v>69939</v>
      </c>
      <c r="U323" s="8">
        <v>1317913</v>
      </c>
      <c r="W323" s="8">
        <v>486464</v>
      </c>
      <c r="Y323" s="8">
        <v>0</v>
      </c>
      <c r="AA323" s="8">
        <v>973618</v>
      </c>
      <c r="AC323" s="8">
        <v>1242144</v>
      </c>
      <c r="AE323" s="8">
        <v>263486</v>
      </c>
      <c r="AG323" s="8">
        <v>26819</v>
      </c>
      <c r="AI323" s="8">
        <v>0</v>
      </c>
      <c r="AJ323" s="12" t="s">
        <v>1023</v>
      </c>
      <c r="AK323" s="12"/>
      <c r="AL323" s="12" t="s">
        <v>505</v>
      </c>
      <c r="AN323" s="8">
        <v>266097</v>
      </c>
      <c r="AP323" s="8">
        <v>297385</v>
      </c>
      <c r="AT323" s="8">
        <v>0</v>
      </c>
      <c r="AV323" s="8">
        <v>0</v>
      </c>
      <c r="AX323" s="8">
        <v>0</v>
      </c>
      <c r="AZ323" s="8">
        <f t="shared" si="31"/>
        <v>13106005</v>
      </c>
      <c r="BB323" s="8">
        <v>40000</v>
      </c>
      <c r="BH323" s="8">
        <v>0</v>
      </c>
      <c r="BJ323" s="8">
        <f t="shared" si="32"/>
        <v>13146005</v>
      </c>
      <c r="BL323" s="8">
        <f>+GenRev!AM323-GenExp!BJ323</f>
        <v>756879</v>
      </c>
      <c r="BN323" s="8">
        <v>6473604</v>
      </c>
      <c r="BP323" s="8">
        <v>0</v>
      </c>
      <c r="BS323" s="8">
        <f t="shared" si="33"/>
        <v>7230483</v>
      </c>
      <c r="BU323" s="9">
        <f>+BS323-'Gen Fd BS'!AA326+BQ323</f>
        <v>0</v>
      </c>
    </row>
    <row r="324" spans="1:75">
      <c r="A324" s="13" t="s">
        <v>819</v>
      </c>
      <c r="B324" s="13"/>
      <c r="C324" s="13" t="s">
        <v>208</v>
      </c>
      <c r="D324" s="13"/>
      <c r="E324" s="32"/>
      <c r="G324" s="8">
        <v>3841598</v>
      </c>
      <c r="I324" s="8">
        <v>1043376</v>
      </c>
      <c r="K324" s="8">
        <v>1033392</v>
      </c>
      <c r="M324" s="8">
        <v>92777</v>
      </c>
      <c r="O324" s="8">
        <v>395609</v>
      </c>
      <c r="Q324" s="8">
        <v>419660</v>
      </c>
      <c r="S324" s="8">
        <v>87209</v>
      </c>
      <c r="U324" s="8">
        <v>727363</v>
      </c>
      <c r="W324" s="8">
        <v>396131</v>
      </c>
      <c r="Y324" s="8">
        <v>0</v>
      </c>
      <c r="AA324" s="8">
        <v>1010450</v>
      </c>
      <c r="AC324" s="8">
        <v>547253</v>
      </c>
      <c r="AE324" s="8">
        <v>0</v>
      </c>
      <c r="AG324" s="8">
        <v>0</v>
      </c>
      <c r="AI324" s="8">
        <v>0</v>
      </c>
      <c r="AJ324" s="13" t="s">
        <v>819</v>
      </c>
      <c r="AK324" s="13"/>
      <c r="AL324" s="13" t="s">
        <v>208</v>
      </c>
      <c r="AN324" s="8">
        <v>149782</v>
      </c>
      <c r="AP324" s="8">
        <v>28008</v>
      </c>
      <c r="AT324" s="8">
        <v>0</v>
      </c>
      <c r="AV324" s="8">
        <v>0</v>
      </c>
      <c r="AX324" s="8">
        <v>0</v>
      </c>
      <c r="AZ324" s="8">
        <f t="shared" si="31"/>
        <v>9772608</v>
      </c>
      <c r="BB324" s="8">
        <v>2740948</v>
      </c>
      <c r="BH324" s="8">
        <v>0</v>
      </c>
      <c r="BJ324" s="8">
        <f t="shared" si="32"/>
        <v>12513556</v>
      </c>
      <c r="BL324" s="8">
        <f>+GenRev!AM327-GenExp!BJ324</f>
        <v>647962</v>
      </c>
      <c r="BN324" s="8">
        <v>1520567</v>
      </c>
      <c r="BP324" s="8">
        <v>0</v>
      </c>
      <c r="BS324" s="8">
        <f t="shared" si="33"/>
        <v>2168529</v>
      </c>
      <c r="BU324" s="9">
        <f>+BS324-'Gen Fd BS'!AA327+BQ324</f>
        <v>0</v>
      </c>
    </row>
    <row r="325" spans="1:75">
      <c r="A325" s="13" t="s">
        <v>612</v>
      </c>
      <c r="B325" s="13"/>
      <c r="C325" s="13" t="s">
        <v>112</v>
      </c>
      <c r="D325" s="13"/>
      <c r="E325" s="32">
        <v>44297</v>
      </c>
      <c r="G325" s="8">
        <v>13465854</v>
      </c>
      <c r="I325" s="8">
        <v>5026635</v>
      </c>
      <c r="K325" s="8">
        <v>1454279</v>
      </c>
      <c r="M325" s="8">
        <v>11083306</v>
      </c>
      <c r="O325" s="8">
        <v>3227959</v>
      </c>
      <c r="Q325" s="8">
        <v>1512873</v>
      </c>
      <c r="S325" s="8">
        <v>26558</v>
      </c>
      <c r="U325" s="8">
        <v>3294195</v>
      </c>
      <c r="W325" s="8">
        <v>999850</v>
      </c>
      <c r="Y325" s="8">
        <v>1276080</v>
      </c>
      <c r="AA325" s="8">
        <v>4515697</v>
      </c>
      <c r="AC325" s="8">
        <v>1857419</v>
      </c>
      <c r="AE325" s="8">
        <v>1431692</v>
      </c>
      <c r="AG325" s="8">
        <v>0</v>
      </c>
      <c r="AI325" s="8">
        <v>1268129</v>
      </c>
      <c r="AJ325" s="13" t="s">
        <v>612</v>
      </c>
      <c r="AK325" s="13"/>
      <c r="AL325" s="13" t="s">
        <v>112</v>
      </c>
      <c r="AN325" s="8">
        <v>461867</v>
      </c>
      <c r="AP325" s="8">
        <v>0</v>
      </c>
      <c r="AT325" s="8">
        <v>0</v>
      </c>
      <c r="AV325" s="8">
        <v>0</v>
      </c>
      <c r="AX325" s="8">
        <v>0</v>
      </c>
      <c r="AZ325" s="8">
        <f t="shared" si="31"/>
        <v>50902393</v>
      </c>
      <c r="BB325" s="8">
        <v>0</v>
      </c>
      <c r="BH325" s="8">
        <v>0</v>
      </c>
      <c r="BJ325" s="8">
        <f t="shared" si="32"/>
        <v>50902393</v>
      </c>
      <c r="BL325" s="8">
        <f>+GenRev!AM328-GenExp!BJ325</f>
        <v>379340</v>
      </c>
      <c r="BN325" s="8">
        <v>-1252380</v>
      </c>
      <c r="BP325" s="8">
        <v>0</v>
      </c>
      <c r="BS325" s="8">
        <f t="shared" si="33"/>
        <v>-873040</v>
      </c>
      <c r="BU325" s="9">
        <f>+BS325-'Gen Fd BS'!AA328+BQ325</f>
        <v>0</v>
      </c>
    </row>
    <row r="326" spans="1:75">
      <c r="A326" s="12" t="s">
        <v>1070</v>
      </c>
      <c r="B326" s="13"/>
      <c r="C326" s="13" t="s">
        <v>20</v>
      </c>
      <c r="D326" s="13"/>
      <c r="E326" s="32">
        <v>44305</v>
      </c>
      <c r="G326" s="8">
        <v>16662808</v>
      </c>
      <c r="I326" s="8">
        <v>3525491</v>
      </c>
      <c r="K326" s="8">
        <v>1310600</v>
      </c>
      <c r="M326" s="8">
        <v>0</v>
      </c>
      <c r="O326" s="8">
        <v>1884732</v>
      </c>
      <c r="Q326" s="8">
        <v>1010369</v>
      </c>
      <c r="S326" s="8">
        <v>56951</v>
      </c>
      <c r="U326" s="8">
        <v>3579392</v>
      </c>
      <c r="W326" s="8">
        <v>1652605</v>
      </c>
      <c r="Y326" s="8">
        <v>646285</v>
      </c>
      <c r="AA326" s="8">
        <v>5309614</v>
      </c>
      <c r="AC326" s="8">
        <v>1811908</v>
      </c>
      <c r="AE326" s="8">
        <v>21620</v>
      </c>
      <c r="AG326" s="8">
        <v>0</v>
      </c>
      <c r="AI326" s="8">
        <v>0</v>
      </c>
      <c r="AJ326" s="13" t="s">
        <v>311</v>
      </c>
      <c r="AK326" s="13"/>
      <c r="AL326" s="13" t="s">
        <v>20</v>
      </c>
      <c r="AN326" s="8">
        <v>760124</v>
      </c>
      <c r="AP326" s="8">
        <v>149410</v>
      </c>
      <c r="AT326" s="8">
        <v>52299</v>
      </c>
      <c r="AV326" s="8">
        <v>3050</v>
      </c>
      <c r="AX326" s="8">
        <v>0</v>
      </c>
      <c r="AZ326" s="8">
        <f t="shared" si="31"/>
        <v>38437258</v>
      </c>
      <c r="BB326" s="8">
        <v>0</v>
      </c>
      <c r="BH326" s="8">
        <v>0</v>
      </c>
      <c r="BJ326" s="8">
        <f t="shared" si="32"/>
        <v>38437258</v>
      </c>
      <c r="BL326" s="8">
        <f>+GenRev!AM329-GenExp!BJ326</f>
        <v>-1678130</v>
      </c>
      <c r="BN326" s="8">
        <v>4462513</v>
      </c>
      <c r="BP326" s="8">
        <v>0</v>
      </c>
      <c r="BS326" s="8">
        <f t="shared" si="33"/>
        <v>2784383</v>
      </c>
      <c r="BU326" s="9">
        <f>+BS326-'Gen Fd BS'!AA329+BQ326</f>
        <v>0</v>
      </c>
      <c r="BW326" s="15" t="s">
        <v>905</v>
      </c>
    </row>
    <row r="327" spans="1:75">
      <c r="A327" s="13" t="s">
        <v>216</v>
      </c>
      <c r="B327" s="13"/>
      <c r="C327" s="13" t="s">
        <v>11</v>
      </c>
      <c r="D327" s="13"/>
      <c r="E327" s="32">
        <v>45831</v>
      </c>
      <c r="G327" s="8">
        <v>3293244</v>
      </c>
      <c r="I327" s="8">
        <v>526823</v>
      </c>
      <c r="K327" s="8">
        <v>172853</v>
      </c>
      <c r="M327" s="8">
        <v>710285</v>
      </c>
      <c r="O327" s="8">
        <v>267474</v>
      </c>
      <c r="Q327" s="8">
        <v>324113</v>
      </c>
      <c r="S327" s="8">
        <v>36570</v>
      </c>
      <c r="U327" s="8">
        <v>623024</v>
      </c>
      <c r="W327" s="8">
        <v>289649</v>
      </c>
      <c r="Y327" s="8">
        <v>0</v>
      </c>
      <c r="AA327" s="8">
        <v>700997</v>
      </c>
      <c r="AC327" s="8">
        <v>506271</v>
      </c>
      <c r="AE327" s="8">
        <v>32187</v>
      </c>
      <c r="AG327" s="8">
        <v>0</v>
      </c>
      <c r="AI327" s="8">
        <v>0</v>
      </c>
      <c r="AJ327" s="13" t="s">
        <v>216</v>
      </c>
      <c r="AK327" s="13"/>
      <c r="AL327" s="13" t="s">
        <v>11</v>
      </c>
      <c r="AN327" s="8">
        <v>181482</v>
      </c>
      <c r="AP327" s="8">
        <v>0</v>
      </c>
      <c r="AT327" s="8">
        <v>13656</v>
      </c>
      <c r="AV327" s="8">
        <v>2304</v>
      </c>
      <c r="AX327" s="8">
        <v>0</v>
      </c>
      <c r="AZ327" s="8">
        <f t="shared" si="31"/>
        <v>7680932</v>
      </c>
      <c r="BB327" s="8">
        <v>0</v>
      </c>
      <c r="BH327" s="8">
        <v>0</v>
      </c>
      <c r="BJ327" s="8">
        <f t="shared" si="32"/>
        <v>7680932</v>
      </c>
      <c r="BL327" s="8">
        <f>+GenRev!AM330-GenExp!BJ327</f>
        <v>448618</v>
      </c>
      <c r="BN327" s="8">
        <v>777396</v>
      </c>
      <c r="BP327" s="8">
        <v>0</v>
      </c>
      <c r="BS327" s="8">
        <f t="shared" si="33"/>
        <v>1226014</v>
      </c>
      <c r="BU327" s="9">
        <f>+BS327-'Gen Fd BS'!AA330+BQ327</f>
        <v>0</v>
      </c>
    </row>
    <row r="328" spans="1:75">
      <c r="A328" s="13" t="s">
        <v>687</v>
      </c>
      <c r="B328" s="13"/>
      <c r="C328" s="13" t="s">
        <v>64</v>
      </c>
      <c r="D328" s="13"/>
      <c r="E328" s="32">
        <v>50211</v>
      </c>
      <c r="G328" s="8">
        <v>4097490</v>
      </c>
      <c r="I328" s="8">
        <v>473569</v>
      </c>
      <c r="K328" s="8">
        <v>36657</v>
      </c>
      <c r="M328" s="8">
        <v>0</v>
      </c>
      <c r="O328" s="8">
        <v>438273</v>
      </c>
      <c r="Q328" s="8">
        <v>108098</v>
      </c>
      <c r="S328" s="8">
        <v>30918</v>
      </c>
      <c r="U328" s="8">
        <v>702914</v>
      </c>
      <c r="W328" s="8">
        <v>268222</v>
      </c>
      <c r="Y328" s="8">
        <v>59058</v>
      </c>
      <c r="AA328" s="8">
        <v>799294</v>
      </c>
      <c r="AC328" s="8">
        <v>479029</v>
      </c>
      <c r="AE328" s="8">
        <v>39475</v>
      </c>
      <c r="AG328" s="8">
        <v>0</v>
      </c>
      <c r="AI328" s="8">
        <v>0</v>
      </c>
      <c r="AJ328" s="13" t="s">
        <v>687</v>
      </c>
      <c r="AK328" s="13"/>
      <c r="AL328" s="13" t="s">
        <v>64</v>
      </c>
      <c r="AN328" s="8">
        <v>148590</v>
      </c>
      <c r="AP328" s="8">
        <v>0</v>
      </c>
      <c r="AT328" s="8">
        <v>0</v>
      </c>
      <c r="AV328" s="8">
        <v>17097</v>
      </c>
      <c r="AX328" s="8">
        <v>0</v>
      </c>
      <c r="AZ328" s="8">
        <f t="shared" si="31"/>
        <v>7698684</v>
      </c>
      <c r="BB328" s="8">
        <v>0</v>
      </c>
      <c r="BH328" s="8">
        <v>0</v>
      </c>
      <c r="BJ328" s="8">
        <f t="shared" si="32"/>
        <v>7698684</v>
      </c>
      <c r="BL328" s="8">
        <f>+GenRev!AM331-GenExp!BJ328</f>
        <v>917554</v>
      </c>
      <c r="BN328" s="8">
        <v>582227</v>
      </c>
      <c r="BP328" s="8">
        <v>0</v>
      </c>
      <c r="BS328" s="8">
        <f t="shared" si="33"/>
        <v>1499781</v>
      </c>
      <c r="BU328" s="9">
        <f>+BS328-'Gen Fd BS'!AA331+BQ328</f>
        <v>0</v>
      </c>
    </row>
    <row r="329" spans="1:75">
      <c r="A329" s="13" t="s">
        <v>339</v>
      </c>
      <c r="B329" s="13"/>
      <c r="C329" s="13" t="s">
        <v>24</v>
      </c>
      <c r="D329" s="13"/>
      <c r="E329" s="32">
        <v>46805</v>
      </c>
      <c r="G329" s="8">
        <v>5050521</v>
      </c>
      <c r="I329" s="8">
        <v>1169276</v>
      </c>
      <c r="K329" s="8">
        <v>344297</v>
      </c>
      <c r="M329" s="8">
        <v>7438</v>
      </c>
      <c r="O329" s="8">
        <v>498074</v>
      </c>
      <c r="Q329" s="8">
        <v>629078</v>
      </c>
      <c r="S329" s="8">
        <v>167232</v>
      </c>
      <c r="U329" s="8">
        <v>1021442</v>
      </c>
      <c r="W329" s="8">
        <v>423124</v>
      </c>
      <c r="Y329" s="8">
        <v>0</v>
      </c>
      <c r="AA329" s="8">
        <v>1421263</v>
      </c>
      <c r="AC329" s="8">
        <v>993883</v>
      </c>
      <c r="AE329" s="8">
        <v>64420</v>
      </c>
      <c r="AG329" s="8">
        <v>0</v>
      </c>
      <c r="AI329" s="8">
        <v>15426</v>
      </c>
      <c r="AJ329" s="13" t="s">
        <v>339</v>
      </c>
      <c r="AK329" s="13"/>
      <c r="AL329" s="13" t="s">
        <v>24</v>
      </c>
      <c r="AN329" s="8">
        <v>269966</v>
      </c>
      <c r="AP329" s="8">
        <v>0</v>
      </c>
      <c r="AT329" s="8">
        <v>0</v>
      </c>
      <c r="AV329" s="8">
        <v>112647</v>
      </c>
      <c r="AX329" s="8">
        <v>0</v>
      </c>
      <c r="AZ329" s="8">
        <f t="shared" si="31"/>
        <v>12188087</v>
      </c>
      <c r="BB329" s="8">
        <v>155486</v>
      </c>
      <c r="BH329" s="8">
        <v>0</v>
      </c>
      <c r="BJ329" s="8">
        <f t="shared" si="32"/>
        <v>12343573</v>
      </c>
      <c r="BL329" s="8">
        <f>+GenRev!AM332-GenExp!BJ329</f>
        <v>-558268</v>
      </c>
      <c r="BN329" s="8">
        <v>434962</v>
      </c>
      <c r="BP329" s="8">
        <v>0</v>
      </c>
      <c r="BS329" s="8">
        <f t="shared" si="33"/>
        <v>-123306</v>
      </c>
      <c r="BU329" s="9">
        <f>+BS329-'Gen Fd BS'!AA332+BQ329</f>
        <v>0</v>
      </c>
    </row>
    <row r="330" spans="1:75">
      <c r="A330" s="13" t="s">
        <v>399</v>
      </c>
      <c r="B330" s="13"/>
      <c r="C330" s="13" t="s">
        <v>32</v>
      </c>
      <c r="D330" s="13"/>
      <c r="E330" s="32">
        <v>44313</v>
      </c>
      <c r="F330" s="11"/>
      <c r="G330" s="8">
        <v>9854331</v>
      </c>
      <c r="I330" s="8">
        <v>2052702</v>
      </c>
      <c r="K330" s="8">
        <v>0</v>
      </c>
      <c r="M330" s="8">
        <v>124500</v>
      </c>
      <c r="O330" s="8">
        <v>1252076</v>
      </c>
      <c r="Q330" s="8">
        <v>1095028</v>
      </c>
      <c r="S330" s="8">
        <v>12302</v>
      </c>
      <c r="U330" s="8">
        <v>1760692</v>
      </c>
      <c r="W330" s="8">
        <v>508232</v>
      </c>
      <c r="Y330" s="8">
        <v>52152</v>
      </c>
      <c r="AA330" s="8">
        <v>1946055</v>
      </c>
      <c r="AC330" s="8">
        <v>673667</v>
      </c>
      <c r="AE330" s="8">
        <v>92834</v>
      </c>
      <c r="AG330" s="8">
        <v>0</v>
      </c>
      <c r="AI330" s="8">
        <v>0</v>
      </c>
      <c r="AJ330" s="13" t="s">
        <v>399</v>
      </c>
      <c r="AK330" s="13"/>
      <c r="AL330" s="13" t="s">
        <v>32</v>
      </c>
      <c r="AN330" s="8">
        <v>479001</v>
      </c>
      <c r="AP330" s="8">
        <v>151969</v>
      </c>
      <c r="AT330" s="8">
        <v>164123</v>
      </c>
      <c r="AV330" s="8">
        <v>107582</v>
      </c>
      <c r="AX330" s="8">
        <v>0</v>
      </c>
      <c r="AZ330" s="8">
        <f t="shared" si="31"/>
        <v>20327246</v>
      </c>
      <c r="BB330" s="8">
        <v>53000</v>
      </c>
      <c r="BH330" s="8">
        <v>0</v>
      </c>
      <c r="BJ330" s="8">
        <f t="shared" si="32"/>
        <v>20380246</v>
      </c>
      <c r="BL330" s="8">
        <f>+GenRev!AM333-GenExp!BJ330</f>
        <v>204340</v>
      </c>
      <c r="BN330" s="8">
        <v>8105737</v>
      </c>
      <c r="BP330" s="8">
        <v>0</v>
      </c>
      <c r="BS330" s="8">
        <f t="shared" si="33"/>
        <v>8310077</v>
      </c>
      <c r="BU330" s="9">
        <f>+BS330-'Gen Fd BS'!AA333+BQ330</f>
        <v>0</v>
      </c>
    </row>
    <row r="331" spans="1:75" hidden="1">
      <c r="A331" s="12" t="s">
        <v>832</v>
      </c>
      <c r="B331" s="13"/>
      <c r="C331" s="13" t="s">
        <v>70</v>
      </c>
      <c r="D331" s="13"/>
      <c r="E331" s="32">
        <v>44321</v>
      </c>
      <c r="G331" s="8">
        <v>10517789</v>
      </c>
      <c r="I331" s="8">
        <v>2306133</v>
      </c>
      <c r="K331" s="8">
        <v>61902</v>
      </c>
      <c r="M331" s="8">
        <v>62213</v>
      </c>
      <c r="O331" s="8">
        <v>1089177</v>
      </c>
      <c r="Q331" s="8">
        <v>1035460</v>
      </c>
      <c r="S331" s="8">
        <v>86044</v>
      </c>
      <c r="U331" s="8">
        <v>1807418</v>
      </c>
      <c r="W331" s="8">
        <v>466566</v>
      </c>
      <c r="Y331" s="8">
        <v>267969</v>
      </c>
      <c r="AA331" s="8">
        <v>2139310</v>
      </c>
      <c r="AC331" s="8">
        <v>1075637</v>
      </c>
      <c r="AE331" s="8">
        <v>93422</v>
      </c>
      <c r="AG331" s="8">
        <v>0</v>
      </c>
      <c r="AJ331" s="13" t="s">
        <v>718</v>
      </c>
      <c r="AK331" s="13"/>
      <c r="AL331" s="13" t="s">
        <v>70</v>
      </c>
      <c r="AN331" s="8">
        <v>305653</v>
      </c>
      <c r="AX331" s="8">
        <v>0</v>
      </c>
      <c r="AZ331" s="8">
        <f t="shared" si="31"/>
        <v>21314693</v>
      </c>
      <c r="BB331" s="8">
        <v>111501</v>
      </c>
      <c r="BD331" s="8">
        <f>280957-69020</f>
        <v>211937</v>
      </c>
      <c r="BH331" s="8">
        <v>0</v>
      </c>
      <c r="BJ331" s="8">
        <f t="shared" si="32"/>
        <v>21638131</v>
      </c>
      <c r="BL331" s="8">
        <f>+GenRev!AM334-GenExp!BJ331</f>
        <v>34974</v>
      </c>
      <c r="BN331" s="8">
        <v>3035825</v>
      </c>
      <c r="BP331" s="8">
        <v>0</v>
      </c>
      <c r="BS331" s="8">
        <f t="shared" si="33"/>
        <v>3070799</v>
      </c>
      <c r="BU331" s="9">
        <f>+BS331-'Gen Fd BS'!AA334+BQ331</f>
        <v>-1500</v>
      </c>
      <c r="BW331" s="8" t="s">
        <v>956</v>
      </c>
    </row>
    <row r="332" spans="1:75">
      <c r="A332" s="13" t="s">
        <v>521</v>
      </c>
      <c r="B332" s="13"/>
      <c r="C332" s="13" t="s">
        <v>46</v>
      </c>
      <c r="D332" s="13"/>
      <c r="E332" s="32">
        <v>44339</v>
      </c>
      <c r="G332" s="8">
        <v>20836330</v>
      </c>
      <c r="I332" s="8">
        <v>4696980</v>
      </c>
      <c r="K332" s="8">
        <v>508621</v>
      </c>
      <c r="M332" s="8">
        <v>14334</v>
      </c>
      <c r="O332" s="8">
        <v>2150257</v>
      </c>
      <c r="Q332" s="8">
        <v>891856</v>
      </c>
      <c r="S332" s="8">
        <v>37437</v>
      </c>
      <c r="U332" s="8">
        <v>2949515</v>
      </c>
      <c r="W332" s="8">
        <v>646719</v>
      </c>
      <c r="Y332" s="8">
        <v>407970</v>
      </c>
      <c r="AA332" s="8">
        <v>3895016</v>
      </c>
      <c r="AC332" s="8">
        <v>895474</v>
      </c>
      <c r="AE332" s="8">
        <v>6070</v>
      </c>
      <c r="AG332" s="8">
        <v>0</v>
      </c>
      <c r="AI332" s="8">
        <v>1143946</v>
      </c>
      <c r="AJ332" s="13" t="s">
        <v>521</v>
      </c>
      <c r="AK332" s="13"/>
      <c r="AL332" s="13" t="s">
        <v>46</v>
      </c>
      <c r="AN332" s="8">
        <v>554304</v>
      </c>
      <c r="AP332" s="8">
        <v>28200</v>
      </c>
      <c r="AT332" s="8">
        <v>32196</v>
      </c>
      <c r="AV332" s="8">
        <v>12135</v>
      </c>
      <c r="AX332" s="8">
        <v>0</v>
      </c>
      <c r="AZ332" s="8">
        <f t="shared" si="31"/>
        <v>39707360</v>
      </c>
      <c r="BB332" s="8">
        <v>80177</v>
      </c>
      <c r="BH332" s="8">
        <v>0</v>
      </c>
      <c r="BJ332" s="8">
        <f t="shared" si="32"/>
        <v>39787537</v>
      </c>
      <c r="BL332" s="8">
        <f>+GenRev!AM335-GenExp!BJ332</f>
        <v>2595380</v>
      </c>
      <c r="BN332" s="8">
        <v>10849804</v>
      </c>
      <c r="BP332" s="8">
        <v>0</v>
      </c>
      <c r="BS332" s="8">
        <f t="shared" si="33"/>
        <v>13445184</v>
      </c>
      <c r="BU332" s="9">
        <f>+BS332-'Gen Fd BS'!AA335+BQ332</f>
        <v>0</v>
      </c>
    </row>
    <row r="333" spans="1:75" hidden="1">
      <c r="A333" s="12" t="s">
        <v>998</v>
      </c>
      <c r="B333" s="12"/>
      <c r="C333" s="12" t="s">
        <v>534</v>
      </c>
      <c r="D333" s="13"/>
      <c r="E333" s="32"/>
      <c r="G333" s="8">
        <v>3962418</v>
      </c>
      <c r="I333" s="8">
        <v>689372</v>
      </c>
      <c r="K333" s="8">
        <v>108226</v>
      </c>
      <c r="M333" s="8">
        <v>10247</v>
      </c>
      <c r="O333" s="8">
        <v>203905</v>
      </c>
      <c r="Q333" s="8">
        <v>239288</v>
      </c>
      <c r="S333" s="8">
        <v>30528</v>
      </c>
      <c r="U333" s="8">
        <v>583361</v>
      </c>
      <c r="W333" s="8">
        <v>231486</v>
      </c>
      <c r="Y333" s="8">
        <v>4184</v>
      </c>
      <c r="AA333" s="8">
        <v>619471</v>
      </c>
      <c r="AC333" s="8">
        <v>318040</v>
      </c>
      <c r="AE333" s="8">
        <v>370</v>
      </c>
      <c r="AG333" s="8">
        <v>0</v>
      </c>
      <c r="AJ333" s="12" t="s">
        <v>998</v>
      </c>
      <c r="AK333" s="12"/>
      <c r="AL333" s="12" t="s">
        <v>534</v>
      </c>
      <c r="AN333" s="8">
        <v>241089</v>
      </c>
      <c r="AP333" s="8">
        <v>220</v>
      </c>
      <c r="AX333" s="8">
        <v>0</v>
      </c>
      <c r="AZ333" s="8">
        <f t="shared" si="31"/>
        <v>7242205</v>
      </c>
      <c r="BB333" s="8">
        <v>29092</v>
      </c>
      <c r="BH333" s="8">
        <v>0</v>
      </c>
      <c r="BJ333" s="8">
        <f t="shared" si="32"/>
        <v>7271297</v>
      </c>
      <c r="BL333" s="8">
        <f>+GenRev!AM336-GenExp!BJ333</f>
        <v>-143892</v>
      </c>
      <c r="BN333" s="8">
        <v>1371350</v>
      </c>
      <c r="BP333" s="8">
        <v>0</v>
      </c>
      <c r="BS333" s="8">
        <f t="shared" si="33"/>
        <v>1227458</v>
      </c>
      <c r="BU333" s="9">
        <f>+BS333-'Gen Fd BS'!AA336+BQ333</f>
        <v>-39500</v>
      </c>
    </row>
    <row r="334" spans="1:75">
      <c r="A334" s="13" t="s">
        <v>655</v>
      </c>
      <c r="B334" s="13"/>
      <c r="C334" s="13" t="s">
        <v>62</v>
      </c>
      <c r="D334" s="13"/>
      <c r="E334" s="32">
        <v>49882</v>
      </c>
      <c r="G334" s="8">
        <v>8081324</v>
      </c>
      <c r="I334" s="8">
        <v>2342284</v>
      </c>
      <c r="K334" s="8">
        <v>886419</v>
      </c>
      <c r="M334" s="8">
        <v>996253</v>
      </c>
      <c r="O334" s="8">
        <v>565530</v>
      </c>
      <c r="Q334" s="8">
        <v>776049</v>
      </c>
      <c r="S334" s="8">
        <v>22009</v>
      </c>
      <c r="U334" s="8">
        <v>1694460</v>
      </c>
      <c r="W334" s="8">
        <v>532070</v>
      </c>
      <c r="Y334" s="8">
        <v>77521</v>
      </c>
      <c r="AA334" s="8">
        <v>1856433</v>
      </c>
      <c r="AC334" s="8">
        <v>1117205</v>
      </c>
      <c r="AE334" s="8">
        <v>64699</v>
      </c>
      <c r="AG334" s="8">
        <v>0</v>
      </c>
      <c r="AI334" s="8">
        <v>655</v>
      </c>
      <c r="AJ334" s="13" t="s">
        <v>655</v>
      </c>
      <c r="AK334" s="13"/>
      <c r="AL334" s="13" t="s">
        <v>62</v>
      </c>
      <c r="AN334" s="8">
        <v>412334</v>
      </c>
      <c r="AP334" s="8">
        <v>0</v>
      </c>
      <c r="AT334" s="8">
        <v>107839</v>
      </c>
      <c r="AV334" s="8">
        <v>27886</v>
      </c>
      <c r="AX334" s="8">
        <v>0</v>
      </c>
      <c r="AZ334" s="8">
        <f t="shared" si="31"/>
        <v>19560970</v>
      </c>
      <c r="BB334" s="8">
        <v>0</v>
      </c>
      <c r="BH334" s="8">
        <v>0</v>
      </c>
      <c r="BJ334" s="8">
        <f t="shared" si="32"/>
        <v>19560970</v>
      </c>
      <c r="BL334" s="8">
        <f>+GenRev!AM337-GenExp!BJ334</f>
        <v>1447253</v>
      </c>
      <c r="BN334" s="8">
        <v>3185940</v>
      </c>
      <c r="BP334" s="8">
        <v>-22246</v>
      </c>
      <c r="BS334" s="8">
        <f t="shared" si="33"/>
        <v>4655439</v>
      </c>
      <c r="BU334" s="9">
        <f>+BS334-'Gen Fd BS'!AA337+BQ334</f>
        <v>0</v>
      </c>
    </row>
    <row r="335" spans="1:75">
      <c r="A335" s="13" t="s">
        <v>233</v>
      </c>
      <c r="B335" s="13"/>
      <c r="C335" s="13" t="s">
        <v>15</v>
      </c>
      <c r="D335" s="13"/>
      <c r="E335" s="32">
        <v>44347</v>
      </c>
      <c r="G335" s="8">
        <v>5469561</v>
      </c>
      <c r="I335" s="8">
        <v>1254311</v>
      </c>
      <c r="K335" s="8">
        <v>301231</v>
      </c>
      <c r="M335" s="8">
        <v>107218</v>
      </c>
      <c r="O335" s="8">
        <v>604471</v>
      </c>
      <c r="Q335" s="8">
        <v>376424</v>
      </c>
      <c r="S335" s="8">
        <v>55831</v>
      </c>
      <c r="U335" s="8">
        <v>1084335</v>
      </c>
      <c r="W335" s="8">
        <v>308470</v>
      </c>
      <c r="Y335" s="8">
        <v>0</v>
      </c>
      <c r="AA335" s="8">
        <v>1310619</v>
      </c>
      <c r="AC335" s="8">
        <v>638105</v>
      </c>
      <c r="AE335" s="8">
        <v>62745</v>
      </c>
      <c r="AG335" s="8">
        <v>0</v>
      </c>
      <c r="AI335" s="8">
        <v>0</v>
      </c>
      <c r="AJ335" s="13" t="s">
        <v>233</v>
      </c>
      <c r="AK335" s="13"/>
      <c r="AL335" s="13" t="s">
        <v>15</v>
      </c>
      <c r="AN335" s="8">
        <v>226850</v>
      </c>
      <c r="AP335" s="8">
        <v>918154</v>
      </c>
      <c r="AT335" s="8">
        <v>136847</v>
      </c>
      <c r="AV335" s="8">
        <v>86689</v>
      </c>
      <c r="AX335" s="8">
        <v>0</v>
      </c>
      <c r="AZ335" s="8">
        <f t="shared" si="31"/>
        <v>12941861</v>
      </c>
      <c r="BB335" s="8">
        <v>0</v>
      </c>
      <c r="BH335" s="8">
        <v>0</v>
      </c>
      <c r="BJ335" s="8">
        <f t="shared" si="32"/>
        <v>12941861</v>
      </c>
      <c r="BL335" s="8">
        <f>+GenRev!AM338-GenExp!BJ335</f>
        <v>-1134346</v>
      </c>
      <c r="BN335" s="8">
        <v>-1011471</v>
      </c>
      <c r="BP335" s="8">
        <v>0</v>
      </c>
      <c r="BS335" s="8">
        <f t="shared" si="33"/>
        <v>-2145817</v>
      </c>
      <c r="BU335" s="9">
        <f>+BS335-'Gen Fd BS'!AA338+BQ335</f>
        <v>0</v>
      </c>
    </row>
    <row r="336" spans="1:75">
      <c r="A336" s="13" t="s">
        <v>703</v>
      </c>
      <c r="B336" s="13"/>
      <c r="C336" s="13" t="s">
        <v>66</v>
      </c>
      <c r="D336" s="13"/>
      <c r="E336" s="32">
        <v>45476</v>
      </c>
      <c r="G336" s="8">
        <v>26025215</v>
      </c>
      <c r="I336" s="8">
        <v>0</v>
      </c>
      <c r="K336" s="8">
        <v>0</v>
      </c>
      <c r="M336" s="8">
        <v>0</v>
      </c>
      <c r="O336" s="8">
        <v>2818808</v>
      </c>
      <c r="Q336" s="8">
        <v>3299763</v>
      </c>
      <c r="S336" s="8">
        <v>24986</v>
      </c>
      <c r="U336" s="8">
        <v>2716781</v>
      </c>
      <c r="W336" s="8">
        <v>1102565</v>
      </c>
      <c r="Y336" s="8">
        <v>803434</v>
      </c>
      <c r="AA336" s="8">
        <v>4194752</v>
      </c>
      <c r="AC336" s="8">
        <v>1958568</v>
      </c>
      <c r="AE336" s="8">
        <v>677112</v>
      </c>
      <c r="AG336" s="8">
        <v>0</v>
      </c>
      <c r="AI336" s="8">
        <v>866</v>
      </c>
      <c r="AJ336" s="13" t="s">
        <v>703</v>
      </c>
      <c r="AK336" s="13"/>
      <c r="AL336" s="13" t="s">
        <v>66</v>
      </c>
      <c r="AN336" s="8">
        <v>869506</v>
      </c>
      <c r="AP336" s="8">
        <v>0</v>
      </c>
      <c r="AT336" s="8">
        <v>65000</v>
      </c>
      <c r="AV336" s="8">
        <v>30429</v>
      </c>
      <c r="AX336" s="8">
        <v>0</v>
      </c>
      <c r="AZ336" s="8">
        <f t="shared" si="31"/>
        <v>44587785</v>
      </c>
      <c r="BB336" s="8">
        <v>71359</v>
      </c>
      <c r="BH336" s="8">
        <v>0</v>
      </c>
      <c r="BJ336" s="8">
        <f t="shared" si="32"/>
        <v>44659144</v>
      </c>
      <c r="BL336" s="8">
        <f>+GenRev!AM339-GenExp!BJ336</f>
        <v>1916359</v>
      </c>
      <c r="BN336" s="8">
        <v>-3617844</v>
      </c>
      <c r="BP336" s="8">
        <v>0</v>
      </c>
      <c r="BS336" s="8">
        <f t="shared" si="33"/>
        <v>-1701485</v>
      </c>
      <c r="BU336" s="9">
        <f>+BS336-'Gen Fd BS'!AA339+BQ336</f>
        <v>0</v>
      </c>
      <c r="BW336" s="8" t="s">
        <v>912</v>
      </c>
    </row>
    <row r="337" spans="1:75">
      <c r="A337" s="13" t="s">
        <v>712</v>
      </c>
      <c r="B337" s="13"/>
      <c r="C337" s="13" t="s">
        <v>69</v>
      </c>
      <c r="D337" s="13"/>
      <c r="E337" s="32">
        <v>50450</v>
      </c>
      <c r="G337" s="8">
        <v>41345918</v>
      </c>
      <c r="I337" s="8">
        <v>9862020</v>
      </c>
      <c r="K337" s="8">
        <v>0</v>
      </c>
      <c r="M337" s="8">
        <v>670625</v>
      </c>
      <c r="O337" s="8">
        <v>5895935</v>
      </c>
      <c r="Q337" s="8">
        <v>6955765</v>
      </c>
      <c r="S337" s="8">
        <v>38910</v>
      </c>
      <c r="U337" s="8">
        <v>5436687</v>
      </c>
      <c r="W337" s="8">
        <v>1899143</v>
      </c>
      <c r="Y337" s="8">
        <v>304877</v>
      </c>
      <c r="AA337" s="8">
        <v>10391718</v>
      </c>
      <c r="AC337" s="8">
        <v>6432058</v>
      </c>
      <c r="AE337" s="8">
        <v>3018860</v>
      </c>
      <c r="AG337" s="8">
        <v>0</v>
      </c>
      <c r="AI337" s="8">
        <v>8393</v>
      </c>
      <c r="AJ337" s="13" t="s">
        <v>712</v>
      </c>
      <c r="AK337" s="13"/>
      <c r="AL337" s="13" t="s">
        <v>69</v>
      </c>
      <c r="AN337" s="8">
        <v>1664580</v>
      </c>
      <c r="AP337" s="8">
        <v>335</v>
      </c>
      <c r="AT337" s="8">
        <v>0</v>
      </c>
      <c r="AV337" s="8">
        <v>0</v>
      </c>
      <c r="AX337" s="8">
        <v>0</v>
      </c>
      <c r="AZ337" s="8">
        <f t="shared" si="31"/>
        <v>93925824</v>
      </c>
      <c r="BB337" s="8">
        <v>193709</v>
      </c>
      <c r="BH337" s="8">
        <v>0</v>
      </c>
      <c r="BJ337" s="8">
        <f t="shared" si="32"/>
        <v>94119533</v>
      </c>
      <c r="BL337" s="8">
        <f>+GenRev!AM340-GenExp!BJ337</f>
        <v>7434638</v>
      </c>
      <c r="BN337" s="8">
        <v>37667080</v>
      </c>
      <c r="BP337" s="8">
        <v>0</v>
      </c>
      <c r="BS337" s="8">
        <f t="shared" si="33"/>
        <v>45101718</v>
      </c>
      <c r="BU337" s="9">
        <f>+BS337-'Gen Fd BS'!AA340+BQ337</f>
        <v>0</v>
      </c>
    </row>
    <row r="338" spans="1:75">
      <c r="A338" s="13" t="s">
        <v>656</v>
      </c>
      <c r="B338" s="13"/>
      <c r="C338" s="13" t="s">
        <v>62</v>
      </c>
      <c r="D338" s="13"/>
      <c r="E338" s="32">
        <v>44354</v>
      </c>
      <c r="G338" s="8">
        <v>16121491</v>
      </c>
      <c r="I338" s="8">
        <v>3629295</v>
      </c>
      <c r="K338" s="8">
        <v>1768450</v>
      </c>
      <c r="M338" s="8">
        <f>212660+656522</f>
        <v>869182</v>
      </c>
      <c r="O338" s="8">
        <v>2343803</v>
      </c>
      <c r="Q338" s="8">
        <v>831376</v>
      </c>
      <c r="S338" s="8">
        <v>215952</v>
      </c>
      <c r="U338" s="8">
        <v>2830531</v>
      </c>
      <c r="W338" s="8">
        <v>974902</v>
      </c>
      <c r="Y338" s="8">
        <v>17994</v>
      </c>
      <c r="AA338" s="8">
        <v>4862696</v>
      </c>
      <c r="AC338" s="8">
        <v>1430001</v>
      </c>
      <c r="AE338" s="8">
        <v>759239</v>
      </c>
      <c r="AG338" s="8">
        <v>0</v>
      </c>
      <c r="AI338" s="8">
        <v>0</v>
      </c>
      <c r="AJ338" s="13" t="s">
        <v>656</v>
      </c>
      <c r="AK338" s="13"/>
      <c r="AL338" s="13" t="s">
        <v>62</v>
      </c>
      <c r="AN338" s="8">
        <v>1030346</v>
      </c>
      <c r="AP338" s="8">
        <v>87765</v>
      </c>
      <c r="AT338" s="8">
        <v>52833</v>
      </c>
      <c r="AV338" s="8">
        <v>11594</v>
      </c>
      <c r="AX338" s="8">
        <v>0</v>
      </c>
      <c r="AZ338" s="8">
        <f t="shared" si="31"/>
        <v>37837450</v>
      </c>
      <c r="BB338" s="8">
        <v>0</v>
      </c>
      <c r="BH338" s="8">
        <v>0</v>
      </c>
      <c r="BJ338" s="8">
        <f t="shared" si="32"/>
        <v>37837450</v>
      </c>
      <c r="BL338" s="8">
        <f>+GenRev!AM341-GenExp!BJ338</f>
        <v>-456491</v>
      </c>
      <c r="BN338" s="8">
        <v>6445747</v>
      </c>
      <c r="BP338" s="8">
        <v>0</v>
      </c>
      <c r="BS338" s="8">
        <f t="shared" si="33"/>
        <v>5989256</v>
      </c>
      <c r="BU338" s="9">
        <f>+BS338-'Gen Fd BS'!AA341+BQ338</f>
        <v>0</v>
      </c>
    </row>
    <row r="339" spans="1:75">
      <c r="A339" s="13" t="s">
        <v>688</v>
      </c>
      <c r="B339" s="13"/>
      <c r="C339" s="13" t="s">
        <v>64</v>
      </c>
      <c r="D339" s="13"/>
      <c r="E339" s="13">
        <v>50153</v>
      </c>
      <c r="G339" s="8">
        <v>4192851</v>
      </c>
      <c r="I339" s="8">
        <v>724540</v>
      </c>
      <c r="K339" s="8">
        <v>74989</v>
      </c>
      <c r="M339" s="8">
        <v>64331</v>
      </c>
      <c r="O339" s="8">
        <v>492847</v>
      </c>
      <c r="Q339" s="8">
        <v>171300</v>
      </c>
      <c r="S339" s="8">
        <v>54850</v>
      </c>
      <c r="U339" s="8">
        <v>727339</v>
      </c>
      <c r="W339" s="8">
        <v>327007</v>
      </c>
      <c r="Y339" s="8">
        <v>0</v>
      </c>
      <c r="AA339" s="8">
        <v>925846</v>
      </c>
      <c r="AC339" s="8">
        <v>515763</v>
      </c>
      <c r="AE339" s="8">
        <v>75438</v>
      </c>
      <c r="AG339" s="8">
        <v>0</v>
      </c>
      <c r="AI339" s="8">
        <v>0</v>
      </c>
      <c r="AJ339" s="13" t="s">
        <v>688</v>
      </c>
      <c r="AK339" s="13"/>
      <c r="AL339" s="13" t="s">
        <v>64</v>
      </c>
      <c r="AN339" s="8">
        <v>24963</v>
      </c>
      <c r="AP339" s="8">
        <v>0</v>
      </c>
      <c r="AT339" s="8">
        <v>0</v>
      </c>
      <c r="AV339" s="8">
        <v>0</v>
      </c>
      <c r="AX339" s="8">
        <v>0</v>
      </c>
      <c r="AZ339" s="8">
        <f t="shared" si="31"/>
        <v>8372064</v>
      </c>
      <c r="BB339" s="8">
        <v>399281</v>
      </c>
      <c r="BH339" s="8">
        <v>0</v>
      </c>
      <c r="BJ339" s="8">
        <f t="shared" si="32"/>
        <v>8771345</v>
      </c>
      <c r="BL339" s="8">
        <f>+GenRev!AM342-GenExp!BJ339</f>
        <v>-310084</v>
      </c>
      <c r="BN339" s="8">
        <v>956771</v>
      </c>
      <c r="BP339" s="8">
        <v>0</v>
      </c>
      <c r="BS339" s="8">
        <f t="shared" si="33"/>
        <v>646687</v>
      </c>
      <c r="BU339" s="9">
        <f>+BS339-'Gen Fd BS'!AA342+BQ339</f>
        <v>0</v>
      </c>
    </row>
    <row r="340" spans="1:75">
      <c r="A340" s="13" t="s">
        <v>497</v>
      </c>
      <c r="B340" s="13"/>
      <c r="C340" s="13" t="s">
        <v>117</v>
      </c>
      <c r="D340" s="13"/>
      <c r="E340" s="32">
        <v>44362</v>
      </c>
      <c r="F340" s="11"/>
      <c r="G340" s="8">
        <v>14141693</v>
      </c>
      <c r="I340" s="8">
        <v>2535522</v>
      </c>
      <c r="K340" s="8">
        <v>332584</v>
      </c>
      <c r="M340" s="8">
        <v>470732</v>
      </c>
      <c r="O340" s="8">
        <v>1405300</v>
      </c>
      <c r="Q340" s="8">
        <v>534870</v>
      </c>
      <c r="S340" s="8">
        <v>36255</v>
      </c>
      <c r="U340" s="8">
        <v>2494939</v>
      </c>
      <c r="W340" s="8">
        <v>677377</v>
      </c>
      <c r="Y340" s="8">
        <v>44620</v>
      </c>
      <c r="AA340" s="8">
        <v>3568635</v>
      </c>
      <c r="AC340" s="8">
        <v>932514</v>
      </c>
      <c r="AE340" s="8">
        <v>186025</v>
      </c>
      <c r="AG340" s="8">
        <v>0</v>
      </c>
      <c r="AI340" s="8">
        <v>2985</v>
      </c>
      <c r="AJ340" s="13" t="s">
        <v>497</v>
      </c>
      <c r="AK340" s="13"/>
      <c r="AL340" s="13" t="s">
        <v>117</v>
      </c>
      <c r="AN340" s="8">
        <v>769188</v>
      </c>
      <c r="AP340" s="8">
        <v>0</v>
      </c>
      <c r="AT340" s="8">
        <v>0</v>
      </c>
      <c r="AV340" s="8">
        <v>0</v>
      </c>
      <c r="AX340" s="8">
        <v>0</v>
      </c>
      <c r="AZ340" s="8">
        <f t="shared" si="31"/>
        <v>28133239</v>
      </c>
      <c r="BB340" s="8">
        <v>63000</v>
      </c>
      <c r="BH340" s="8">
        <v>0</v>
      </c>
      <c r="BJ340" s="8">
        <f t="shared" si="32"/>
        <v>28196239</v>
      </c>
      <c r="BL340" s="8">
        <f>+GenRev!AM343-GenExp!BJ340</f>
        <v>-1816517</v>
      </c>
      <c r="BN340" s="8">
        <v>282703</v>
      </c>
      <c r="BP340" s="8">
        <v>3452</v>
      </c>
      <c r="BS340" s="8">
        <f t="shared" si="33"/>
        <v>-1537266</v>
      </c>
      <c r="BU340" s="9">
        <f>+BS340-'Gen Fd BS'!AA343+BQ340</f>
        <v>0</v>
      </c>
    </row>
    <row r="341" spans="1:75">
      <c r="A341" s="12" t="s">
        <v>1056</v>
      </c>
      <c r="B341" s="13"/>
      <c r="C341" s="13" t="s">
        <v>20</v>
      </c>
      <c r="D341" s="13"/>
      <c r="E341" s="32">
        <v>44370</v>
      </c>
      <c r="G341" s="8">
        <v>22076974</v>
      </c>
      <c r="I341" s="8">
        <v>8704997</v>
      </c>
      <c r="K341" s="8">
        <v>1541414</v>
      </c>
      <c r="M341" s="8">
        <v>74266</v>
      </c>
      <c r="O341" s="8">
        <v>3550170</v>
      </c>
      <c r="Q341" s="8">
        <v>3108304</v>
      </c>
      <c r="S341" s="8">
        <v>97061</v>
      </c>
      <c r="U341" s="8">
        <v>2914252</v>
      </c>
      <c r="W341" s="8">
        <v>1554447</v>
      </c>
      <c r="Y341" s="8">
        <v>265317</v>
      </c>
      <c r="AA341" s="8">
        <v>5819975</v>
      </c>
      <c r="AC341" s="8">
        <v>4329183</v>
      </c>
      <c r="AE341" s="8">
        <v>563899</v>
      </c>
      <c r="AG341" s="8">
        <v>0</v>
      </c>
      <c r="AI341" s="8">
        <v>12070</v>
      </c>
      <c r="AJ341" s="13" t="s">
        <v>312</v>
      </c>
      <c r="AK341" s="13"/>
      <c r="AL341" s="13" t="s">
        <v>20</v>
      </c>
      <c r="AN341" s="8">
        <v>882283</v>
      </c>
      <c r="AP341" s="8">
        <v>228862</v>
      </c>
      <c r="AT341" s="8">
        <v>82529</v>
      </c>
      <c r="AV341" s="8">
        <v>1308</v>
      </c>
      <c r="AX341" s="8">
        <v>0</v>
      </c>
      <c r="AZ341" s="8">
        <f t="shared" si="31"/>
        <v>55807311</v>
      </c>
      <c r="BB341" s="8">
        <f>80575</f>
        <v>80575</v>
      </c>
      <c r="BH341" s="8">
        <v>0</v>
      </c>
      <c r="BJ341" s="8">
        <f t="shared" si="32"/>
        <v>55887886</v>
      </c>
      <c r="BL341" s="8">
        <f>+GenRev!AM344-GenExp!BJ341</f>
        <v>5400027</v>
      </c>
      <c r="BN341" s="8">
        <v>12416844</v>
      </c>
      <c r="BP341" s="8">
        <v>0</v>
      </c>
      <c r="BS341" s="8">
        <f t="shared" si="33"/>
        <v>17816871</v>
      </c>
      <c r="BU341" s="9">
        <f>+BS341-'Gen Fd BS'!AA344+BQ341</f>
        <v>0</v>
      </c>
      <c r="BW341" s="15" t="s">
        <v>905</v>
      </c>
    </row>
    <row r="342" spans="1:75">
      <c r="A342" s="13" t="s">
        <v>565</v>
      </c>
      <c r="B342" s="13"/>
      <c r="C342" s="13" t="s">
        <v>51</v>
      </c>
      <c r="D342" s="13"/>
      <c r="E342" s="32">
        <v>48850</v>
      </c>
      <c r="G342" s="8">
        <v>8063367</v>
      </c>
      <c r="I342" s="8">
        <v>1514194</v>
      </c>
      <c r="K342" s="8">
        <v>117337</v>
      </c>
      <c r="M342" s="8">
        <v>267263</v>
      </c>
      <c r="O342" s="8">
        <v>563372</v>
      </c>
      <c r="Q342" s="8">
        <v>1040058</v>
      </c>
      <c r="S342" s="8">
        <v>63576</v>
      </c>
      <c r="U342" s="8">
        <v>1959236</v>
      </c>
      <c r="W342" s="8">
        <v>402323</v>
      </c>
      <c r="Y342" s="8">
        <v>0</v>
      </c>
      <c r="AA342" s="8">
        <v>1956267</v>
      </c>
      <c r="AC342" s="8">
        <v>951823</v>
      </c>
      <c r="AE342" s="8">
        <v>20858</v>
      </c>
      <c r="AG342" s="8">
        <v>0</v>
      </c>
      <c r="AI342" s="8">
        <v>0</v>
      </c>
      <c r="AJ342" s="13" t="s">
        <v>565</v>
      </c>
      <c r="AK342" s="13"/>
      <c r="AL342" s="13" t="s">
        <v>51</v>
      </c>
      <c r="AN342" s="8">
        <v>334409</v>
      </c>
      <c r="AP342" s="8">
        <v>5895</v>
      </c>
      <c r="AT342" s="8">
        <v>35995</v>
      </c>
      <c r="AV342" s="8">
        <v>10061</v>
      </c>
      <c r="AX342" s="8">
        <v>0</v>
      </c>
      <c r="AZ342" s="8">
        <f t="shared" si="31"/>
        <v>17306034</v>
      </c>
      <c r="BB342" s="8">
        <v>0</v>
      </c>
      <c r="BH342" s="8">
        <v>0</v>
      </c>
      <c r="BJ342" s="8">
        <f t="shared" si="32"/>
        <v>17306034</v>
      </c>
      <c r="BL342" s="8">
        <f>+GenRev!AM345-GenExp!BJ342</f>
        <v>-426497</v>
      </c>
      <c r="BN342" s="8">
        <v>1078593</v>
      </c>
      <c r="BP342" s="8">
        <v>0</v>
      </c>
      <c r="BS342" s="8">
        <f t="shared" si="33"/>
        <v>652096</v>
      </c>
      <c r="BU342" s="9">
        <f>+BS342-'Gen Fd BS'!AA345+BQ342</f>
        <v>0</v>
      </c>
    </row>
    <row r="343" spans="1:75" hidden="1">
      <c r="A343" s="12" t="s">
        <v>885</v>
      </c>
      <c r="B343" s="13"/>
      <c r="C343" s="13" t="s">
        <v>33</v>
      </c>
      <c r="D343" s="13"/>
      <c r="E343" s="32">
        <v>47456</v>
      </c>
      <c r="G343" s="8">
        <v>2960385</v>
      </c>
      <c r="I343" s="8">
        <v>733594</v>
      </c>
      <c r="K343" s="8">
        <v>280790</v>
      </c>
      <c r="M343" s="8">
        <f>12311+321765</f>
        <v>334076</v>
      </c>
      <c r="O343" s="8">
        <v>131356</v>
      </c>
      <c r="Q343" s="8">
        <v>201942</v>
      </c>
      <c r="S343" s="8">
        <v>11724</v>
      </c>
      <c r="U343" s="8">
        <v>689657</v>
      </c>
      <c r="W343" s="8">
        <v>214528</v>
      </c>
      <c r="AA343" s="8">
        <v>586368</v>
      </c>
      <c r="AC343" s="8">
        <v>390647</v>
      </c>
      <c r="AE343" s="8">
        <v>11994</v>
      </c>
      <c r="AG343" s="8">
        <v>0</v>
      </c>
      <c r="AJ343" s="13" t="s">
        <v>418</v>
      </c>
      <c r="AK343" s="13"/>
      <c r="AL343" s="13" t="s">
        <v>33</v>
      </c>
      <c r="AN343" s="8">
        <v>163205</v>
      </c>
      <c r="AX343" s="8">
        <v>0</v>
      </c>
      <c r="AZ343" s="8">
        <f t="shared" si="31"/>
        <v>6710266</v>
      </c>
      <c r="BD343" s="8">
        <v>-12000</v>
      </c>
      <c r="BH343" s="8">
        <v>0</v>
      </c>
      <c r="BJ343" s="8">
        <f t="shared" si="32"/>
        <v>6698266</v>
      </c>
      <c r="BL343" s="8">
        <f>+GenRev!AM346-GenExp!BJ343</f>
        <v>200952</v>
      </c>
      <c r="BN343" s="8">
        <v>1724404</v>
      </c>
      <c r="BP343" s="8">
        <v>0</v>
      </c>
      <c r="BS343" s="8">
        <f t="shared" si="33"/>
        <v>1925356</v>
      </c>
      <c r="BU343" s="9">
        <f>+BS343-'Gen Fd BS'!AA346+BQ343</f>
        <v>95233</v>
      </c>
    </row>
    <row r="344" spans="1:75">
      <c r="A344" s="13" t="s">
        <v>882</v>
      </c>
      <c r="B344" s="13"/>
      <c r="C344" s="13" t="s">
        <v>64</v>
      </c>
      <c r="D344" s="13"/>
      <c r="E344" s="32">
        <v>50229</v>
      </c>
      <c r="G344" s="8">
        <v>4074673</v>
      </c>
      <c r="I344" s="8">
        <v>542271</v>
      </c>
      <c r="K344" s="8">
        <v>45879</v>
      </c>
      <c r="M344" s="8">
        <v>0</v>
      </c>
      <c r="O344" s="8">
        <v>252679</v>
      </c>
      <c r="Q344" s="8">
        <v>84934</v>
      </c>
      <c r="S344" s="8">
        <v>53005</v>
      </c>
      <c r="U344" s="8">
        <v>508292</v>
      </c>
      <c r="W344" s="8">
        <v>226905</v>
      </c>
      <c r="Y344" s="8">
        <v>0</v>
      </c>
      <c r="AA344" s="8">
        <v>673046</v>
      </c>
      <c r="AC344" s="8">
        <v>129160</v>
      </c>
      <c r="AE344" s="8">
        <v>16408</v>
      </c>
      <c r="AG344" s="8">
        <v>0</v>
      </c>
      <c r="AI344" s="8">
        <v>0</v>
      </c>
      <c r="AJ344" s="13" t="s">
        <v>882</v>
      </c>
      <c r="AK344" s="13"/>
      <c r="AL344" s="13" t="s">
        <v>64</v>
      </c>
      <c r="AN344" s="8">
        <v>211807</v>
      </c>
      <c r="AP344" s="8">
        <v>0</v>
      </c>
      <c r="AT344" s="8">
        <v>20240</v>
      </c>
      <c r="AV344" s="8">
        <v>32460</v>
      </c>
      <c r="AX344" s="8">
        <v>0</v>
      </c>
      <c r="AZ344" s="8">
        <f t="shared" si="31"/>
        <v>6871759</v>
      </c>
      <c r="BB344" s="8">
        <v>0</v>
      </c>
      <c r="BH344" s="8">
        <v>0</v>
      </c>
      <c r="BJ344" s="8">
        <f t="shared" si="32"/>
        <v>6871759</v>
      </c>
      <c r="BL344" s="8">
        <f>+GenRev!AM347-GenExp!BJ344</f>
        <v>-802346</v>
      </c>
      <c r="BN344" s="8">
        <v>-1343030</v>
      </c>
      <c r="BP344" s="8">
        <v>0</v>
      </c>
      <c r="BS344" s="8">
        <f t="shared" si="33"/>
        <v>-2145376</v>
      </c>
      <c r="BU344" s="9">
        <f>+BS344-'Gen Fd BS'!AA347+BQ344</f>
        <v>0</v>
      </c>
    </row>
    <row r="345" spans="1:75">
      <c r="A345" s="13" t="s">
        <v>256</v>
      </c>
      <c r="B345" s="13"/>
      <c r="C345" s="13" t="s">
        <v>255</v>
      </c>
      <c r="D345" s="13"/>
      <c r="E345" s="32">
        <v>45484</v>
      </c>
      <c r="G345" s="8">
        <v>3465573</v>
      </c>
      <c r="I345" s="8">
        <v>968274</v>
      </c>
      <c r="K345" s="8">
        <v>151777</v>
      </c>
      <c r="M345" s="8">
        <v>0</v>
      </c>
      <c r="O345" s="8">
        <v>323356</v>
      </c>
      <c r="Q345" s="8">
        <v>183327</v>
      </c>
      <c r="S345" s="8">
        <v>43174</v>
      </c>
      <c r="U345" s="8">
        <v>711931</v>
      </c>
      <c r="W345" s="8">
        <v>260186</v>
      </c>
      <c r="Y345" s="8">
        <v>0</v>
      </c>
      <c r="AA345" s="8">
        <v>1056298</v>
      </c>
      <c r="AC345" s="8">
        <v>572588</v>
      </c>
      <c r="AE345" s="8">
        <v>101683</v>
      </c>
      <c r="AG345" s="8">
        <v>0</v>
      </c>
      <c r="AI345" s="8">
        <v>0</v>
      </c>
      <c r="AJ345" s="13" t="s">
        <v>256</v>
      </c>
      <c r="AK345" s="13"/>
      <c r="AL345" s="13" t="s">
        <v>255</v>
      </c>
      <c r="AN345" s="8">
        <v>212839</v>
      </c>
      <c r="AP345" s="8">
        <v>0</v>
      </c>
      <c r="AT345" s="8">
        <v>18655</v>
      </c>
      <c r="AV345" s="8">
        <v>287</v>
      </c>
      <c r="AX345" s="8">
        <v>0</v>
      </c>
      <c r="AZ345" s="8">
        <f t="shared" si="31"/>
        <v>8069948</v>
      </c>
      <c r="BB345" s="8">
        <v>39204</v>
      </c>
      <c r="BH345" s="8">
        <v>0</v>
      </c>
      <c r="BJ345" s="8">
        <f t="shared" si="32"/>
        <v>8109152</v>
      </c>
      <c r="BL345" s="8">
        <f>+GenRev!AM348-GenExp!BJ345</f>
        <v>351506</v>
      </c>
      <c r="BN345" s="8">
        <v>1571282</v>
      </c>
      <c r="BP345" s="8">
        <v>0</v>
      </c>
      <c r="BS345" s="8">
        <f t="shared" si="33"/>
        <v>1922788</v>
      </c>
      <c r="BU345" s="9">
        <f>+BS345-'Gen Fd BS'!AA348+BQ345</f>
        <v>0</v>
      </c>
    </row>
    <row r="346" spans="1:75">
      <c r="A346" s="13" t="s">
        <v>529</v>
      </c>
      <c r="B346" s="13"/>
      <c r="C346" s="13" t="s">
        <v>47</v>
      </c>
      <c r="D346" s="13"/>
      <c r="E346" s="32">
        <v>44388</v>
      </c>
      <c r="G346" s="8">
        <v>37143353</v>
      </c>
      <c r="I346" s="8">
        <v>8408017</v>
      </c>
      <c r="K346" s="8">
        <v>468669</v>
      </c>
      <c r="M346" s="8">
        <v>258806</v>
      </c>
      <c r="O346" s="8">
        <v>3837262</v>
      </c>
      <c r="Q346" s="8">
        <v>3539274</v>
      </c>
      <c r="S346" s="8">
        <v>145179</v>
      </c>
      <c r="U346" s="8">
        <v>4957167</v>
      </c>
      <c r="W346" s="8">
        <v>1503395</v>
      </c>
      <c r="Y346" s="8">
        <v>544985</v>
      </c>
      <c r="AA346" s="8">
        <v>7478431</v>
      </c>
      <c r="AC346" s="8">
        <v>3261478</v>
      </c>
      <c r="AE346" s="8">
        <v>454903</v>
      </c>
      <c r="AG346" s="8">
        <v>0</v>
      </c>
      <c r="AI346" s="8">
        <v>97774</v>
      </c>
      <c r="AJ346" s="13" t="s">
        <v>529</v>
      </c>
      <c r="AK346" s="13"/>
      <c r="AL346" s="13" t="s">
        <v>47</v>
      </c>
      <c r="AN346" s="8">
        <v>1369178</v>
      </c>
      <c r="AP346" s="8">
        <v>334815</v>
      </c>
      <c r="AT346" s="8">
        <v>82908</v>
      </c>
      <c r="AV346" s="8">
        <v>12936</v>
      </c>
      <c r="AX346" s="8">
        <v>0</v>
      </c>
      <c r="AZ346" s="8">
        <f t="shared" si="31"/>
        <v>73898530</v>
      </c>
      <c r="BB346" s="8">
        <v>474442</v>
      </c>
      <c r="BH346" s="8">
        <v>0</v>
      </c>
      <c r="BJ346" s="8">
        <f t="shared" si="32"/>
        <v>74372972</v>
      </c>
      <c r="BL346" s="8">
        <f>+GenRev!AM349-GenExp!BJ346</f>
        <v>-1738668</v>
      </c>
      <c r="BN346" s="8">
        <v>12979687</v>
      </c>
      <c r="BP346" s="8">
        <v>0</v>
      </c>
      <c r="BS346" s="8">
        <f t="shared" si="33"/>
        <v>11241019</v>
      </c>
      <c r="BU346" s="9">
        <f>+BS346-'Gen Fd BS'!AA349+BQ346</f>
        <v>0</v>
      </c>
    </row>
    <row r="347" spans="1:75">
      <c r="A347" s="13" t="s">
        <v>532</v>
      </c>
      <c r="B347" s="13"/>
      <c r="C347" s="13" t="s">
        <v>531</v>
      </c>
      <c r="D347" s="13"/>
      <c r="E347" s="32">
        <v>48520</v>
      </c>
      <c r="G347" s="8">
        <v>6068045</v>
      </c>
      <c r="I347" s="8">
        <v>1351708</v>
      </c>
      <c r="K347" s="8">
        <v>1233858</v>
      </c>
      <c r="M347" s="8">
        <f>6500+56631+1833759</f>
        <v>1896890</v>
      </c>
      <c r="O347" s="8">
        <v>7911</v>
      </c>
      <c r="Q347" s="8">
        <v>310688</v>
      </c>
      <c r="S347" s="8">
        <v>46933</v>
      </c>
      <c r="U347" s="8">
        <v>1642732</v>
      </c>
      <c r="W347" s="8">
        <v>446307</v>
      </c>
      <c r="Y347" s="8">
        <v>0</v>
      </c>
      <c r="AA347" s="8">
        <v>1675278</v>
      </c>
      <c r="AC347" s="8">
        <v>1563515</v>
      </c>
      <c r="AE347" s="8">
        <v>0</v>
      </c>
      <c r="AG347" s="8">
        <v>0</v>
      </c>
      <c r="AI347" s="8">
        <v>4851</v>
      </c>
      <c r="AJ347" s="13" t="s">
        <v>532</v>
      </c>
      <c r="AK347" s="13"/>
      <c r="AL347" s="13" t="s">
        <v>531</v>
      </c>
      <c r="AN347" s="8">
        <v>173178</v>
      </c>
      <c r="AP347" s="8">
        <v>0</v>
      </c>
      <c r="AT347" s="8">
        <v>0</v>
      </c>
      <c r="AV347" s="8">
        <v>0</v>
      </c>
      <c r="AX347" s="8">
        <v>0</v>
      </c>
      <c r="AZ347" s="8">
        <f t="shared" si="31"/>
        <v>16421894</v>
      </c>
      <c r="BB347" s="8">
        <v>50000</v>
      </c>
      <c r="BH347" s="8">
        <v>0</v>
      </c>
      <c r="BJ347" s="8">
        <f t="shared" si="32"/>
        <v>16471894</v>
      </c>
      <c r="BL347" s="8">
        <f>+GenRev!AM350-GenExp!BJ347</f>
        <v>-80003</v>
      </c>
      <c r="BN347" s="8">
        <v>-1654796</v>
      </c>
      <c r="BP347" s="8">
        <v>0</v>
      </c>
      <c r="BS347" s="8">
        <f t="shared" si="33"/>
        <v>-1734799</v>
      </c>
      <c r="BU347" s="9">
        <f>+BS347-'Gen Fd BS'!AA350+BQ347</f>
        <v>0</v>
      </c>
    </row>
    <row r="348" spans="1:75">
      <c r="A348" s="13" t="s">
        <v>460</v>
      </c>
      <c r="B348" s="13"/>
      <c r="C348" s="13" t="s">
        <v>41</v>
      </c>
      <c r="D348" s="13"/>
      <c r="E348" s="32">
        <v>45492</v>
      </c>
      <c r="F348" s="11"/>
      <c r="G348" s="8">
        <v>45373668</v>
      </c>
      <c r="I348" s="8">
        <v>10990754</v>
      </c>
      <c r="K348" s="8">
        <v>2082097</v>
      </c>
      <c r="M348" s="8">
        <v>785850</v>
      </c>
      <c r="O348" s="8">
        <v>5230520</v>
      </c>
      <c r="Q348" s="8">
        <v>5081690</v>
      </c>
      <c r="S348" s="8">
        <v>483959</v>
      </c>
      <c r="U348" s="8">
        <v>5201123</v>
      </c>
      <c r="W348" s="8">
        <v>2447860</v>
      </c>
      <c r="Y348" s="8">
        <v>538882</v>
      </c>
      <c r="AA348" s="8">
        <v>8798415</v>
      </c>
      <c r="AC348" s="8">
        <v>5988988</v>
      </c>
      <c r="AE348" s="8">
        <v>1351972</v>
      </c>
      <c r="AG348" s="8">
        <v>0</v>
      </c>
      <c r="AI348" s="8">
        <v>59704</v>
      </c>
      <c r="AJ348" s="13" t="s">
        <v>460</v>
      </c>
      <c r="AK348" s="13"/>
      <c r="AL348" s="13" t="s">
        <v>41</v>
      </c>
      <c r="AN348" s="8">
        <v>1323211</v>
      </c>
      <c r="AP348" s="8">
        <v>0</v>
      </c>
      <c r="AT348" s="8">
        <v>65129</v>
      </c>
      <c r="AV348" s="8">
        <v>76492</v>
      </c>
      <c r="AX348" s="8">
        <v>0</v>
      </c>
      <c r="AZ348" s="8">
        <f t="shared" si="31"/>
        <v>95880314</v>
      </c>
      <c r="BB348" s="8">
        <f>2749010-7214</f>
        <v>2741796</v>
      </c>
      <c r="BH348" s="8">
        <v>0</v>
      </c>
      <c r="BJ348" s="8">
        <f t="shared" si="32"/>
        <v>98622110</v>
      </c>
      <c r="BL348" s="8">
        <f>+GenRev!AM351-GenExp!BJ348</f>
        <v>3085928</v>
      </c>
      <c r="BN348" s="8">
        <v>38479594</v>
      </c>
      <c r="BP348" s="8">
        <v>0</v>
      </c>
      <c r="BS348" s="8">
        <f t="shared" si="33"/>
        <v>41565522</v>
      </c>
      <c r="BU348" s="9">
        <f>+BS348-'Gen Fd BS'!AA351+BQ348</f>
        <v>0</v>
      </c>
    </row>
    <row r="349" spans="1:75">
      <c r="A349" s="13" t="s">
        <v>537</v>
      </c>
      <c r="B349" s="13"/>
      <c r="C349" s="13" t="s">
        <v>48</v>
      </c>
      <c r="D349" s="13"/>
      <c r="E349" s="32">
        <v>48629</v>
      </c>
      <c r="G349" s="8">
        <v>5661889</v>
      </c>
      <c r="I349" s="8">
        <v>554328</v>
      </c>
      <c r="K349" s="8">
        <v>111988</v>
      </c>
      <c r="M349" s="8">
        <v>16874</v>
      </c>
      <c r="O349" s="8">
        <v>286654</v>
      </c>
      <c r="Q349" s="8">
        <v>245320</v>
      </c>
      <c r="S349" s="8">
        <v>77094</v>
      </c>
      <c r="U349" s="8">
        <v>846861</v>
      </c>
      <c r="W349" s="8">
        <v>324373</v>
      </c>
      <c r="Y349" s="8">
        <v>55169</v>
      </c>
      <c r="AA349" s="8">
        <v>924247</v>
      </c>
      <c r="AC349" s="8">
        <v>764870</v>
      </c>
      <c r="AE349" s="8">
        <v>227571</v>
      </c>
      <c r="AG349" s="8">
        <v>0</v>
      </c>
      <c r="AI349" s="8">
        <v>467</v>
      </c>
      <c r="AJ349" s="13" t="s">
        <v>537</v>
      </c>
      <c r="AK349" s="13"/>
      <c r="AL349" s="13" t="s">
        <v>48</v>
      </c>
      <c r="AN349" s="8">
        <v>296833</v>
      </c>
      <c r="AP349" s="8">
        <v>11140</v>
      </c>
      <c r="AT349" s="8">
        <v>0</v>
      </c>
      <c r="AV349" s="8">
        <v>0</v>
      </c>
      <c r="AX349" s="8">
        <v>0</v>
      </c>
      <c r="AZ349" s="8">
        <f t="shared" si="31"/>
        <v>10405678</v>
      </c>
      <c r="BB349" s="8">
        <v>474442</v>
      </c>
      <c r="BH349" s="8">
        <v>0</v>
      </c>
      <c r="BJ349" s="8">
        <f t="shared" si="32"/>
        <v>10880120</v>
      </c>
      <c r="BL349" s="8">
        <f>+GenRev!AM352-GenExp!BJ349</f>
        <v>-105054</v>
      </c>
      <c r="BN349" s="8">
        <v>327251</v>
      </c>
      <c r="BP349" s="8">
        <v>0</v>
      </c>
      <c r="BS349" s="8">
        <f t="shared" si="33"/>
        <v>222197</v>
      </c>
      <c r="BU349" s="9">
        <f>+BS349-'Gen Fd BS'!AA352+BQ349</f>
        <v>0</v>
      </c>
    </row>
    <row r="350" spans="1:75">
      <c r="A350" s="13" t="s">
        <v>350</v>
      </c>
      <c r="B350" s="13"/>
      <c r="C350" s="13" t="s">
        <v>26</v>
      </c>
      <c r="D350" s="13"/>
      <c r="E350" s="32">
        <v>46920</v>
      </c>
      <c r="F350" s="11"/>
      <c r="G350" s="8">
        <v>8716564</v>
      </c>
      <c r="I350" s="8">
        <v>1516302</v>
      </c>
      <c r="K350" s="8">
        <v>550243</v>
      </c>
      <c r="M350" s="8">
        <v>1751315</v>
      </c>
      <c r="O350" s="8">
        <v>984711</v>
      </c>
      <c r="Q350" s="8">
        <v>1362691</v>
      </c>
      <c r="S350" s="8">
        <v>28105</v>
      </c>
      <c r="U350" s="8">
        <v>2085484</v>
      </c>
      <c r="W350" s="8">
        <v>750349</v>
      </c>
      <c r="Y350" s="8">
        <v>134414</v>
      </c>
      <c r="AA350" s="8">
        <v>1852539</v>
      </c>
      <c r="AC350" s="8">
        <v>1654790</v>
      </c>
      <c r="AE350" s="8">
        <v>3119594</v>
      </c>
      <c r="AG350" s="8">
        <v>0</v>
      </c>
      <c r="AI350" s="8">
        <v>0</v>
      </c>
      <c r="AJ350" s="13" t="s">
        <v>350</v>
      </c>
      <c r="AK350" s="13"/>
      <c r="AL350" s="13" t="s">
        <v>26</v>
      </c>
      <c r="AN350" s="8">
        <v>307446</v>
      </c>
      <c r="AP350" s="8">
        <v>300041</v>
      </c>
      <c r="AT350" s="8">
        <v>0</v>
      </c>
      <c r="AV350" s="8">
        <v>0</v>
      </c>
      <c r="AX350" s="8">
        <v>0</v>
      </c>
      <c r="AZ350" s="8">
        <f t="shared" si="31"/>
        <v>25114588</v>
      </c>
      <c r="BB350" s="8">
        <v>1413756</v>
      </c>
      <c r="BH350" s="8">
        <v>0</v>
      </c>
      <c r="BJ350" s="8">
        <f t="shared" si="32"/>
        <v>26528344</v>
      </c>
      <c r="BL350" s="8">
        <f>+GenRev!AM353-GenExp!BJ350</f>
        <v>431418</v>
      </c>
      <c r="BN350" s="8">
        <v>6164977</v>
      </c>
      <c r="BP350" s="8">
        <v>0</v>
      </c>
      <c r="BS350" s="8">
        <f t="shared" si="33"/>
        <v>6596395</v>
      </c>
      <c r="BU350" s="9">
        <f>+BS350-'Gen Fd BS'!AA353+BQ350</f>
        <v>0</v>
      </c>
    </row>
    <row r="351" spans="1:75">
      <c r="A351" s="13" t="s">
        <v>551</v>
      </c>
      <c r="B351" s="13"/>
      <c r="C351" s="13" t="s">
        <v>50</v>
      </c>
      <c r="D351" s="13"/>
      <c r="E351" s="32">
        <v>44396</v>
      </c>
      <c r="G351" s="8">
        <v>22869852</v>
      </c>
      <c r="I351" s="8">
        <v>6241680</v>
      </c>
      <c r="K351" s="8">
        <v>672228</v>
      </c>
      <c r="M351" s="8">
        <v>387018</v>
      </c>
      <c r="O351" s="8">
        <v>3949457</v>
      </c>
      <c r="Q351" s="8">
        <v>1065231</v>
      </c>
      <c r="S351" s="8">
        <v>28076</v>
      </c>
      <c r="U351" s="8">
        <v>3030535</v>
      </c>
      <c r="W351" s="8">
        <v>896168</v>
      </c>
      <c r="Y351" s="8">
        <v>248106</v>
      </c>
      <c r="AA351" s="8">
        <v>3569344</v>
      </c>
      <c r="AC351" s="8">
        <v>2334567</v>
      </c>
      <c r="AE351" s="8">
        <v>580293</v>
      </c>
      <c r="AG351" s="8">
        <v>0</v>
      </c>
      <c r="AI351" s="8">
        <v>14338</v>
      </c>
      <c r="AJ351" s="13" t="s">
        <v>551</v>
      </c>
      <c r="AK351" s="13"/>
      <c r="AL351" s="13" t="s">
        <v>50</v>
      </c>
      <c r="AN351" s="8">
        <v>512098</v>
      </c>
      <c r="AP351" s="8">
        <v>0</v>
      </c>
      <c r="AT351" s="8">
        <v>0</v>
      </c>
      <c r="AV351" s="8">
        <v>0</v>
      </c>
      <c r="AX351" s="8">
        <v>0</v>
      </c>
      <c r="AZ351" s="8">
        <f t="shared" si="31"/>
        <v>46398991</v>
      </c>
      <c r="BB351" s="8">
        <v>172790</v>
      </c>
      <c r="BH351" s="8">
        <v>0</v>
      </c>
      <c r="BJ351" s="8">
        <f t="shared" si="32"/>
        <v>46571781</v>
      </c>
      <c r="BL351" s="8">
        <f>+GenRev!AM354-GenExp!BJ351</f>
        <v>-3102063</v>
      </c>
      <c r="BN351" s="8">
        <v>3082880</v>
      </c>
      <c r="BP351" s="8">
        <v>0</v>
      </c>
      <c r="BS351" s="8">
        <f t="shared" si="33"/>
        <v>-19183</v>
      </c>
      <c r="BU351" s="9">
        <f>+BS351-'Gen Fd BS'!AA354+BQ351</f>
        <v>0</v>
      </c>
    </row>
    <row r="352" spans="1:75">
      <c r="A352" s="13" t="s">
        <v>247</v>
      </c>
      <c r="B352" s="13"/>
      <c r="C352" s="13" t="s">
        <v>242</v>
      </c>
      <c r="D352" s="13"/>
      <c r="E352" s="32">
        <v>44404</v>
      </c>
      <c r="G352" s="8">
        <v>24601182</v>
      </c>
      <c r="I352" s="8">
        <v>361000</v>
      </c>
      <c r="K352" s="8">
        <v>0</v>
      </c>
      <c r="M352" s="8">
        <f>64247+158547</f>
        <v>222794</v>
      </c>
      <c r="O352" s="8">
        <v>3861903</v>
      </c>
      <c r="Q352" s="8">
        <v>2157050</v>
      </c>
      <c r="S352" s="8">
        <v>39105</v>
      </c>
      <c r="U352" s="8">
        <v>5333771</v>
      </c>
      <c r="W352" s="8">
        <v>991151</v>
      </c>
      <c r="Y352" s="8">
        <v>456107</v>
      </c>
      <c r="AA352" s="8">
        <v>5567262</v>
      </c>
      <c r="AC352" s="8">
        <v>67721</v>
      </c>
      <c r="AE352" s="8">
        <v>741654</v>
      </c>
      <c r="AG352" s="8">
        <v>0</v>
      </c>
      <c r="AI352" s="8">
        <v>2244</v>
      </c>
      <c r="AJ352" s="13" t="s">
        <v>247</v>
      </c>
      <c r="AK352" s="13"/>
      <c r="AL352" s="13" t="s">
        <v>242</v>
      </c>
      <c r="AN352" s="8">
        <v>787530</v>
      </c>
      <c r="AP352" s="8">
        <v>0</v>
      </c>
      <c r="AT352" s="8">
        <v>316167</v>
      </c>
      <c r="AV352" s="8">
        <v>105962</v>
      </c>
      <c r="AX352" s="8">
        <v>0</v>
      </c>
      <c r="AZ352" s="8">
        <f t="shared" si="31"/>
        <v>45612603</v>
      </c>
      <c r="BB352" s="8">
        <v>1932</v>
      </c>
      <c r="BH352" s="8">
        <v>0</v>
      </c>
      <c r="BJ352" s="8">
        <f t="shared" si="32"/>
        <v>45614535</v>
      </c>
      <c r="BL352" s="8">
        <f>+GenRev!AM355-GenExp!BJ352</f>
        <v>2378638</v>
      </c>
      <c r="BN352" s="8">
        <v>-2231245</v>
      </c>
      <c r="BP352" s="8">
        <v>0</v>
      </c>
      <c r="BS352" s="8">
        <f t="shared" si="33"/>
        <v>147393</v>
      </c>
      <c r="BU352" s="9">
        <f>+BS352-'Gen Fd BS'!AA355+BQ352</f>
        <v>0</v>
      </c>
    </row>
    <row r="353" spans="1:75">
      <c r="A353" s="13" t="s">
        <v>491</v>
      </c>
      <c r="B353" s="13"/>
      <c r="C353" s="13" t="s">
        <v>44</v>
      </c>
      <c r="D353" s="13"/>
      <c r="E353" s="32">
        <v>48173</v>
      </c>
      <c r="G353" s="8">
        <v>11888222</v>
      </c>
      <c r="I353" s="8">
        <v>1911453</v>
      </c>
      <c r="K353" s="8">
        <v>147644</v>
      </c>
      <c r="M353" s="8">
        <v>50852</v>
      </c>
      <c r="O353" s="8">
        <v>1564088</v>
      </c>
      <c r="Q353" s="8">
        <v>426446</v>
      </c>
      <c r="S353" s="8">
        <v>819152</v>
      </c>
      <c r="U353" s="8">
        <v>2537863</v>
      </c>
      <c r="W353" s="8">
        <v>716299</v>
      </c>
      <c r="Y353" s="8">
        <v>406105</v>
      </c>
      <c r="AA353" s="8">
        <v>2625580</v>
      </c>
      <c r="AC353" s="8">
        <v>1318196</v>
      </c>
      <c r="AE353" s="8">
        <v>0</v>
      </c>
      <c r="AG353" s="8">
        <v>0</v>
      </c>
      <c r="AI353" s="8">
        <v>5687</v>
      </c>
      <c r="AJ353" s="13" t="s">
        <v>491</v>
      </c>
      <c r="AK353" s="13"/>
      <c r="AL353" s="13" t="s">
        <v>44</v>
      </c>
      <c r="AN353" s="8">
        <f>40729+388675+23733</f>
        <v>453137</v>
      </c>
      <c r="AP353" s="8">
        <v>71886</v>
      </c>
      <c r="AT353" s="8">
        <v>251059</v>
      </c>
      <c r="AV353" s="8">
        <v>12121</v>
      </c>
      <c r="AX353" s="8">
        <v>0</v>
      </c>
      <c r="AZ353" s="8">
        <f t="shared" si="31"/>
        <v>25205790</v>
      </c>
      <c r="BB353" s="8">
        <v>257808</v>
      </c>
      <c r="BH353" s="8">
        <v>0</v>
      </c>
      <c r="BJ353" s="8">
        <f t="shared" si="32"/>
        <v>25463598</v>
      </c>
      <c r="BL353" s="8">
        <f>+GenRev!AM356-GenExp!BJ353</f>
        <v>139910</v>
      </c>
      <c r="BN353" s="8">
        <v>2577681</v>
      </c>
      <c r="BP353" s="8">
        <v>0</v>
      </c>
      <c r="BS353" s="8">
        <f t="shared" si="33"/>
        <v>2717591</v>
      </c>
      <c r="BU353" s="9">
        <f>+BS353-'Gen Fd BS'!AA356+BQ353</f>
        <v>0</v>
      </c>
      <c r="BW353" s="8" t="s">
        <v>956</v>
      </c>
    </row>
    <row r="354" spans="1:75">
      <c r="A354" s="13" t="s">
        <v>270</v>
      </c>
      <c r="B354" s="13"/>
      <c r="C354" s="13" t="s">
        <v>115</v>
      </c>
      <c r="D354" s="13"/>
      <c r="E354" s="32">
        <v>45500</v>
      </c>
      <c r="G354" s="8">
        <v>24591478</v>
      </c>
      <c r="I354" s="8">
        <v>6033951</v>
      </c>
      <c r="K354" s="8">
        <v>306805</v>
      </c>
      <c r="M354" s="8">
        <v>483952</v>
      </c>
      <c r="O354" s="8">
        <v>1480733</v>
      </c>
      <c r="Q354" s="8">
        <v>2712982</v>
      </c>
      <c r="S354" s="8">
        <v>69286</v>
      </c>
      <c r="U354" s="8">
        <v>2725967</v>
      </c>
      <c r="W354" s="8">
        <v>1269806</v>
      </c>
      <c r="Y354" s="8">
        <v>223373</v>
      </c>
      <c r="AA354" s="8">
        <v>4624947</v>
      </c>
      <c r="AC354" s="8">
        <v>4271913</v>
      </c>
      <c r="AE354" s="8">
        <v>698504</v>
      </c>
      <c r="AG354" s="8">
        <v>0</v>
      </c>
      <c r="AI354" s="8">
        <v>61667</v>
      </c>
      <c r="AJ354" s="13" t="s">
        <v>270</v>
      </c>
      <c r="AK354" s="13"/>
      <c r="AL354" s="13" t="s">
        <v>115</v>
      </c>
      <c r="AN354" s="8">
        <v>915484</v>
      </c>
      <c r="AP354" s="8">
        <v>75250</v>
      </c>
      <c r="AT354" s="8">
        <v>263311</v>
      </c>
      <c r="AV354" s="8">
        <v>90729</v>
      </c>
      <c r="AX354" s="8">
        <v>0</v>
      </c>
      <c r="AZ354" s="8">
        <f t="shared" si="31"/>
        <v>50900138</v>
      </c>
      <c r="BB354" s="8">
        <v>0</v>
      </c>
      <c r="BH354" s="8">
        <v>0</v>
      </c>
      <c r="BJ354" s="8">
        <f t="shared" si="32"/>
        <v>50900138</v>
      </c>
      <c r="BL354" s="8">
        <f>+GenRev!AM357-GenExp!BJ354</f>
        <v>5410868</v>
      </c>
      <c r="BN354" s="8">
        <v>-374757</v>
      </c>
      <c r="BP354" s="8">
        <v>0</v>
      </c>
      <c r="BS354" s="8">
        <f t="shared" si="33"/>
        <v>5036111</v>
      </c>
      <c r="BU354" s="9">
        <f>+BS354-'Gen Fd BS'!AA357+BQ354</f>
        <v>0</v>
      </c>
    </row>
    <row r="355" spans="1:75" hidden="1">
      <c r="A355" s="12" t="s">
        <v>833</v>
      </c>
      <c r="B355" s="13"/>
      <c r="C355" s="13" t="s">
        <v>727</v>
      </c>
      <c r="D355" s="13"/>
      <c r="E355" s="32">
        <v>50633</v>
      </c>
      <c r="F355" s="11"/>
      <c r="G355" s="8">
        <v>2678320</v>
      </c>
      <c r="I355" s="8">
        <v>633022</v>
      </c>
      <c r="K355" s="8">
        <v>80989</v>
      </c>
      <c r="M355" s="8">
        <f>73636+328403</f>
        <v>402039</v>
      </c>
      <c r="O355" s="8">
        <v>166803</v>
      </c>
      <c r="Q355" s="8">
        <v>198035</v>
      </c>
      <c r="S355" s="8">
        <v>25642</v>
      </c>
      <c r="U355" s="8">
        <v>579386</v>
      </c>
      <c r="W355" s="8">
        <v>130072</v>
      </c>
      <c r="AA355" s="8">
        <v>544334</v>
      </c>
      <c r="AC355" s="8">
        <v>332761</v>
      </c>
      <c r="AE355" s="8">
        <v>55828</v>
      </c>
      <c r="AG355" s="8">
        <v>0</v>
      </c>
      <c r="AJ355" s="13" t="s">
        <v>730</v>
      </c>
      <c r="AK355" s="13"/>
      <c r="AL355" s="13" t="s">
        <v>727</v>
      </c>
      <c r="AN355" s="8">
        <v>183473</v>
      </c>
      <c r="AX355" s="8">
        <v>0</v>
      </c>
      <c r="AZ355" s="8">
        <f t="shared" si="31"/>
        <v>6010704</v>
      </c>
      <c r="BH355" s="8">
        <v>0</v>
      </c>
      <c r="BJ355" s="8">
        <f t="shared" si="32"/>
        <v>6010704</v>
      </c>
      <c r="BL355" s="8">
        <f>+GenRev!AM358-GenExp!BJ355</f>
        <v>-198933</v>
      </c>
      <c r="BN355" s="8">
        <v>1187261</v>
      </c>
      <c r="BP355" s="8">
        <v>0</v>
      </c>
      <c r="BS355" s="8">
        <f t="shared" si="33"/>
        <v>988328</v>
      </c>
      <c r="BU355" s="9">
        <f>+BS355-'Gen Fd BS'!AA358+BQ355</f>
        <v>-4600</v>
      </c>
    </row>
    <row r="356" spans="1:75" hidden="1">
      <c r="A356" s="88" t="s">
        <v>1001</v>
      </c>
      <c r="B356" s="13"/>
      <c r="C356" s="13" t="s">
        <v>603</v>
      </c>
      <c r="D356" s="13"/>
      <c r="E356" s="32">
        <v>49361</v>
      </c>
      <c r="AG356" s="8">
        <v>0</v>
      </c>
      <c r="AJ356" s="13" t="s">
        <v>605</v>
      </c>
      <c r="AK356" s="13"/>
      <c r="AL356" s="13" t="s">
        <v>603</v>
      </c>
      <c r="AX356" s="8">
        <v>0</v>
      </c>
      <c r="AZ356" s="8">
        <f t="shared" si="31"/>
        <v>0</v>
      </c>
      <c r="BH356" s="8">
        <v>0</v>
      </c>
      <c r="BJ356" s="8">
        <f t="shared" si="32"/>
        <v>0</v>
      </c>
      <c r="BL356" s="8">
        <f>+GenRev!AM359-GenExp!BJ356</f>
        <v>0</v>
      </c>
      <c r="BP356" s="8">
        <v>0</v>
      </c>
      <c r="BS356" s="8">
        <f t="shared" si="33"/>
        <v>0</v>
      </c>
      <c r="BU356" s="9">
        <f>+BS356-'Gen Fd BS'!AA359+BQ356</f>
        <v>0</v>
      </c>
      <c r="BW356" s="8" t="s">
        <v>967</v>
      </c>
    </row>
    <row r="357" spans="1:75">
      <c r="A357" s="13"/>
      <c r="B357" s="13"/>
      <c r="C357" s="13"/>
      <c r="D357" s="13"/>
      <c r="E357" s="32"/>
      <c r="AJ357" s="13"/>
      <c r="AK357" s="13"/>
      <c r="AL357" s="13"/>
    </row>
    <row r="358" spans="1:75">
      <c r="A358" s="13"/>
      <c r="B358" s="13"/>
      <c r="C358" s="13"/>
      <c r="D358" s="13"/>
      <c r="E358" s="32"/>
      <c r="AI358" s="8" t="s">
        <v>805</v>
      </c>
      <c r="AJ358" s="13"/>
      <c r="AK358" s="13"/>
      <c r="AL358" s="13"/>
      <c r="BS358" s="8" t="s">
        <v>805</v>
      </c>
    </row>
    <row r="359" spans="1:75">
      <c r="A359" s="13"/>
      <c r="B359" s="13"/>
      <c r="C359" s="13"/>
      <c r="D359" s="13"/>
      <c r="E359" s="32"/>
      <c r="AJ359" s="13"/>
      <c r="AK359" s="13"/>
      <c r="AL359" s="13"/>
    </row>
    <row r="360" spans="1:75">
      <c r="A360" s="13" t="s">
        <v>538</v>
      </c>
      <c r="B360" s="13"/>
      <c r="C360" s="13" t="s">
        <v>48</v>
      </c>
      <c r="D360" s="13"/>
      <c r="E360" s="32">
        <v>45518</v>
      </c>
      <c r="G360" s="35">
        <v>7661146</v>
      </c>
      <c r="H360" s="35"/>
      <c r="I360" s="35">
        <v>0</v>
      </c>
      <c r="J360" s="35"/>
      <c r="K360" s="35">
        <v>0</v>
      </c>
      <c r="L360" s="35"/>
      <c r="M360" s="35">
        <v>0</v>
      </c>
      <c r="N360" s="35"/>
      <c r="O360" s="35">
        <v>800910</v>
      </c>
      <c r="P360" s="35"/>
      <c r="Q360" s="35">
        <v>703017</v>
      </c>
      <c r="R360" s="35"/>
      <c r="S360" s="35">
        <v>72617</v>
      </c>
      <c r="T360" s="35"/>
      <c r="U360" s="35">
        <v>994616</v>
      </c>
      <c r="V360" s="35"/>
      <c r="W360" s="35">
        <v>396142</v>
      </c>
      <c r="X360" s="35"/>
      <c r="Y360" s="35">
        <v>130779</v>
      </c>
      <c r="Z360" s="35"/>
      <c r="AA360" s="35">
        <v>932525</v>
      </c>
      <c r="AB360" s="35"/>
      <c r="AC360" s="35">
        <v>637288</v>
      </c>
      <c r="AD360" s="35"/>
      <c r="AE360" s="35">
        <v>253102</v>
      </c>
      <c r="AF360" s="35"/>
      <c r="AG360" s="35">
        <v>0</v>
      </c>
      <c r="AH360" s="35"/>
      <c r="AI360" s="35">
        <v>0</v>
      </c>
      <c r="AJ360" s="13" t="s">
        <v>538</v>
      </c>
      <c r="AK360" s="13"/>
      <c r="AL360" s="13" t="s">
        <v>48</v>
      </c>
      <c r="AN360" s="35">
        <v>43013</v>
      </c>
      <c r="AO360" s="35"/>
      <c r="AP360" s="35">
        <v>0</v>
      </c>
      <c r="AQ360" s="35"/>
      <c r="AR360" s="35"/>
      <c r="AS360" s="35"/>
      <c r="AT360" s="35">
        <v>0</v>
      </c>
      <c r="AU360" s="35"/>
      <c r="AV360" s="35">
        <v>0</v>
      </c>
      <c r="AW360" s="35"/>
      <c r="AX360" s="35">
        <v>0</v>
      </c>
      <c r="AY360" s="35"/>
      <c r="AZ360" s="35">
        <f t="shared" si="31"/>
        <v>12625155</v>
      </c>
      <c r="BA360" s="35"/>
      <c r="BB360" s="35">
        <v>377164</v>
      </c>
      <c r="BC360" s="35"/>
      <c r="BD360" s="35"/>
      <c r="BE360" s="35"/>
      <c r="BF360" s="35"/>
      <c r="BG360" s="35"/>
      <c r="BH360" s="35">
        <f>1251</f>
        <v>1251</v>
      </c>
      <c r="BI360" s="35"/>
      <c r="BJ360" s="35">
        <f t="shared" si="32"/>
        <v>13003570</v>
      </c>
      <c r="BK360" s="35"/>
      <c r="BL360" s="35">
        <f>+GenRev!AM360-GenExp!BJ360</f>
        <v>461113</v>
      </c>
      <c r="BM360" s="35"/>
      <c r="BN360" s="35">
        <v>3279489</v>
      </c>
      <c r="BO360" s="35"/>
      <c r="BP360" s="35">
        <v>5866</v>
      </c>
      <c r="BQ360" s="35"/>
      <c r="BR360" s="35"/>
      <c r="BS360" s="35">
        <f t="shared" si="33"/>
        <v>3734736</v>
      </c>
      <c r="BU360" s="9">
        <f>+BS360-'Gen Fd BS'!AA360+BQ360</f>
        <v>0</v>
      </c>
      <c r="BW360" s="8" t="s">
        <v>912</v>
      </c>
    </row>
    <row r="361" spans="1:75">
      <c r="A361" s="13" t="s">
        <v>657</v>
      </c>
      <c r="B361" s="13"/>
      <c r="C361" s="13" t="s">
        <v>62</v>
      </c>
      <c r="D361" s="13"/>
      <c r="E361" s="32">
        <v>49890</v>
      </c>
      <c r="G361" s="8">
        <v>8160996</v>
      </c>
      <c r="I361" s="8">
        <v>1738303</v>
      </c>
      <c r="K361" s="8">
        <v>8502</v>
      </c>
      <c r="M361" s="8">
        <v>4280</v>
      </c>
      <c r="O361" s="8">
        <v>951993</v>
      </c>
      <c r="Q361" s="8">
        <v>824407</v>
      </c>
      <c r="S361" s="8">
        <v>73669</v>
      </c>
      <c r="U361" s="8">
        <v>1535010</v>
      </c>
      <c r="W361" s="8">
        <v>472703</v>
      </c>
      <c r="Y361" s="8">
        <v>101986</v>
      </c>
      <c r="AA361" s="8">
        <v>1206476</v>
      </c>
      <c r="AC361" s="8">
        <v>963674</v>
      </c>
      <c r="AE361" s="8">
        <v>62543</v>
      </c>
      <c r="AG361" s="8">
        <v>0</v>
      </c>
      <c r="AI361" s="8">
        <v>5006</v>
      </c>
      <c r="AJ361" s="13" t="s">
        <v>657</v>
      </c>
      <c r="AK361" s="13"/>
      <c r="AL361" s="13" t="s">
        <v>62</v>
      </c>
      <c r="AN361" s="8">
        <v>330489</v>
      </c>
      <c r="AP361" s="8">
        <v>2575</v>
      </c>
      <c r="AT361" s="8">
        <v>3988</v>
      </c>
      <c r="AV361" s="8">
        <v>66</v>
      </c>
      <c r="AX361" s="8">
        <v>40044</v>
      </c>
      <c r="AZ361" s="8">
        <f t="shared" si="31"/>
        <v>16486710</v>
      </c>
      <c r="BB361" s="8">
        <v>0</v>
      </c>
      <c r="BH361" s="8">
        <v>0</v>
      </c>
      <c r="BJ361" s="8">
        <f t="shared" si="32"/>
        <v>16486710</v>
      </c>
      <c r="BL361" s="8">
        <f>+GenRev!AM361-GenExp!BJ361</f>
        <v>-26916</v>
      </c>
      <c r="BN361" s="8">
        <v>-1755605</v>
      </c>
      <c r="BP361" s="8">
        <v>0</v>
      </c>
      <c r="BS361" s="8">
        <f t="shared" si="33"/>
        <v>-1782521</v>
      </c>
      <c r="BU361" s="9">
        <f>+BS361-'Gen Fd BS'!AA361+BQ361</f>
        <v>0</v>
      </c>
    </row>
    <row r="362" spans="1:75">
      <c r="A362" s="13" t="s">
        <v>629</v>
      </c>
      <c r="B362" s="13"/>
      <c r="C362" s="13" t="s">
        <v>59</v>
      </c>
      <c r="D362" s="13"/>
      <c r="E362" s="32">
        <v>49627</v>
      </c>
      <c r="G362" s="8">
        <v>6206707</v>
      </c>
      <c r="I362" s="8">
        <v>660224</v>
      </c>
      <c r="K362" s="8">
        <v>249932</v>
      </c>
      <c r="M362" s="8">
        <v>36945</v>
      </c>
      <c r="O362" s="8">
        <v>284215</v>
      </c>
      <c r="Q362" s="8">
        <v>553232</v>
      </c>
      <c r="S362" s="8">
        <v>69499</v>
      </c>
      <c r="U362" s="8">
        <v>1560068</v>
      </c>
      <c r="W362" s="8">
        <v>277552</v>
      </c>
      <c r="Y362" s="8">
        <v>0</v>
      </c>
      <c r="AA362" s="8">
        <v>1210827</v>
      </c>
      <c r="AC362" s="8">
        <v>983675</v>
      </c>
      <c r="AE362" s="8">
        <v>3198</v>
      </c>
      <c r="AG362" s="8">
        <v>0</v>
      </c>
      <c r="AI362" s="8">
        <v>55273</v>
      </c>
      <c r="AJ362" s="13" t="s">
        <v>629</v>
      </c>
      <c r="AK362" s="13"/>
      <c r="AL362" s="13" t="s">
        <v>59</v>
      </c>
      <c r="AN362" s="8">
        <v>429177</v>
      </c>
      <c r="AP362" s="8">
        <v>55435</v>
      </c>
      <c r="AT362" s="8">
        <v>205416</v>
      </c>
      <c r="AV362" s="8">
        <v>82427</v>
      </c>
      <c r="AX362" s="8">
        <v>0</v>
      </c>
      <c r="AZ362" s="8">
        <f t="shared" si="31"/>
        <v>12923802</v>
      </c>
      <c r="BB362" s="8">
        <v>0</v>
      </c>
      <c r="BH362" s="8">
        <v>0</v>
      </c>
      <c r="BJ362" s="8">
        <f t="shared" si="32"/>
        <v>12923802</v>
      </c>
      <c r="BL362" s="8">
        <f>+GenRev!AM362-GenExp!BJ362</f>
        <v>146988</v>
      </c>
      <c r="BN362" s="8">
        <v>-622765</v>
      </c>
      <c r="BP362" s="8">
        <v>0</v>
      </c>
      <c r="BS362" s="8">
        <f t="shared" si="33"/>
        <v>-475777</v>
      </c>
      <c r="BU362" s="9">
        <f>+BS362-'Gen Fd BS'!AA362+BQ362</f>
        <v>0</v>
      </c>
    </row>
    <row r="363" spans="1:75">
      <c r="A363" s="13" t="s">
        <v>226</v>
      </c>
      <c r="B363" s="13"/>
      <c r="C363" s="13" t="s">
        <v>14</v>
      </c>
      <c r="D363" s="13"/>
      <c r="E363" s="32">
        <v>45948</v>
      </c>
      <c r="G363" s="8">
        <v>3975735</v>
      </c>
      <c r="I363" s="8">
        <v>488122</v>
      </c>
      <c r="K363" s="8">
        <v>223558</v>
      </c>
      <c r="M363" s="8">
        <v>0</v>
      </c>
      <c r="O363" s="8">
        <v>384582</v>
      </c>
      <c r="Q363" s="8">
        <v>388363</v>
      </c>
      <c r="S363" s="8">
        <v>29188</v>
      </c>
      <c r="U363" s="8">
        <v>689826</v>
      </c>
      <c r="W363" s="8">
        <v>251850</v>
      </c>
      <c r="Y363" s="8">
        <v>0</v>
      </c>
      <c r="AA363" s="8">
        <v>936592</v>
      </c>
      <c r="AC363" s="8">
        <v>188173</v>
      </c>
      <c r="AE363" s="8">
        <v>47270</v>
      </c>
      <c r="AG363" s="8">
        <v>0</v>
      </c>
      <c r="AI363" s="8">
        <v>0</v>
      </c>
      <c r="AJ363" s="13" t="s">
        <v>226</v>
      </c>
      <c r="AK363" s="13"/>
      <c r="AL363" s="13" t="s">
        <v>14</v>
      </c>
      <c r="AN363" s="8">
        <v>199002</v>
      </c>
      <c r="AP363" s="8">
        <v>0</v>
      </c>
      <c r="AT363" s="8">
        <v>0</v>
      </c>
      <c r="AV363" s="8">
        <v>0</v>
      </c>
      <c r="AX363" s="8">
        <v>0</v>
      </c>
      <c r="AZ363" s="8">
        <f t="shared" si="31"/>
        <v>7802261</v>
      </c>
      <c r="BB363" s="8">
        <v>84000</v>
      </c>
      <c r="BH363" s="8">
        <v>0</v>
      </c>
      <c r="BJ363" s="8">
        <f t="shared" si="32"/>
        <v>7886261</v>
      </c>
      <c r="BL363" s="8">
        <f>+GenRev!AM363-GenExp!BJ363</f>
        <v>311222</v>
      </c>
      <c r="BN363" s="8">
        <v>259780</v>
      </c>
      <c r="BP363" s="8">
        <v>0</v>
      </c>
      <c r="BS363" s="8">
        <f t="shared" si="33"/>
        <v>571002</v>
      </c>
      <c r="BU363" s="9">
        <f>+BS363-'Gen Fd BS'!AA363+BQ363</f>
        <v>0</v>
      </c>
    </row>
    <row r="364" spans="1:75" hidden="1">
      <c r="A364" s="12" t="s">
        <v>884</v>
      </c>
      <c r="B364" s="13"/>
      <c r="C364" s="13" t="s">
        <v>21</v>
      </c>
      <c r="D364" s="13"/>
      <c r="E364" s="32">
        <v>46672</v>
      </c>
      <c r="G364" s="8">
        <v>2281490</v>
      </c>
      <c r="I364" s="8">
        <v>917321</v>
      </c>
      <c r="K364" s="8">
        <v>108878</v>
      </c>
      <c r="M364" s="8">
        <v>456940</v>
      </c>
      <c r="O364" s="8">
        <v>115061</v>
      </c>
      <c r="Q364" s="8">
        <v>347592</v>
      </c>
      <c r="S364" s="8">
        <v>16850</v>
      </c>
      <c r="U364" s="8">
        <v>532527</v>
      </c>
      <c r="W364" s="8">
        <v>224449</v>
      </c>
      <c r="Y364" s="8">
        <v>1880</v>
      </c>
      <c r="AA364" s="8">
        <v>536579</v>
      </c>
      <c r="AC364" s="8">
        <v>457540</v>
      </c>
      <c r="AE364" s="8">
        <v>17988</v>
      </c>
      <c r="AG364" s="8">
        <v>0</v>
      </c>
      <c r="AJ364" s="13" t="s">
        <v>328</v>
      </c>
      <c r="AK364" s="13"/>
      <c r="AL364" s="13" t="s">
        <v>21</v>
      </c>
      <c r="AN364" s="8">
        <v>116749</v>
      </c>
      <c r="AZ364" s="8">
        <f t="shared" si="31"/>
        <v>6131844</v>
      </c>
      <c r="BH364" s="8">
        <v>0</v>
      </c>
      <c r="BJ364" s="8">
        <f t="shared" si="32"/>
        <v>6131844</v>
      </c>
      <c r="BL364" s="8">
        <f>+GenRev!AM364-GenExp!BJ364</f>
        <v>539815</v>
      </c>
      <c r="BN364" s="8">
        <v>1495322</v>
      </c>
      <c r="BS364" s="8">
        <f t="shared" si="33"/>
        <v>2035137</v>
      </c>
      <c r="BU364" s="9">
        <f>+BS364-'Gen Fd BS'!AA364+BQ364</f>
        <v>-979</v>
      </c>
    </row>
    <row r="365" spans="1:75">
      <c r="A365" s="13" t="s">
        <v>667</v>
      </c>
      <c r="B365" s="13"/>
      <c r="C365" s="13" t="s">
        <v>63</v>
      </c>
      <c r="D365" s="13"/>
      <c r="E365" s="32">
        <v>50039</v>
      </c>
      <c r="G365" s="8">
        <v>4114014</v>
      </c>
      <c r="I365" s="8">
        <v>640805</v>
      </c>
      <c r="K365" s="8">
        <v>89906</v>
      </c>
      <c r="M365" s="8">
        <f>287963+115787</f>
        <v>403750</v>
      </c>
      <c r="O365" s="8">
        <v>483551</v>
      </c>
      <c r="Q365" s="8">
        <v>358828</v>
      </c>
      <c r="S365" s="8">
        <v>46635</v>
      </c>
      <c r="U365" s="8">
        <v>785609</v>
      </c>
      <c r="W365" s="8">
        <v>373084</v>
      </c>
      <c r="Y365" s="8">
        <v>364</v>
      </c>
      <c r="AA365" s="8">
        <v>897625</v>
      </c>
      <c r="AC365" s="8">
        <v>380196</v>
      </c>
      <c r="AE365" s="8">
        <v>58992</v>
      </c>
      <c r="AG365" s="8">
        <v>0</v>
      </c>
      <c r="AI365" s="8">
        <v>0</v>
      </c>
      <c r="AJ365" s="13" t="s">
        <v>667</v>
      </c>
      <c r="AK365" s="13"/>
      <c r="AL365" s="13" t="s">
        <v>63</v>
      </c>
      <c r="AN365" s="8">
        <v>210820</v>
      </c>
      <c r="AP365" s="8">
        <v>0</v>
      </c>
      <c r="AT365" s="8">
        <v>19158</v>
      </c>
      <c r="AV365" s="8">
        <v>574</v>
      </c>
      <c r="AX365" s="8">
        <v>0</v>
      </c>
      <c r="AZ365" s="8">
        <f t="shared" si="31"/>
        <v>8863911</v>
      </c>
      <c r="BB365" s="8">
        <v>52195</v>
      </c>
      <c r="BH365" s="8">
        <v>0</v>
      </c>
      <c r="BJ365" s="8">
        <f t="shared" si="32"/>
        <v>8916106</v>
      </c>
      <c r="BL365" s="8">
        <f>+GenRev!AM365-GenExp!BJ365</f>
        <v>-629704</v>
      </c>
      <c r="BN365" s="8">
        <v>5370775</v>
      </c>
      <c r="BP365" s="8">
        <v>0</v>
      </c>
      <c r="BS365" s="8">
        <f t="shared" si="33"/>
        <v>4741071</v>
      </c>
      <c r="BU365" s="9">
        <f>+BS365-'Gen Fd BS'!AA365+BQ365</f>
        <v>0</v>
      </c>
    </row>
    <row r="366" spans="1:75" hidden="1">
      <c r="A366" s="12" t="s">
        <v>842</v>
      </c>
      <c r="B366" s="13"/>
      <c r="C366" s="13" t="s">
        <v>740</v>
      </c>
      <c r="D366" s="13"/>
      <c r="E366" s="32">
        <v>50740</v>
      </c>
      <c r="G366" s="8">
        <v>4118658</v>
      </c>
      <c r="I366" s="8">
        <v>953589</v>
      </c>
      <c r="K366" s="8">
        <v>107699</v>
      </c>
      <c r="M366" s="8">
        <f>908+19100</f>
        <v>20008</v>
      </c>
      <c r="O366" s="8">
        <v>335852</v>
      </c>
      <c r="Q366" s="8">
        <v>372864</v>
      </c>
      <c r="S366" s="8">
        <v>32343</v>
      </c>
      <c r="U366" s="8">
        <v>638730</v>
      </c>
      <c r="W366" s="8">
        <v>284444</v>
      </c>
      <c r="Y366" s="8">
        <v>23880</v>
      </c>
      <c r="AA366" s="8">
        <v>801362</v>
      </c>
      <c r="AC366" s="8">
        <v>496650</v>
      </c>
      <c r="AE366" s="8">
        <v>34999</v>
      </c>
      <c r="AG366" s="8">
        <v>0</v>
      </c>
      <c r="AJ366" s="13" t="s">
        <v>741</v>
      </c>
      <c r="AK366" s="13"/>
      <c r="AL366" s="13" t="s">
        <v>740</v>
      </c>
      <c r="AN366" s="8">
        <v>239545</v>
      </c>
      <c r="AZ366" s="8">
        <f t="shared" si="31"/>
        <v>8460623</v>
      </c>
      <c r="BH366" s="8">
        <v>0</v>
      </c>
      <c r="BJ366" s="8">
        <f t="shared" si="32"/>
        <v>8460623</v>
      </c>
      <c r="BL366" s="8">
        <f>+GenRev!AM366-GenExp!BJ366</f>
        <v>338110</v>
      </c>
      <c r="BN366" s="8">
        <v>289634</v>
      </c>
      <c r="BS366" s="8">
        <f t="shared" ref="BS366:BS386" si="34">+BN366+BL366-BP366</f>
        <v>627744</v>
      </c>
      <c r="BU366" s="9">
        <f>+BS366-'Gen Fd BS'!AA366+BQ366</f>
        <v>0</v>
      </c>
    </row>
    <row r="367" spans="1:75" ht="12.75" customHeight="1">
      <c r="A367" s="13" t="s">
        <v>248</v>
      </c>
      <c r="B367" s="13"/>
      <c r="C367" s="13" t="s">
        <v>242</v>
      </c>
      <c r="D367" s="13"/>
      <c r="E367" s="32">
        <v>139303</v>
      </c>
      <c r="G367" s="8">
        <v>8725828</v>
      </c>
      <c r="I367" s="8">
        <v>17935</v>
      </c>
      <c r="K367" s="8">
        <v>0</v>
      </c>
      <c r="M367" s="8">
        <v>38395</v>
      </c>
      <c r="O367" s="8">
        <v>589370</v>
      </c>
      <c r="Q367" s="8">
        <v>630525</v>
      </c>
      <c r="S367" s="8">
        <v>97662</v>
      </c>
      <c r="U367" s="8">
        <v>1240787</v>
      </c>
      <c r="W367" s="8">
        <v>442252</v>
      </c>
      <c r="Y367" s="8">
        <v>136450</v>
      </c>
      <c r="AA367" s="8">
        <v>1468351</v>
      </c>
      <c r="AC367" s="8">
        <v>0</v>
      </c>
      <c r="AE367" s="8">
        <v>63865</v>
      </c>
      <c r="AG367" s="8">
        <v>0</v>
      </c>
      <c r="AI367" s="8">
        <v>0</v>
      </c>
      <c r="AJ367" s="13" t="s">
        <v>248</v>
      </c>
      <c r="AK367" s="13"/>
      <c r="AL367" s="13" t="s">
        <v>242</v>
      </c>
      <c r="AN367" s="8">
        <v>434</v>
      </c>
      <c r="AP367" s="8">
        <v>0</v>
      </c>
      <c r="AT367" s="8">
        <v>72753</v>
      </c>
      <c r="AV367" s="8">
        <v>3291</v>
      </c>
      <c r="AX367" s="8">
        <v>0</v>
      </c>
      <c r="AZ367" s="8">
        <f t="shared" si="31"/>
        <v>13527898</v>
      </c>
      <c r="BB367" s="8">
        <v>87929</v>
      </c>
      <c r="BH367" s="8">
        <v>0</v>
      </c>
      <c r="BJ367" s="8">
        <f t="shared" si="32"/>
        <v>13615827</v>
      </c>
      <c r="BL367" s="8">
        <f>+GenRev!AM367-GenExp!BJ367</f>
        <v>198169</v>
      </c>
      <c r="BN367" s="8">
        <v>-847466</v>
      </c>
      <c r="BP367" s="8">
        <v>0</v>
      </c>
      <c r="BS367" s="8">
        <f t="shared" si="34"/>
        <v>-649297</v>
      </c>
      <c r="BU367" s="9">
        <f>+BS367-'Gen Fd BS'!AA367+BQ367</f>
        <v>0</v>
      </c>
    </row>
    <row r="368" spans="1:75">
      <c r="A368" s="13" t="s">
        <v>444</v>
      </c>
      <c r="B368" s="13"/>
      <c r="C368" s="13" t="s">
        <v>37</v>
      </c>
      <c r="D368" s="13"/>
      <c r="E368" s="32">
        <v>47712</v>
      </c>
      <c r="G368" s="8">
        <v>2935980</v>
      </c>
      <c r="I368" s="8">
        <v>359867</v>
      </c>
      <c r="K368" s="8">
        <v>250986</v>
      </c>
      <c r="M368" s="8">
        <v>550</v>
      </c>
      <c r="O368" s="8">
        <v>254595</v>
      </c>
      <c r="Q368" s="8">
        <v>356423</v>
      </c>
      <c r="S368" s="8">
        <v>55555</v>
      </c>
      <c r="U368" s="8">
        <v>501567</v>
      </c>
      <c r="W368" s="8">
        <v>244928</v>
      </c>
      <c r="Y368" s="8">
        <v>1737</v>
      </c>
      <c r="AA368" s="8">
        <v>526187</v>
      </c>
      <c r="AC368" s="8">
        <v>275658</v>
      </c>
      <c r="AE368" s="8">
        <v>590</v>
      </c>
      <c r="AG368" s="8">
        <v>0</v>
      </c>
      <c r="AI368" s="8">
        <v>574</v>
      </c>
      <c r="AJ368" s="13" t="s">
        <v>444</v>
      </c>
      <c r="AK368" s="13"/>
      <c r="AL368" s="13" t="s">
        <v>37</v>
      </c>
      <c r="AN368" s="8">
        <v>160113</v>
      </c>
      <c r="AP368" s="8">
        <v>162980</v>
      </c>
      <c r="AT368" s="8">
        <v>96764</v>
      </c>
      <c r="AV368" s="8">
        <v>5677</v>
      </c>
      <c r="AX368" s="8">
        <v>0</v>
      </c>
      <c r="AZ368" s="8">
        <f t="shared" si="31"/>
        <v>6190731</v>
      </c>
      <c r="BB368" s="8">
        <v>120</v>
      </c>
      <c r="BH368" s="8">
        <v>0</v>
      </c>
      <c r="BJ368" s="8">
        <f t="shared" si="32"/>
        <v>6190851</v>
      </c>
      <c r="BL368" s="8">
        <f>+GenRev!AM368-GenExp!BJ368</f>
        <v>-492232</v>
      </c>
      <c r="BN368" s="8">
        <v>1428820</v>
      </c>
      <c r="BP368" s="8">
        <v>0</v>
      </c>
      <c r="BS368" s="8">
        <f t="shared" si="34"/>
        <v>936588</v>
      </c>
      <c r="BU368" s="9">
        <f>+BS368-'Gen Fd BS'!AA368+BQ368</f>
        <v>0</v>
      </c>
    </row>
    <row r="369" spans="1:75">
      <c r="A369" s="13" t="s">
        <v>731</v>
      </c>
      <c r="B369" s="13"/>
      <c r="C369" s="13" t="s">
        <v>727</v>
      </c>
      <c r="D369" s="13"/>
      <c r="E369" s="32">
        <v>45526</v>
      </c>
      <c r="G369" s="8">
        <v>4796998</v>
      </c>
      <c r="I369" s="8">
        <v>805238</v>
      </c>
      <c r="K369" s="8">
        <v>161687</v>
      </c>
      <c r="M369" s="8">
        <f>7416+29004+378890</f>
        <v>415310</v>
      </c>
      <c r="O369" s="8">
        <v>453766</v>
      </c>
      <c r="Q369" s="8">
        <v>421172</v>
      </c>
      <c r="S369" s="8">
        <v>32302</v>
      </c>
      <c r="U369" s="8">
        <v>673778</v>
      </c>
      <c r="W369" s="8">
        <v>221352</v>
      </c>
      <c r="Y369" s="8">
        <v>70</v>
      </c>
      <c r="AA369" s="8">
        <v>941978</v>
      </c>
      <c r="AC369" s="8">
        <v>361437</v>
      </c>
      <c r="AE369" s="8">
        <v>173810</v>
      </c>
      <c r="AG369" s="8">
        <v>0</v>
      </c>
      <c r="AI369" s="8">
        <v>11165</v>
      </c>
      <c r="AJ369" s="13" t="s">
        <v>731</v>
      </c>
      <c r="AK369" s="13"/>
      <c r="AL369" s="13" t="s">
        <v>727</v>
      </c>
      <c r="AN369" s="8">
        <v>213660</v>
      </c>
      <c r="AP369" s="8">
        <v>99566</v>
      </c>
      <c r="AT369" s="8">
        <v>0</v>
      </c>
      <c r="AV369" s="8">
        <v>0</v>
      </c>
      <c r="AX369" s="8">
        <v>0</v>
      </c>
      <c r="AZ369" s="8">
        <f t="shared" si="31"/>
        <v>9783289</v>
      </c>
      <c r="BB369" s="8">
        <v>0</v>
      </c>
      <c r="BH369" s="8">
        <v>0</v>
      </c>
      <c r="BJ369" s="8">
        <f t="shared" si="32"/>
        <v>9783289</v>
      </c>
      <c r="BL369" s="8">
        <f>+GenRev!AM369-GenExp!BJ369</f>
        <v>-584637</v>
      </c>
      <c r="BN369" s="8">
        <v>1553447</v>
      </c>
      <c r="BP369" s="8">
        <v>0</v>
      </c>
      <c r="BS369" s="8">
        <f t="shared" si="34"/>
        <v>968810</v>
      </c>
      <c r="BU369" s="9">
        <f>+BS369-'Gen Fd BS'!AA369+BQ369</f>
        <v>0</v>
      </c>
    </row>
    <row r="370" spans="1:75">
      <c r="A370" s="13" t="s">
        <v>558</v>
      </c>
      <c r="B370" s="13"/>
      <c r="C370" s="13" t="s">
        <v>559</v>
      </c>
      <c r="D370" s="13"/>
      <c r="E370" s="32">
        <v>48777</v>
      </c>
      <c r="F370" s="11"/>
      <c r="G370" s="8">
        <v>8666166</v>
      </c>
      <c r="I370" s="8">
        <v>1538802</v>
      </c>
      <c r="K370" s="8">
        <v>950336</v>
      </c>
      <c r="M370" s="8">
        <v>0</v>
      </c>
      <c r="O370" s="8">
        <v>712174</v>
      </c>
      <c r="Q370" s="8">
        <v>476512</v>
      </c>
      <c r="S370" s="8">
        <v>103737</v>
      </c>
      <c r="U370" s="8">
        <v>1678604</v>
      </c>
      <c r="W370" s="8">
        <v>550618</v>
      </c>
      <c r="Y370" s="8">
        <v>200046</v>
      </c>
      <c r="AA370" s="8">
        <v>1492725</v>
      </c>
      <c r="AC370" s="8">
        <v>1621384</v>
      </c>
      <c r="AE370" s="8">
        <v>158021</v>
      </c>
      <c r="AG370" s="8">
        <v>0</v>
      </c>
      <c r="AI370" s="8">
        <v>0</v>
      </c>
      <c r="AJ370" s="13" t="s">
        <v>558</v>
      </c>
      <c r="AK370" s="13"/>
      <c r="AL370" s="13" t="s">
        <v>559</v>
      </c>
      <c r="AN370" s="8">
        <v>177068</v>
      </c>
      <c r="AP370" s="8">
        <v>110</v>
      </c>
      <c r="AT370" s="8">
        <v>24328</v>
      </c>
      <c r="AV370" s="8">
        <v>11579</v>
      </c>
      <c r="AX370" s="8">
        <v>0</v>
      </c>
      <c r="AZ370" s="8">
        <f t="shared" si="31"/>
        <v>18362210</v>
      </c>
      <c r="BB370" s="8">
        <v>29875</v>
      </c>
      <c r="BH370" s="8">
        <v>0</v>
      </c>
      <c r="BJ370" s="8">
        <f t="shared" si="32"/>
        <v>18392085</v>
      </c>
      <c r="BL370" s="8">
        <f>+GenRev!AM370-GenExp!BJ370</f>
        <v>272656</v>
      </c>
      <c r="BN370" s="8">
        <v>2240435</v>
      </c>
      <c r="BP370" s="8">
        <v>0</v>
      </c>
      <c r="BS370" s="8">
        <f t="shared" si="34"/>
        <v>2513091</v>
      </c>
      <c r="BU370" s="9">
        <f>+BS370-'Gen Fd BS'!AA370+BQ370</f>
        <v>0</v>
      </c>
    </row>
    <row r="371" spans="1:75">
      <c r="A371" s="13" t="s">
        <v>858</v>
      </c>
      <c r="B371" s="13"/>
      <c r="C371" s="13" t="s">
        <v>78</v>
      </c>
      <c r="D371" s="13"/>
      <c r="E371" s="32">
        <v>45534</v>
      </c>
      <c r="G371" s="8">
        <v>4273368</v>
      </c>
      <c r="I371" s="8">
        <v>945277</v>
      </c>
      <c r="K371" s="8">
        <v>325750</v>
      </c>
      <c r="M371" s="8">
        <v>1224222</v>
      </c>
      <c r="O371" s="8">
        <v>581871</v>
      </c>
      <c r="Q371" s="8">
        <v>359088</v>
      </c>
      <c r="S371" s="8">
        <v>53079</v>
      </c>
      <c r="U371" s="8">
        <v>717348</v>
      </c>
      <c r="W371" s="8">
        <v>429524</v>
      </c>
      <c r="Y371" s="8">
        <v>0</v>
      </c>
      <c r="AA371" s="8">
        <v>1293227</v>
      </c>
      <c r="AC371" s="8">
        <v>569276</v>
      </c>
      <c r="AE371" s="8">
        <v>14218</v>
      </c>
      <c r="AG371" s="8">
        <v>0</v>
      </c>
      <c r="AI371" s="8">
        <v>0</v>
      </c>
      <c r="AJ371" s="13" t="s">
        <v>858</v>
      </c>
      <c r="AK371" s="13"/>
      <c r="AL371" s="13" t="s">
        <v>78</v>
      </c>
      <c r="AN371" s="8">
        <v>136553</v>
      </c>
      <c r="AP371" s="8">
        <v>0</v>
      </c>
      <c r="AT371" s="8">
        <v>30554</v>
      </c>
      <c r="AV371" s="8">
        <v>30677</v>
      </c>
      <c r="AX371" s="8">
        <v>0</v>
      </c>
      <c r="AZ371" s="8">
        <f t="shared" si="31"/>
        <v>10984032</v>
      </c>
      <c r="BB371" s="8">
        <v>0</v>
      </c>
      <c r="BH371" s="8">
        <v>0</v>
      </c>
      <c r="BJ371" s="8">
        <f t="shared" si="32"/>
        <v>10984032</v>
      </c>
      <c r="BL371" s="8">
        <f>+GenRev!AM371-GenExp!BJ371</f>
        <v>246082</v>
      </c>
      <c r="BN371" s="8">
        <v>2616238</v>
      </c>
      <c r="BP371" s="8">
        <v>0</v>
      </c>
      <c r="BS371" s="8">
        <f t="shared" si="34"/>
        <v>2862320</v>
      </c>
      <c r="BU371" s="9">
        <f>+BS371-'Gen Fd BS'!AA371+BQ371</f>
        <v>0</v>
      </c>
    </row>
    <row r="372" spans="1:75">
      <c r="A372" s="13" t="s">
        <v>457</v>
      </c>
      <c r="B372" s="13"/>
      <c r="C372" s="13" t="s">
        <v>40</v>
      </c>
      <c r="D372" s="13"/>
      <c r="E372" s="32">
        <v>44420</v>
      </c>
      <c r="F372" s="11"/>
      <c r="G372" s="8">
        <v>16980704</v>
      </c>
      <c r="I372" s="8">
        <v>3175344</v>
      </c>
      <c r="K372" s="8">
        <v>335818</v>
      </c>
      <c r="M372" s="8">
        <v>0</v>
      </c>
      <c r="O372" s="8">
        <v>1510951</v>
      </c>
      <c r="Q372" s="8">
        <v>1421312</v>
      </c>
      <c r="S372" s="8">
        <v>30094</v>
      </c>
      <c r="U372" s="8">
        <v>2542153</v>
      </c>
      <c r="W372" s="8">
        <v>2215702</v>
      </c>
      <c r="Y372" s="8">
        <v>190089</v>
      </c>
      <c r="AA372" s="8">
        <v>2595623</v>
      </c>
      <c r="AC372" s="8">
        <v>1016345</v>
      </c>
      <c r="AE372" s="8">
        <v>150115</v>
      </c>
      <c r="AG372" s="8">
        <v>0</v>
      </c>
      <c r="AI372" s="8">
        <v>0</v>
      </c>
      <c r="AJ372" s="13" t="s">
        <v>457</v>
      </c>
      <c r="AK372" s="13"/>
      <c r="AL372" s="13" t="s">
        <v>40</v>
      </c>
      <c r="AN372" s="8">
        <v>524317</v>
      </c>
      <c r="AP372" s="8">
        <v>46385</v>
      </c>
      <c r="AT372" s="8">
        <v>100928</v>
      </c>
      <c r="AV372" s="8">
        <v>8475</v>
      </c>
      <c r="AX372" s="8">
        <v>0</v>
      </c>
      <c r="AZ372" s="8">
        <f t="shared" si="31"/>
        <v>32844355</v>
      </c>
      <c r="BB372" s="8">
        <v>185328</v>
      </c>
      <c r="BH372" s="8">
        <v>0</v>
      </c>
      <c r="BJ372" s="8">
        <f t="shared" si="32"/>
        <v>33029683</v>
      </c>
      <c r="BL372" s="8">
        <f>+GenRev!AM372-GenExp!BJ372</f>
        <v>-560032</v>
      </c>
      <c r="BN372" s="8">
        <v>9317810</v>
      </c>
      <c r="BP372" s="8">
        <v>0</v>
      </c>
      <c r="BS372" s="8">
        <f t="shared" si="34"/>
        <v>8757778</v>
      </c>
      <c r="BU372" s="9">
        <f>+BS372-'Gen Fd BS'!AA372+BQ372</f>
        <v>0</v>
      </c>
    </row>
    <row r="373" spans="1:75">
      <c r="A373" s="13" t="s">
        <v>1076</v>
      </c>
      <c r="B373" s="13"/>
      <c r="C373" s="13" t="s">
        <v>32</v>
      </c>
      <c r="D373" s="13"/>
      <c r="E373" s="32">
        <v>44412</v>
      </c>
      <c r="F373" s="11"/>
      <c r="G373" s="8">
        <v>11812399</v>
      </c>
      <c r="I373" s="8">
        <v>3540835</v>
      </c>
      <c r="K373" s="8">
        <v>166250</v>
      </c>
      <c r="M373" s="8">
        <v>4921909</v>
      </c>
      <c r="O373" s="8">
        <v>1522494</v>
      </c>
      <c r="Q373" s="8">
        <v>1917882</v>
      </c>
      <c r="S373" s="8">
        <v>101481</v>
      </c>
      <c r="U373" s="8">
        <v>2369663</v>
      </c>
      <c r="W373" s="8">
        <v>625830</v>
      </c>
      <c r="Y373" s="8">
        <v>142963</v>
      </c>
      <c r="AA373" s="8">
        <v>3362185</v>
      </c>
      <c r="AC373" s="8">
        <v>2446149</v>
      </c>
      <c r="AE373" s="8">
        <v>308702</v>
      </c>
      <c r="AG373" s="8">
        <v>0</v>
      </c>
      <c r="AI373" s="8">
        <v>7030</v>
      </c>
      <c r="AJ373" s="13" t="s">
        <v>400</v>
      </c>
      <c r="AK373" s="13"/>
      <c r="AL373" s="13" t="s">
        <v>32</v>
      </c>
      <c r="AN373" s="8">
        <v>588658</v>
      </c>
      <c r="AP373" s="8">
        <v>53504</v>
      </c>
      <c r="AT373" s="8">
        <v>169695</v>
      </c>
      <c r="AV373" s="8">
        <v>35864</v>
      </c>
      <c r="AX373" s="8">
        <v>0</v>
      </c>
      <c r="AZ373" s="8">
        <f t="shared" si="31"/>
        <v>34093493</v>
      </c>
      <c r="BB373" s="8">
        <f>144000-605</f>
        <v>143395</v>
      </c>
      <c r="BH373" s="8">
        <v>0</v>
      </c>
      <c r="BJ373" s="8">
        <f t="shared" si="32"/>
        <v>34236888</v>
      </c>
      <c r="BL373" s="8">
        <f>+GenRev!AM373-GenExp!BJ373</f>
        <v>-755802</v>
      </c>
      <c r="BN373" s="8">
        <v>3160865</v>
      </c>
      <c r="BP373" s="8">
        <v>0</v>
      </c>
      <c r="BS373" s="8">
        <f t="shared" si="34"/>
        <v>2405063</v>
      </c>
      <c r="BU373" s="9">
        <f>+BS373-'Gen Fd BS'!AA373+BQ373</f>
        <v>0</v>
      </c>
      <c r="BW373" s="15" t="s">
        <v>905</v>
      </c>
    </row>
    <row r="374" spans="1:75">
      <c r="A374" s="13" t="s">
        <v>432</v>
      </c>
      <c r="B374" s="13"/>
      <c r="C374" s="13" t="s">
        <v>34</v>
      </c>
      <c r="D374" s="13"/>
      <c r="E374" s="32">
        <v>44438</v>
      </c>
      <c r="G374" s="8">
        <v>8277126</v>
      </c>
      <c r="I374" s="8">
        <v>3781785</v>
      </c>
      <c r="K374" s="8">
        <v>236952</v>
      </c>
      <c r="M374" s="8">
        <v>1559094</v>
      </c>
      <c r="O374" s="8">
        <v>697118</v>
      </c>
      <c r="Q374" s="8">
        <v>309148</v>
      </c>
      <c r="S374" s="8">
        <v>40052</v>
      </c>
      <c r="U374" s="8">
        <v>1692835</v>
      </c>
      <c r="W374" s="8">
        <v>613979</v>
      </c>
      <c r="Y374" s="8">
        <v>0</v>
      </c>
      <c r="AA374" s="8">
        <v>1506470</v>
      </c>
      <c r="AC374" s="8">
        <v>1006698</v>
      </c>
      <c r="AE374" s="8">
        <v>360952</v>
      </c>
      <c r="AG374" s="8">
        <v>0</v>
      </c>
      <c r="AI374" s="8">
        <v>0</v>
      </c>
      <c r="AJ374" s="13" t="s">
        <v>432</v>
      </c>
      <c r="AK374" s="13"/>
      <c r="AL374" s="13" t="s">
        <v>34</v>
      </c>
      <c r="AN374" s="8">
        <v>407357</v>
      </c>
      <c r="AP374" s="8">
        <v>0</v>
      </c>
      <c r="AR374" s="8">
        <v>0</v>
      </c>
      <c r="AT374" s="8">
        <v>0</v>
      </c>
      <c r="AV374" s="8">
        <v>0</v>
      </c>
      <c r="AX374" s="8">
        <v>0</v>
      </c>
      <c r="AZ374" s="8">
        <f t="shared" si="31"/>
        <v>20489566</v>
      </c>
      <c r="BB374" s="8">
        <v>250300</v>
      </c>
      <c r="BH374" s="8">
        <v>0</v>
      </c>
      <c r="BJ374" s="8">
        <f t="shared" si="32"/>
        <v>20739866</v>
      </c>
      <c r="BL374" s="8">
        <f>+GenRev!AM374-GenExp!BJ374</f>
        <v>724130</v>
      </c>
      <c r="BN374" s="8">
        <v>7044299</v>
      </c>
      <c r="BP374" s="8">
        <v>0</v>
      </c>
      <c r="BQ374" s="8">
        <v>0</v>
      </c>
      <c r="BS374" s="8">
        <f t="shared" si="34"/>
        <v>7768429</v>
      </c>
      <c r="BU374" s="9">
        <f>+BS374-'Gen Fd BS'!AA374+BQ374</f>
        <v>0</v>
      </c>
    </row>
    <row r="375" spans="1:75">
      <c r="A375" s="13" t="s">
        <v>224</v>
      </c>
      <c r="B375" s="13"/>
      <c r="C375" s="13" t="s">
        <v>13</v>
      </c>
      <c r="D375" s="13"/>
      <c r="E375" s="32">
        <v>44446</v>
      </c>
      <c r="G375" s="8">
        <v>4233921</v>
      </c>
      <c r="I375" s="8">
        <v>983651</v>
      </c>
      <c r="K375" s="8">
        <v>79335</v>
      </c>
      <c r="M375" s="8">
        <v>8002</v>
      </c>
      <c r="O375" s="8">
        <v>305487</v>
      </c>
      <c r="Q375" s="8">
        <v>510719</v>
      </c>
      <c r="S375" s="8">
        <v>55883</v>
      </c>
      <c r="U375" s="8">
        <v>1176181</v>
      </c>
      <c r="W375" s="8">
        <v>316047</v>
      </c>
      <c r="Y375" s="8">
        <v>0</v>
      </c>
      <c r="AA375" s="8">
        <v>1127032</v>
      </c>
      <c r="AC375" s="8">
        <v>773962</v>
      </c>
      <c r="AE375" s="8">
        <v>880</v>
      </c>
      <c r="AG375" s="8">
        <v>0</v>
      </c>
      <c r="AI375" s="8">
        <v>2394</v>
      </c>
      <c r="AJ375" s="13" t="s">
        <v>224</v>
      </c>
      <c r="AK375" s="13"/>
      <c r="AL375" s="13" t="s">
        <v>13</v>
      </c>
      <c r="AN375" s="8">
        <v>182532</v>
      </c>
      <c r="AP375" s="8">
        <v>87979</v>
      </c>
      <c r="AR375" s="8">
        <v>0</v>
      </c>
      <c r="AT375" s="8">
        <v>203484</v>
      </c>
      <c r="AV375" s="8">
        <v>16362</v>
      </c>
      <c r="AX375" s="8">
        <v>0</v>
      </c>
      <c r="AZ375" s="8">
        <f t="shared" si="31"/>
        <v>10063851</v>
      </c>
      <c r="BB375" s="8">
        <v>260139</v>
      </c>
      <c r="BH375" s="8">
        <v>0</v>
      </c>
      <c r="BJ375" s="8">
        <f t="shared" si="32"/>
        <v>10323990</v>
      </c>
      <c r="BL375" s="8">
        <f>+GenRev!AM375-GenExp!BJ375</f>
        <v>484835</v>
      </c>
      <c r="BN375" s="8">
        <v>1955829</v>
      </c>
      <c r="BP375" s="8">
        <v>0</v>
      </c>
      <c r="BQ375" s="8">
        <v>0</v>
      </c>
      <c r="BS375" s="8">
        <f t="shared" si="34"/>
        <v>2440664</v>
      </c>
      <c r="BU375" s="9">
        <f>+BS375-'Gen Fd BS'!AA375+BQ375</f>
        <v>0</v>
      </c>
    </row>
    <row r="376" spans="1:75">
      <c r="A376" s="13" t="s">
        <v>826</v>
      </c>
      <c r="B376" s="13"/>
      <c r="C376" s="13" t="s">
        <v>27</v>
      </c>
      <c r="D376" s="13"/>
      <c r="E376" s="32">
        <v>44461</v>
      </c>
      <c r="G376" s="8">
        <v>19794046</v>
      </c>
      <c r="I376" s="8">
        <v>2934725</v>
      </c>
      <c r="K376" s="8">
        <v>2467804</v>
      </c>
      <c r="M376" s="8">
        <v>0</v>
      </c>
      <c r="O376" s="8">
        <v>2522756</v>
      </c>
      <c r="Q376" s="8">
        <v>1722535</v>
      </c>
      <c r="S376" s="8">
        <v>62520</v>
      </c>
      <c r="U376" s="8">
        <v>3018716</v>
      </c>
      <c r="W376" s="8">
        <v>0</v>
      </c>
      <c r="Y376" s="8">
        <v>1629483</v>
      </c>
      <c r="AA376" s="8">
        <v>4205001</v>
      </c>
      <c r="AC376" s="8">
        <v>2201401</v>
      </c>
      <c r="AE376" s="8">
        <v>217423</v>
      </c>
      <c r="AG376" s="8">
        <v>0</v>
      </c>
      <c r="AI376" s="8">
        <f>176227+500981</f>
        <v>677208</v>
      </c>
      <c r="AJ376" s="13" t="s">
        <v>826</v>
      </c>
      <c r="AK376" s="13"/>
      <c r="AL376" s="13" t="s">
        <v>27</v>
      </c>
      <c r="AN376" s="8">
        <v>1103514</v>
      </c>
      <c r="AP376" s="8">
        <v>0</v>
      </c>
      <c r="AR376" s="8">
        <v>0</v>
      </c>
      <c r="AT376" s="8">
        <v>0</v>
      </c>
      <c r="AV376" s="8">
        <v>0</v>
      </c>
      <c r="AX376" s="8">
        <v>0</v>
      </c>
      <c r="AZ376" s="8">
        <f t="shared" si="31"/>
        <v>42557132</v>
      </c>
      <c r="BB376" s="8">
        <v>75000</v>
      </c>
      <c r="BH376" s="8">
        <v>0</v>
      </c>
      <c r="BJ376" s="8">
        <f t="shared" si="32"/>
        <v>42632132</v>
      </c>
      <c r="BL376" s="8">
        <f>+GenRev!AM376-GenExp!BJ376</f>
        <v>6299866</v>
      </c>
      <c r="BN376" s="8">
        <v>18138443</v>
      </c>
      <c r="BP376" s="8">
        <v>0</v>
      </c>
      <c r="BQ376" s="8">
        <v>0</v>
      </c>
      <c r="BS376" s="8">
        <f t="shared" si="34"/>
        <v>24438309</v>
      </c>
      <c r="BU376" s="9">
        <f>+BS376-'Gen Fd BS'!AA376+BQ376</f>
        <v>0</v>
      </c>
    </row>
    <row r="377" spans="1:75">
      <c r="A377" s="13" t="s">
        <v>630</v>
      </c>
      <c r="B377" s="13"/>
      <c r="C377" s="13" t="s">
        <v>59</v>
      </c>
      <c r="D377" s="13"/>
      <c r="E377" s="32">
        <v>44461</v>
      </c>
      <c r="G377" s="8">
        <v>1743935</v>
      </c>
      <c r="I377" s="8">
        <v>263687</v>
      </c>
      <c r="K377" s="8">
        <v>7460</v>
      </c>
      <c r="M377" s="8">
        <v>1055</v>
      </c>
      <c r="O377" s="8">
        <v>85445</v>
      </c>
      <c r="Q377" s="8">
        <v>113130</v>
      </c>
      <c r="S377" s="8">
        <v>16763</v>
      </c>
      <c r="U377" s="8">
        <v>467810</v>
      </c>
      <c r="W377" s="8">
        <v>178514</v>
      </c>
      <c r="Y377" s="8">
        <v>0</v>
      </c>
      <c r="AA377" s="8">
        <v>437208</v>
      </c>
      <c r="AC377" s="8">
        <v>152733</v>
      </c>
      <c r="AE377" s="8">
        <v>43356</v>
      </c>
      <c r="AG377" s="8">
        <v>1500</v>
      </c>
      <c r="AI377" s="8">
        <v>0</v>
      </c>
      <c r="AJ377" s="13" t="s">
        <v>630</v>
      </c>
      <c r="AK377" s="13"/>
      <c r="AL377" s="13" t="s">
        <v>59</v>
      </c>
      <c r="AN377" s="8">
        <v>66718</v>
      </c>
      <c r="AP377" s="8">
        <v>0</v>
      </c>
      <c r="AR377" s="8">
        <v>0</v>
      </c>
      <c r="AT377" s="8">
        <v>0</v>
      </c>
      <c r="AV377" s="8">
        <v>0</v>
      </c>
      <c r="AX377" s="8">
        <v>0</v>
      </c>
      <c r="AZ377" s="8">
        <f t="shared" si="31"/>
        <v>3579314</v>
      </c>
      <c r="BB377" s="8">
        <v>0</v>
      </c>
      <c r="BH377" s="8">
        <v>0</v>
      </c>
      <c r="BJ377" s="8">
        <f t="shared" si="32"/>
        <v>3579314</v>
      </c>
      <c r="BL377" s="8">
        <f>+GenRev!AM377-GenExp!BJ377</f>
        <v>246389</v>
      </c>
      <c r="BN377" s="8">
        <v>479181</v>
      </c>
      <c r="BP377" s="8">
        <v>0</v>
      </c>
      <c r="BQ377" s="8">
        <v>0</v>
      </c>
      <c r="BS377" s="8">
        <f t="shared" si="34"/>
        <v>725570</v>
      </c>
      <c r="BU377" s="9">
        <f>+BS377-'Gen Fd BS'!AA377+BQ377</f>
        <v>0</v>
      </c>
    </row>
    <row r="378" spans="1:75">
      <c r="A378" s="13" t="s">
        <v>227</v>
      </c>
      <c r="B378" s="13"/>
      <c r="C378" s="13" t="s">
        <v>14</v>
      </c>
      <c r="D378" s="13"/>
      <c r="E378" s="32">
        <v>45955</v>
      </c>
      <c r="F378" s="11"/>
      <c r="G378" s="8">
        <v>4123977</v>
      </c>
      <c r="I378" s="8">
        <v>149458</v>
      </c>
      <c r="K378" s="8">
        <v>310047</v>
      </c>
      <c r="M378" s="8">
        <v>0</v>
      </c>
      <c r="O378" s="8">
        <v>462309</v>
      </c>
      <c r="Q378" s="8">
        <v>425606</v>
      </c>
      <c r="S378" s="8">
        <v>22656</v>
      </c>
      <c r="U378" s="8">
        <v>770047</v>
      </c>
      <c r="W378" s="8">
        <v>198387</v>
      </c>
      <c r="Y378" s="8">
        <v>0</v>
      </c>
      <c r="AA378" s="8">
        <v>885877</v>
      </c>
      <c r="AC378" s="8">
        <v>157821</v>
      </c>
      <c r="AE378" s="8">
        <v>57149</v>
      </c>
      <c r="AG378" s="8">
        <v>0</v>
      </c>
      <c r="AI378" s="8">
        <v>0</v>
      </c>
      <c r="AJ378" s="13" t="s">
        <v>227</v>
      </c>
      <c r="AK378" s="13"/>
      <c r="AL378" s="13" t="s">
        <v>14</v>
      </c>
      <c r="AN378" s="8">
        <v>219405</v>
      </c>
      <c r="AP378" s="8">
        <v>0</v>
      </c>
      <c r="AR378" s="8">
        <v>0</v>
      </c>
      <c r="AT378" s="8">
        <v>0</v>
      </c>
      <c r="AV378" s="8">
        <v>0</v>
      </c>
      <c r="AX378" s="8">
        <v>0</v>
      </c>
      <c r="AZ378" s="8">
        <f t="shared" si="31"/>
        <v>7782739</v>
      </c>
      <c r="BB378" s="8">
        <v>45000</v>
      </c>
      <c r="BH378" s="8">
        <v>0</v>
      </c>
      <c r="BJ378" s="8">
        <f t="shared" si="32"/>
        <v>7827739</v>
      </c>
      <c r="BL378" s="8">
        <f>+GenRev!AM378-GenExp!BJ378</f>
        <v>366767</v>
      </c>
      <c r="BN378" s="8">
        <v>4131699</v>
      </c>
      <c r="BP378" s="8">
        <v>0</v>
      </c>
      <c r="BQ378" s="8">
        <v>0</v>
      </c>
      <c r="BS378" s="8">
        <f t="shared" si="34"/>
        <v>4498466</v>
      </c>
      <c r="BU378" s="9">
        <f>+BS378-'Gen Fd BS'!AA378+BQ378</f>
        <v>0</v>
      </c>
    </row>
    <row r="379" spans="1:75" hidden="1">
      <c r="A379" s="12" t="s">
        <v>1041</v>
      </c>
      <c r="B379" s="13"/>
      <c r="C379" s="13" t="s">
        <v>14</v>
      </c>
      <c r="D379" s="13"/>
      <c r="E379" s="32">
        <v>45963</v>
      </c>
      <c r="AJ379" s="13" t="s">
        <v>228</v>
      </c>
      <c r="AK379" s="13"/>
      <c r="AL379" s="13" t="s">
        <v>14</v>
      </c>
      <c r="AZ379" s="8">
        <f t="shared" si="31"/>
        <v>0</v>
      </c>
      <c r="BH379" s="8">
        <v>0</v>
      </c>
      <c r="BJ379" s="8">
        <f t="shared" si="32"/>
        <v>0</v>
      </c>
      <c r="BL379" s="8">
        <f>+GenRev!AM379-GenExp!BJ379</f>
        <v>0</v>
      </c>
      <c r="BS379" s="8">
        <f t="shared" si="34"/>
        <v>0</v>
      </c>
      <c r="BU379" s="9">
        <f>+BS379-'Gen Fd BS'!AA379+BQ379</f>
        <v>0</v>
      </c>
    </row>
    <row r="380" spans="1:75">
      <c r="A380" s="13" t="s">
        <v>552</v>
      </c>
      <c r="B380" s="13"/>
      <c r="C380" s="13" t="s">
        <v>50</v>
      </c>
      <c r="D380" s="13"/>
      <c r="E380" s="32">
        <v>48710</v>
      </c>
      <c r="G380" s="8">
        <v>4113988</v>
      </c>
      <c r="I380" s="8">
        <v>818354</v>
      </c>
      <c r="K380" s="8">
        <v>0</v>
      </c>
      <c r="M380" s="8">
        <v>278679</v>
      </c>
      <c r="O380" s="8">
        <v>339003</v>
      </c>
      <c r="Q380" s="8">
        <v>627875</v>
      </c>
      <c r="S380" s="8">
        <v>103910</v>
      </c>
      <c r="U380" s="8">
        <v>765306</v>
      </c>
      <c r="W380" s="8">
        <v>319209</v>
      </c>
      <c r="Y380" s="8">
        <v>37546</v>
      </c>
      <c r="AA380" s="8">
        <v>1232165</v>
      </c>
      <c r="AC380" s="8">
        <v>409881</v>
      </c>
      <c r="AE380" s="8">
        <v>143863</v>
      </c>
      <c r="AG380" s="8">
        <v>0</v>
      </c>
      <c r="AI380" s="8">
        <v>0</v>
      </c>
      <c r="AJ380" s="13" t="s">
        <v>552</v>
      </c>
      <c r="AK380" s="13"/>
      <c r="AL380" s="13" t="s">
        <v>50</v>
      </c>
      <c r="AN380" s="8">
        <v>237479</v>
      </c>
      <c r="AP380" s="8">
        <v>0</v>
      </c>
      <c r="AR380" s="8">
        <v>0</v>
      </c>
      <c r="AT380" s="8">
        <v>0</v>
      </c>
      <c r="AV380" s="8">
        <v>0</v>
      </c>
      <c r="AX380" s="8">
        <v>0</v>
      </c>
      <c r="AZ380" s="8">
        <f t="shared" si="31"/>
        <v>9427258</v>
      </c>
      <c r="BB380" s="8">
        <v>0</v>
      </c>
      <c r="BH380" s="8">
        <v>0</v>
      </c>
      <c r="BJ380" s="8">
        <f t="shared" si="32"/>
        <v>9427258</v>
      </c>
      <c r="BL380" s="8">
        <f>+GenRev!AM380-GenExp!BJ380</f>
        <v>950638</v>
      </c>
      <c r="BN380" s="8">
        <v>2220124</v>
      </c>
      <c r="BP380" s="8">
        <v>0</v>
      </c>
      <c r="BS380" s="8">
        <f t="shared" si="34"/>
        <v>3170762</v>
      </c>
      <c r="BU380" s="9">
        <f>+BS380-'Gen Fd BS'!AA383+BQ380</f>
        <v>0</v>
      </c>
    </row>
    <row r="381" spans="1:75" hidden="1">
      <c r="A381" s="13" t="s">
        <v>580</v>
      </c>
      <c r="B381" s="13"/>
      <c r="C381" s="13" t="s">
        <v>579</v>
      </c>
      <c r="D381" s="13"/>
      <c r="E381" s="32">
        <v>44479</v>
      </c>
      <c r="AJ381" s="13" t="s">
        <v>580</v>
      </c>
      <c r="AK381" s="13"/>
      <c r="AL381" s="13" t="s">
        <v>579</v>
      </c>
      <c r="AZ381" s="8">
        <f t="shared" si="31"/>
        <v>0</v>
      </c>
      <c r="BH381" s="8">
        <v>0</v>
      </c>
      <c r="BJ381" s="8">
        <f t="shared" si="32"/>
        <v>0</v>
      </c>
      <c r="BL381" s="8">
        <f>+GenRev!AM381-GenExp!BJ381</f>
        <v>0</v>
      </c>
      <c r="BS381" s="8">
        <f t="shared" si="34"/>
        <v>0</v>
      </c>
      <c r="BU381" s="9">
        <f>+BS381-'Gen Fd BS'!AA384+BQ381</f>
        <v>0</v>
      </c>
    </row>
    <row r="382" spans="1:75">
      <c r="A382" s="13" t="s">
        <v>445</v>
      </c>
      <c r="B382" s="13"/>
      <c r="C382" s="13" t="s">
        <v>37</v>
      </c>
      <c r="D382" s="13"/>
      <c r="E382" s="32">
        <v>47720</v>
      </c>
      <c r="G382" s="8">
        <v>4465685</v>
      </c>
      <c r="I382" s="8">
        <v>754484</v>
      </c>
      <c r="K382" s="8">
        <v>365296</v>
      </c>
      <c r="M382" s="8">
        <f>14873+71678</f>
        <v>86551</v>
      </c>
      <c r="O382" s="8">
        <v>294081</v>
      </c>
      <c r="Q382" s="8">
        <v>470028</v>
      </c>
      <c r="S382" s="8">
        <v>10364</v>
      </c>
      <c r="U382" s="8">
        <v>784292</v>
      </c>
      <c r="W382" s="8">
        <v>248686</v>
      </c>
      <c r="Y382" s="8">
        <v>0</v>
      </c>
      <c r="AA382" s="8">
        <v>748884</v>
      </c>
      <c r="AC382" s="8">
        <v>598577</v>
      </c>
      <c r="AE382" s="8">
        <v>0</v>
      </c>
      <c r="AG382" s="8">
        <v>0</v>
      </c>
      <c r="AI382" s="8">
        <v>0</v>
      </c>
      <c r="AJ382" s="13" t="s">
        <v>445</v>
      </c>
      <c r="AK382" s="13"/>
      <c r="AL382" s="13" t="s">
        <v>37</v>
      </c>
      <c r="AN382" s="8">
        <v>199184</v>
      </c>
      <c r="AP382" s="8">
        <f>58389+11843</f>
        <v>70232</v>
      </c>
      <c r="AR382" s="8">
        <v>0</v>
      </c>
      <c r="AT382" s="8">
        <v>38689</v>
      </c>
      <c r="AV382" s="8">
        <v>7354</v>
      </c>
      <c r="AX382" s="8">
        <v>0</v>
      </c>
      <c r="AZ382" s="8">
        <f t="shared" si="31"/>
        <v>9142387</v>
      </c>
      <c r="BB382" s="8">
        <v>0</v>
      </c>
      <c r="BH382" s="8">
        <v>0</v>
      </c>
      <c r="BJ382" s="8">
        <f t="shared" si="32"/>
        <v>9142387</v>
      </c>
      <c r="BL382" s="8">
        <f>+GenRev!AM382-GenExp!BJ382</f>
        <v>-6146</v>
      </c>
      <c r="BN382" s="8">
        <v>1433058</v>
      </c>
      <c r="BP382" s="8">
        <v>0</v>
      </c>
      <c r="BS382" s="8">
        <f t="shared" si="34"/>
        <v>1426912</v>
      </c>
      <c r="BU382" s="9">
        <f>+BS382-'Gen Fd BS'!AA385+BQ382</f>
        <v>0</v>
      </c>
    </row>
    <row r="383" spans="1:75">
      <c r="A383" s="13" t="s">
        <v>249</v>
      </c>
      <c r="B383" s="13"/>
      <c r="C383" s="13" t="s">
        <v>242</v>
      </c>
      <c r="D383" s="13"/>
      <c r="E383" s="32">
        <v>46136</v>
      </c>
      <c r="G383" s="8">
        <v>2454820</v>
      </c>
      <c r="I383" s="8">
        <v>244151</v>
      </c>
      <c r="K383" s="8">
        <v>0</v>
      </c>
      <c r="M383" s="8">
        <v>939</v>
      </c>
      <c r="O383" s="8">
        <v>250510</v>
      </c>
      <c r="Q383" s="8">
        <v>190432</v>
      </c>
      <c r="S383" s="8">
        <v>56698</v>
      </c>
      <c r="U383" s="8">
        <v>840050</v>
      </c>
      <c r="W383" s="8">
        <v>190609</v>
      </c>
      <c r="Y383" s="8">
        <v>57848</v>
      </c>
      <c r="AA383" s="8">
        <v>765109</v>
      </c>
      <c r="AC383" s="8">
        <v>423484</v>
      </c>
      <c r="AE383" s="8">
        <v>0</v>
      </c>
      <c r="AG383" s="8">
        <v>0</v>
      </c>
      <c r="AI383" s="8">
        <v>0</v>
      </c>
      <c r="AJ383" s="13" t="s">
        <v>249</v>
      </c>
      <c r="AK383" s="13"/>
      <c r="AL383" s="13" t="s">
        <v>242</v>
      </c>
      <c r="AN383" s="8">
        <v>98930</v>
      </c>
      <c r="AP383" s="8">
        <v>0</v>
      </c>
      <c r="AR383" s="8">
        <v>0</v>
      </c>
      <c r="AT383" s="8">
        <v>0</v>
      </c>
      <c r="AV383" s="8">
        <v>0</v>
      </c>
      <c r="AX383" s="8">
        <v>0</v>
      </c>
      <c r="AZ383" s="8">
        <f t="shared" si="31"/>
        <v>5573580</v>
      </c>
      <c r="BB383" s="8">
        <v>32074</v>
      </c>
      <c r="BH383" s="8">
        <v>0</v>
      </c>
      <c r="BJ383" s="8">
        <f t="shared" si="32"/>
        <v>5605654</v>
      </c>
      <c r="BL383" s="8">
        <f>+GenRev!AM383-GenExp!BJ383</f>
        <v>345266</v>
      </c>
      <c r="BN383" s="8">
        <v>1853497</v>
      </c>
      <c r="BP383" s="8">
        <v>0</v>
      </c>
      <c r="BS383" s="8">
        <f t="shared" si="34"/>
        <v>2198763</v>
      </c>
      <c r="BU383" s="9">
        <f>+BS383-'Gen Fd BS'!AA386+BQ383</f>
        <v>0</v>
      </c>
    </row>
    <row r="384" spans="1:75">
      <c r="A384" s="13" t="s">
        <v>698</v>
      </c>
      <c r="B384" s="13"/>
      <c r="C384" s="13" t="s">
        <v>65</v>
      </c>
      <c r="D384" s="13"/>
      <c r="E384" s="32">
        <v>44487</v>
      </c>
      <c r="G384" s="8">
        <v>9865007</v>
      </c>
      <c r="I384" s="8">
        <v>2354460</v>
      </c>
      <c r="K384" s="8">
        <v>110518</v>
      </c>
      <c r="M384" s="8">
        <v>448182</v>
      </c>
      <c r="O384" s="8">
        <v>1123484</v>
      </c>
      <c r="Q384" s="8">
        <v>542069</v>
      </c>
      <c r="S384" s="8">
        <v>73951</v>
      </c>
      <c r="U384" s="8">
        <v>2009446</v>
      </c>
      <c r="W384" s="8">
        <v>814512</v>
      </c>
      <c r="Y384" s="8">
        <v>0</v>
      </c>
      <c r="AA384" s="8">
        <v>2005298</v>
      </c>
      <c r="AC384" s="8">
        <v>689726</v>
      </c>
      <c r="AE384" s="8">
        <v>0</v>
      </c>
      <c r="AG384" s="8">
        <v>0</v>
      </c>
      <c r="AI384" s="8">
        <v>2680</v>
      </c>
      <c r="AJ384" s="13" t="s">
        <v>698</v>
      </c>
      <c r="AK384" s="13"/>
      <c r="AL384" s="13" t="s">
        <v>65</v>
      </c>
      <c r="AN384" s="8">
        <v>390765</v>
      </c>
      <c r="AP384" s="8">
        <v>0</v>
      </c>
      <c r="AR384" s="8">
        <v>0</v>
      </c>
      <c r="AT384" s="8">
        <v>91920</v>
      </c>
      <c r="AV384" s="8">
        <v>57056</v>
      </c>
      <c r="AX384" s="8">
        <v>0</v>
      </c>
      <c r="AZ384" s="8">
        <f t="shared" si="31"/>
        <v>20579074</v>
      </c>
      <c r="BB384" s="8">
        <v>42000</v>
      </c>
      <c r="BH384" s="8">
        <v>0</v>
      </c>
      <c r="BJ384" s="8">
        <f t="shared" si="32"/>
        <v>20621074</v>
      </c>
      <c r="BL384" s="8">
        <f>+GenRev!AM384-GenExp!BJ384</f>
        <v>2251172</v>
      </c>
      <c r="BN384" s="8">
        <v>3862903</v>
      </c>
      <c r="BP384" s="8">
        <v>0</v>
      </c>
      <c r="BS384" s="8">
        <f t="shared" si="34"/>
        <v>6114075</v>
      </c>
      <c r="BU384" s="9">
        <f>+BS384-'Gen Fd BS'!AA387+BQ384</f>
        <v>0</v>
      </c>
    </row>
    <row r="385" spans="1:73">
      <c r="A385" s="13" t="s">
        <v>271</v>
      </c>
      <c r="B385" s="13"/>
      <c r="C385" s="13" t="s">
        <v>115</v>
      </c>
      <c r="D385" s="13"/>
      <c r="E385" s="32">
        <v>45559</v>
      </c>
      <c r="G385" s="8">
        <v>12002322</v>
      </c>
      <c r="I385" s="8">
        <v>3312719</v>
      </c>
      <c r="K385" s="8">
        <v>0</v>
      </c>
      <c r="M385" s="8">
        <v>18066</v>
      </c>
      <c r="O385" s="8">
        <v>995117</v>
      </c>
      <c r="Q385" s="8">
        <v>1099431</v>
      </c>
      <c r="S385" s="8">
        <v>159437</v>
      </c>
      <c r="U385" s="8">
        <v>1527645</v>
      </c>
      <c r="W385" s="8">
        <v>772702</v>
      </c>
      <c r="Y385" s="8">
        <v>0</v>
      </c>
      <c r="AA385" s="8">
        <v>2959496</v>
      </c>
      <c r="AC385" s="8">
        <v>1947758</v>
      </c>
      <c r="AE385" s="8">
        <v>315083</v>
      </c>
      <c r="AG385" s="8">
        <v>0</v>
      </c>
      <c r="AI385" s="8">
        <v>0</v>
      </c>
      <c r="AJ385" s="13" t="s">
        <v>271</v>
      </c>
      <c r="AK385" s="13"/>
      <c r="AL385" s="13" t="s">
        <v>115</v>
      </c>
      <c r="AN385" s="8">
        <v>300355</v>
      </c>
      <c r="AP385" s="8">
        <v>32</v>
      </c>
      <c r="AR385" s="8">
        <v>0</v>
      </c>
      <c r="AT385" s="8">
        <v>0</v>
      </c>
      <c r="AV385" s="8">
        <v>0</v>
      </c>
      <c r="AX385" s="8">
        <v>0</v>
      </c>
      <c r="AZ385" s="8">
        <f t="shared" si="31"/>
        <v>25410163</v>
      </c>
      <c r="BB385" s="8">
        <v>0</v>
      </c>
      <c r="BH385" s="8">
        <v>0</v>
      </c>
      <c r="BJ385" s="8">
        <f t="shared" si="32"/>
        <v>25410163</v>
      </c>
      <c r="BL385" s="8">
        <f>+GenRev!AM385-GenExp!BJ385</f>
        <v>1106077</v>
      </c>
      <c r="BN385" s="8">
        <v>15032631</v>
      </c>
      <c r="BP385" s="8">
        <v>0</v>
      </c>
      <c r="BS385" s="8">
        <f t="shared" si="34"/>
        <v>16138708</v>
      </c>
      <c r="BU385" s="9">
        <f>+BS385-'Gen Fd BS'!AA388+BQ385</f>
        <v>0</v>
      </c>
    </row>
    <row r="386" spans="1:73" hidden="1">
      <c r="A386" s="13" t="s">
        <v>637</v>
      </c>
      <c r="B386" s="13"/>
      <c r="C386" s="13" t="s">
        <v>60</v>
      </c>
      <c r="D386" s="13"/>
      <c r="E386" s="32">
        <v>49718</v>
      </c>
      <c r="AJ386" s="13" t="s">
        <v>637</v>
      </c>
      <c r="AK386" s="13"/>
      <c r="AL386" s="13" t="s">
        <v>60</v>
      </c>
      <c r="AZ386" s="8">
        <f t="shared" si="31"/>
        <v>0</v>
      </c>
      <c r="BH386" s="8">
        <v>0</v>
      </c>
      <c r="BJ386" s="8">
        <f t="shared" si="32"/>
        <v>0</v>
      </c>
      <c r="BL386" s="8">
        <f>+GenRev!AM386-GenExp!BJ386</f>
        <v>0</v>
      </c>
      <c r="BS386" s="8">
        <f t="shared" si="34"/>
        <v>0</v>
      </c>
      <c r="BU386" s="9">
        <f>+BS386-'Gen Fd BS'!AA389+BQ386</f>
        <v>0</v>
      </c>
    </row>
    <row r="387" spans="1:73">
      <c r="A387" s="13" t="s">
        <v>478</v>
      </c>
      <c r="B387" s="13"/>
      <c r="C387" s="13" t="s">
        <v>42</v>
      </c>
      <c r="D387" s="13"/>
      <c r="E387" s="13">
        <v>44453</v>
      </c>
      <c r="G387" s="8">
        <v>25055533</v>
      </c>
      <c r="I387" s="8">
        <v>6028962</v>
      </c>
      <c r="K387" s="8">
        <v>486363</v>
      </c>
      <c r="M387" s="8">
        <v>125806</v>
      </c>
      <c r="O387" s="8">
        <v>2893170</v>
      </c>
      <c r="Q387" s="8">
        <v>2681948</v>
      </c>
      <c r="S387" s="8">
        <v>257859</v>
      </c>
      <c r="U387" s="8">
        <v>3372262</v>
      </c>
      <c r="W387" s="8">
        <v>993810</v>
      </c>
      <c r="Y387" s="8">
        <v>496417</v>
      </c>
      <c r="AA387" s="8">
        <v>5083897</v>
      </c>
      <c r="AC387" s="8">
        <v>1700002</v>
      </c>
      <c r="AE387" s="8">
        <v>745623</v>
      </c>
      <c r="AG387" s="8">
        <v>0</v>
      </c>
      <c r="AI387" s="8">
        <v>1870</v>
      </c>
      <c r="AJ387" s="13" t="s">
        <v>478</v>
      </c>
      <c r="AK387" s="13"/>
      <c r="AL387" s="13" t="s">
        <v>42</v>
      </c>
      <c r="AN387" s="8">
        <v>676188</v>
      </c>
      <c r="AP387" s="8">
        <v>0</v>
      </c>
      <c r="AR387" s="8">
        <v>0</v>
      </c>
      <c r="AT387" s="8">
        <v>0</v>
      </c>
      <c r="AV387" s="8">
        <v>0</v>
      </c>
      <c r="AX387" s="8">
        <v>0</v>
      </c>
      <c r="AZ387" s="8">
        <f>SUM(G387:AX387)</f>
        <v>50599710</v>
      </c>
      <c r="BB387" s="8">
        <v>63000</v>
      </c>
      <c r="BH387" s="8">
        <v>0</v>
      </c>
      <c r="BJ387" s="8">
        <f>+AZ387+BB387+BD387+BH387</f>
        <v>50662710</v>
      </c>
      <c r="BL387" s="8">
        <f>+GenRev!AM387-GenExp!BJ387</f>
        <v>416331</v>
      </c>
      <c r="BN387" s="8">
        <v>5912607</v>
      </c>
      <c r="BP387" s="8">
        <v>0</v>
      </c>
      <c r="BS387" s="8">
        <f>+BN387+BL387-BP387</f>
        <v>6328938</v>
      </c>
      <c r="BU387" s="9">
        <f>+BS387-'Gen Fd BS'!AA390+BQ387</f>
        <v>0</v>
      </c>
    </row>
    <row r="388" spans="1:73" s="35" customFormat="1">
      <c r="A388" s="34" t="s">
        <v>382</v>
      </c>
      <c r="B388" s="34"/>
      <c r="C388" s="34" t="s">
        <v>30</v>
      </c>
      <c r="D388" s="34"/>
      <c r="E388" s="32">
        <v>47217</v>
      </c>
      <c r="G388" s="8">
        <v>3657144</v>
      </c>
      <c r="H388" s="8"/>
      <c r="I388" s="8">
        <v>583287</v>
      </c>
      <c r="J388" s="8"/>
      <c r="K388" s="8">
        <v>70855</v>
      </c>
      <c r="L388" s="8"/>
      <c r="M388" s="8">
        <v>20869</v>
      </c>
      <c r="N388" s="8"/>
      <c r="O388" s="8">
        <v>382506</v>
      </c>
      <c r="P388" s="8"/>
      <c r="Q388" s="8">
        <v>182489</v>
      </c>
      <c r="R388" s="8"/>
      <c r="S388" s="8">
        <v>85539</v>
      </c>
      <c r="T388" s="8"/>
      <c r="U388" s="8">
        <v>538567</v>
      </c>
      <c r="V388" s="8"/>
      <c r="W388" s="8">
        <v>278795</v>
      </c>
      <c r="X388" s="8"/>
      <c r="Y388" s="8">
        <v>0</v>
      </c>
      <c r="Z388" s="8"/>
      <c r="AA388" s="8">
        <v>728543</v>
      </c>
      <c r="AB388" s="8"/>
      <c r="AC388" s="8">
        <v>503737</v>
      </c>
      <c r="AD388" s="8"/>
      <c r="AE388" s="8">
        <v>61443</v>
      </c>
      <c r="AF388" s="8"/>
      <c r="AG388" s="8">
        <v>0</v>
      </c>
      <c r="AH388" s="8"/>
      <c r="AI388" s="8">
        <v>266</v>
      </c>
      <c r="AJ388" s="13" t="s">
        <v>382</v>
      </c>
      <c r="AK388" s="13"/>
      <c r="AL388" s="13" t="s">
        <v>30</v>
      </c>
      <c r="AM388" s="8"/>
      <c r="AN388" s="8">
        <v>231092</v>
      </c>
      <c r="AO388" s="8"/>
      <c r="AP388" s="8">
        <v>74487</v>
      </c>
      <c r="AQ388" s="8"/>
      <c r="AR388" s="8">
        <v>0</v>
      </c>
      <c r="AS388" s="8"/>
      <c r="AT388" s="8">
        <v>0</v>
      </c>
      <c r="AU388" s="8"/>
      <c r="AV388" s="8">
        <v>0</v>
      </c>
      <c r="AW388" s="8"/>
      <c r="AX388" s="8">
        <v>0</v>
      </c>
      <c r="AY388" s="8"/>
      <c r="AZ388" s="8">
        <f t="shared" ref="AZ388:AZ405" si="35">SUM(G388:AX388)</f>
        <v>7399619</v>
      </c>
      <c r="BA388" s="8"/>
      <c r="BB388" s="8">
        <v>74082</v>
      </c>
      <c r="BC388" s="8"/>
      <c r="BD388" s="8"/>
      <c r="BE388" s="8"/>
      <c r="BF388" s="8"/>
      <c r="BG388" s="8"/>
      <c r="BH388" s="8">
        <v>0</v>
      </c>
      <c r="BI388" s="8"/>
      <c r="BJ388" s="8">
        <f t="shared" ref="BJ388:BJ405" si="36">+AZ388+BB388+BD388+BH388</f>
        <v>7473701</v>
      </c>
      <c r="BK388" s="8"/>
      <c r="BL388" s="8">
        <f>+GenRev!AM388-GenExp!BJ388</f>
        <v>-414470</v>
      </c>
      <c r="BM388" s="8"/>
      <c r="BN388" s="8">
        <v>1368970</v>
      </c>
      <c r="BO388" s="8"/>
      <c r="BP388" s="8">
        <v>0</v>
      </c>
      <c r="BQ388" s="8"/>
      <c r="BR388" s="8"/>
      <c r="BS388" s="8">
        <f t="shared" ref="BS388:BS431" si="37">+BN388+BL388-BP388</f>
        <v>954500</v>
      </c>
      <c r="BT388" s="8"/>
      <c r="BU388" s="9">
        <f>+BS388-'Gen Fd BS'!AA391+BQ388</f>
        <v>0</v>
      </c>
    </row>
    <row r="389" spans="1:73">
      <c r="A389" s="13" t="s">
        <v>699</v>
      </c>
      <c r="B389" s="13"/>
      <c r="C389" s="13" t="s">
        <v>65</v>
      </c>
      <c r="D389" s="13"/>
      <c r="E389" s="32">
        <v>45542</v>
      </c>
      <c r="G389" s="8">
        <v>4100108</v>
      </c>
      <c r="I389" s="8">
        <v>823825</v>
      </c>
      <c r="K389" s="8">
        <v>90990</v>
      </c>
      <c r="M389" s="8">
        <v>417078</v>
      </c>
      <c r="O389" s="8">
        <v>392509</v>
      </c>
      <c r="Q389" s="8">
        <v>528038</v>
      </c>
      <c r="S389" s="8">
        <v>61142</v>
      </c>
      <c r="U389" s="8">
        <v>979010</v>
      </c>
      <c r="W389" s="8">
        <v>318051</v>
      </c>
      <c r="Y389" s="8">
        <v>0</v>
      </c>
      <c r="AA389" s="8">
        <v>1365878</v>
      </c>
      <c r="AC389" s="8">
        <v>481735</v>
      </c>
      <c r="AE389" s="8">
        <v>0</v>
      </c>
      <c r="AG389" s="8">
        <v>0</v>
      </c>
      <c r="AI389" s="8">
        <v>147</v>
      </c>
      <c r="AJ389" s="13" t="s">
        <v>699</v>
      </c>
      <c r="AK389" s="13"/>
      <c r="AL389" s="13" t="s">
        <v>65</v>
      </c>
      <c r="AN389" s="8">
        <v>138691</v>
      </c>
      <c r="AP389" s="8">
        <v>75912</v>
      </c>
      <c r="AR389" s="8">
        <v>0</v>
      </c>
      <c r="AT389" s="8">
        <v>0</v>
      </c>
      <c r="AV389" s="8">
        <v>0</v>
      </c>
      <c r="AX389" s="8">
        <v>0</v>
      </c>
      <c r="AZ389" s="8">
        <f t="shared" si="35"/>
        <v>9773114</v>
      </c>
      <c r="BB389" s="8">
        <v>0</v>
      </c>
      <c r="BH389" s="8">
        <v>0</v>
      </c>
      <c r="BJ389" s="8">
        <f t="shared" si="36"/>
        <v>9773114</v>
      </c>
      <c r="BL389" s="8">
        <f>+GenRev!AM389-GenExp!BJ389</f>
        <v>-231952</v>
      </c>
      <c r="BN389" s="8">
        <v>613545</v>
      </c>
      <c r="BP389" s="8">
        <v>0</v>
      </c>
      <c r="BS389" s="8">
        <f t="shared" si="37"/>
        <v>381593</v>
      </c>
      <c r="BU389" s="9">
        <f>+BS389-'Gen Fd BS'!AA392+BQ389</f>
        <v>0</v>
      </c>
    </row>
    <row r="390" spans="1:73">
      <c r="A390" s="13" t="s">
        <v>690</v>
      </c>
      <c r="B390" s="13"/>
      <c r="C390" s="13" t="s">
        <v>64</v>
      </c>
      <c r="D390" s="13"/>
      <c r="E390" s="32">
        <v>45567</v>
      </c>
      <c r="G390" s="8">
        <v>5019329</v>
      </c>
      <c r="I390" s="8">
        <v>1286567</v>
      </c>
      <c r="K390" s="8">
        <v>148582</v>
      </c>
      <c r="M390" s="8">
        <v>0</v>
      </c>
      <c r="O390" s="8">
        <v>549603</v>
      </c>
      <c r="Q390" s="8">
        <v>222581</v>
      </c>
      <c r="S390" s="8">
        <v>288845</v>
      </c>
      <c r="U390" s="8">
        <v>974312</v>
      </c>
      <c r="W390" s="8">
        <v>303851</v>
      </c>
      <c r="Y390" s="8">
        <v>0</v>
      </c>
      <c r="AA390" s="8">
        <v>1005076</v>
      </c>
      <c r="AC390" s="8">
        <v>636875</v>
      </c>
      <c r="AE390" s="8">
        <v>249162</v>
      </c>
      <c r="AG390" s="8">
        <v>0</v>
      </c>
      <c r="AI390" s="8">
        <v>2750</v>
      </c>
      <c r="AJ390" s="13" t="s">
        <v>690</v>
      </c>
      <c r="AK390" s="13"/>
      <c r="AL390" s="13" t="s">
        <v>64</v>
      </c>
      <c r="AN390" s="8">
        <v>190585</v>
      </c>
      <c r="AP390" s="8">
        <v>0</v>
      </c>
      <c r="AR390" s="8">
        <v>0</v>
      </c>
      <c r="AT390" s="8">
        <v>0</v>
      </c>
      <c r="AV390" s="8">
        <v>0</v>
      </c>
      <c r="AX390" s="8">
        <v>0</v>
      </c>
      <c r="AZ390" s="8">
        <f t="shared" si="35"/>
        <v>10878118</v>
      </c>
      <c r="BB390" s="8">
        <v>32295</v>
      </c>
      <c r="BH390" s="8">
        <v>0</v>
      </c>
      <c r="BJ390" s="8">
        <f t="shared" si="36"/>
        <v>10910413</v>
      </c>
      <c r="BL390" s="8">
        <f>+GenRev!AM390-GenExp!BJ390</f>
        <v>623281</v>
      </c>
      <c r="BN390" s="8">
        <v>-690210</v>
      </c>
      <c r="BP390" s="8">
        <v>0</v>
      </c>
      <c r="BS390" s="8">
        <f t="shared" si="37"/>
        <v>-66929</v>
      </c>
      <c r="BU390" s="9">
        <f>+BS390-'Gen Fd BS'!AA393+BQ390</f>
        <v>0</v>
      </c>
    </row>
    <row r="391" spans="1:73">
      <c r="A391" s="13" t="s">
        <v>539</v>
      </c>
      <c r="B391" s="13"/>
      <c r="C391" s="13" t="s">
        <v>48</v>
      </c>
      <c r="D391" s="13"/>
      <c r="E391" s="32">
        <v>48637</v>
      </c>
      <c r="G391" s="8">
        <v>2402615</v>
      </c>
      <c r="I391" s="8">
        <v>279536</v>
      </c>
      <c r="K391" s="8">
        <v>0</v>
      </c>
      <c r="M391" s="8">
        <v>8686</v>
      </c>
      <c r="O391" s="8">
        <v>251003</v>
      </c>
      <c r="Q391" s="8">
        <v>171227</v>
      </c>
      <c r="S391" s="8">
        <v>5268</v>
      </c>
      <c r="U391" s="8">
        <v>646851</v>
      </c>
      <c r="W391" s="8">
        <v>211255</v>
      </c>
      <c r="Y391" s="8">
        <v>975</v>
      </c>
      <c r="AA391" s="8">
        <v>404919</v>
      </c>
      <c r="AC391" s="8">
        <v>295815</v>
      </c>
      <c r="AE391" s="8">
        <v>0</v>
      </c>
      <c r="AG391" s="8">
        <v>0</v>
      </c>
      <c r="AI391" s="8">
        <v>0</v>
      </c>
      <c r="AJ391" s="13" t="s">
        <v>539</v>
      </c>
      <c r="AK391" s="13"/>
      <c r="AL391" s="13" t="s">
        <v>48</v>
      </c>
      <c r="AN391" s="8">
        <v>147138</v>
      </c>
      <c r="AP391" s="8">
        <v>0</v>
      </c>
      <c r="AR391" s="8">
        <v>0</v>
      </c>
      <c r="AT391" s="8">
        <v>0</v>
      </c>
      <c r="AV391" s="8">
        <v>0</v>
      </c>
      <c r="AX391" s="8">
        <v>0</v>
      </c>
      <c r="AZ391" s="8">
        <f t="shared" si="35"/>
        <v>4825288</v>
      </c>
      <c r="BB391" s="8">
        <v>0</v>
      </c>
      <c r="BH391" s="8">
        <v>0</v>
      </c>
      <c r="BJ391" s="8">
        <f t="shared" si="36"/>
        <v>4825288</v>
      </c>
      <c r="BL391" s="8">
        <f>+GenRev!AM391-GenExp!BJ391</f>
        <v>287911</v>
      </c>
      <c r="BN391" s="8">
        <v>987469</v>
      </c>
      <c r="BP391" s="8">
        <v>0</v>
      </c>
      <c r="BS391" s="8">
        <f t="shared" si="37"/>
        <v>1275380</v>
      </c>
      <c r="BU391" s="9">
        <f>+BS391-'Gen Fd BS'!AA394+BQ391</f>
        <v>0</v>
      </c>
    </row>
    <row r="392" spans="1:73">
      <c r="A392" s="13" t="s">
        <v>820</v>
      </c>
      <c r="B392" s="13"/>
      <c r="C392" s="13" t="s">
        <v>64</v>
      </c>
      <c r="D392" s="13"/>
      <c r="E392" s="32"/>
      <c r="G392" s="8">
        <v>10988074</v>
      </c>
      <c r="I392" s="8">
        <v>2495705</v>
      </c>
      <c r="K392" s="8">
        <v>159914</v>
      </c>
      <c r="M392" s="8">
        <v>940509</v>
      </c>
      <c r="O392" s="8">
        <v>1005676</v>
      </c>
      <c r="Q392" s="8">
        <v>600099</v>
      </c>
      <c r="S392" s="8">
        <v>57027</v>
      </c>
      <c r="U392" s="8">
        <v>2206675</v>
      </c>
      <c r="W392" s="8">
        <v>514751</v>
      </c>
      <c r="Y392" s="8">
        <v>151647</v>
      </c>
      <c r="AA392" s="8">
        <v>2150220</v>
      </c>
      <c r="AC392" s="8">
        <v>915922</v>
      </c>
      <c r="AE392" s="8">
        <v>205850</v>
      </c>
      <c r="AG392" s="8">
        <v>0</v>
      </c>
      <c r="AI392" s="8">
        <v>50436</v>
      </c>
      <c r="AJ392" s="13" t="s">
        <v>820</v>
      </c>
      <c r="AK392" s="13"/>
      <c r="AL392" s="13" t="s">
        <v>64</v>
      </c>
      <c r="AN392" s="8">
        <v>368809</v>
      </c>
      <c r="AP392" s="8">
        <v>23018</v>
      </c>
      <c r="AR392" s="8">
        <v>0</v>
      </c>
      <c r="AT392" s="8">
        <v>0</v>
      </c>
      <c r="AV392" s="8">
        <v>24244</v>
      </c>
      <c r="AX392" s="8">
        <v>0</v>
      </c>
      <c r="AZ392" s="8">
        <f t="shared" si="35"/>
        <v>22858576</v>
      </c>
      <c r="BB392" s="8">
        <v>0</v>
      </c>
      <c r="BH392" s="8">
        <v>0</v>
      </c>
      <c r="BJ392" s="8">
        <f t="shared" si="36"/>
        <v>22858576</v>
      </c>
      <c r="BL392" s="8">
        <f>+GenRev!AM392-GenExp!BJ392</f>
        <v>32162</v>
      </c>
      <c r="BN392" s="8">
        <v>-1967424</v>
      </c>
      <c r="BP392" s="8">
        <v>0</v>
      </c>
      <c r="BS392" s="8">
        <f t="shared" si="37"/>
        <v>-1935262</v>
      </c>
      <c r="BU392" s="9">
        <f>+BS392-'Gen Fd BS'!AA395+BQ392</f>
        <v>0</v>
      </c>
    </row>
    <row r="393" spans="1:73">
      <c r="A393" s="13" t="s">
        <v>570</v>
      </c>
      <c r="B393" s="13"/>
      <c r="C393" s="13" t="s">
        <v>52</v>
      </c>
      <c r="D393" s="13"/>
      <c r="E393" s="32">
        <v>48900</v>
      </c>
      <c r="G393" s="8">
        <v>4018245</v>
      </c>
      <c r="I393" s="8">
        <v>675983</v>
      </c>
      <c r="K393" s="8">
        <v>299002</v>
      </c>
      <c r="M393" s="8">
        <v>0</v>
      </c>
      <c r="O393" s="8">
        <v>317733</v>
      </c>
      <c r="Q393" s="8">
        <v>266394</v>
      </c>
      <c r="S393" s="8">
        <v>52258</v>
      </c>
      <c r="U393" s="8">
        <v>883000</v>
      </c>
      <c r="W393" s="8">
        <v>358963</v>
      </c>
      <c r="Y393" s="8">
        <v>13081</v>
      </c>
      <c r="AA393" s="8">
        <v>776515</v>
      </c>
      <c r="AC393" s="8">
        <v>862862</v>
      </c>
      <c r="AE393" s="8">
        <v>0</v>
      </c>
      <c r="AG393" s="8">
        <v>0</v>
      </c>
      <c r="AI393" s="8">
        <v>0</v>
      </c>
      <c r="AJ393" s="13" t="s">
        <v>570</v>
      </c>
      <c r="AK393" s="13"/>
      <c r="AL393" s="13" t="s">
        <v>52</v>
      </c>
      <c r="AN393" s="8">
        <v>106070</v>
      </c>
      <c r="AP393" s="8">
        <v>0</v>
      </c>
      <c r="AR393" s="8">
        <v>0</v>
      </c>
      <c r="AT393" s="8">
        <v>6024</v>
      </c>
      <c r="AV393" s="8">
        <v>2364</v>
      </c>
      <c r="AX393" s="8">
        <v>0</v>
      </c>
      <c r="AZ393" s="8">
        <f t="shared" si="35"/>
        <v>8638494</v>
      </c>
      <c r="BB393" s="8">
        <v>278298</v>
      </c>
      <c r="BH393" s="8">
        <v>0</v>
      </c>
      <c r="BJ393" s="8">
        <f t="shared" si="36"/>
        <v>8916792</v>
      </c>
      <c r="BL393" s="8">
        <f>+GenRev!AM393-GenExp!BJ393</f>
        <v>208898</v>
      </c>
      <c r="BN393" s="8">
        <v>655281</v>
      </c>
      <c r="BP393" s="8">
        <v>0</v>
      </c>
      <c r="BS393" s="8">
        <f t="shared" si="37"/>
        <v>864179</v>
      </c>
      <c r="BU393" s="9">
        <f>+BS393-'Gen Fd BS'!AA396+BQ393</f>
        <v>0</v>
      </c>
    </row>
    <row r="394" spans="1:73">
      <c r="A394" s="13" t="s">
        <v>668</v>
      </c>
      <c r="B394" s="13"/>
      <c r="C394" s="13" t="s">
        <v>63</v>
      </c>
      <c r="D394" s="13"/>
      <c r="E394" s="32">
        <v>50047</v>
      </c>
      <c r="G394" s="8">
        <v>17471719</v>
      </c>
      <c r="I394" s="8">
        <v>4578290</v>
      </c>
      <c r="K394" s="8">
        <v>347015</v>
      </c>
      <c r="M394" s="8">
        <v>619108</v>
      </c>
      <c r="O394" s="8">
        <v>2832817</v>
      </c>
      <c r="Q394" s="8">
        <v>1099040</v>
      </c>
      <c r="S394" s="8">
        <v>86547</v>
      </c>
      <c r="U394" s="8">
        <v>2640142</v>
      </c>
      <c r="W394" s="8">
        <v>1024986</v>
      </c>
      <c r="Y394" s="8">
        <v>282062</v>
      </c>
      <c r="AA394" s="8">
        <v>3988470</v>
      </c>
      <c r="AC394" s="8">
        <v>2430646</v>
      </c>
      <c r="AE394" s="8">
        <v>173619</v>
      </c>
      <c r="AG394" s="8">
        <v>0</v>
      </c>
      <c r="AI394" s="8">
        <v>0</v>
      </c>
      <c r="AJ394" s="13" t="s">
        <v>668</v>
      </c>
      <c r="AK394" s="13"/>
      <c r="AL394" s="13" t="s">
        <v>63</v>
      </c>
      <c r="AN394" s="8">
        <v>907499</v>
      </c>
      <c r="AP394" s="8">
        <v>382228</v>
      </c>
      <c r="AR394" s="8">
        <v>0</v>
      </c>
      <c r="AT394" s="8">
        <v>53412</v>
      </c>
      <c r="AV394" s="8">
        <v>59</v>
      </c>
      <c r="AX394" s="8">
        <v>0</v>
      </c>
      <c r="AZ394" s="8">
        <f t="shared" si="35"/>
        <v>38917659</v>
      </c>
      <c r="BB394" s="8">
        <v>37860</v>
      </c>
      <c r="BH394" s="8">
        <v>0</v>
      </c>
      <c r="BJ394" s="8">
        <f t="shared" si="36"/>
        <v>38955519</v>
      </c>
      <c r="BL394" s="8">
        <f>+GenRev!AM394-GenExp!BJ394</f>
        <v>-400452</v>
      </c>
      <c r="BN394" s="8">
        <v>10962531</v>
      </c>
      <c r="BP394" s="8">
        <v>0</v>
      </c>
      <c r="BS394" s="8">
        <f t="shared" si="37"/>
        <v>10562079</v>
      </c>
      <c r="BU394" s="9">
        <f>+BS394-'Gen Fd BS'!AA397+BQ394</f>
        <v>0</v>
      </c>
    </row>
    <row r="395" spans="1:73">
      <c r="A395" s="13" t="s">
        <v>735</v>
      </c>
      <c r="B395" s="13"/>
      <c r="C395" s="13" t="s">
        <v>72</v>
      </c>
      <c r="D395" s="13"/>
      <c r="E395" s="32">
        <v>50708</v>
      </c>
      <c r="G395" s="8">
        <v>2730241</v>
      </c>
      <c r="I395" s="8">
        <v>1015202</v>
      </c>
      <c r="K395" s="8">
        <v>0</v>
      </c>
      <c r="M395" s="8">
        <v>712210</v>
      </c>
      <c r="O395" s="8">
        <v>195819</v>
      </c>
      <c r="Q395" s="8">
        <v>382983</v>
      </c>
      <c r="S395" s="8">
        <v>105638</v>
      </c>
      <c r="U395" s="8">
        <v>634689</v>
      </c>
      <c r="W395" s="8">
        <v>268020</v>
      </c>
      <c r="Y395" s="8">
        <v>0</v>
      </c>
      <c r="AA395" s="8">
        <v>632755</v>
      </c>
      <c r="AC395" s="8">
        <v>353529</v>
      </c>
      <c r="AE395" s="8">
        <v>0</v>
      </c>
      <c r="AG395" s="8">
        <v>0</v>
      </c>
      <c r="AI395" s="8">
        <v>0</v>
      </c>
      <c r="AJ395" s="13" t="s">
        <v>735</v>
      </c>
      <c r="AK395" s="13"/>
      <c r="AL395" s="13" t="s">
        <v>72</v>
      </c>
      <c r="AN395" s="8">
        <v>147994</v>
      </c>
      <c r="AP395" s="8">
        <v>0</v>
      </c>
      <c r="AR395" s="8">
        <v>0</v>
      </c>
      <c r="AT395" s="8">
        <v>0</v>
      </c>
      <c r="AV395" s="8">
        <v>0</v>
      </c>
      <c r="AX395" s="8">
        <v>0</v>
      </c>
      <c r="AZ395" s="8">
        <f t="shared" si="35"/>
        <v>7179080</v>
      </c>
      <c r="BB395" s="8">
        <v>0</v>
      </c>
      <c r="BH395" s="8">
        <v>0</v>
      </c>
      <c r="BJ395" s="8">
        <f t="shared" si="36"/>
        <v>7179080</v>
      </c>
      <c r="BL395" s="8">
        <f>+GenRev!AM395-GenExp!BJ395</f>
        <v>496920</v>
      </c>
      <c r="BN395" s="8">
        <v>984008</v>
      </c>
      <c r="BP395" s="8">
        <v>0</v>
      </c>
      <c r="BS395" s="8">
        <f t="shared" si="37"/>
        <v>1480928</v>
      </c>
      <c r="BU395" s="9">
        <f>+BS395-'Gen Fd BS'!AA398+BQ395</f>
        <v>0</v>
      </c>
    </row>
    <row r="396" spans="1:73" hidden="1">
      <c r="A396" s="13" t="s">
        <v>574</v>
      </c>
      <c r="B396" s="13"/>
      <c r="C396" s="13" t="s">
        <v>53</v>
      </c>
      <c r="D396" s="13"/>
      <c r="E396" s="32">
        <v>48967</v>
      </c>
      <c r="AJ396" s="13" t="s">
        <v>574</v>
      </c>
      <c r="AK396" s="13"/>
      <c r="AL396" s="13" t="s">
        <v>53</v>
      </c>
      <c r="AZ396" s="8">
        <f t="shared" si="35"/>
        <v>0</v>
      </c>
      <c r="BH396" s="8">
        <v>0</v>
      </c>
      <c r="BJ396" s="8">
        <f t="shared" si="36"/>
        <v>0</v>
      </c>
      <c r="BL396" s="8">
        <f>+GenRev!AM396-GenExp!BJ396</f>
        <v>0</v>
      </c>
      <c r="BS396" s="8">
        <f t="shared" si="37"/>
        <v>0</v>
      </c>
      <c r="BU396" s="9">
        <f>+BS396-'Gen Fd BS'!AA399+BQ396</f>
        <v>0</v>
      </c>
    </row>
    <row r="397" spans="1:73">
      <c r="A397" s="13" t="s">
        <v>658</v>
      </c>
      <c r="B397" s="13"/>
      <c r="C397" s="13" t="s">
        <v>62</v>
      </c>
      <c r="D397" s="13"/>
      <c r="E397" s="32">
        <v>44503</v>
      </c>
      <c r="G397" s="8">
        <v>19367448</v>
      </c>
      <c r="I397" s="8">
        <v>3050484</v>
      </c>
      <c r="K397" s="8">
        <v>1740877</v>
      </c>
      <c r="M397" s="8">
        <f>8611+93080</f>
        <v>101691</v>
      </c>
      <c r="O397" s="8">
        <v>1948408</v>
      </c>
      <c r="Q397" s="8">
        <v>2122738</v>
      </c>
      <c r="S397" s="8">
        <v>22490</v>
      </c>
      <c r="U397" s="8">
        <v>2856511</v>
      </c>
      <c r="W397" s="8">
        <v>932066</v>
      </c>
      <c r="Y397" s="8">
        <v>9476</v>
      </c>
      <c r="AA397" s="8">
        <v>3927641</v>
      </c>
      <c r="AC397" s="8">
        <v>2730693</v>
      </c>
      <c r="AE397" s="8">
        <v>329136</v>
      </c>
      <c r="AG397" s="8">
        <v>0</v>
      </c>
      <c r="AI397" s="8">
        <v>24195</v>
      </c>
      <c r="AJ397" s="13" t="s">
        <v>658</v>
      </c>
      <c r="AK397" s="13"/>
      <c r="AL397" s="13" t="s">
        <v>62</v>
      </c>
      <c r="AN397" s="8">
        <v>757931</v>
      </c>
      <c r="AP397" s="8">
        <v>197195</v>
      </c>
      <c r="AR397" s="8">
        <v>0</v>
      </c>
      <c r="AT397" s="8">
        <v>155894</v>
      </c>
      <c r="AV397" s="8">
        <v>48375</v>
      </c>
      <c r="AX397" s="8">
        <v>0</v>
      </c>
      <c r="AZ397" s="8">
        <f t="shared" si="35"/>
        <v>40323249</v>
      </c>
      <c r="BB397" s="8">
        <v>155877</v>
      </c>
      <c r="BD397" s="8">
        <v>0</v>
      </c>
      <c r="BF397" s="8">
        <v>0</v>
      </c>
      <c r="BH397" s="8">
        <v>0</v>
      </c>
      <c r="BJ397" s="8">
        <f t="shared" si="36"/>
        <v>40479126</v>
      </c>
      <c r="BL397" s="8">
        <f>+GenRev!AM397-GenExp!BJ397</f>
        <v>-1245108</v>
      </c>
      <c r="BN397" s="8">
        <v>-2257428</v>
      </c>
      <c r="BP397" s="8">
        <v>-9097</v>
      </c>
      <c r="BS397" s="8">
        <f t="shared" si="37"/>
        <v>-3493439</v>
      </c>
      <c r="BU397" s="9">
        <f>+BS397-'Gen Fd BS'!AA400+BQ397</f>
        <v>0</v>
      </c>
    </row>
    <row r="398" spans="1:73" hidden="1">
      <c r="A398" s="13" t="s">
        <v>722</v>
      </c>
      <c r="B398" s="13"/>
      <c r="C398" s="13" t="s">
        <v>727</v>
      </c>
      <c r="D398" s="13"/>
      <c r="E398" s="32">
        <v>50641</v>
      </c>
      <c r="F398" s="11"/>
      <c r="AJ398" s="13" t="s">
        <v>722</v>
      </c>
      <c r="AK398" s="13"/>
      <c r="AL398" s="13" t="s">
        <v>727</v>
      </c>
      <c r="AZ398" s="8">
        <f t="shared" si="35"/>
        <v>0</v>
      </c>
      <c r="BH398" s="8">
        <v>0</v>
      </c>
      <c r="BJ398" s="8">
        <f t="shared" si="36"/>
        <v>0</v>
      </c>
      <c r="BL398" s="8">
        <f>+GenRev!AM398-GenExp!BJ398</f>
        <v>0</v>
      </c>
      <c r="BS398" s="8">
        <f t="shared" si="37"/>
        <v>0</v>
      </c>
      <c r="BU398" s="9">
        <f>+BS398-'Gen Fd BS'!AA401+BQ398</f>
        <v>0</v>
      </c>
    </row>
    <row r="399" spans="1:73">
      <c r="A399" s="13" t="s">
        <v>401</v>
      </c>
      <c r="B399" s="13"/>
      <c r="C399" s="13" t="s">
        <v>32</v>
      </c>
      <c r="D399" s="13"/>
      <c r="E399" s="32">
        <v>44511</v>
      </c>
      <c r="G399" s="8">
        <v>5931549</v>
      </c>
      <c r="I399" s="8">
        <v>2113525</v>
      </c>
      <c r="K399" s="8">
        <v>62431</v>
      </c>
      <c r="M399" s="8">
        <f>49+34884</f>
        <v>34933</v>
      </c>
      <c r="O399" s="8">
        <v>860615</v>
      </c>
      <c r="Q399" s="8">
        <v>1305370</v>
      </c>
      <c r="S399" s="8">
        <v>45948</v>
      </c>
      <c r="U399" s="8">
        <v>1219385</v>
      </c>
      <c r="W399" s="8">
        <v>315832</v>
      </c>
      <c r="Y399" s="8">
        <v>5645</v>
      </c>
      <c r="AA399" s="8">
        <v>1241059</v>
      </c>
      <c r="AC399" s="8">
        <v>252523</v>
      </c>
      <c r="AE399" s="8">
        <v>5354</v>
      </c>
      <c r="AG399" s="8">
        <v>0</v>
      </c>
      <c r="AI399" s="8">
        <v>1570</v>
      </c>
      <c r="AJ399" s="13" t="s">
        <v>401</v>
      </c>
      <c r="AK399" s="13"/>
      <c r="AL399" s="13" t="s">
        <v>32</v>
      </c>
      <c r="AN399" s="8">
        <v>247605</v>
      </c>
      <c r="AP399" s="8">
        <v>0</v>
      </c>
      <c r="AT399" s="8">
        <v>0</v>
      </c>
      <c r="AV399" s="8">
        <v>0</v>
      </c>
      <c r="AX399" s="8">
        <v>0</v>
      </c>
      <c r="AZ399" s="8">
        <f t="shared" si="35"/>
        <v>13643344</v>
      </c>
      <c r="BB399" s="8">
        <v>30000</v>
      </c>
      <c r="BH399" s="8">
        <v>0</v>
      </c>
      <c r="BJ399" s="8">
        <f t="shared" si="36"/>
        <v>13673344</v>
      </c>
      <c r="BL399" s="8">
        <f>+GenRev!AM399-GenExp!BJ399</f>
        <v>-2760770</v>
      </c>
      <c r="BN399" s="8">
        <v>2042614</v>
      </c>
      <c r="BP399" s="8">
        <v>0</v>
      </c>
      <c r="BS399" s="8">
        <f t="shared" si="37"/>
        <v>-718156</v>
      </c>
      <c r="BU399" s="9">
        <f>+BS399-'Gen Fd BS'!AA402+BQ399</f>
        <v>0</v>
      </c>
    </row>
    <row r="400" spans="1:73">
      <c r="A400" s="13" t="s">
        <v>479</v>
      </c>
      <c r="B400" s="13"/>
      <c r="C400" s="13" t="s">
        <v>42</v>
      </c>
      <c r="D400" s="13"/>
      <c r="E400" s="32">
        <v>48025</v>
      </c>
      <c r="G400" s="8">
        <v>5588734</v>
      </c>
      <c r="I400" s="8">
        <v>2342976</v>
      </c>
      <c r="K400" s="8">
        <v>282789</v>
      </c>
      <c r="M400" s="8">
        <v>226876</v>
      </c>
      <c r="O400" s="8">
        <v>1385612</v>
      </c>
      <c r="Q400" s="8">
        <v>253020</v>
      </c>
      <c r="S400" s="8">
        <v>31433</v>
      </c>
      <c r="U400" s="8">
        <v>1309813</v>
      </c>
      <c r="W400" s="8">
        <v>453555</v>
      </c>
      <c r="Y400" s="8">
        <v>0</v>
      </c>
      <c r="AA400" s="8">
        <v>1559270</v>
      </c>
      <c r="AC400" s="8">
        <v>1335901</v>
      </c>
      <c r="AE400" s="8">
        <v>355122</v>
      </c>
      <c r="AG400" s="8">
        <v>0</v>
      </c>
      <c r="AI400" s="8">
        <v>0</v>
      </c>
      <c r="AJ400" s="13" t="s">
        <v>479</v>
      </c>
      <c r="AK400" s="13"/>
      <c r="AL400" s="13" t="s">
        <v>42</v>
      </c>
      <c r="AN400" s="8">
        <v>341664</v>
      </c>
      <c r="AP400" s="8">
        <v>0</v>
      </c>
      <c r="AR400" s="8">
        <v>0</v>
      </c>
      <c r="AT400" s="8">
        <v>0</v>
      </c>
      <c r="AV400" s="8">
        <v>0</v>
      </c>
      <c r="AX400" s="8">
        <v>0</v>
      </c>
      <c r="AZ400" s="8">
        <f t="shared" si="35"/>
        <v>15466765</v>
      </c>
      <c r="BB400" s="8">
        <v>227454</v>
      </c>
      <c r="BD400" s="8">
        <v>0</v>
      </c>
      <c r="BF400" s="8">
        <v>0</v>
      </c>
      <c r="BH400" s="8">
        <v>0</v>
      </c>
      <c r="BJ400" s="8">
        <f t="shared" si="36"/>
        <v>15694219</v>
      </c>
      <c r="BL400" s="8">
        <f>+GenRev!AM400-GenExp!BJ400</f>
        <v>-328388</v>
      </c>
      <c r="BN400" s="8">
        <v>-523703</v>
      </c>
      <c r="BP400" s="8">
        <v>0</v>
      </c>
      <c r="BS400" s="8">
        <f t="shared" si="37"/>
        <v>-852091</v>
      </c>
      <c r="BU400" s="9">
        <f>+BS400-'Gen Fd BS'!AA403+BQ400</f>
        <v>0</v>
      </c>
    </row>
    <row r="401" spans="1:73">
      <c r="A401" s="13" t="s">
        <v>313</v>
      </c>
      <c r="B401" s="13"/>
      <c r="C401" s="13" t="s">
        <v>20</v>
      </c>
      <c r="D401" s="13"/>
      <c r="E401" s="32">
        <v>44529</v>
      </c>
      <c r="G401" s="8">
        <v>22599924</v>
      </c>
      <c r="I401" s="8">
        <v>7184053</v>
      </c>
      <c r="K401" s="8">
        <v>398488</v>
      </c>
      <c r="M401" s="8">
        <v>343571</v>
      </c>
      <c r="O401" s="8">
        <v>3494194</v>
      </c>
      <c r="Q401" s="8">
        <v>1222625</v>
      </c>
      <c r="S401" s="8">
        <v>247514</v>
      </c>
      <c r="U401" s="8">
        <v>3530168</v>
      </c>
      <c r="W401" s="8">
        <v>1124775</v>
      </c>
      <c r="Y401" s="8">
        <v>134242</v>
      </c>
      <c r="AA401" s="8">
        <v>4272600</v>
      </c>
      <c r="AC401" s="8">
        <v>2195783</v>
      </c>
      <c r="AE401" s="8">
        <v>1093311</v>
      </c>
      <c r="AG401" s="8">
        <v>68510</v>
      </c>
      <c r="AI401" s="8">
        <v>30188</v>
      </c>
      <c r="AJ401" s="13" t="s">
        <v>313</v>
      </c>
      <c r="AK401" s="13"/>
      <c r="AL401" s="13" t="s">
        <v>20</v>
      </c>
      <c r="AN401" s="8">
        <v>1420736</v>
      </c>
      <c r="AP401" s="8">
        <v>0</v>
      </c>
      <c r="AR401" s="8">
        <v>0</v>
      </c>
      <c r="AT401" s="8">
        <v>0</v>
      </c>
      <c r="AV401" s="8">
        <v>0</v>
      </c>
      <c r="AX401" s="8">
        <v>0</v>
      </c>
      <c r="AZ401" s="8">
        <f t="shared" si="35"/>
        <v>49360682</v>
      </c>
      <c r="BB401" s="8">
        <v>252000</v>
      </c>
      <c r="BD401" s="8">
        <v>0</v>
      </c>
      <c r="BF401" s="8">
        <v>0</v>
      </c>
      <c r="BH401" s="8">
        <v>0</v>
      </c>
      <c r="BJ401" s="8">
        <f t="shared" si="36"/>
        <v>49612682</v>
      </c>
      <c r="BL401" s="8">
        <f>+GenRev!AM401-GenExp!BJ401</f>
        <v>-973714</v>
      </c>
      <c r="BN401" s="8">
        <v>10021336</v>
      </c>
      <c r="BP401" s="8">
        <v>1174</v>
      </c>
      <c r="BS401" s="8">
        <f t="shared" si="37"/>
        <v>9046448</v>
      </c>
      <c r="BU401" s="9">
        <f>+BS401-'Gen Fd BS'!AA404+BQ401</f>
        <v>0</v>
      </c>
    </row>
    <row r="402" spans="1:73">
      <c r="A402" s="13" t="s">
        <v>492</v>
      </c>
      <c r="B402" s="13"/>
      <c r="C402" s="13" t="s">
        <v>44</v>
      </c>
      <c r="D402" s="13"/>
      <c r="E402" s="32">
        <v>44537</v>
      </c>
      <c r="G402" s="8">
        <v>9125361</v>
      </c>
      <c r="I402" s="8">
        <v>3160540</v>
      </c>
      <c r="K402" s="8">
        <v>331753</v>
      </c>
      <c r="M402" s="8">
        <v>1070977</v>
      </c>
      <c r="O402" s="8">
        <v>1522936</v>
      </c>
      <c r="Q402" s="8">
        <v>2407183</v>
      </c>
      <c r="S402" s="8">
        <v>87447</v>
      </c>
      <c r="U402" s="8">
        <v>2000582</v>
      </c>
      <c r="W402" s="8">
        <v>663425</v>
      </c>
      <c r="Y402" s="8">
        <v>277174</v>
      </c>
      <c r="AA402" s="8">
        <v>2684400</v>
      </c>
      <c r="AC402" s="8">
        <v>2114742</v>
      </c>
      <c r="AE402" s="8">
        <v>46235</v>
      </c>
      <c r="AG402" s="8">
        <v>0</v>
      </c>
      <c r="AI402" s="8">
        <v>58</v>
      </c>
      <c r="AJ402" s="13" t="s">
        <v>492</v>
      </c>
      <c r="AK402" s="13"/>
      <c r="AL402" s="13" t="s">
        <v>44</v>
      </c>
      <c r="AN402" s="8">
        <v>521653</v>
      </c>
      <c r="AP402" s="8">
        <v>0</v>
      </c>
      <c r="AR402" s="8">
        <v>0</v>
      </c>
      <c r="AT402" s="8">
        <v>0</v>
      </c>
      <c r="AV402" s="8">
        <v>0</v>
      </c>
      <c r="AX402" s="8">
        <v>0</v>
      </c>
      <c r="AZ402" s="8">
        <f t="shared" si="35"/>
        <v>26014466</v>
      </c>
      <c r="BB402" s="8">
        <v>104622</v>
      </c>
      <c r="BD402" s="8">
        <v>0</v>
      </c>
      <c r="BF402" s="8">
        <v>0</v>
      </c>
      <c r="BH402" s="8">
        <v>0</v>
      </c>
      <c r="BJ402" s="8">
        <f t="shared" si="36"/>
        <v>26119088</v>
      </c>
      <c r="BL402" s="8">
        <f>+GenRev!AM402-GenExp!BJ402</f>
        <v>-2091516</v>
      </c>
      <c r="BN402" s="8">
        <v>3848210</v>
      </c>
      <c r="BP402" s="8">
        <v>0</v>
      </c>
      <c r="BS402" s="8">
        <f t="shared" si="37"/>
        <v>1756694</v>
      </c>
      <c r="BU402" s="9">
        <f>+BS402-'Gen Fd BS'!AA405+BQ402</f>
        <v>0</v>
      </c>
    </row>
    <row r="403" spans="1:73">
      <c r="A403" s="13" t="s">
        <v>314</v>
      </c>
      <c r="B403" s="13"/>
      <c r="C403" s="13" t="s">
        <v>20</v>
      </c>
      <c r="D403" s="13"/>
      <c r="E403" s="32">
        <v>44545</v>
      </c>
      <c r="G403" s="8">
        <v>20921424</v>
      </c>
      <c r="I403" s="8">
        <v>4048742</v>
      </c>
      <c r="K403" s="8">
        <v>196590</v>
      </c>
      <c r="M403" s="8">
        <v>767764</v>
      </c>
      <c r="O403" s="8">
        <v>2488651</v>
      </c>
      <c r="Q403" s="8">
        <v>2150733</v>
      </c>
      <c r="S403" s="8">
        <v>27253</v>
      </c>
      <c r="U403" s="8">
        <v>3241672</v>
      </c>
      <c r="W403" s="8">
        <v>1010513</v>
      </c>
      <c r="Y403" s="8">
        <v>334570</v>
      </c>
      <c r="AA403" s="8">
        <v>3458176</v>
      </c>
      <c r="AC403" s="8">
        <v>2745713</v>
      </c>
      <c r="AE403" s="8">
        <v>597043</v>
      </c>
      <c r="AG403" s="8">
        <v>0</v>
      </c>
      <c r="AI403" s="8">
        <v>75341</v>
      </c>
      <c r="AJ403" s="13" t="s">
        <v>314</v>
      </c>
      <c r="AK403" s="13"/>
      <c r="AL403" s="13" t="s">
        <v>20</v>
      </c>
      <c r="AN403" s="8">
        <v>696891</v>
      </c>
      <c r="AP403" s="8">
        <v>0</v>
      </c>
      <c r="AR403" s="8">
        <v>0</v>
      </c>
      <c r="AT403" s="8">
        <v>0</v>
      </c>
      <c r="AV403" s="8">
        <v>0</v>
      </c>
      <c r="AX403" s="8">
        <v>0</v>
      </c>
      <c r="AZ403" s="8">
        <f t="shared" si="35"/>
        <v>42761076</v>
      </c>
      <c r="BB403" s="8">
        <v>225000</v>
      </c>
      <c r="BD403" s="8">
        <v>0</v>
      </c>
      <c r="BF403" s="8">
        <v>0</v>
      </c>
      <c r="BH403" s="8">
        <v>0</v>
      </c>
      <c r="BJ403" s="8">
        <f t="shared" si="36"/>
        <v>42986076</v>
      </c>
      <c r="BL403" s="8">
        <f>+GenRev!AM403-GenExp!BJ403</f>
        <v>-429035</v>
      </c>
      <c r="BN403" s="8">
        <v>5563968</v>
      </c>
      <c r="BP403" s="8">
        <v>0</v>
      </c>
      <c r="BS403" s="8">
        <f t="shared" si="37"/>
        <v>5134933</v>
      </c>
      <c r="BU403" s="9">
        <f>+BS403-'Gen Fd BS'!AA406+BQ403</f>
        <v>0</v>
      </c>
    </row>
    <row r="404" spans="1:73">
      <c r="A404" s="13" t="s">
        <v>704</v>
      </c>
      <c r="B404" s="13"/>
      <c r="C404" s="13" t="s">
        <v>66</v>
      </c>
      <c r="D404" s="13"/>
      <c r="E404" s="32">
        <v>50336</v>
      </c>
      <c r="G404" s="8">
        <v>6150283</v>
      </c>
      <c r="I404" s="8">
        <v>1113682</v>
      </c>
      <c r="K404" s="8">
        <v>707272</v>
      </c>
      <c r="M404" s="8">
        <v>0</v>
      </c>
      <c r="O404" s="8">
        <v>549180</v>
      </c>
      <c r="Q404" s="8">
        <v>746255</v>
      </c>
      <c r="S404" s="8">
        <v>58502</v>
      </c>
      <c r="U404" s="8">
        <v>1070153</v>
      </c>
      <c r="W404" s="8">
        <v>426365</v>
      </c>
      <c r="Y404" s="8">
        <v>0</v>
      </c>
      <c r="AA404" s="8">
        <v>1753040</v>
      </c>
      <c r="AC404" s="8">
        <v>957961</v>
      </c>
      <c r="AE404" s="8">
        <v>8906</v>
      </c>
      <c r="AG404" s="8">
        <v>0</v>
      </c>
      <c r="AI404" s="8">
        <v>0</v>
      </c>
      <c r="AJ404" s="13" t="s">
        <v>704</v>
      </c>
      <c r="AK404" s="13"/>
      <c r="AL404" s="13" t="s">
        <v>66</v>
      </c>
      <c r="AN404" s="8">
        <v>180115</v>
      </c>
      <c r="AP404" s="8">
        <v>40455</v>
      </c>
      <c r="AR404" s="8">
        <v>0</v>
      </c>
      <c r="AT404" s="8">
        <v>0</v>
      </c>
      <c r="AV404" s="8">
        <v>0</v>
      </c>
      <c r="AX404" s="8">
        <v>0</v>
      </c>
      <c r="AZ404" s="8">
        <f t="shared" si="35"/>
        <v>13762169</v>
      </c>
      <c r="BB404" s="8">
        <v>300000</v>
      </c>
      <c r="BD404" s="8">
        <v>0</v>
      </c>
      <c r="BF404" s="8">
        <v>0</v>
      </c>
      <c r="BH404" s="8">
        <v>0</v>
      </c>
      <c r="BJ404" s="8">
        <f t="shared" si="36"/>
        <v>14062169</v>
      </c>
      <c r="BL404" s="8">
        <f>+GenRev!AM407-GenExp!BJ404</f>
        <v>392081</v>
      </c>
      <c r="BN404" s="8">
        <v>9818664</v>
      </c>
      <c r="BP404" s="8">
        <v>0</v>
      </c>
      <c r="BS404" s="8">
        <f t="shared" si="37"/>
        <v>10210745</v>
      </c>
      <c r="BU404" s="9">
        <f>+BS404-'Gen Fd BS'!AA407+BQ404</f>
        <v>0</v>
      </c>
    </row>
    <row r="405" spans="1:73">
      <c r="A405" s="13" t="s">
        <v>262</v>
      </c>
      <c r="B405" s="13"/>
      <c r="C405" s="13" t="s">
        <v>17</v>
      </c>
      <c r="D405" s="13"/>
      <c r="E405" s="32">
        <v>46250</v>
      </c>
      <c r="G405" s="8">
        <v>13715355</v>
      </c>
      <c r="I405" s="8">
        <v>2379287</v>
      </c>
      <c r="K405" s="8">
        <v>871311</v>
      </c>
      <c r="M405" s="8">
        <f>23996+12096</f>
        <v>36092</v>
      </c>
      <c r="O405" s="8">
        <v>1498047</v>
      </c>
      <c r="Q405" s="8">
        <v>1463553</v>
      </c>
      <c r="S405" s="8">
        <v>60841</v>
      </c>
      <c r="U405" s="8">
        <v>2615607</v>
      </c>
      <c r="W405" s="8">
        <v>662997</v>
      </c>
      <c r="Y405" s="8">
        <v>0</v>
      </c>
      <c r="AA405" s="8">
        <v>2685688</v>
      </c>
      <c r="AC405" s="8">
        <v>1815288</v>
      </c>
      <c r="AE405" s="8">
        <v>10193</v>
      </c>
      <c r="AG405" s="8">
        <v>0</v>
      </c>
      <c r="AI405" s="8">
        <v>2433</v>
      </c>
      <c r="AJ405" s="13" t="s">
        <v>262</v>
      </c>
      <c r="AK405" s="13"/>
      <c r="AL405" s="13" t="s">
        <v>17</v>
      </c>
      <c r="AN405" s="8">
        <v>707945</v>
      </c>
      <c r="AP405" s="8">
        <v>79527</v>
      </c>
      <c r="AR405" s="8">
        <v>0</v>
      </c>
      <c r="AT405" s="8">
        <v>329810</v>
      </c>
      <c r="AV405" s="8">
        <v>49795</v>
      </c>
      <c r="AX405" s="8">
        <v>0</v>
      </c>
      <c r="AZ405" s="8">
        <f t="shared" si="35"/>
        <v>28983769</v>
      </c>
      <c r="BB405" s="8">
        <v>21441</v>
      </c>
      <c r="BD405" s="8">
        <v>0</v>
      </c>
      <c r="BF405" s="8">
        <v>0</v>
      </c>
      <c r="BH405" s="8">
        <v>0</v>
      </c>
      <c r="BJ405" s="8">
        <f t="shared" si="36"/>
        <v>29005210</v>
      </c>
      <c r="BL405" s="8">
        <f>+GenRev!AM408-GenExp!BJ405</f>
        <v>1273755</v>
      </c>
      <c r="BN405" s="8">
        <v>5152453</v>
      </c>
      <c r="BP405" s="8">
        <v>3275</v>
      </c>
      <c r="BS405" s="8">
        <f t="shared" si="37"/>
        <v>6422933</v>
      </c>
      <c r="BU405" s="9">
        <f>+BS405-'Gen Fd BS'!AA408+BQ405</f>
        <v>0</v>
      </c>
    </row>
    <row r="406" spans="1:73" hidden="1">
      <c r="A406" s="13" t="s">
        <v>262</v>
      </c>
      <c r="B406" s="13"/>
      <c r="C406" s="13" t="s">
        <v>22</v>
      </c>
      <c r="D406" s="13"/>
      <c r="E406" s="32">
        <v>46722</v>
      </c>
      <c r="AJ406" s="13" t="s">
        <v>262</v>
      </c>
      <c r="AK406" s="13"/>
      <c r="AL406" s="13" t="s">
        <v>22</v>
      </c>
      <c r="AZ406" s="8">
        <f t="shared" ref="AZ406:AZ455" si="38">SUM(G406:AX406)</f>
        <v>0</v>
      </c>
      <c r="BJ406" s="8">
        <f t="shared" ref="BJ406:BJ433" si="39">+AZ406+BB406+BD406+BH406</f>
        <v>0</v>
      </c>
      <c r="BL406" s="8">
        <f>+GenRev!AM409-GenExp!BJ406</f>
        <v>0</v>
      </c>
      <c r="BS406" s="8">
        <f t="shared" si="37"/>
        <v>0</v>
      </c>
      <c r="BU406" s="9">
        <f>+BS406-'Gen Fd BS'!AA409+BQ406</f>
        <v>0</v>
      </c>
    </row>
    <row r="407" spans="1:73">
      <c r="A407" s="13" t="s">
        <v>553</v>
      </c>
      <c r="B407" s="13"/>
      <c r="C407" s="13" t="s">
        <v>50</v>
      </c>
      <c r="D407" s="13"/>
      <c r="E407" s="32">
        <v>48728</v>
      </c>
      <c r="F407" s="11"/>
      <c r="G407" s="8">
        <v>24793058</v>
      </c>
      <c r="I407" s="8">
        <v>8824425</v>
      </c>
      <c r="K407" s="8">
        <v>332926</v>
      </c>
      <c r="M407" s="8">
        <v>25699</v>
      </c>
      <c r="O407" s="8">
        <v>3973436</v>
      </c>
      <c r="Q407" s="8">
        <v>526068</v>
      </c>
      <c r="S407" s="8">
        <v>54208</v>
      </c>
      <c r="U407" s="8">
        <v>3403151</v>
      </c>
      <c r="W407" s="8">
        <v>1024141</v>
      </c>
      <c r="Y407" s="8">
        <v>430892</v>
      </c>
      <c r="AA407" s="8">
        <v>3852742</v>
      </c>
      <c r="AC407" s="8">
        <v>1865910</v>
      </c>
      <c r="AE407" s="8">
        <v>321302</v>
      </c>
      <c r="AG407" s="8">
        <v>0</v>
      </c>
      <c r="AI407" s="8">
        <v>0</v>
      </c>
      <c r="AJ407" s="13" t="s">
        <v>553</v>
      </c>
      <c r="AK407" s="13"/>
      <c r="AL407" s="13" t="s">
        <v>50</v>
      </c>
      <c r="AN407" s="8">
        <v>579527</v>
      </c>
      <c r="AP407" s="8">
        <v>536887</v>
      </c>
      <c r="AR407" s="8">
        <v>0</v>
      </c>
      <c r="AT407" s="8">
        <v>214263</v>
      </c>
      <c r="AV407" s="8">
        <v>24072</v>
      </c>
      <c r="AX407" s="8">
        <v>0</v>
      </c>
      <c r="AZ407" s="8">
        <f t="shared" si="38"/>
        <v>50782707</v>
      </c>
      <c r="BB407" s="8">
        <v>34000</v>
      </c>
      <c r="BD407" s="8">
        <v>0</v>
      </c>
      <c r="BF407" s="8">
        <v>0</v>
      </c>
      <c r="BH407" s="8">
        <v>0</v>
      </c>
      <c r="BJ407" s="8">
        <f t="shared" si="39"/>
        <v>50816707</v>
      </c>
      <c r="BL407" s="8">
        <f>+GenRev!AM410-GenExp!BJ407</f>
        <v>-1343056</v>
      </c>
      <c r="BN407" s="8">
        <v>5112591</v>
      </c>
      <c r="BP407" s="8">
        <v>0</v>
      </c>
      <c r="BS407" s="8">
        <f t="shared" si="37"/>
        <v>3769535</v>
      </c>
      <c r="BU407" s="9">
        <f>+BS407-'Gen Fd BS'!AA410+BQ407</f>
        <v>0</v>
      </c>
    </row>
    <row r="408" spans="1:73">
      <c r="A408" s="13" t="s">
        <v>562</v>
      </c>
      <c r="B408" s="13"/>
      <c r="C408" s="13" t="s">
        <v>78</v>
      </c>
      <c r="D408" s="13"/>
      <c r="E408" s="32">
        <v>48819</v>
      </c>
      <c r="G408" s="8">
        <v>4549526</v>
      </c>
      <c r="I408" s="8">
        <v>1163958</v>
      </c>
      <c r="K408" s="8">
        <v>287703</v>
      </c>
      <c r="M408" s="8">
        <v>1026558</v>
      </c>
      <c r="O408" s="8">
        <v>254769</v>
      </c>
      <c r="Q408" s="8">
        <v>525610</v>
      </c>
      <c r="S408" s="8">
        <v>35883</v>
      </c>
      <c r="U408" s="8">
        <v>986398</v>
      </c>
      <c r="W408" s="8">
        <v>420213</v>
      </c>
      <c r="Y408" s="8">
        <v>0</v>
      </c>
      <c r="AA408" s="8">
        <v>894281</v>
      </c>
      <c r="AC408" s="8">
        <v>780639</v>
      </c>
      <c r="AE408" s="8">
        <v>128</v>
      </c>
      <c r="AG408" s="8">
        <v>0</v>
      </c>
      <c r="AI408" s="8">
        <v>0</v>
      </c>
      <c r="AJ408" s="13" t="s">
        <v>562</v>
      </c>
      <c r="AK408" s="13"/>
      <c r="AL408" s="13" t="s">
        <v>78</v>
      </c>
      <c r="AN408" s="8">
        <v>201300</v>
      </c>
      <c r="AP408" s="8">
        <v>0</v>
      </c>
      <c r="AR408" s="8">
        <v>0</v>
      </c>
      <c r="AT408" s="8">
        <v>0</v>
      </c>
      <c r="AV408" s="8">
        <v>0</v>
      </c>
      <c r="AX408" s="8">
        <v>40083</v>
      </c>
      <c r="AZ408" s="8">
        <f t="shared" si="38"/>
        <v>11167049</v>
      </c>
      <c r="BB408" s="8">
        <v>0</v>
      </c>
      <c r="BD408" s="8">
        <v>0</v>
      </c>
      <c r="BF408" s="8">
        <v>0</v>
      </c>
      <c r="BH408" s="8">
        <v>0</v>
      </c>
      <c r="BJ408" s="8">
        <f t="shared" si="39"/>
        <v>11167049</v>
      </c>
      <c r="BL408" s="8">
        <f>+GenRev!AM411-GenExp!BJ408</f>
        <v>-713712</v>
      </c>
      <c r="BN408" s="8">
        <v>1522150</v>
      </c>
      <c r="BP408" s="8">
        <v>0</v>
      </c>
      <c r="BS408" s="8">
        <f t="shared" si="37"/>
        <v>808438</v>
      </c>
      <c r="BU408" s="9">
        <f>+BS408-'Gen Fd BS'!AA411+BQ408</f>
        <v>0</v>
      </c>
    </row>
    <row r="409" spans="1:73">
      <c r="A409" s="13" t="s">
        <v>480</v>
      </c>
      <c r="B409" s="13"/>
      <c r="C409" s="13" t="s">
        <v>50</v>
      </c>
      <c r="D409" s="13"/>
      <c r="E409" s="32">
        <v>48033</v>
      </c>
      <c r="G409" s="8">
        <v>7568574</v>
      </c>
      <c r="I409" s="8">
        <v>1935051</v>
      </c>
      <c r="K409" s="8">
        <v>212955</v>
      </c>
      <c r="M409" s="8">
        <v>0</v>
      </c>
      <c r="O409" s="8">
        <v>1199269</v>
      </c>
      <c r="Q409" s="8">
        <v>368738</v>
      </c>
      <c r="S409" s="8">
        <v>27048</v>
      </c>
      <c r="U409" s="8">
        <v>1510989</v>
      </c>
      <c r="W409" s="8">
        <v>387925</v>
      </c>
      <c r="Y409" s="8">
        <v>213213</v>
      </c>
      <c r="AA409" s="8">
        <v>2183390</v>
      </c>
      <c r="AC409" s="8">
        <v>1013784</v>
      </c>
      <c r="AE409" s="8">
        <v>55926</v>
      </c>
      <c r="AG409" s="8">
        <v>0</v>
      </c>
      <c r="AI409" s="8">
        <v>1176</v>
      </c>
      <c r="AJ409" s="13" t="s">
        <v>480</v>
      </c>
      <c r="AK409" s="13"/>
      <c r="AL409" s="13" t="s">
        <v>50</v>
      </c>
      <c r="AN409" s="8">
        <v>446757</v>
      </c>
      <c r="AP409" s="8">
        <v>32749</v>
      </c>
      <c r="AR409" s="8">
        <v>0</v>
      </c>
      <c r="AT409" s="8">
        <v>110000</v>
      </c>
      <c r="AV409" s="8">
        <v>43600</v>
      </c>
      <c r="AX409" s="8">
        <v>0</v>
      </c>
      <c r="AZ409" s="8">
        <f t="shared" si="38"/>
        <v>17311144</v>
      </c>
      <c r="BB409" s="8">
        <v>0</v>
      </c>
      <c r="BD409" s="8">
        <v>0</v>
      </c>
      <c r="BF409" s="8">
        <v>0</v>
      </c>
      <c r="BH409" s="8">
        <v>0</v>
      </c>
      <c r="BJ409" s="8">
        <f t="shared" si="39"/>
        <v>17311144</v>
      </c>
      <c r="BL409" s="8">
        <f>+GenRev!AM412-GenExp!BJ409</f>
        <v>196791</v>
      </c>
      <c r="BN409" s="8">
        <v>7204828</v>
      </c>
      <c r="BP409" s="8">
        <v>0</v>
      </c>
      <c r="BS409" s="8">
        <f t="shared" si="37"/>
        <v>7401619</v>
      </c>
      <c r="BU409" s="9">
        <f>+BS409-'Gen Fd BS'!AA412+BQ409</f>
        <v>0</v>
      </c>
    </row>
    <row r="410" spans="1:73">
      <c r="A410" s="13" t="s">
        <v>480</v>
      </c>
      <c r="B410" s="13"/>
      <c r="C410" s="13" t="s">
        <v>42</v>
      </c>
      <c r="D410" s="13"/>
      <c r="E410" s="32">
        <v>48736</v>
      </c>
      <c r="G410" s="8">
        <v>5309088</v>
      </c>
      <c r="I410" s="8">
        <v>802071</v>
      </c>
      <c r="K410" s="8">
        <v>146108</v>
      </c>
      <c r="M410" s="8">
        <v>106521</v>
      </c>
      <c r="O410" s="8">
        <v>460906</v>
      </c>
      <c r="Q410" s="8">
        <v>316539</v>
      </c>
      <c r="S410" s="8">
        <v>70794</v>
      </c>
      <c r="U410" s="8">
        <v>920785</v>
      </c>
      <c r="W410" s="8">
        <v>353624</v>
      </c>
      <c r="Y410" s="8">
        <v>0</v>
      </c>
      <c r="AA410" s="8">
        <v>957410</v>
      </c>
      <c r="AC410" s="8">
        <v>1526391</v>
      </c>
      <c r="AE410" s="8">
        <v>62401</v>
      </c>
      <c r="AG410" s="8">
        <v>0</v>
      </c>
      <c r="AI410" s="8">
        <v>0</v>
      </c>
      <c r="AJ410" s="13" t="s">
        <v>480</v>
      </c>
      <c r="AK410" s="13"/>
      <c r="AL410" s="13" t="s">
        <v>42</v>
      </c>
      <c r="AN410" s="8">
        <v>154236</v>
      </c>
      <c r="AP410" s="8">
        <v>438193</v>
      </c>
      <c r="AR410" s="8">
        <v>0</v>
      </c>
      <c r="AT410" s="8">
        <v>29483</v>
      </c>
      <c r="AV410" s="8">
        <v>31524</v>
      </c>
      <c r="AX410" s="8">
        <v>0</v>
      </c>
      <c r="AZ410" s="8">
        <f t="shared" si="38"/>
        <v>11686074</v>
      </c>
      <c r="BB410" s="8">
        <v>58270</v>
      </c>
      <c r="BD410" s="8">
        <v>0</v>
      </c>
      <c r="BF410" s="8">
        <v>0</v>
      </c>
      <c r="BH410" s="8">
        <v>0</v>
      </c>
      <c r="BJ410" s="8">
        <f t="shared" si="39"/>
        <v>11744344</v>
      </c>
      <c r="BL410" s="8">
        <f>+GenRev!AM413-GenExp!BJ410</f>
        <v>199781</v>
      </c>
      <c r="BN410" s="8">
        <v>209529</v>
      </c>
      <c r="BP410" s="8">
        <v>0</v>
      </c>
      <c r="BS410" s="8">
        <f t="shared" si="37"/>
        <v>409310</v>
      </c>
      <c r="BU410" s="9">
        <f>+BS410-'Gen Fd BS'!AA413+BQ410</f>
        <v>0</v>
      </c>
    </row>
    <row r="411" spans="1:73">
      <c r="A411" s="13" t="s">
        <v>402</v>
      </c>
      <c r="B411" s="13"/>
      <c r="C411" s="13" t="s">
        <v>32</v>
      </c>
      <c r="D411" s="13"/>
      <c r="E411" s="32">
        <v>47365</v>
      </c>
      <c r="G411" s="8">
        <v>37015292</v>
      </c>
      <c r="I411" s="8">
        <v>8057539</v>
      </c>
      <c r="K411" s="8">
        <v>26972</v>
      </c>
      <c r="M411" s="8">
        <v>1178642</v>
      </c>
      <c r="O411" s="8">
        <v>4642420</v>
      </c>
      <c r="Q411" s="8">
        <v>5009886</v>
      </c>
      <c r="S411" s="8">
        <v>93830</v>
      </c>
      <c r="U411" s="8">
        <v>5460166</v>
      </c>
      <c r="W411" s="8">
        <v>1734288</v>
      </c>
      <c r="Y411" s="8">
        <v>707873</v>
      </c>
      <c r="AA411" s="8">
        <v>7039598</v>
      </c>
      <c r="AC411" s="8">
        <v>4254412</v>
      </c>
      <c r="AE411" s="8">
        <v>1469952</v>
      </c>
      <c r="AG411" s="8">
        <v>0</v>
      </c>
      <c r="AI411" s="8">
        <v>1074289</v>
      </c>
      <c r="AJ411" s="13" t="s">
        <v>402</v>
      </c>
      <c r="AK411" s="13"/>
      <c r="AL411" s="13" t="s">
        <v>32</v>
      </c>
      <c r="AN411" s="8">
        <v>1209951</v>
      </c>
      <c r="AP411" s="8">
        <v>0</v>
      </c>
      <c r="AR411" s="8">
        <v>0</v>
      </c>
      <c r="AT411" s="8">
        <v>284533</v>
      </c>
      <c r="AV411" s="8">
        <v>11834</v>
      </c>
      <c r="AX411" s="8">
        <v>0</v>
      </c>
      <c r="AZ411" s="8">
        <f t="shared" si="38"/>
        <v>79271477</v>
      </c>
      <c r="BB411" s="8">
        <v>0</v>
      </c>
      <c r="BD411" s="8">
        <v>0</v>
      </c>
      <c r="BF411" s="8">
        <v>0</v>
      </c>
      <c r="BH411" s="8">
        <v>0</v>
      </c>
      <c r="BJ411" s="8">
        <f t="shared" si="39"/>
        <v>79271477</v>
      </c>
      <c r="BL411" s="8">
        <f>+GenRev!AM414-GenExp!BJ411</f>
        <v>3259586</v>
      </c>
      <c r="BN411" s="8">
        <v>18551389</v>
      </c>
      <c r="BP411" s="8">
        <v>0</v>
      </c>
      <c r="BS411" s="8">
        <f t="shared" si="37"/>
        <v>21810975</v>
      </c>
      <c r="BU411" s="9">
        <f>+BS411-'Gen Fd BS'!AA414+BQ411</f>
        <v>0</v>
      </c>
    </row>
    <row r="412" spans="1:73">
      <c r="A412" s="13" t="s">
        <v>402</v>
      </c>
      <c r="B412" s="13"/>
      <c r="C412" s="13" t="s">
        <v>59</v>
      </c>
      <c r="D412" s="13"/>
      <c r="E412" s="32">
        <v>49635</v>
      </c>
      <c r="G412" s="8">
        <v>5182684</v>
      </c>
      <c r="I412" s="8">
        <v>1393903</v>
      </c>
      <c r="K412" s="8">
        <v>77499</v>
      </c>
      <c r="M412" s="8">
        <f>5252+490165</f>
        <v>495417</v>
      </c>
      <c r="O412" s="8">
        <v>578321</v>
      </c>
      <c r="Q412" s="8">
        <v>526283</v>
      </c>
      <c r="S412" s="8">
        <v>35338</v>
      </c>
      <c r="U412" s="8">
        <v>1120383</v>
      </c>
      <c r="W412" s="8">
        <v>297418</v>
      </c>
      <c r="Y412" s="8">
        <v>0</v>
      </c>
      <c r="AA412" s="8">
        <v>1633908</v>
      </c>
      <c r="AC412" s="8">
        <v>1740396</v>
      </c>
      <c r="AE412" s="8">
        <v>25360</v>
      </c>
      <c r="AG412" s="8">
        <v>0</v>
      </c>
      <c r="AI412" s="8">
        <v>0</v>
      </c>
      <c r="AJ412" s="13" t="s">
        <v>402</v>
      </c>
      <c r="AK412" s="13"/>
      <c r="AL412" s="13" t="s">
        <v>59</v>
      </c>
      <c r="AN412" s="8">
        <v>197853</v>
      </c>
      <c r="AP412" s="8">
        <v>10845</v>
      </c>
      <c r="AR412" s="8">
        <v>0</v>
      </c>
      <c r="AT412" s="8">
        <v>181000</v>
      </c>
      <c r="AV412" s="8">
        <v>112888</v>
      </c>
      <c r="AX412" s="8">
        <v>0</v>
      </c>
      <c r="AZ412" s="8">
        <f t="shared" si="38"/>
        <v>13609496</v>
      </c>
      <c r="BB412" s="8">
        <v>46840</v>
      </c>
      <c r="BD412" s="8">
        <v>0</v>
      </c>
      <c r="BF412" s="8">
        <v>0</v>
      </c>
      <c r="BH412" s="8">
        <v>0</v>
      </c>
      <c r="BJ412" s="8">
        <f t="shared" si="39"/>
        <v>13656336</v>
      </c>
      <c r="BL412" s="8">
        <f>+GenRev!AM415-GenExp!BJ412</f>
        <v>-378159</v>
      </c>
      <c r="BN412" s="8">
        <v>1916458</v>
      </c>
      <c r="BP412" s="8">
        <v>0</v>
      </c>
      <c r="BS412" s="8">
        <f t="shared" si="37"/>
        <v>1538299</v>
      </c>
      <c r="BU412" s="9">
        <f>+BS412-'Gen Fd BS'!AA415+BQ412</f>
        <v>0</v>
      </c>
    </row>
    <row r="413" spans="1:73">
      <c r="A413" s="13" t="s">
        <v>402</v>
      </c>
      <c r="B413" s="13"/>
      <c r="C413" s="13" t="s">
        <v>62</v>
      </c>
      <c r="D413" s="13"/>
      <c r="E413" s="32">
        <v>49908</v>
      </c>
      <c r="G413" s="8">
        <v>8366663</v>
      </c>
      <c r="I413" s="8">
        <v>2202555</v>
      </c>
      <c r="K413" s="8">
        <v>322418</v>
      </c>
      <c r="M413" s="8">
        <v>121041</v>
      </c>
      <c r="O413" s="8">
        <v>628311</v>
      </c>
      <c r="Q413" s="8">
        <v>297374</v>
      </c>
      <c r="S413" s="8">
        <v>70688</v>
      </c>
      <c r="U413" s="8">
        <v>1705785</v>
      </c>
      <c r="W413" s="8">
        <v>399862</v>
      </c>
      <c r="Y413" s="8">
        <v>0</v>
      </c>
      <c r="AA413" s="8">
        <v>1917826</v>
      </c>
      <c r="AC413" s="8">
        <v>994093</v>
      </c>
      <c r="AE413" s="8">
        <v>188473</v>
      </c>
      <c r="AG413" s="8">
        <v>0</v>
      </c>
      <c r="AI413" s="8">
        <v>0</v>
      </c>
      <c r="AJ413" s="13" t="s">
        <v>402</v>
      </c>
      <c r="AK413" s="13"/>
      <c r="AL413" s="13" t="s">
        <v>62</v>
      </c>
      <c r="AN413" s="8">
        <v>218229</v>
      </c>
      <c r="AP413" s="8">
        <v>0</v>
      </c>
      <c r="AR413" s="8">
        <v>0</v>
      </c>
      <c r="AT413" s="8">
        <v>0</v>
      </c>
      <c r="AV413" s="8">
        <v>0</v>
      </c>
      <c r="AX413" s="8">
        <v>0</v>
      </c>
      <c r="AZ413" s="8">
        <f t="shared" si="38"/>
        <v>17433318</v>
      </c>
      <c r="BB413" s="8">
        <v>158500</v>
      </c>
      <c r="BD413" s="8">
        <v>0</v>
      </c>
      <c r="BF413" s="8">
        <v>0</v>
      </c>
      <c r="BH413" s="8">
        <v>0</v>
      </c>
      <c r="BJ413" s="8">
        <f t="shared" si="39"/>
        <v>17591818</v>
      </c>
      <c r="BL413" s="8">
        <f>+GenRev!AM416-GenExp!BJ413</f>
        <v>10121</v>
      </c>
      <c r="BN413" s="8">
        <v>-3316641</v>
      </c>
      <c r="BP413" s="8">
        <v>-4697</v>
      </c>
      <c r="BS413" s="8">
        <f t="shared" si="37"/>
        <v>-3301823</v>
      </c>
      <c r="BU413" s="9">
        <f>+BS413-'Gen Fd BS'!AA416+BQ413</f>
        <v>0</v>
      </c>
    </row>
    <row r="414" spans="1:73">
      <c r="A414" s="13" t="s">
        <v>263</v>
      </c>
      <c r="B414" s="13"/>
      <c r="C414" s="13" t="s">
        <v>17</v>
      </c>
      <c r="D414" s="13"/>
      <c r="E414" s="32">
        <v>46268</v>
      </c>
      <c r="G414" s="8">
        <v>7712292</v>
      </c>
      <c r="I414" s="8">
        <v>1435009</v>
      </c>
      <c r="K414" s="8">
        <v>0</v>
      </c>
      <c r="M414" s="8">
        <v>28632</v>
      </c>
      <c r="O414" s="8">
        <v>548104</v>
      </c>
      <c r="Q414" s="8">
        <v>771092</v>
      </c>
      <c r="S414" s="8">
        <v>88391</v>
      </c>
      <c r="U414" s="8">
        <v>1295801</v>
      </c>
      <c r="W414" s="8">
        <v>390876</v>
      </c>
      <c r="Y414" s="8">
        <v>0</v>
      </c>
      <c r="AA414" s="8">
        <v>1270167</v>
      </c>
      <c r="AC414" s="8">
        <v>1082793</v>
      </c>
      <c r="AE414" s="8">
        <v>24624</v>
      </c>
      <c r="AG414" s="8">
        <v>0</v>
      </c>
      <c r="AI414" s="8">
        <v>0</v>
      </c>
      <c r="AJ414" s="13" t="s">
        <v>263</v>
      </c>
      <c r="AK414" s="13"/>
      <c r="AL414" s="13" t="s">
        <v>17</v>
      </c>
      <c r="AN414" s="8">
        <v>317996</v>
      </c>
      <c r="AP414" s="8">
        <v>0</v>
      </c>
      <c r="AR414" s="8">
        <v>0</v>
      </c>
      <c r="AT414" s="8">
        <v>0</v>
      </c>
      <c r="AV414" s="8">
        <v>0</v>
      </c>
      <c r="AX414" s="8">
        <v>0</v>
      </c>
      <c r="AZ414" s="8">
        <f t="shared" si="38"/>
        <v>14965777</v>
      </c>
      <c r="BB414" s="8">
        <v>0</v>
      </c>
      <c r="BD414" s="8">
        <v>0</v>
      </c>
      <c r="BF414" s="8">
        <v>0</v>
      </c>
      <c r="BH414" s="8">
        <v>0</v>
      </c>
      <c r="BJ414" s="8">
        <f t="shared" si="39"/>
        <v>14965777</v>
      </c>
      <c r="BL414" s="8">
        <f>+GenRev!AM417-GenExp!BJ414</f>
        <v>-529492</v>
      </c>
      <c r="BN414" s="8">
        <v>2828658</v>
      </c>
      <c r="BP414" s="8">
        <v>0</v>
      </c>
      <c r="BS414" s="8">
        <f t="shared" si="37"/>
        <v>2299166</v>
      </c>
      <c r="BU414" s="9">
        <f>+BS414-'Gen Fd BS'!AA417+BQ414</f>
        <v>0</v>
      </c>
    </row>
    <row r="415" spans="1:73" s="35" customFormat="1">
      <c r="A415" s="34" t="s">
        <v>736</v>
      </c>
      <c r="B415" s="34"/>
      <c r="C415" s="34" t="s">
        <v>72</v>
      </c>
      <c r="D415" s="34"/>
      <c r="E415" s="34">
        <v>50716</v>
      </c>
      <c r="G415" s="8">
        <v>4339964</v>
      </c>
      <c r="H415" s="8"/>
      <c r="I415" s="8">
        <v>1023538</v>
      </c>
      <c r="J415" s="8"/>
      <c r="K415" s="8">
        <v>176118</v>
      </c>
      <c r="L415" s="8"/>
      <c r="M415" s="8">
        <v>0</v>
      </c>
      <c r="N415" s="8"/>
      <c r="O415" s="8">
        <v>302834</v>
      </c>
      <c r="P415" s="8"/>
      <c r="Q415" s="8">
        <v>478050</v>
      </c>
      <c r="R415" s="8"/>
      <c r="S415" s="8">
        <v>13818</v>
      </c>
      <c r="T415" s="8"/>
      <c r="U415" s="8">
        <v>775267</v>
      </c>
      <c r="V415" s="8"/>
      <c r="W415" s="8">
        <v>378465</v>
      </c>
      <c r="X415" s="8"/>
      <c r="Y415" s="8">
        <v>0</v>
      </c>
      <c r="Z415" s="8"/>
      <c r="AA415" s="8">
        <v>912074</v>
      </c>
      <c r="AB415" s="8"/>
      <c r="AC415" s="8">
        <v>454270</v>
      </c>
      <c r="AD415" s="8"/>
      <c r="AE415" s="8">
        <v>20992</v>
      </c>
      <c r="AF415" s="8"/>
      <c r="AG415" s="8">
        <v>0</v>
      </c>
      <c r="AH415" s="8"/>
      <c r="AI415" s="8">
        <v>1286</v>
      </c>
      <c r="AJ415" s="34" t="s">
        <v>736</v>
      </c>
      <c r="AK415" s="34"/>
      <c r="AL415" s="34" t="s">
        <v>72</v>
      </c>
      <c r="AN415" s="8">
        <v>244102</v>
      </c>
      <c r="AO415" s="8"/>
      <c r="AP415" s="8">
        <v>4947</v>
      </c>
      <c r="AQ415" s="8"/>
      <c r="AR415" s="8">
        <v>0</v>
      </c>
      <c r="AS415" s="8"/>
      <c r="AT415" s="8">
        <v>0</v>
      </c>
      <c r="AU415" s="8"/>
      <c r="AV415" s="8">
        <v>0</v>
      </c>
      <c r="AW415" s="8"/>
      <c r="AX415" s="8">
        <v>0</v>
      </c>
      <c r="AY415" s="8"/>
      <c r="AZ415" s="8">
        <f t="shared" si="38"/>
        <v>9125725</v>
      </c>
      <c r="BA415" s="8"/>
      <c r="BB415" s="8">
        <v>84116</v>
      </c>
      <c r="BC415" s="8"/>
      <c r="BD415" s="8">
        <v>0</v>
      </c>
      <c r="BE415" s="8"/>
      <c r="BF415" s="8">
        <v>0</v>
      </c>
      <c r="BG415" s="8"/>
      <c r="BH415" s="8">
        <v>0</v>
      </c>
      <c r="BI415" s="8"/>
      <c r="BJ415" s="8">
        <f t="shared" si="39"/>
        <v>9209841</v>
      </c>
      <c r="BK415" s="8"/>
      <c r="BL415" s="8">
        <f>+GenRev!AM418-GenExp!BJ415</f>
        <v>1260426</v>
      </c>
      <c r="BM415" s="8"/>
      <c r="BN415" s="8">
        <v>1039674</v>
      </c>
      <c r="BO415" s="8"/>
      <c r="BP415" s="8">
        <v>0</v>
      </c>
      <c r="BQ415" s="8"/>
      <c r="BR415" s="8"/>
      <c r="BS415" s="8">
        <f t="shared" si="37"/>
        <v>2300100</v>
      </c>
      <c r="BU415" s="44">
        <f>+BS415-'Gen Fd BS'!AA418+BQ415</f>
        <v>0</v>
      </c>
    </row>
    <row r="416" spans="1:73">
      <c r="A416" s="13" t="s">
        <v>669</v>
      </c>
      <c r="B416" s="13"/>
      <c r="C416" s="13" t="s">
        <v>63</v>
      </c>
      <c r="D416" s="13"/>
      <c r="E416" s="32">
        <v>44552</v>
      </c>
      <c r="G416" s="8">
        <v>10617852</v>
      </c>
      <c r="I416" s="8">
        <v>1630669</v>
      </c>
      <c r="K416" s="8">
        <v>924471</v>
      </c>
      <c r="M416" s="8">
        <f>4087+278751</f>
        <v>282838</v>
      </c>
      <c r="O416" s="8">
        <v>676506</v>
      </c>
      <c r="Q416" s="8">
        <v>889004</v>
      </c>
      <c r="S416" s="8">
        <v>31420</v>
      </c>
      <c r="U416" s="8">
        <v>1507859</v>
      </c>
      <c r="W416" s="8">
        <v>590558</v>
      </c>
      <c r="Y416" s="8">
        <v>259021</v>
      </c>
      <c r="AA416" s="8">
        <v>1952029</v>
      </c>
      <c r="AC416" s="8">
        <v>1369981</v>
      </c>
      <c r="AE416" s="8">
        <v>75531</v>
      </c>
      <c r="AG416" s="8">
        <v>0</v>
      </c>
      <c r="AI416" s="8">
        <v>0</v>
      </c>
      <c r="AJ416" s="13" t="s">
        <v>669</v>
      </c>
      <c r="AK416" s="13"/>
      <c r="AL416" s="13" t="s">
        <v>63</v>
      </c>
      <c r="AN416" s="8">
        <v>363938</v>
      </c>
      <c r="AP416" s="8">
        <v>7657</v>
      </c>
      <c r="AR416" s="8">
        <v>0</v>
      </c>
      <c r="AT416" s="8">
        <v>49114</v>
      </c>
      <c r="AV416" s="8">
        <v>7562</v>
      </c>
      <c r="AX416" s="8">
        <v>0</v>
      </c>
      <c r="AZ416" s="8">
        <f t="shared" si="38"/>
        <v>21236010</v>
      </c>
      <c r="BB416" s="8">
        <v>0</v>
      </c>
      <c r="BD416" s="8">
        <v>0</v>
      </c>
      <c r="BF416" s="8">
        <v>0</v>
      </c>
      <c r="BH416" s="8">
        <v>0</v>
      </c>
      <c r="BJ416" s="8">
        <f t="shared" si="39"/>
        <v>21236010</v>
      </c>
      <c r="BL416" s="8">
        <f>+GenRev!AM419-GenExp!BJ416</f>
        <v>-965592</v>
      </c>
      <c r="BN416" s="8">
        <v>4843690</v>
      </c>
      <c r="BP416" s="8">
        <v>0</v>
      </c>
      <c r="BS416" s="8">
        <f t="shared" si="37"/>
        <v>3878098</v>
      </c>
      <c r="BU416" s="9">
        <f>+BS416-'Gen Fd BS'!AA419+BQ416</f>
        <v>0</v>
      </c>
    </row>
    <row r="417" spans="1:75">
      <c r="A417" s="13" t="s">
        <v>446</v>
      </c>
      <c r="B417" s="13"/>
      <c r="C417" s="13" t="s">
        <v>37</v>
      </c>
      <c r="D417" s="13"/>
      <c r="E417" s="32">
        <v>44560</v>
      </c>
      <c r="G417" s="8">
        <v>10837082</v>
      </c>
      <c r="I417" s="8">
        <v>3003982</v>
      </c>
      <c r="K417" s="8">
        <v>202699</v>
      </c>
      <c r="M417" s="8">
        <f>17828+840479</f>
        <v>858307</v>
      </c>
      <c r="O417" s="8">
        <v>769148</v>
      </c>
      <c r="Q417" s="8">
        <v>1936400</v>
      </c>
      <c r="S417" s="8">
        <v>175802</v>
      </c>
      <c r="U417" s="8">
        <v>2024986</v>
      </c>
      <c r="W417" s="8">
        <v>421609</v>
      </c>
      <c r="Y417" s="8">
        <v>72452</v>
      </c>
      <c r="AA417" s="8">
        <v>2622624</v>
      </c>
      <c r="AC417" s="8">
        <v>713857</v>
      </c>
      <c r="AE417" s="8">
        <v>99724</v>
      </c>
      <c r="AG417" s="8">
        <v>0</v>
      </c>
      <c r="AI417" s="8">
        <v>25090</v>
      </c>
      <c r="AJ417" s="13" t="s">
        <v>446</v>
      </c>
      <c r="AK417" s="13"/>
      <c r="AL417" s="13" t="s">
        <v>37</v>
      </c>
      <c r="AN417" s="8">
        <v>480695</v>
      </c>
      <c r="AP417" s="8">
        <v>42670</v>
      </c>
      <c r="AT417" s="8">
        <v>0</v>
      </c>
      <c r="AV417" s="8">
        <v>0</v>
      </c>
      <c r="AX417" s="8">
        <v>0</v>
      </c>
      <c r="AZ417" s="8">
        <f t="shared" si="38"/>
        <v>24287127</v>
      </c>
      <c r="BB417" s="8">
        <v>0</v>
      </c>
      <c r="BH417" s="8">
        <v>0</v>
      </c>
      <c r="BJ417" s="8">
        <f t="shared" si="39"/>
        <v>24287127</v>
      </c>
      <c r="BL417" s="8">
        <f>+GenRev!AM420-GenExp!BJ417</f>
        <v>-2072729</v>
      </c>
      <c r="BN417" s="8">
        <v>13127245</v>
      </c>
      <c r="BP417" s="8">
        <v>0</v>
      </c>
      <c r="BS417" s="8">
        <f t="shared" si="37"/>
        <v>11054516</v>
      </c>
      <c r="BU417" s="9">
        <f>+BS417-'Gen Fd BS'!AA420+BQ417</f>
        <v>0</v>
      </c>
    </row>
    <row r="418" spans="1:75">
      <c r="A418" s="13" t="s">
        <v>865</v>
      </c>
      <c r="B418" s="13"/>
      <c r="C418" s="13" t="s">
        <v>32</v>
      </c>
      <c r="D418" s="13"/>
      <c r="E418" s="32">
        <v>44578</v>
      </c>
      <c r="G418" s="8">
        <v>11084239</v>
      </c>
      <c r="I418" s="8">
        <v>1988900</v>
      </c>
      <c r="K418" s="8">
        <v>0</v>
      </c>
      <c r="M418" s="8">
        <v>654519</v>
      </c>
      <c r="O418" s="8">
        <v>1550354</v>
      </c>
      <c r="Q418" s="8">
        <v>1281198</v>
      </c>
      <c r="S418" s="8">
        <v>37521</v>
      </c>
      <c r="U418" s="8">
        <v>1648775</v>
      </c>
      <c r="W418" s="8">
        <v>605878</v>
      </c>
      <c r="Y418" s="8">
        <v>0</v>
      </c>
      <c r="AA418" s="8">
        <v>2617095</v>
      </c>
      <c r="AC418" s="8">
        <v>626270</v>
      </c>
      <c r="AE418" s="8">
        <v>408994</v>
      </c>
      <c r="AG418" s="8">
        <v>1197826</v>
      </c>
      <c r="AI418" s="8">
        <v>4170</v>
      </c>
      <c r="AJ418" s="13" t="s">
        <v>865</v>
      </c>
      <c r="AK418" s="13"/>
      <c r="AL418" s="13" t="s">
        <v>32</v>
      </c>
      <c r="AN418" s="8">
        <v>441531</v>
      </c>
      <c r="AP418" s="8">
        <v>66400</v>
      </c>
      <c r="AT418" s="8">
        <v>109000</v>
      </c>
      <c r="AV418" s="8">
        <v>258246</v>
      </c>
      <c r="AX418" s="8">
        <v>0</v>
      </c>
      <c r="AZ418" s="8">
        <f t="shared" si="38"/>
        <v>24580916</v>
      </c>
      <c r="BB418" s="8">
        <v>45278</v>
      </c>
      <c r="BH418" s="8">
        <v>0</v>
      </c>
      <c r="BJ418" s="8">
        <f t="shared" si="39"/>
        <v>24626194</v>
      </c>
      <c r="BL418" s="8">
        <f>+GenRev!AM421-GenExp!BJ418</f>
        <v>-1533405</v>
      </c>
      <c r="BN418" s="8">
        <v>6392365</v>
      </c>
      <c r="BP418" s="8">
        <v>0</v>
      </c>
      <c r="BS418" s="8">
        <f t="shared" si="37"/>
        <v>4858960</v>
      </c>
      <c r="BU418" s="9">
        <f>+BS418-'Gen Fd BS'!AA421+BQ418</f>
        <v>0</v>
      </c>
    </row>
    <row r="419" spans="1:75">
      <c r="A419" s="13" t="s">
        <v>404</v>
      </c>
      <c r="B419" s="13"/>
      <c r="C419" s="13" t="s">
        <v>32</v>
      </c>
      <c r="D419" s="13"/>
      <c r="E419" s="32">
        <v>47373</v>
      </c>
      <c r="G419" s="8">
        <v>31542909</v>
      </c>
      <c r="I419" s="8">
        <v>6943101</v>
      </c>
      <c r="K419" s="8">
        <v>0</v>
      </c>
      <c r="M419" s="8">
        <v>291524</v>
      </c>
      <c r="O419" s="8">
        <v>3843028</v>
      </c>
      <c r="Q419" s="8">
        <v>4972067</v>
      </c>
      <c r="S419" s="8">
        <v>176351</v>
      </c>
      <c r="U419" s="8">
        <v>4529246</v>
      </c>
      <c r="W419" s="8">
        <v>1090813</v>
      </c>
      <c r="Y419" s="8">
        <v>103045</v>
      </c>
      <c r="AA419" s="8">
        <v>5900535</v>
      </c>
      <c r="AC419" s="8">
        <v>2325906</v>
      </c>
      <c r="AE419" s="8">
        <v>484763</v>
      </c>
      <c r="AG419" s="8">
        <v>0</v>
      </c>
      <c r="AI419" s="8">
        <v>57900</v>
      </c>
      <c r="AJ419" s="13" t="s">
        <v>404</v>
      </c>
      <c r="AK419" s="13"/>
      <c r="AL419" s="13" t="s">
        <v>32</v>
      </c>
      <c r="AN419" s="8">
        <v>935644</v>
      </c>
      <c r="AP419" s="8">
        <v>101342</v>
      </c>
      <c r="AT419" s="8">
        <v>0</v>
      </c>
      <c r="AV419" s="8">
        <v>0</v>
      </c>
      <c r="AX419" s="8">
        <v>0</v>
      </c>
      <c r="AZ419" s="8">
        <f t="shared" si="38"/>
        <v>63298174</v>
      </c>
      <c r="BB419" s="8">
        <v>411794</v>
      </c>
      <c r="BH419" s="8">
        <v>0</v>
      </c>
      <c r="BJ419" s="8">
        <f t="shared" si="39"/>
        <v>63709968</v>
      </c>
      <c r="BL419" s="8">
        <f>+GenRev!AM422-GenExp!BJ419</f>
        <v>-1467774</v>
      </c>
      <c r="BN419" s="8">
        <v>28635791</v>
      </c>
      <c r="BP419" s="8">
        <v>0</v>
      </c>
      <c r="BS419" s="8">
        <f t="shared" si="37"/>
        <v>27168017</v>
      </c>
      <c r="BU419" s="9">
        <f>+BS419-'Gen Fd BS'!AA422+BQ419</f>
        <v>0</v>
      </c>
    </row>
    <row r="420" spans="1:75">
      <c r="A420" s="13" t="s">
        <v>554</v>
      </c>
      <c r="B420" s="13"/>
      <c r="C420" s="13" t="s">
        <v>50</v>
      </c>
      <c r="D420" s="13"/>
      <c r="E420" s="32">
        <v>44586</v>
      </c>
      <c r="G420" s="8">
        <v>11392550</v>
      </c>
      <c r="I420" s="8">
        <v>2163262</v>
      </c>
      <c r="K420" s="8">
        <v>0</v>
      </c>
      <c r="M420" s="8">
        <v>188221</v>
      </c>
      <c r="O420" s="8">
        <v>1375241</v>
      </c>
      <c r="Q420" s="8">
        <v>379908</v>
      </c>
      <c r="S420" s="8">
        <v>22280</v>
      </c>
      <c r="U420" s="8">
        <v>1908843</v>
      </c>
      <c r="W420" s="8">
        <v>725383</v>
      </c>
      <c r="Y420" s="8">
        <v>1199</v>
      </c>
      <c r="AA420" s="8">
        <v>1997737</v>
      </c>
      <c r="AC420" s="8">
        <v>174074</v>
      </c>
      <c r="AE420" s="8">
        <v>596732</v>
      </c>
      <c r="AG420" s="8">
        <v>0</v>
      </c>
      <c r="AI420" s="8">
        <v>23583</v>
      </c>
      <c r="AJ420" s="13" t="s">
        <v>554</v>
      </c>
      <c r="AK420" s="13"/>
      <c r="AL420" s="13" t="s">
        <v>50</v>
      </c>
      <c r="AN420" s="8">
        <v>677666</v>
      </c>
      <c r="AP420" s="8">
        <v>0</v>
      </c>
      <c r="AT420" s="8">
        <v>0</v>
      </c>
      <c r="AV420" s="8">
        <v>46309</v>
      </c>
      <c r="AX420" s="8">
        <v>0</v>
      </c>
      <c r="AZ420" s="8">
        <f t="shared" si="38"/>
        <v>21672988</v>
      </c>
      <c r="BB420" s="8">
        <f>156153</f>
        <v>156153</v>
      </c>
      <c r="BH420" s="8">
        <v>0</v>
      </c>
      <c r="BJ420" s="8">
        <f t="shared" si="39"/>
        <v>21829141</v>
      </c>
      <c r="BL420" s="8">
        <f>+GenRev!AM423-GenExp!BJ420</f>
        <v>2881202</v>
      </c>
      <c r="BN420" s="8">
        <v>-1932485</v>
      </c>
      <c r="BP420" s="8">
        <v>0</v>
      </c>
      <c r="BS420" s="8">
        <f t="shared" si="37"/>
        <v>948717</v>
      </c>
      <c r="BU420" s="9">
        <f>+BS420-'Gen Fd BS'!AA423+BQ420</f>
        <v>0</v>
      </c>
    </row>
    <row r="421" spans="1:75">
      <c r="A421" s="13" t="s">
        <v>493</v>
      </c>
      <c r="B421" s="13"/>
      <c r="C421" s="13" t="s">
        <v>44</v>
      </c>
      <c r="D421" s="13"/>
      <c r="E421" s="32">
        <v>44594</v>
      </c>
      <c r="G421" s="8">
        <v>6123010</v>
      </c>
      <c r="I421" s="8">
        <v>767758</v>
      </c>
      <c r="K421" s="8">
        <v>95031</v>
      </c>
      <c r="M421" s="8">
        <v>23874</v>
      </c>
      <c r="O421" s="8">
        <v>941269</v>
      </c>
      <c r="Q421" s="8">
        <v>391045</v>
      </c>
      <c r="S421" s="8">
        <v>85616</v>
      </c>
      <c r="U421" s="8">
        <v>1430892</v>
      </c>
      <c r="W421" s="8">
        <v>380271</v>
      </c>
      <c r="Y421" s="8">
        <v>152265</v>
      </c>
      <c r="AA421" s="8">
        <v>1142670</v>
      </c>
      <c r="AC421" s="8">
        <v>567913</v>
      </c>
      <c r="AE421" s="8">
        <v>37850</v>
      </c>
      <c r="AG421" s="8">
        <v>0</v>
      </c>
      <c r="AI421" s="8">
        <v>0</v>
      </c>
      <c r="AJ421" s="13" t="s">
        <v>493</v>
      </c>
      <c r="AK421" s="13"/>
      <c r="AL421" s="13" t="s">
        <v>44</v>
      </c>
      <c r="AN421" s="8">
        <v>348707</v>
      </c>
      <c r="AP421" s="8">
        <v>0</v>
      </c>
      <c r="AT421" s="8">
        <v>67827</v>
      </c>
      <c r="AV421" s="8">
        <v>21129</v>
      </c>
      <c r="AX421" s="8">
        <v>0</v>
      </c>
      <c r="AZ421" s="8">
        <f t="shared" si="38"/>
        <v>12577127</v>
      </c>
      <c r="BB421" s="8">
        <v>78018</v>
      </c>
      <c r="BH421" s="8">
        <v>0</v>
      </c>
      <c r="BJ421" s="8">
        <f t="shared" si="39"/>
        <v>12655145</v>
      </c>
      <c r="BL421" s="8">
        <f>+GenRev!AM424-GenExp!BJ421</f>
        <v>-539403</v>
      </c>
      <c r="BN421" s="8">
        <v>522779</v>
      </c>
      <c r="BP421" s="8">
        <v>0</v>
      </c>
      <c r="BS421" s="8">
        <f t="shared" si="37"/>
        <v>-16624</v>
      </c>
      <c r="BU421" s="9">
        <f>+BS421-'Gen Fd BS'!AA424+BQ421</f>
        <v>0</v>
      </c>
    </row>
    <row r="422" spans="1:75" hidden="1">
      <c r="A422" s="13" t="s">
        <v>834</v>
      </c>
      <c r="B422" s="13"/>
      <c r="C422" s="13" t="s">
        <v>60</v>
      </c>
      <c r="D422" s="13"/>
      <c r="E422" s="32">
        <v>49726</v>
      </c>
      <c r="AJ422" s="13" t="s">
        <v>638</v>
      </c>
      <c r="AK422" s="13"/>
      <c r="AL422" s="13" t="s">
        <v>60</v>
      </c>
      <c r="AZ422" s="8">
        <f t="shared" si="38"/>
        <v>0</v>
      </c>
      <c r="BJ422" s="8">
        <f t="shared" si="39"/>
        <v>0</v>
      </c>
      <c r="BL422" s="8">
        <f>+GenRev!AM425-GenExp!BJ422</f>
        <v>0</v>
      </c>
      <c r="BS422" s="8">
        <f t="shared" si="37"/>
        <v>0</v>
      </c>
      <c r="BU422" s="9">
        <f>+BS422-'Gen Fd BS'!AA425+BQ422</f>
        <v>0</v>
      </c>
    </row>
    <row r="423" spans="1:75">
      <c r="A423" s="13" t="s">
        <v>335</v>
      </c>
      <c r="B423" s="13"/>
      <c r="C423" s="13" t="s">
        <v>23</v>
      </c>
      <c r="D423" s="13"/>
      <c r="E423" s="32">
        <v>46763</v>
      </c>
      <c r="G423" s="8">
        <v>60846204</v>
      </c>
      <c r="I423" s="8">
        <v>12881478</v>
      </c>
      <c r="K423" s="8">
        <v>1095048</v>
      </c>
      <c r="M423" s="8">
        <v>0</v>
      </c>
      <c r="O423" s="8">
        <v>5056417</v>
      </c>
      <c r="Q423" s="8">
        <v>7745071</v>
      </c>
      <c r="S423" s="8">
        <v>533635</v>
      </c>
      <c r="U423" s="8">
        <v>7622091</v>
      </c>
      <c r="W423" s="8">
        <v>0</v>
      </c>
      <c r="Y423" s="8">
        <v>2812793</v>
      </c>
      <c r="AA423" s="8">
        <f>294831+14390806</f>
        <v>14685637</v>
      </c>
      <c r="AC423" s="8">
        <v>6399504</v>
      </c>
      <c r="AE423" s="8">
        <v>2372130</v>
      </c>
      <c r="AG423" s="8">
        <v>0</v>
      </c>
      <c r="AI423" s="8">
        <v>0</v>
      </c>
      <c r="AJ423" s="13" t="s">
        <v>335</v>
      </c>
      <c r="AK423" s="13"/>
      <c r="AL423" s="13" t="s">
        <v>23</v>
      </c>
      <c r="AN423" s="8">
        <v>3250511</v>
      </c>
      <c r="AP423" s="8">
        <v>0</v>
      </c>
      <c r="AR423" s="8">
        <v>0</v>
      </c>
      <c r="AT423" s="8">
        <v>106640</v>
      </c>
      <c r="AV423" s="8">
        <v>14427</v>
      </c>
      <c r="AX423" s="8">
        <v>0</v>
      </c>
      <c r="AZ423" s="8">
        <f t="shared" si="38"/>
        <v>125421586</v>
      </c>
      <c r="BB423" s="8">
        <v>0</v>
      </c>
      <c r="BD423" s="8">
        <v>0</v>
      </c>
      <c r="BF423" s="8">
        <v>0</v>
      </c>
      <c r="BH423" s="8">
        <v>0</v>
      </c>
      <c r="BJ423" s="8">
        <f t="shared" si="39"/>
        <v>125421586</v>
      </c>
      <c r="BL423" s="8">
        <f>+GenRev!AM426-GenExp!BJ423</f>
        <v>-347638</v>
      </c>
      <c r="BN423" s="8">
        <v>22289899</v>
      </c>
      <c r="BP423" s="8">
        <v>0</v>
      </c>
      <c r="BS423" s="8">
        <f t="shared" si="37"/>
        <v>21942261</v>
      </c>
      <c r="BU423" s="9">
        <f>+BS423-'Gen Fd BS'!AA426+BQ423</f>
        <v>0</v>
      </c>
    </row>
    <row r="424" spans="1:75">
      <c r="A424" s="13" t="s">
        <v>315</v>
      </c>
      <c r="B424" s="13"/>
      <c r="C424" s="13" t="s">
        <v>20</v>
      </c>
      <c r="D424" s="13"/>
      <c r="E424" s="32">
        <v>46573</v>
      </c>
      <c r="G424" s="8">
        <v>16874987</v>
      </c>
      <c r="I424" s="8">
        <v>4558734</v>
      </c>
      <c r="K424" s="8">
        <v>536341</v>
      </c>
      <c r="M424" s="8">
        <v>66557</v>
      </c>
      <c r="O424" s="8">
        <v>1728662</v>
      </c>
      <c r="Q424" s="8">
        <v>1264625</v>
      </c>
      <c r="S424" s="8">
        <v>170455</v>
      </c>
      <c r="U424" s="8">
        <v>2595889</v>
      </c>
      <c r="W424" s="8">
        <v>874377</v>
      </c>
      <c r="Y424" s="8">
        <v>0</v>
      </c>
      <c r="AA424" s="8">
        <v>3510312</v>
      </c>
      <c r="AC424" s="8">
        <v>2109594</v>
      </c>
      <c r="AE424" s="8">
        <v>368402</v>
      </c>
      <c r="AG424" s="8">
        <v>0</v>
      </c>
      <c r="AI424" s="8">
        <v>8276</v>
      </c>
      <c r="AJ424" s="13" t="s">
        <v>315</v>
      </c>
      <c r="AK424" s="13"/>
      <c r="AL424" s="13" t="s">
        <v>20</v>
      </c>
      <c r="AN424" s="8">
        <v>1152579</v>
      </c>
      <c r="AP424" s="8">
        <v>103130</v>
      </c>
      <c r="AR424" s="8">
        <v>0</v>
      </c>
      <c r="AT424" s="8">
        <v>1710389</v>
      </c>
      <c r="AV424" s="8">
        <v>78145</v>
      </c>
      <c r="AX424" s="8">
        <v>0</v>
      </c>
      <c r="AZ424" s="8">
        <f t="shared" si="38"/>
        <v>37711454</v>
      </c>
      <c r="BB424" s="8">
        <v>10832</v>
      </c>
      <c r="BD424" s="8">
        <v>0</v>
      </c>
      <c r="BF424" s="8">
        <v>0</v>
      </c>
      <c r="BH424" s="8">
        <v>0</v>
      </c>
      <c r="BJ424" s="8">
        <f t="shared" si="39"/>
        <v>37722286</v>
      </c>
      <c r="BL424" s="8">
        <f>+GenRev!AM427-GenExp!BJ424</f>
        <v>-1571067</v>
      </c>
      <c r="BN424" s="8">
        <v>5244137</v>
      </c>
      <c r="BP424" s="8">
        <v>0</v>
      </c>
      <c r="BS424" s="8">
        <f t="shared" si="37"/>
        <v>3673070</v>
      </c>
      <c r="BU424" s="9">
        <f>+BS424-'Gen Fd BS'!AA427+BQ424</f>
        <v>0</v>
      </c>
    </row>
    <row r="425" spans="1:75">
      <c r="A425" s="13" t="s">
        <v>613</v>
      </c>
      <c r="B425" s="13"/>
      <c r="C425" s="13" t="s">
        <v>112</v>
      </c>
      <c r="D425" s="13"/>
      <c r="E425" s="32">
        <v>49478</v>
      </c>
      <c r="G425" s="8">
        <v>6543200</v>
      </c>
      <c r="I425" s="8">
        <v>949266</v>
      </c>
      <c r="K425" s="8">
        <v>288919</v>
      </c>
      <c r="M425" s="8">
        <v>357113</v>
      </c>
      <c r="O425" s="8">
        <v>813798</v>
      </c>
      <c r="Q425" s="8">
        <v>806791</v>
      </c>
      <c r="S425" s="8">
        <v>47715</v>
      </c>
      <c r="U425" s="8">
        <v>1244428</v>
      </c>
      <c r="W425" s="8">
        <v>515144</v>
      </c>
      <c r="Y425" s="8">
        <v>0</v>
      </c>
      <c r="AA425" s="8">
        <v>2053099</v>
      </c>
      <c r="AC425" s="8">
        <v>948943</v>
      </c>
      <c r="AE425" s="8">
        <v>35594</v>
      </c>
      <c r="AG425" s="8">
        <v>0</v>
      </c>
      <c r="AI425" s="8">
        <v>0</v>
      </c>
      <c r="AJ425" s="13" t="s">
        <v>613</v>
      </c>
      <c r="AK425" s="13"/>
      <c r="AL425" s="13" t="s">
        <v>112</v>
      </c>
      <c r="AN425" s="8">
        <v>467889</v>
      </c>
      <c r="AP425" s="8">
        <v>24495</v>
      </c>
      <c r="AR425" s="8">
        <v>0</v>
      </c>
      <c r="AT425" s="8">
        <v>0</v>
      </c>
      <c r="AV425" s="8">
        <v>0</v>
      </c>
      <c r="AX425" s="8">
        <v>0</v>
      </c>
      <c r="AZ425" s="8">
        <f t="shared" si="38"/>
        <v>15096394</v>
      </c>
      <c r="BB425" s="8">
        <v>32570</v>
      </c>
      <c r="BD425" s="8">
        <v>0</v>
      </c>
      <c r="BF425" s="8">
        <v>0</v>
      </c>
      <c r="BH425" s="8">
        <v>0</v>
      </c>
      <c r="BJ425" s="8">
        <f t="shared" si="39"/>
        <v>15128964</v>
      </c>
      <c r="BL425" s="8">
        <f>+GenRev!AM428-GenExp!BJ425</f>
        <v>-83922</v>
      </c>
      <c r="BN425" s="8">
        <v>6033379</v>
      </c>
      <c r="BP425" s="8">
        <v>4836</v>
      </c>
      <c r="BS425" s="8">
        <f t="shared" si="37"/>
        <v>5944621</v>
      </c>
      <c r="BU425" s="9">
        <f>+BS425-'Gen Fd BS'!AA428+BQ425</f>
        <v>0</v>
      </c>
    </row>
    <row r="426" spans="1:75">
      <c r="A426" s="13" t="s">
        <v>316</v>
      </c>
      <c r="B426" s="13"/>
      <c r="C426" s="13" t="s">
        <v>20</v>
      </c>
      <c r="D426" s="13"/>
      <c r="E426" s="32">
        <v>46581</v>
      </c>
      <c r="G426" s="8">
        <v>18177969</v>
      </c>
      <c r="I426" s="8">
        <v>5882224</v>
      </c>
      <c r="K426" s="8">
        <v>312536</v>
      </c>
      <c r="M426" s="8">
        <v>0</v>
      </c>
      <c r="O426" s="8">
        <v>3049543</v>
      </c>
      <c r="Q426" s="8">
        <v>3774220</v>
      </c>
      <c r="S426" s="8">
        <v>160757</v>
      </c>
      <c r="U426" s="8">
        <v>2837225</v>
      </c>
      <c r="W426" s="8">
        <v>1157298</v>
      </c>
      <c r="Y426" s="8">
        <v>555661</v>
      </c>
      <c r="AA426" s="8">
        <v>4771091</v>
      </c>
      <c r="AC426" s="8">
        <v>3539067</v>
      </c>
      <c r="AE426" s="8">
        <v>1123744</v>
      </c>
      <c r="AG426" s="8">
        <v>0</v>
      </c>
      <c r="AI426" s="8">
        <v>0</v>
      </c>
      <c r="AJ426" s="13" t="s">
        <v>316</v>
      </c>
      <c r="AK426" s="13"/>
      <c r="AL426" s="13" t="s">
        <v>20</v>
      </c>
      <c r="AN426" s="8">
        <v>1224432</v>
      </c>
      <c r="AP426" s="8">
        <v>0</v>
      </c>
      <c r="AR426" s="8">
        <v>0</v>
      </c>
      <c r="AT426" s="8">
        <v>51794</v>
      </c>
      <c r="AV426" s="8">
        <v>19909</v>
      </c>
      <c r="AX426" s="8">
        <v>0</v>
      </c>
      <c r="AZ426" s="8">
        <f t="shared" si="38"/>
        <v>46637470</v>
      </c>
      <c r="BB426" s="8">
        <v>2659000</v>
      </c>
      <c r="BD426" s="8">
        <v>0</v>
      </c>
      <c r="BF426" s="8">
        <v>0</v>
      </c>
      <c r="BH426" s="8">
        <v>0</v>
      </c>
      <c r="BJ426" s="8">
        <f t="shared" si="39"/>
        <v>49296470</v>
      </c>
      <c r="BL426" s="8">
        <f>+GenRev!AM429-GenExp!BJ426</f>
        <v>161213</v>
      </c>
      <c r="BN426" s="8">
        <v>31184042</v>
      </c>
      <c r="BP426" s="8">
        <v>0</v>
      </c>
      <c r="BS426" s="8">
        <f t="shared" si="37"/>
        <v>31345255</v>
      </c>
      <c r="BU426" s="9">
        <f>+BS426-'Gen Fd BS'!AA429+BQ426</f>
        <v>0</v>
      </c>
    </row>
    <row r="427" spans="1:75">
      <c r="A427" s="13" t="s">
        <v>498</v>
      </c>
      <c r="B427" s="13"/>
      <c r="C427" s="13" t="s">
        <v>117</v>
      </c>
      <c r="D427" s="13"/>
      <c r="E427" s="32">
        <v>44602</v>
      </c>
      <c r="G427" s="8">
        <v>16669804</v>
      </c>
      <c r="I427" s="8">
        <v>3332886</v>
      </c>
      <c r="K427" s="8">
        <v>3258942</v>
      </c>
      <c r="M427" s="8">
        <f>171848+77905</f>
        <v>249753</v>
      </c>
      <c r="O427" s="8">
        <v>1619138</v>
      </c>
      <c r="Q427" s="8">
        <v>2753455</v>
      </c>
      <c r="S427" s="8">
        <v>48341</v>
      </c>
      <c r="U427" s="8">
        <v>2535209</v>
      </c>
      <c r="W427" s="8">
        <v>817037</v>
      </c>
      <c r="Y427" s="8">
        <v>331532</v>
      </c>
      <c r="AA427" s="8">
        <v>4307231</v>
      </c>
      <c r="AC427" s="8">
        <v>1909127</v>
      </c>
      <c r="AE427" s="8">
        <v>450</v>
      </c>
      <c r="AG427" s="8">
        <v>0</v>
      </c>
      <c r="AI427" s="8">
        <v>0</v>
      </c>
      <c r="AJ427" s="13" t="s">
        <v>498</v>
      </c>
      <c r="AK427" s="13"/>
      <c r="AL427" s="13" t="s">
        <v>117</v>
      </c>
      <c r="AN427" s="8">
        <v>642992</v>
      </c>
      <c r="AP427" s="8">
        <v>0</v>
      </c>
      <c r="AR427" s="8">
        <v>0</v>
      </c>
      <c r="AT427" s="8">
        <v>185659</v>
      </c>
      <c r="AV427" s="8">
        <v>149211</v>
      </c>
      <c r="AX427" s="8">
        <v>0</v>
      </c>
      <c r="AZ427" s="8">
        <f t="shared" si="38"/>
        <v>38810767</v>
      </c>
      <c r="BB427" s="8">
        <v>46156</v>
      </c>
      <c r="BD427" s="8">
        <v>0</v>
      </c>
      <c r="BF427" s="8">
        <v>0</v>
      </c>
      <c r="BH427" s="8">
        <v>0</v>
      </c>
      <c r="BJ427" s="8">
        <f t="shared" si="39"/>
        <v>38856923</v>
      </c>
      <c r="BL427" s="8">
        <f>+GenRev!AM430-GenExp!BJ427</f>
        <v>924394</v>
      </c>
      <c r="BN427" s="8">
        <v>-2246123</v>
      </c>
      <c r="BP427" s="8">
        <v>0</v>
      </c>
      <c r="BS427" s="8">
        <f t="shared" si="37"/>
        <v>-1321729</v>
      </c>
      <c r="BU427" s="9">
        <f>+BS427-'Gen Fd BS'!AA430+BQ427</f>
        <v>0</v>
      </c>
    </row>
    <row r="428" spans="1:75">
      <c r="A428" s="13" t="s">
        <v>723</v>
      </c>
      <c r="B428" s="13"/>
      <c r="C428" s="13" t="s">
        <v>71</v>
      </c>
      <c r="D428" s="13"/>
      <c r="E428" s="32">
        <v>44610</v>
      </c>
      <c r="G428" s="8">
        <v>6889847</v>
      </c>
      <c r="I428" s="8">
        <v>963573</v>
      </c>
      <c r="K428" s="8">
        <v>175702</v>
      </c>
      <c r="M428" s="8">
        <f>23675+884538</f>
        <v>908213</v>
      </c>
      <c r="O428" s="8">
        <v>607990</v>
      </c>
      <c r="Q428" s="8">
        <v>707142</v>
      </c>
      <c r="S428" s="8">
        <v>130129</v>
      </c>
      <c r="U428" s="8">
        <v>1309793</v>
      </c>
      <c r="W428" s="8">
        <v>403604</v>
      </c>
      <c r="Y428" s="8">
        <v>71196</v>
      </c>
      <c r="AA428" s="8">
        <v>1366032</v>
      </c>
      <c r="AC428" s="8">
        <v>422718</v>
      </c>
      <c r="AE428" s="8">
        <v>22476</v>
      </c>
      <c r="AG428" s="8">
        <v>4017</v>
      </c>
      <c r="AI428" s="8">
        <v>0</v>
      </c>
      <c r="AJ428" s="13" t="s">
        <v>723</v>
      </c>
      <c r="AK428" s="13"/>
      <c r="AL428" s="13" t="s">
        <v>71</v>
      </c>
      <c r="AN428" s="8">
        <v>255624</v>
      </c>
      <c r="AP428" s="8">
        <v>0</v>
      </c>
      <c r="AT428" s="8">
        <v>70000</v>
      </c>
      <c r="AV428" s="8">
        <v>2520</v>
      </c>
      <c r="AX428" s="8">
        <v>0</v>
      </c>
      <c r="AZ428" s="8">
        <f t="shared" si="38"/>
        <v>14310576</v>
      </c>
      <c r="BB428" s="8">
        <v>0</v>
      </c>
      <c r="BH428" s="8">
        <v>0</v>
      </c>
      <c r="BJ428" s="8">
        <f t="shared" si="39"/>
        <v>14310576</v>
      </c>
      <c r="BL428" s="8">
        <f>+GenRev!AM431-GenExp!BJ428</f>
        <v>-363313</v>
      </c>
      <c r="BN428" s="8">
        <v>492294</v>
      </c>
      <c r="BP428" s="8">
        <v>0</v>
      </c>
      <c r="BS428" s="8">
        <f t="shared" si="37"/>
        <v>128981</v>
      </c>
      <c r="BU428" s="9">
        <f>+BS428-'Gen Fd BS'!AA431+BQ428</f>
        <v>0</v>
      </c>
    </row>
    <row r="429" spans="1:75">
      <c r="A429" s="13" t="s">
        <v>659</v>
      </c>
      <c r="B429" s="13"/>
      <c r="C429" s="13" t="s">
        <v>62</v>
      </c>
      <c r="D429" s="13"/>
      <c r="E429" s="32">
        <v>49916</v>
      </c>
      <c r="G429" s="8">
        <v>3485562</v>
      </c>
      <c r="I429" s="8">
        <v>564363</v>
      </c>
      <c r="K429" s="8">
        <v>147677</v>
      </c>
      <c r="M429" s="8">
        <v>854583</v>
      </c>
      <c r="O429" s="8">
        <v>163233</v>
      </c>
      <c r="Q429" s="8">
        <v>142124</v>
      </c>
      <c r="S429" s="8">
        <v>23296</v>
      </c>
      <c r="U429" s="8">
        <v>724429</v>
      </c>
      <c r="W429" s="8">
        <v>249117</v>
      </c>
      <c r="Y429" s="8">
        <v>10880</v>
      </c>
      <c r="AA429" s="8">
        <v>701493</v>
      </c>
      <c r="AC429" s="8">
        <v>544051</v>
      </c>
      <c r="AE429" s="8">
        <v>20611</v>
      </c>
      <c r="AG429" s="8">
        <v>336</v>
      </c>
      <c r="AI429" s="8">
        <v>23542</v>
      </c>
      <c r="AJ429" s="13" t="s">
        <v>659</v>
      </c>
      <c r="AK429" s="13"/>
      <c r="AL429" s="13" t="s">
        <v>62</v>
      </c>
      <c r="AN429" s="8">
        <v>247463</v>
      </c>
      <c r="AP429" s="8">
        <v>3220</v>
      </c>
      <c r="AT429" s="8">
        <v>0</v>
      </c>
      <c r="AV429" s="8">
        <v>0</v>
      </c>
      <c r="AX429" s="8">
        <v>0</v>
      </c>
      <c r="AZ429" s="8">
        <f t="shared" si="38"/>
        <v>7905980</v>
      </c>
      <c r="BB429" s="8">
        <v>15684</v>
      </c>
      <c r="BH429" s="8">
        <v>0</v>
      </c>
      <c r="BJ429" s="8">
        <f t="shared" si="39"/>
        <v>7921664</v>
      </c>
      <c r="BL429" s="8">
        <f>+GenRev!AM432-GenExp!BJ429</f>
        <v>-746671</v>
      </c>
      <c r="BN429" s="8">
        <v>3545155</v>
      </c>
      <c r="BP429" s="8">
        <v>0</v>
      </c>
      <c r="BS429" s="8">
        <f t="shared" si="37"/>
        <v>2798484</v>
      </c>
      <c r="BU429" s="9">
        <f>+BS429-'Gen Fd BS'!AA432+BQ429</f>
        <v>0</v>
      </c>
    </row>
    <row r="430" spans="1:75">
      <c r="A430" s="13" t="s">
        <v>737</v>
      </c>
      <c r="B430" s="13"/>
      <c r="C430" s="13" t="s">
        <v>72</v>
      </c>
      <c r="D430" s="13"/>
      <c r="E430" s="32">
        <v>50724</v>
      </c>
      <c r="G430" s="8">
        <v>7001181</v>
      </c>
      <c r="I430" s="8">
        <v>1846139</v>
      </c>
      <c r="K430" s="8">
        <v>43860</v>
      </c>
      <c r="M430" s="8">
        <v>0</v>
      </c>
      <c r="O430" s="8">
        <v>644397</v>
      </c>
      <c r="Q430" s="8">
        <v>635793</v>
      </c>
      <c r="S430" s="8">
        <v>20265</v>
      </c>
      <c r="U430" s="8">
        <v>1105388</v>
      </c>
      <c r="W430" s="8">
        <v>370527</v>
      </c>
      <c r="Y430" s="8">
        <v>1128</v>
      </c>
      <c r="AA430" s="8">
        <v>1103971</v>
      </c>
      <c r="AC430" s="8">
        <v>839913</v>
      </c>
      <c r="AE430" s="8">
        <v>0</v>
      </c>
      <c r="AG430" s="8">
        <v>0</v>
      </c>
      <c r="AI430" s="8">
        <v>0</v>
      </c>
      <c r="AJ430" s="13" t="s">
        <v>737</v>
      </c>
      <c r="AK430" s="13"/>
      <c r="AL430" s="13" t="s">
        <v>72</v>
      </c>
      <c r="AN430" s="8">
        <v>259366</v>
      </c>
      <c r="AP430" s="8">
        <v>1235</v>
      </c>
      <c r="AT430" s="8">
        <v>0</v>
      </c>
      <c r="AV430" s="8">
        <v>0</v>
      </c>
      <c r="AX430" s="8">
        <v>0</v>
      </c>
      <c r="AZ430" s="8">
        <f t="shared" si="38"/>
        <v>13873163</v>
      </c>
      <c r="BB430" s="8">
        <v>35000</v>
      </c>
      <c r="BH430" s="8">
        <v>0</v>
      </c>
      <c r="BJ430" s="8">
        <f t="shared" si="39"/>
        <v>13908163</v>
      </c>
      <c r="BL430" s="8">
        <f>+GenRev!AM433-GenExp!BJ430</f>
        <v>-233221</v>
      </c>
      <c r="BN430" s="8">
        <v>989930</v>
      </c>
      <c r="BP430" s="8">
        <v>0</v>
      </c>
      <c r="BS430" s="8">
        <f t="shared" si="37"/>
        <v>756709</v>
      </c>
      <c r="BU430" s="9">
        <f>+BS430-'Gen Fd BS'!AA433+BQ430</f>
        <v>0</v>
      </c>
    </row>
    <row r="431" spans="1:75">
      <c r="A431" s="13" t="s">
        <v>499</v>
      </c>
      <c r="B431" s="13"/>
      <c r="C431" s="13" t="s">
        <v>117</v>
      </c>
      <c r="D431" s="13"/>
      <c r="E431" s="32">
        <v>48215</v>
      </c>
      <c r="G431" s="8">
        <v>8467479</v>
      </c>
      <c r="I431" s="8">
        <v>0</v>
      </c>
      <c r="K431" s="8">
        <v>0</v>
      </c>
      <c r="M431" s="8">
        <v>0</v>
      </c>
      <c r="O431" s="8">
        <v>646006</v>
      </c>
      <c r="Q431" s="8">
        <v>459093</v>
      </c>
      <c r="S431" s="8">
        <v>24564</v>
      </c>
      <c r="U431" s="8">
        <v>965791</v>
      </c>
      <c r="W431" s="8">
        <v>449297</v>
      </c>
      <c r="Y431" s="8">
        <v>0</v>
      </c>
      <c r="AA431" s="8">
        <v>1436141</v>
      </c>
      <c r="AC431" s="8">
        <v>44726</v>
      </c>
      <c r="AE431" s="8">
        <v>44433</v>
      </c>
      <c r="AG431" s="8">
        <v>0</v>
      </c>
      <c r="AI431" s="8">
        <v>16675</v>
      </c>
      <c r="AJ431" s="13" t="s">
        <v>499</v>
      </c>
      <c r="AK431" s="13"/>
      <c r="AL431" s="13" t="s">
        <v>117</v>
      </c>
      <c r="AN431" s="8">
        <v>420069</v>
      </c>
      <c r="AP431" s="8">
        <v>0</v>
      </c>
      <c r="AT431" s="8">
        <v>0</v>
      </c>
      <c r="AV431" s="8">
        <v>0</v>
      </c>
      <c r="AX431" s="8">
        <v>0</v>
      </c>
      <c r="AZ431" s="8">
        <f t="shared" si="38"/>
        <v>12974274</v>
      </c>
      <c r="BB431" s="8">
        <v>168050</v>
      </c>
      <c r="BH431" s="8">
        <v>0</v>
      </c>
      <c r="BJ431" s="8">
        <f t="shared" si="39"/>
        <v>13142324</v>
      </c>
      <c r="BL431" s="8">
        <f>+GenRev!AM434-GenExp!BJ431</f>
        <v>-395638</v>
      </c>
      <c r="BN431" s="8">
        <v>5492396</v>
      </c>
      <c r="BP431" s="8">
        <v>0</v>
      </c>
      <c r="BS431" s="8">
        <f t="shared" si="37"/>
        <v>5096758</v>
      </c>
      <c r="BU431" s="9">
        <f>+BS431-'Gen Fd BS'!AA434+BQ431</f>
        <v>0</v>
      </c>
      <c r="BW431" s="8" t="s">
        <v>1009</v>
      </c>
    </row>
    <row r="432" spans="1:75" hidden="1">
      <c r="A432" s="108" t="s">
        <v>1047</v>
      </c>
      <c r="B432" s="13"/>
      <c r="C432" s="13" t="s">
        <v>603</v>
      </c>
      <c r="D432" s="13"/>
      <c r="E432" s="32">
        <v>49379</v>
      </c>
      <c r="AJ432" s="13" t="s">
        <v>606</v>
      </c>
      <c r="AK432" s="13"/>
      <c r="AL432" s="13" t="s">
        <v>603</v>
      </c>
      <c r="AX432" s="8">
        <v>0</v>
      </c>
      <c r="AZ432" s="8">
        <f t="shared" si="38"/>
        <v>0</v>
      </c>
      <c r="BH432" s="8">
        <v>0</v>
      </c>
      <c r="BJ432" s="8">
        <f t="shared" si="39"/>
        <v>0</v>
      </c>
      <c r="BL432" s="8">
        <f>+GenRev!AM435-GenExp!BJ432</f>
        <v>0</v>
      </c>
      <c r="BS432" s="8">
        <f t="shared" ref="BS432:BS483" si="40">+BN432+BL432-BP432</f>
        <v>0</v>
      </c>
      <c r="BU432" s="9">
        <f>+BS432-'Gen Fd BS'!AA435+BQ432</f>
        <v>0</v>
      </c>
    </row>
    <row r="433" spans="1:75" hidden="1">
      <c r="A433" s="108" t="s">
        <v>1046</v>
      </c>
      <c r="B433" s="13"/>
      <c r="C433" s="13" t="s">
        <v>603</v>
      </c>
      <c r="D433" s="13"/>
      <c r="E433" s="32">
        <v>49387</v>
      </c>
      <c r="AJ433" s="13" t="s">
        <v>607</v>
      </c>
      <c r="AK433" s="13"/>
      <c r="AL433" s="13" t="s">
        <v>603</v>
      </c>
      <c r="AX433" s="8">
        <v>0</v>
      </c>
      <c r="AZ433" s="8">
        <f t="shared" si="38"/>
        <v>0</v>
      </c>
      <c r="BH433" s="8">
        <v>0</v>
      </c>
      <c r="BJ433" s="8">
        <f t="shared" si="39"/>
        <v>0</v>
      </c>
      <c r="BL433" s="8">
        <f>+GenRev!AM436-GenExp!BJ433</f>
        <v>0</v>
      </c>
      <c r="BS433" s="8">
        <f t="shared" si="40"/>
        <v>0</v>
      </c>
      <c r="BU433" s="9">
        <f>+BS433-'Gen Fd BS'!AA436+BQ433</f>
        <v>0</v>
      </c>
    </row>
    <row r="434" spans="1:75">
      <c r="A434" s="13" t="s">
        <v>461</v>
      </c>
      <c r="B434" s="13"/>
      <c r="C434" s="13" t="s">
        <v>41</v>
      </c>
      <c r="D434" s="13"/>
      <c r="E434" s="32">
        <v>44628</v>
      </c>
      <c r="G434" s="8">
        <v>11845515</v>
      </c>
      <c r="I434" s="8">
        <v>3355068</v>
      </c>
      <c r="K434" s="8">
        <v>365189</v>
      </c>
      <c r="M434" s="8">
        <v>2789664</v>
      </c>
      <c r="O434" s="8">
        <v>1476093</v>
      </c>
      <c r="Q434" s="8">
        <v>1575834</v>
      </c>
      <c r="S434" s="8">
        <v>120639</v>
      </c>
      <c r="U434" s="8">
        <v>3603717</v>
      </c>
      <c r="W434" s="8">
        <v>596825</v>
      </c>
      <c r="Y434" s="8">
        <v>91279</v>
      </c>
      <c r="AA434" s="8">
        <v>2973997</v>
      </c>
      <c r="AC434" s="8">
        <v>1338735</v>
      </c>
      <c r="AE434" s="8">
        <v>427684</v>
      </c>
      <c r="AG434" s="8">
        <v>0</v>
      </c>
      <c r="AI434" s="8">
        <v>489156</v>
      </c>
      <c r="AJ434" s="13" t="s">
        <v>461</v>
      </c>
      <c r="AK434" s="13"/>
      <c r="AL434" s="13" t="s">
        <v>41</v>
      </c>
      <c r="AN434" s="8">
        <v>425650</v>
      </c>
      <c r="AP434" s="8">
        <v>64292</v>
      </c>
      <c r="AT434" s="8">
        <v>30004</v>
      </c>
      <c r="AV434" s="8">
        <v>435</v>
      </c>
      <c r="AX434" s="8">
        <v>0</v>
      </c>
      <c r="AZ434" s="8">
        <f t="shared" si="38"/>
        <v>31569776</v>
      </c>
      <c r="BB434" s="8">
        <v>84648</v>
      </c>
      <c r="BH434" s="8">
        <v>0</v>
      </c>
      <c r="BJ434" s="8">
        <f>+AZ434+BB434+BD434+BH434</f>
        <v>31654424</v>
      </c>
      <c r="BL434" s="8">
        <f>+GenRev!AM437-GenExp!BJ434</f>
        <v>-2942995</v>
      </c>
      <c r="BN434" s="8">
        <v>3011215</v>
      </c>
      <c r="BP434" s="8">
        <v>0</v>
      </c>
      <c r="BS434" s="8">
        <f t="shared" si="40"/>
        <v>68220</v>
      </c>
      <c r="BU434" s="9">
        <f>+BS434-'Gen Fd BS'!AA437+BQ434</f>
        <v>0</v>
      </c>
    </row>
    <row r="435" spans="1:75" hidden="1">
      <c r="A435" s="12" t="s">
        <v>1003</v>
      </c>
      <c r="B435" s="13"/>
      <c r="C435" s="13" t="s">
        <v>41</v>
      </c>
      <c r="D435" s="13"/>
      <c r="E435" s="32">
        <v>47894</v>
      </c>
      <c r="AJ435" s="13" t="s">
        <v>462</v>
      </c>
      <c r="AK435" s="13"/>
      <c r="AL435" s="13" t="s">
        <v>41</v>
      </c>
      <c r="AX435" s="8">
        <v>0</v>
      </c>
      <c r="AZ435" s="8">
        <f t="shared" si="38"/>
        <v>0</v>
      </c>
      <c r="BH435" s="8">
        <v>0</v>
      </c>
      <c r="BJ435" s="8">
        <f t="shared" ref="BJ435:BJ483" si="41">+AZ435+BB435+BD435+BH435</f>
        <v>0</v>
      </c>
      <c r="BL435" s="8">
        <f>+GenRev!AM438-GenExp!BJ435</f>
        <v>0</v>
      </c>
      <c r="BS435" s="8">
        <f t="shared" si="40"/>
        <v>0</v>
      </c>
      <c r="BU435" s="9">
        <f>+BS435-'Gen Fd BS'!AA438+BQ435</f>
        <v>0</v>
      </c>
      <c r="BW435" s="8" t="s">
        <v>1029</v>
      </c>
    </row>
    <row r="436" spans="1:75">
      <c r="A436" s="13" t="s">
        <v>619</v>
      </c>
      <c r="B436" s="13"/>
      <c r="C436" s="13" t="s">
        <v>58</v>
      </c>
      <c r="D436" s="13"/>
      <c r="E436" s="32">
        <v>49510</v>
      </c>
      <c r="F436" s="11"/>
      <c r="G436" s="8">
        <v>3935734</v>
      </c>
      <c r="I436" s="8">
        <v>951632</v>
      </c>
      <c r="K436" s="8">
        <v>1185</v>
      </c>
      <c r="M436" s="8">
        <v>772527</v>
      </c>
      <c r="O436" s="8">
        <v>282637</v>
      </c>
      <c r="Q436" s="8">
        <v>113112</v>
      </c>
      <c r="S436" s="8">
        <v>180083</v>
      </c>
      <c r="U436" s="8">
        <v>620394</v>
      </c>
      <c r="W436" s="8">
        <v>274363</v>
      </c>
      <c r="Y436" s="8">
        <v>0</v>
      </c>
      <c r="AA436" s="8">
        <v>862901</v>
      </c>
      <c r="AC436" s="8">
        <v>543431</v>
      </c>
      <c r="AE436" s="8">
        <v>0</v>
      </c>
      <c r="AG436" s="8">
        <v>0</v>
      </c>
      <c r="AI436" s="8">
        <v>13398</v>
      </c>
      <c r="AJ436" s="13" t="s">
        <v>619</v>
      </c>
      <c r="AK436" s="13"/>
      <c r="AL436" s="13" t="s">
        <v>58</v>
      </c>
      <c r="AN436" s="8">
        <v>131087</v>
      </c>
      <c r="AP436" s="8">
        <v>0</v>
      </c>
      <c r="AT436" s="8">
        <v>11124</v>
      </c>
      <c r="AV436" s="8">
        <v>22984</v>
      </c>
      <c r="AX436" s="8">
        <v>0</v>
      </c>
      <c r="AZ436" s="8">
        <f t="shared" si="38"/>
        <v>8716592</v>
      </c>
      <c r="BB436" s="8">
        <v>16881</v>
      </c>
      <c r="BH436" s="8">
        <v>0</v>
      </c>
      <c r="BJ436" s="8">
        <f t="shared" si="41"/>
        <v>8733473</v>
      </c>
      <c r="BL436" s="8">
        <f>+GenRev!AM439-GenExp!BJ436</f>
        <v>531973</v>
      </c>
      <c r="BN436" s="8">
        <v>1270966</v>
      </c>
      <c r="BP436" s="8">
        <v>0</v>
      </c>
      <c r="BS436" s="8">
        <f t="shared" si="40"/>
        <v>1802939</v>
      </c>
      <c r="BU436" s="9">
        <f>+BS436-'Gen Fd BS'!AA439+BQ436</f>
        <v>0</v>
      </c>
      <c r="BW436" s="8" t="s">
        <v>956</v>
      </c>
    </row>
    <row r="437" spans="1:75" hidden="1">
      <c r="A437" s="91" t="s">
        <v>1004</v>
      </c>
      <c r="B437" s="13"/>
      <c r="C437" s="13" t="s">
        <v>603</v>
      </c>
      <c r="D437" s="13"/>
      <c r="E437" s="32">
        <v>49395</v>
      </c>
      <c r="AJ437" s="13" t="s">
        <v>608</v>
      </c>
      <c r="AK437" s="13"/>
      <c r="AL437" s="13" t="s">
        <v>603</v>
      </c>
      <c r="AX437" s="8">
        <v>0</v>
      </c>
      <c r="AZ437" s="8">
        <f t="shared" si="38"/>
        <v>0</v>
      </c>
      <c r="BH437" s="8">
        <v>0</v>
      </c>
      <c r="BJ437" s="8">
        <f t="shared" si="41"/>
        <v>0</v>
      </c>
      <c r="BL437" s="8">
        <f>+GenRev!AM440-GenExp!BJ437</f>
        <v>0</v>
      </c>
      <c r="BS437" s="8">
        <f t="shared" si="40"/>
        <v>0</v>
      </c>
      <c r="BU437" s="9">
        <f>+BS437-'Gen Fd BS'!AA440+BQ437</f>
        <v>0</v>
      </c>
    </row>
    <row r="438" spans="1:75" hidden="1">
      <c r="A438" s="12" t="s">
        <v>1005</v>
      </c>
      <c r="B438" s="13"/>
      <c r="C438" s="13" t="s">
        <v>534</v>
      </c>
      <c r="D438" s="13"/>
      <c r="E438" s="32">
        <v>48579</v>
      </c>
      <c r="G438" s="8">
        <v>4259337</v>
      </c>
      <c r="I438" s="8">
        <v>1775324</v>
      </c>
      <c r="K438" s="8">
        <v>191748</v>
      </c>
      <c r="M438" s="8">
        <v>14799</v>
      </c>
      <c r="O438" s="8">
        <v>286096</v>
      </c>
      <c r="Q438" s="8">
        <v>439181</v>
      </c>
      <c r="S438" s="8">
        <v>14803</v>
      </c>
      <c r="U438" s="8">
        <v>669576</v>
      </c>
      <c r="W438" s="8">
        <v>339052</v>
      </c>
      <c r="AA438" s="8">
        <v>873098</v>
      </c>
      <c r="AC438" s="8">
        <v>367862</v>
      </c>
      <c r="AE438" s="8">
        <v>16514</v>
      </c>
      <c r="AJ438" s="13" t="s">
        <v>535</v>
      </c>
      <c r="AK438" s="13"/>
      <c r="AL438" s="13" t="s">
        <v>534</v>
      </c>
      <c r="AN438" s="8">
        <v>182218</v>
      </c>
      <c r="AX438" s="8">
        <v>0</v>
      </c>
      <c r="AZ438" s="8">
        <f t="shared" si="38"/>
        <v>9429608</v>
      </c>
      <c r="BH438" s="8">
        <v>0</v>
      </c>
      <c r="BJ438" s="8">
        <f t="shared" si="41"/>
        <v>9429608</v>
      </c>
      <c r="BL438" s="8">
        <f>+GenRev!AM441-GenExp!BJ438</f>
        <v>19002</v>
      </c>
      <c r="BN438" s="8">
        <v>3398729</v>
      </c>
      <c r="BS438" s="8">
        <f t="shared" si="40"/>
        <v>3417731</v>
      </c>
      <c r="BU438" s="9">
        <f>+BS438-'Gen Fd BS'!AA441+BQ438</f>
        <v>-56303</v>
      </c>
    </row>
    <row r="439" spans="1:75">
      <c r="A439" s="13" t="s">
        <v>317</v>
      </c>
      <c r="B439" s="13"/>
      <c r="C439" s="13" t="s">
        <v>20</v>
      </c>
      <c r="D439" s="13"/>
      <c r="E439" s="32">
        <v>44636</v>
      </c>
      <c r="G439" s="8">
        <v>58091588</v>
      </c>
      <c r="I439" s="8">
        <v>17242896</v>
      </c>
      <c r="K439" s="8">
        <v>3844252</v>
      </c>
      <c r="M439" s="8">
        <f>8561+140899</f>
        <v>149460</v>
      </c>
      <c r="O439" s="8">
        <v>8432524</v>
      </c>
      <c r="Q439" s="8">
        <v>4209390</v>
      </c>
      <c r="S439" s="8">
        <v>1034446</v>
      </c>
      <c r="U439" s="8">
        <v>11139311</v>
      </c>
      <c r="W439" s="8">
        <v>2297982</v>
      </c>
      <c r="Y439" s="8">
        <v>962846</v>
      </c>
      <c r="AA439" s="8">
        <v>11955656</v>
      </c>
      <c r="AC439" s="8">
        <v>6351195</v>
      </c>
      <c r="AE439" s="8">
        <v>2656197</v>
      </c>
      <c r="AG439" s="8">
        <v>0</v>
      </c>
      <c r="AI439" s="8">
        <v>28188</v>
      </c>
      <c r="AJ439" s="13" t="s">
        <v>317</v>
      </c>
      <c r="AK439" s="13"/>
      <c r="AL439" s="13" t="s">
        <v>20</v>
      </c>
      <c r="AN439" s="8">
        <v>1742914</v>
      </c>
      <c r="AP439" s="8">
        <v>55097</v>
      </c>
      <c r="AT439" s="8">
        <v>1696715</v>
      </c>
      <c r="AV439" s="8">
        <v>800480</v>
      </c>
      <c r="AX439" s="8">
        <v>0</v>
      </c>
      <c r="AZ439" s="8">
        <f t="shared" si="38"/>
        <v>132691137</v>
      </c>
      <c r="BB439" s="8">
        <v>313246</v>
      </c>
      <c r="BH439" s="8">
        <v>0</v>
      </c>
      <c r="BJ439" s="8">
        <f t="shared" si="41"/>
        <v>133004383</v>
      </c>
      <c r="BL439" s="8">
        <f>+GenRev!AM442-GenExp!BJ439</f>
        <v>-4291383</v>
      </c>
      <c r="BN439" s="8">
        <v>15237884</v>
      </c>
      <c r="BP439" s="8">
        <v>0</v>
      </c>
      <c r="BS439" s="8">
        <f t="shared" si="40"/>
        <v>10946501</v>
      </c>
      <c r="BU439" s="9">
        <f>+BS439-'Gen Fd BS'!AA442+BQ439</f>
        <v>0</v>
      </c>
    </row>
    <row r="440" spans="1:75">
      <c r="A440" s="13" t="s">
        <v>433</v>
      </c>
      <c r="B440" s="13"/>
      <c r="C440" s="13" t="s">
        <v>34</v>
      </c>
      <c r="D440" s="13"/>
      <c r="E440" s="32">
        <v>47597</v>
      </c>
      <c r="G440" s="8">
        <v>4563590</v>
      </c>
      <c r="I440" s="8">
        <v>763015</v>
      </c>
      <c r="K440" s="8">
        <v>3232</v>
      </c>
      <c r="M440" s="8">
        <v>402735</v>
      </c>
      <c r="O440" s="8">
        <v>458001</v>
      </c>
      <c r="Q440" s="8">
        <v>533903</v>
      </c>
      <c r="S440" s="8">
        <v>34383</v>
      </c>
      <c r="U440" s="8">
        <v>916457</v>
      </c>
      <c r="W440" s="8">
        <v>342711</v>
      </c>
      <c r="Y440" s="8">
        <v>122378</v>
      </c>
      <c r="AA440" s="8">
        <v>866079</v>
      </c>
      <c r="AC440" s="8">
        <v>503963</v>
      </c>
      <c r="AE440" s="8">
        <v>212106</v>
      </c>
      <c r="AG440" s="8">
        <v>0</v>
      </c>
      <c r="AI440" s="8">
        <v>1809</v>
      </c>
      <c r="AJ440" s="13" t="s">
        <v>433</v>
      </c>
      <c r="AK440" s="13"/>
      <c r="AL440" s="13" t="s">
        <v>34</v>
      </c>
      <c r="AN440" s="8">
        <v>229345</v>
      </c>
      <c r="AP440" s="8">
        <v>158782</v>
      </c>
      <c r="AT440" s="8">
        <v>80638</v>
      </c>
      <c r="AV440" s="8">
        <v>0</v>
      </c>
      <c r="AX440" s="8">
        <v>0</v>
      </c>
      <c r="AZ440" s="8">
        <f t="shared" si="38"/>
        <v>10193127</v>
      </c>
      <c r="BB440" s="8">
        <v>73259</v>
      </c>
      <c r="BH440" s="8">
        <v>0</v>
      </c>
      <c r="BJ440" s="8">
        <f t="shared" si="41"/>
        <v>10266386</v>
      </c>
      <c r="BL440" s="8">
        <f>+GenRev!AM443-GenExp!BJ440</f>
        <v>-148203</v>
      </c>
      <c r="BN440" s="8">
        <v>1757882</v>
      </c>
      <c r="BP440" s="8">
        <v>0</v>
      </c>
      <c r="BS440" s="8">
        <f t="shared" si="40"/>
        <v>1609679</v>
      </c>
      <c r="BU440" s="9">
        <f>+BS440-'Gen Fd BS'!AA443+BQ440</f>
        <v>0</v>
      </c>
    </row>
    <row r="441" spans="1:75" hidden="1">
      <c r="A441" s="12" t="s">
        <v>1007</v>
      </c>
      <c r="B441" s="13"/>
      <c r="C441" s="13" t="s">
        <v>576</v>
      </c>
      <c r="D441" s="13"/>
      <c r="E441" s="32">
        <v>45575</v>
      </c>
      <c r="G441" s="8">
        <v>7526136</v>
      </c>
      <c r="I441" s="8">
        <v>1309703</v>
      </c>
      <c r="K441" s="8">
        <v>14732</v>
      </c>
      <c r="O441" s="8">
        <v>550636</v>
      </c>
      <c r="Q441" s="8">
        <v>372516</v>
      </c>
      <c r="S441" s="8">
        <v>65277</v>
      </c>
      <c r="U441" s="8">
        <v>1043916</v>
      </c>
      <c r="W441" s="8">
        <v>460241</v>
      </c>
      <c r="Y441" s="8">
        <v>84005</v>
      </c>
      <c r="AA441" s="8">
        <v>1139196</v>
      </c>
      <c r="AC441" s="8">
        <v>800072</v>
      </c>
      <c r="AE441" s="8">
        <v>500</v>
      </c>
      <c r="AI441" s="8">
        <v>1644</v>
      </c>
      <c r="AJ441" s="13" t="s">
        <v>577</v>
      </c>
      <c r="AK441" s="13"/>
      <c r="AL441" s="13" t="s">
        <v>576</v>
      </c>
      <c r="AN441" s="8">
        <v>326061</v>
      </c>
      <c r="AX441" s="8">
        <v>0</v>
      </c>
      <c r="AZ441" s="8">
        <f t="shared" si="38"/>
        <v>13694635</v>
      </c>
      <c r="BD441" s="8">
        <f>22307-21891</f>
        <v>416</v>
      </c>
      <c r="BH441" s="8">
        <v>0</v>
      </c>
      <c r="BJ441" s="8">
        <f t="shared" si="41"/>
        <v>13695051</v>
      </c>
      <c r="BL441" s="8">
        <f>+GenRev!AM444-GenExp!BJ441</f>
        <v>924020</v>
      </c>
      <c r="BN441" s="8">
        <v>1033703</v>
      </c>
      <c r="BS441" s="8">
        <f t="shared" si="40"/>
        <v>1957723</v>
      </c>
      <c r="BU441" s="9">
        <f>+BS441-'Gen Fd BS'!AA444+BQ441</f>
        <v>0</v>
      </c>
    </row>
    <row r="442" spans="1:75">
      <c r="A442" s="13" t="s">
        <v>340</v>
      </c>
      <c r="B442" s="13"/>
      <c r="C442" s="13" t="s">
        <v>24</v>
      </c>
      <c r="D442" s="13"/>
      <c r="E442" s="32">
        <v>46813</v>
      </c>
      <c r="G442" s="8">
        <v>10287763</v>
      </c>
      <c r="I442" s="8">
        <v>2379386</v>
      </c>
      <c r="K442" s="8">
        <v>143759</v>
      </c>
      <c r="M442" s="8">
        <v>408419</v>
      </c>
      <c r="O442" s="8">
        <v>1385858</v>
      </c>
      <c r="Q442" s="8">
        <v>1068174</v>
      </c>
      <c r="S442" s="8">
        <v>23185</v>
      </c>
      <c r="U442" s="8">
        <v>1429872</v>
      </c>
      <c r="W442" s="8">
        <v>563582</v>
      </c>
      <c r="Y442" s="8">
        <v>15795</v>
      </c>
      <c r="AA442" s="8">
        <v>1969026</v>
      </c>
      <c r="AC442" s="8">
        <v>888209</v>
      </c>
      <c r="AE442" s="8">
        <v>45280</v>
      </c>
      <c r="AG442" s="8">
        <v>0</v>
      </c>
      <c r="AI442" s="8">
        <v>1345</v>
      </c>
      <c r="AJ442" s="13" t="s">
        <v>340</v>
      </c>
      <c r="AK442" s="13"/>
      <c r="AL442" s="13" t="s">
        <v>24</v>
      </c>
      <c r="AN442" s="8">
        <v>494467</v>
      </c>
      <c r="AP442" s="8">
        <v>0</v>
      </c>
      <c r="AT442" s="8">
        <v>0</v>
      </c>
      <c r="AV442" s="8">
        <v>0</v>
      </c>
      <c r="AX442" s="8">
        <v>0</v>
      </c>
      <c r="AZ442" s="8">
        <f t="shared" si="38"/>
        <v>21104120</v>
      </c>
      <c r="BB442" s="8">
        <v>119317</v>
      </c>
      <c r="BH442" s="8">
        <v>0</v>
      </c>
      <c r="BJ442" s="8">
        <f t="shared" si="41"/>
        <v>21223437</v>
      </c>
      <c r="BL442" s="8">
        <f>+GenRev!AM445-GenExp!BJ442</f>
        <v>681057</v>
      </c>
      <c r="BN442" s="8">
        <v>4357353</v>
      </c>
      <c r="BP442" s="8">
        <v>5725</v>
      </c>
      <c r="BS442" s="8">
        <f t="shared" si="40"/>
        <v>5032685</v>
      </c>
      <c r="BU442" s="9">
        <f>+BS442-'Gen Fd BS'!AA445+BQ442</f>
        <v>0</v>
      </c>
    </row>
    <row r="443" spans="1:75" hidden="1">
      <c r="A443" s="12" t="s">
        <v>1008</v>
      </c>
      <c r="B443" s="12"/>
      <c r="C443" s="12" t="s">
        <v>10</v>
      </c>
      <c r="D443" s="13"/>
      <c r="E443" s="32"/>
      <c r="G443" s="8">
        <v>2681318</v>
      </c>
      <c r="I443" s="8">
        <v>545824</v>
      </c>
      <c r="M443" s="8">
        <v>862342</v>
      </c>
      <c r="O443" s="8">
        <v>191042</v>
      </c>
      <c r="Q443" s="8">
        <v>233823</v>
      </c>
      <c r="S443" s="8">
        <v>32168</v>
      </c>
      <c r="U443" s="8">
        <v>561520</v>
      </c>
      <c r="W443" s="8">
        <v>237907</v>
      </c>
      <c r="AA443" s="8">
        <v>760861</v>
      </c>
      <c r="AC443" s="8">
        <v>327285</v>
      </c>
      <c r="AJ443" s="12" t="s">
        <v>1008</v>
      </c>
      <c r="AK443" s="12"/>
      <c r="AL443" s="12" t="s">
        <v>10</v>
      </c>
      <c r="AN443" s="8">
        <v>223158</v>
      </c>
      <c r="AP443" s="8">
        <v>6173</v>
      </c>
      <c r="AX443" s="8">
        <v>0</v>
      </c>
      <c r="AZ443" s="8">
        <f t="shared" si="38"/>
        <v>6663421</v>
      </c>
      <c r="BB443" s="8">
        <v>8098</v>
      </c>
      <c r="BH443" s="8">
        <v>0</v>
      </c>
      <c r="BJ443" s="8">
        <f t="shared" si="41"/>
        <v>6671519</v>
      </c>
      <c r="BL443" s="8">
        <f>+GenRev!AM446-GenExp!BJ443</f>
        <v>-133112</v>
      </c>
      <c r="BN443" s="8">
        <v>2431382</v>
      </c>
      <c r="BS443" s="8">
        <f t="shared" si="40"/>
        <v>2298270</v>
      </c>
      <c r="BU443" s="9">
        <f>+BS443-'Gen Fd BS'!AA446+BQ443</f>
        <v>0</v>
      </c>
    </row>
    <row r="444" spans="1:75">
      <c r="A444" s="13" t="s">
        <v>211</v>
      </c>
      <c r="B444" s="13"/>
      <c r="C444" s="13" t="s">
        <v>41</v>
      </c>
      <c r="D444" s="13"/>
      <c r="E444" s="32">
        <v>47902</v>
      </c>
      <c r="G444" s="8">
        <v>10469227</v>
      </c>
      <c r="I444" s="8">
        <v>1005585</v>
      </c>
      <c r="K444" s="8">
        <v>109693</v>
      </c>
      <c r="M444" s="8">
        <v>773955</v>
      </c>
      <c r="O444" s="8">
        <v>1050623</v>
      </c>
      <c r="Q444" s="8">
        <v>1518021</v>
      </c>
      <c r="S444" s="8">
        <v>86509</v>
      </c>
      <c r="U444" s="8">
        <v>1683482</v>
      </c>
      <c r="W444" s="8">
        <v>725078</v>
      </c>
      <c r="Y444" s="8">
        <v>115727</v>
      </c>
      <c r="AA444" s="8">
        <v>4126267</v>
      </c>
      <c r="AC444" s="8">
        <v>1299341</v>
      </c>
      <c r="AE444" s="8">
        <v>37888</v>
      </c>
      <c r="AG444" s="8">
        <v>0</v>
      </c>
      <c r="AI444" s="8">
        <f>112884+193076</f>
        <v>305960</v>
      </c>
      <c r="AJ444" s="13" t="s">
        <v>211</v>
      </c>
      <c r="AK444" s="13"/>
      <c r="AL444" s="13" t="s">
        <v>41</v>
      </c>
      <c r="AN444" s="8">
        <v>864544</v>
      </c>
      <c r="AP444" s="8">
        <v>0</v>
      </c>
      <c r="AT444" s="8">
        <v>0</v>
      </c>
      <c r="AV444" s="8">
        <v>0</v>
      </c>
      <c r="AX444" s="8">
        <v>0</v>
      </c>
      <c r="AZ444" s="8">
        <f t="shared" si="38"/>
        <v>24171900</v>
      </c>
      <c r="BB444" s="8">
        <v>2753500</v>
      </c>
      <c r="BH444" s="8">
        <v>0</v>
      </c>
      <c r="BJ444" s="8">
        <f t="shared" si="41"/>
        <v>26925400</v>
      </c>
      <c r="BL444" s="8">
        <f>+GenRev!AM447-GenExp!BJ444</f>
        <v>503199</v>
      </c>
      <c r="BN444" s="8">
        <v>13422884</v>
      </c>
      <c r="BP444" s="8">
        <v>0</v>
      </c>
      <c r="BS444" s="8">
        <f t="shared" si="40"/>
        <v>13926083</v>
      </c>
      <c r="BU444" s="9">
        <f>+BS444-'Gen Fd BS'!AA447+BQ444</f>
        <v>0</v>
      </c>
    </row>
    <row r="445" spans="1:75">
      <c r="A445" s="13" t="s">
        <v>211</v>
      </c>
      <c r="B445" s="13"/>
      <c r="C445" s="13" t="s">
        <v>62</v>
      </c>
      <c r="D445" s="13"/>
      <c r="E445" s="32">
        <v>49924</v>
      </c>
      <c r="G445" s="8">
        <v>18078744</v>
      </c>
      <c r="I445" s="8">
        <v>3433742</v>
      </c>
      <c r="K445" s="8">
        <v>2226705</v>
      </c>
      <c r="M445" s="8">
        <v>268809</v>
      </c>
      <c r="O445" s="8">
        <v>2614839</v>
      </c>
      <c r="Q445" s="8">
        <v>915803</v>
      </c>
      <c r="S445" s="8">
        <v>138644</v>
      </c>
      <c r="U445" s="8">
        <v>2930403</v>
      </c>
      <c r="W445" s="8">
        <v>732858</v>
      </c>
      <c r="Y445" s="8">
        <v>180880</v>
      </c>
      <c r="AA445" s="8">
        <v>3910771</v>
      </c>
      <c r="AC445" s="8">
        <v>2321767</v>
      </c>
      <c r="AE445" s="8">
        <v>483941</v>
      </c>
      <c r="AG445" s="8">
        <v>0</v>
      </c>
      <c r="AI445" s="8">
        <v>15963</v>
      </c>
      <c r="AJ445" s="13" t="s">
        <v>211</v>
      </c>
      <c r="AK445" s="13"/>
      <c r="AL445" s="13" t="s">
        <v>62</v>
      </c>
      <c r="AN445" s="8">
        <v>788639</v>
      </c>
      <c r="AP445" s="8">
        <v>103200</v>
      </c>
      <c r="AT445" s="8">
        <v>115000</v>
      </c>
      <c r="AV445" s="8">
        <v>15451</v>
      </c>
      <c r="AX445" s="8">
        <v>0</v>
      </c>
      <c r="AZ445" s="8">
        <f t="shared" si="38"/>
        <v>39276159</v>
      </c>
      <c r="BB445" s="8">
        <v>0</v>
      </c>
      <c r="BH445" s="8">
        <v>0</v>
      </c>
      <c r="BJ445" s="8">
        <f t="shared" si="41"/>
        <v>39276159</v>
      </c>
      <c r="BL445" s="8">
        <f>+GenRev!AM448-GenExp!BJ445</f>
        <v>2293581</v>
      </c>
      <c r="BN445" s="8">
        <v>19381945</v>
      </c>
      <c r="BP445" s="8">
        <v>0</v>
      </c>
      <c r="BS445" s="8">
        <f t="shared" si="40"/>
        <v>21675526</v>
      </c>
      <c r="BU445" s="9">
        <f>+BS445-'Gen Fd BS'!AA448+BQ445</f>
        <v>0</v>
      </c>
    </row>
    <row r="446" spans="1:75">
      <c r="A446" s="13" t="s">
        <v>738</v>
      </c>
      <c r="B446" s="13"/>
      <c r="C446" s="13" t="s">
        <v>72</v>
      </c>
      <c r="D446" s="13"/>
      <c r="E446" s="13">
        <v>45583</v>
      </c>
      <c r="G446" s="8">
        <v>21638110</v>
      </c>
      <c r="I446" s="8">
        <v>3908368</v>
      </c>
      <c r="K446" s="8">
        <v>0</v>
      </c>
      <c r="M446" s="8">
        <v>255613</v>
      </c>
      <c r="O446" s="8">
        <v>2304958</v>
      </c>
      <c r="Q446" s="8">
        <v>583690</v>
      </c>
      <c r="S446" s="8">
        <v>42434</v>
      </c>
      <c r="U446" s="8">
        <v>2511326</v>
      </c>
      <c r="W446" s="8">
        <v>811099</v>
      </c>
      <c r="Y446" s="8">
        <v>170898</v>
      </c>
      <c r="AA446" s="8">
        <v>4090949</v>
      </c>
      <c r="AC446" s="8">
        <v>1650626</v>
      </c>
      <c r="AE446" s="8">
        <v>486319</v>
      </c>
      <c r="AG446" s="8">
        <v>0</v>
      </c>
      <c r="AI446" s="8">
        <v>38477</v>
      </c>
      <c r="AJ446" s="13" t="s">
        <v>738</v>
      </c>
      <c r="AK446" s="13"/>
      <c r="AL446" s="13" t="s">
        <v>72</v>
      </c>
      <c r="AN446" s="8">
        <v>816323</v>
      </c>
      <c r="AP446" s="8">
        <v>67114</v>
      </c>
      <c r="AT446" s="8">
        <v>105202</v>
      </c>
      <c r="AV446" s="8">
        <v>10056</v>
      </c>
      <c r="AX446" s="8">
        <v>0</v>
      </c>
      <c r="AZ446" s="8">
        <f>SUM(G446:AX446)</f>
        <v>39491562</v>
      </c>
      <c r="BB446" s="8">
        <v>447892</v>
      </c>
      <c r="BH446" s="8">
        <v>0</v>
      </c>
      <c r="BJ446" s="8">
        <f t="shared" si="41"/>
        <v>39939454</v>
      </c>
      <c r="BL446" s="8">
        <f>+GenRev!AM449-GenExp!BJ446</f>
        <v>-1409606</v>
      </c>
      <c r="BN446" s="8">
        <v>2640799</v>
      </c>
      <c r="BP446" s="8">
        <v>0</v>
      </c>
      <c r="BS446" s="8">
        <f t="shared" si="40"/>
        <v>1231193</v>
      </c>
      <c r="BU446" s="9">
        <f>+BS446-'Gen Fd BS'!AA449+BQ446</f>
        <v>0</v>
      </c>
    </row>
    <row r="447" spans="1:75">
      <c r="A447" s="13" t="s">
        <v>371</v>
      </c>
      <c r="B447" s="13"/>
      <c r="C447" s="13" t="s">
        <v>28</v>
      </c>
      <c r="D447" s="13"/>
      <c r="E447" s="32">
        <v>47076</v>
      </c>
      <c r="G447" s="8">
        <v>2251464</v>
      </c>
      <c r="I447" s="8">
        <v>308724</v>
      </c>
      <c r="K447" s="8">
        <v>195990</v>
      </c>
      <c r="M447" s="8">
        <v>30595</v>
      </c>
      <c r="O447" s="8">
        <v>119764</v>
      </c>
      <c r="Q447" s="8">
        <v>149496</v>
      </c>
      <c r="S447" s="8">
        <v>15436</v>
      </c>
      <c r="U447" s="8">
        <v>496769</v>
      </c>
      <c r="W447" s="8">
        <v>205544</v>
      </c>
      <c r="Y447" s="8">
        <v>939</v>
      </c>
      <c r="AA447" s="8">
        <v>425505</v>
      </c>
      <c r="AC447" s="8">
        <v>229636</v>
      </c>
      <c r="AE447" s="8">
        <v>68577</v>
      </c>
      <c r="AG447" s="8">
        <v>0</v>
      </c>
      <c r="AI447" s="8">
        <v>0</v>
      </c>
      <c r="AJ447" s="13" t="s">
        <v>371</v>
      </c>
      <c r="AK447" s="13"/>
      <c r="AL447" s="13" t="s">
        <v>28</v>
      </c>
      <c r="AN447" s="8">
        <v>222925</v>
      </c>
      <c r="AP447" s="8">
        <v>0</v>
      </c>
      <c r="AT447" s="8">
        <v>0</v>
      </c>
      <c r="AV447" s="8">
        <v>0</v>
      </c>
      <c r="AX447" s="8">
        <v>0</v>
      </c>
      <c r="AZ447" s="8">
        <f t="shared" si="38"/>
        <v>4721364</v>
      </c>
      <c r="BB447" s="8">
        <v>0</v>
      </c>
      <c r="BH447" s="8">
        <v>0</v>
      </c>
      <c r="BJ447" s="8">
        <f t="shared" si="41"/>
        <v>4721364</v>
      </c>
      <c r="BL447" s="8">
        <f>+GenRev!AM450-GenExp!BJ447</f>
        <v>-52513</v>
      </c>
      <c r="BN447" s="8">
        <v>633851</v>
      </c>
      <c r="BP447" s="8">
        <v>0</v>
      </c>
      <c r="BS447" s="8">
        <f t="shared" si="40"/>
        <v>581338</v>
      </c>
      <c r="BU447" s="9">
        <f>+BS447-'Gen Fd BS'!AA450+BQ447</f>
        <v>0</v>
      </c>
      <c r="BW447" s="8" t="s">
        <v>956</v>
      </c>
    </row>
    <row r="448" spans="1:75">
      <c r="A448" s="13"/>
      <c r="B448" s="13"/>
      <c r="C448" s="13"/>
      <c r="D448" s="13"/>
      <c r="E448" s="32"/>
      <c r="AJ448" s="13"/>
      <c r="AK448" s="13"/>
      <c r="AL448" s="13"/>
    </row>
    <row r="449" spans="1:75">
      <c r="A449" s="13"/>
      <c r="B449" s="13"/>
      <c r="C449" s="13"/>
      <c r="D449" s="13"/>
      <c r="E449" s="32"/>
      <c r="AI449" s="8" t="s">
        <v>805</v>
      </c>
      <c r="AJ449" s="13"/>
      <c r="AK449" s="13"/>
      <c r="AL449" s="13"/>
      <c r="BS449" s="8" t="s">
        <v>805</v>
      </c>
    </row>
    <row r="450" spans="1:75">
      <c r="A450" s="13"/>
      <c r="B450" s="13"/>
      <c r="C450" s="13"/>
      <c r="D450" s="13"/>
      <c r="E450" s="32"/>
      <c r="AJ450" s="13"/>
      <c r="AK450" s="13"/>
      <c r="AL450" s="13"/>
    </row>
    <row r="451" spans="1:75">
      <c r="A451" s="13" t="s">
        <v>349</v>
      </c>
      <c r="B451" s="13"/>
      <c r="C451" s="13" t="s">
        <v>25</v>
      </c>
      <c r="D451" s="13"/>
      <c r="E451" s="32">
        <v>46896</v>
      </c>
      <c r="G451" s="35">
        <v>44717890</v>
      </c>
      <c r="H451" s="35"/>
      <c r="I451" s="35">
        <v>7191939</v>
      </c>
      <c r="J451" s="35"/>
      <c r="K451" s="35">
        <v>1094097</v>
      </c>
      <c r="L451" s="35"/>
      <c r="M451" s="35">
        <v>2803725</v>
      </c>
      <c r="N451" s="35"/>
      <c r="O451" s="35">
        <v>3820338</v>
      </c>
      <c r="P451" s="35"/>
      <c r="Q451" s="35">
        <v>5834661</v>
      </c>
      <c r="R451" s="35"/>
      <c r="S451" s="35">
        <v>521685</v>
      </c>
      <c r="T451" s="35"/>
      <c r="U451" s="35">
        <v>7722130</v>
      </c>
      <c r="V451" s="35"/>
      <c r="W451" s="35">
        <v>1484136</v>
      </c>
      <c r="X451" s="35"/>
      <c r="Y451" s="35">
        <v>618494</v>
      </c>
      <c r="Z451" s="35"/>
      <c r="AA451" s="35">
        <v>8707301</v>
      </c>
      <c r="AB451" s="35"/>
      <c r="AC451" s="35">
        <v>4966217</v>
      </c>
      <c r="AD451" s="35"/>
      <c r="AE451" s="35">
        <v>169241</v>
      </c>
      <c r="AF451" s="35"/>
      <c r="AG451" s="35">
        <v>0</v>
      </c>
      <c r="AH451" s="35"/>
      <c r="AI451" s="35">
        <v>0</v>
      </c>
      <c r="AJ451" s="13" t="s">
        <v>349</v>
      </c>
      <c r="AK451" s="13"/>
      <c r="AL451" s="13" t="s">
        <v>25</v>
      </c>
      <c r="AN451" s="35">
        <v>1558133</v>
      </c>
      <c r="AO451" s="35"/>
      <c r="AP451" s="35">
        <v>218565</v>
      </c>
      <c r="AQ451" s="35"/>
      <c r="AR451" s="35"/>
      <c r="AS451" s="35"/>
      <c r="AT451" s="35">
        <v>0</v>
      </c>
      <c r="AU451" s="35"/>
      <c r="AV451" s="35">
        <v>0</v>
      </c>
      <c r="AW451" s="35"/>
      <c r="AX451" s="35">
        <v>0</v>
      </c>
      <c r="AY451" s="35"/>
      <c r="AZ451" s="35">
        <f t="shared" si="38"/>
        <v>91428552</v>
      </c>
      <c r="BA451" s="35"/>
      <c r="BB451" s="35">
        <v>0</v>
      </c>
      <c r="BC451" s="35"/>
      <c r="BD451" s="35"/>
      <c r="BE451" s="35"/>
      <c r="BF451" s="35"/>
      <c r="BG451" s="35"/>
      <c r="BH451" s="35">
        <v>0</v>
      </c>
      <c r="BI451" s="35"/>
      <c r="BJ451" s="35">
        <f t="shared" si="41"/>
        <v>91428552</v>
      </c>
      <c r="BK451" s="35"/>
      <c r="BL451" s="35">
        <f>+GenRev!AM451-GenExp!BJ451</f>
        <v>849523</v>
      </c>
      <c r="BM451" s="35"/>
      <c r="BN451" s="35">
        <v>11624403</v>
      </c>
      <c r="BO451" s="35"/>
      <c r="BP451" s="35">
        <v>0</v>
      </c>
      <c r="BQ451" s="35"/>
      <c r="BR451" s="35"/>
      <c r="BS451" s="35">
        <f t="shared" si="40"/>
        <v>12473926</v>
      </c>
      <c r="BU451" s="9">
        <f>+BS451-'Gen Fd BS'!AA451+BQ451</f>
        <v>0</v>
      </c>
    </row>
    <row r="452" spans="1:75">
      <c r="A452" s="13" t="s">
        <v>372</v>
      </c>
      <c r="B452" s="13"/>
      <c r="C452" s="13" t="s">
        <v>28</v>
      </c>
      <c r="D452" s="13"/>
      <c r="E452" s="32">
        <v>47084</v>
      </c>
      <c r="G452" s="8">
        <v>6333306</v>
      </c>
      <c r="I452" s="8">
        <v>1275508</v>
      </c>
      <c r="K452" s="8">
        <v>126674</v>
      </c>
      <c r="M452" s="8">
        <v>0</v>
      </c>
      <c r="O452" s="8">
        <v>638575</v>
      </c>
      <c r="Q452" s="8">
        <v>686626</v>
      </c>
      <c r="S452" s="8">
        <v>23697</v>
      </c>
      <c r="U452" s="8">
        <v>941489</v>
      </c>
      <c r="W452" s="8">
        <v>341866</v>
      </c>
      <c r="Y452" s="8">
        <v>48193</v>
      </c>
      <c r="AA452" s="8">
        <v>1443921</v>
      </c>
      <c r="AC452" s="8">
        <v>775916</v>
      </c>
      <c r="AE452" s="8">
        <v>69174</v>
      </c>
      <c r="AG452" s="8">
        <v>0</v>
      </c>
      <c r="AI452" s="8">
        <v>3001</v>
      </c>
      <c r="AJ452" s="13" t="s">
        <v>372</v>
      </c>
      <c r="AK452" s="13"/>
      <c r="AL452" s="13" t="s">
        <v>28</v>
      </c>
      <c r="AN452" s="8">
        <v>340030</v>
      </c>
      <c r="AP452" s="8">
        <v>0</v>
      </c>
      <c r="AT452" s="8">
        <v>0</v>
      </c>
      <c r="AV452" s="8">
        <v>0</v>
      </c>
      <c r="AX452" s="8">
        <v>0</v>
      </c>
      <c r="AZ452" s="8">
        <f t="shared" si="38"/>
        <v>13047976</v>
      </c>
      <c r="BB452" s="8">
        <v>20000</v>
      </c>
      <c r="BH452" s="8">
        <v>0</v>
      </c>
      <c r="BJ452" s="8">
        <f t="shared" si="41"/>
        <v>13067976</v>
      </c>
      <c r="BL452" s="8">
        <f>+GenRev!AM452-GenExp!BJ452</f>
        <v>-1090576</v>
      </c>
      <c r="BN452" s="8">
        <v>4164847</v>
      </c>
      <c r="BP452" s="8">
        <v>0</v>
      </c>
      <c r="BS452" s="8">
        <f t="shared" si="40"/>
        <v>3074271</v>
      </c>
      <c r="BU452" s="9">
        <f>+BS452-'Gen Fd BS'!AA452+BQ452</f>
        <v>0</v>
      </c>
    </row>
    <row r="453" spans="1:75">
      <c r="A453" s="13" t="s">
        <v>540</v>
      </c>
      <c r="B453" s="13"/>
      <c r="C453" s="13" t="s">
        <v>48</v>
      </c>
      <c r="D453" s="13"/>
      <c r="E453" s="32">
        <v>44644</v>
      </c>
      <c r="G453" s="8">
        <v>15509967</v>
      </c>
      <c r="I453" s="8">
        <v>0</v>
      </c>
      <c r="K453" s="8">
        <v>0</v>
      </c>
      <c r="M453" s="8">
        <v>0</v>
      </c>
      <c r="O453" s="8">
        <v>1498642</v>
      </c>
      <c r="Q453" s="8">
        <v>1805544</v>
      </c>
      <c r="S453" s="8">
        <v>32189</v>
      </c>
      <c r="U453" s="8">
        <v>2181816</v>
      </c>
      <c r="W453" s="8">
        <v>376558</v>
      </c>
      <c r="Y453" s="8">
        <v>54058</v>
      </c>
      <c r="AA453" s="8">
        <v>2836612</v>
      </c>
      <c r="AC453" s="8">
        <v>1254309</v>
      </c>
      <c r="AE453" s="8">
        <v>211219</v>
      </c>
      <c r="AG453" s="8">
        <v>0</v>
      </c>
      <c r="AI453" s="8">
        <v>0</v>
      </c>
      <c r="AJ453" s="13" t="s">
        <v>540</v>
      </c>
      <c r="AK453" s="13"/>
      <c r="AL453" s="13" t="s">
        <v>48</v>
      </c>
      <c r="AN453" s="8">
        <v>321541</v>
      </c>
      <c r="AP453" s="8">
        <v>0</v>
      </c>
      <c r="AT453" s="8">
        <v>124274</v>
      </c>
      <c r="AV453" s="8">
        <v>7800</v>
      </c>
      <c r="AX453" s="8">
        <v>0</v>
      </c>
      <c r="AZ453" s="8">
        <f t="shared" si="38"/>
        <v>26214529</v>
      </c>
      <c r="BB453" s="8">
        <v>0</v>
      </c>
      <c r="BH453" s="8">
        <v>0</v>
      </c>
      <c r="BJ453" s="8">
        <f t="shared" si="41"/>
        <v>26214529</v>
      </c>
      <c r="BL453" s="8">
        <f>+GenRev!AM453-GenExp!BJ453</f>
        <v>3061774</v>
      </c>
      <c r="BN453" s="8">
        <v>1834857</v>
      </c>
      <c r="BP453" s="8">
        <v>-91</v>
      </c>
      <c r="BS453" s="8">
        <f t="shared" si="40"/>
        <v>4896722</v>
      </c>
      <c r="BU453" s="9">
        <f>+BS453-'Gen Fd BS'!AA453+BQ453</f>
        <v>0</v>
      </c>
      <c r="BW453" s="8" t="s">
        <v>1009</v>
      </c>
    </row>
    <row r="454" spans="1:75" hidden="1">
      <c r="A454" s="77" t="s">
        <v>1010</v>
      </c>
      <c r="B454" s="13"/>
      <c r="C454" s="13" t="s">
        <v>27</v>
      </c>
      <c r="D454" s="13"/>
      <c r="E454" s="32">
        <v>46995</v>
      </c>
      <c r="AJ454" s="13" t="s">
        <v>361</v>
      </c>
      <c r="AK454" s="13"/>
      <c r="AL454" s="13" t="s">
        <v>27</v>
      </c>
      <c r="AX454" s="8">
        <v>0</v>
      </c>
      <c r="AZ454" s="8">
        <f t="shared" si="38"/>
        <v>0</v>
      </c>
      <c r="BH454" s="8">
        <v>0</v>
      </c>
      <c r="BJ454" s="8">
        <f t="shared" si="41"/>
        <v>0</v>
      </c>
      <c r="BL454" s="8">
        <f>+GenRev!AM454-GenExp!BJ454</f>
        <v>0</v>
      </c>
      <c r="BS454" s="8">
        <f t="shared" si="40"/>
        <v>0</v>
      </c>
      <c r="BU454" s="9">
        <f>+BS454-'Gen Fd BS'!AA454+BQ454</f>
        <v>0</v>
      </c>
      <c r="BW454" s="8" t="s">
        <v>1011</v>
      </c>
    </row>
    <row r="455" spans="1:75">
      <c r="A455" s="13" t="s">
        <v>361</v>
      </c>
      <c r="B455" s="13"/>
      <c r="C455" s="13" t="s">
        <v>62</v>
      </c>
      <c r="D455" s="13"/>
      <c r="E455" s="32">
        <v>49932</v>
      </c>
      <c r="G455" s="8">
        <v>22303267</v>
      </c>
      <c r="I455" s="8">
        <v>4456009</v>
      </c>
      <c r="K455" s="8">
        <v>1814772</v>
      </c>
      <c r="M455" s="8">
        <f>4418+296699</f>
        <v>301117</v>
      </c>
      <c r="O455" s="8">
        <v>2661887</v>
      </c>
      <c r="Q455" s="8">
        <v>2571152</v>
      </c>
      <c r="S455" s="8">
        <v>95440</v>
      </c>
      <c r="U455" s="8">
        <v>3443061</v>
      </c>
      <c r="W455" s="8">
        <v>814309</v>
      </c>
      <c r="Y455" s="8">
        <v>47934</v>
      </c>
      <c r="AA455" s="8">
        <v>4703364</v>
      </c>
      <c r="AC455" s="8">
        <v>2033469</v>
      </c>
      <c r="AE455" s="8">
        <v>199975</v>
      </c>
      <c r="AG455" s="8">
        <v>0</v>
      </c>
      <c r="AI455" s="8">
        <v>0</v>
      </c>
      <c r="AJ455" s="13" t="s">
        <v>361</v>
      </c>
      <c r="AK455" s="13"/>
      <c r="AL455" s="13" t="s">
        <v>62</v>
      </c>
      <c r="AN455" s="8">
        <v>564851</v>
      </c>
      <c r="AP455" s="8">
        <v>0</v>
      </c>
      <c r="AT455" s="8">
        <v>0</v>
      </c>
      <c r="AV455" s="8">
        <v>0</v>
      </c>
      <c r="AX455" s="8">
        <v>0</v>
      </c>
      <c r="AZ455" s="8">
        <f t="shared" si="38"/>
        <v>46010607</v>
      </c>
      <c r="BB455" s="8">
        <v>5600</v>
      </c>
      <c r="BH455" s="8">
        <v>0</v>
      </c>
      <c r="BJ455" s="8">
        <f t="shared" si="41"/>
        <v>46016207</v>
      </c>
      <c r="BL455" s="8">
        <f>+GenRev!AM455-GenExp!BJ455</f>
        <v>-1868566</v>
      </c>
      <c r="BN455" s="8">
        <v>7606551</v>
      </c>
      <c r="BP455" s="8">
        <v>3189</v>
      </c>
      <c r="BS455" s="8">
        <f t="shared" si="40"/>
        <v>5734796</v>
      </c>
      <c r="BU455" s="9">
        <f>+BS455-'Gen Fd BS'!AA455+BQ455</f>
        <v>0</v>
      </c>
    </row>
    <row r="456" spans="1:75">
      <c r="A456" s="13" t="s">
        <v>522</v>
      </c>
      <c r="B456" s="13"/>
      <c r="C456" s="13" t="s">
        <v>46</v>
      </c>
      <c r="D456" s="13"/>
      <c r="E456" s="32">
        <v>48421</v>
      </c>
      <c r="G456" s="8">
        <v>6548178</v>
      </c>
      <c r="I456" s="8">
        <v>705492</v>
      </c>
      <c r="K456" s="8">
        <v>169324</v>
      </c>
      <c r="M456" s="8">
        <v>8041</v>
      </c>
      <c r="O456" s="8">
        <v>245485</v>
      </c>
      <c r="Q456" s="8">
        <v>346789</v>
      </c>
      <c r="S456" s="8">
        <v>93717</v>
      </c>
      <c r="U456" s="8">
        <v>969742</v>
      </c>
      <c r="W456" s="8">
        <v>320611</v>
      </c>
      <c r="Y456" s="8">
        <v>0</v>
      </c>
      <c r="AA456" s="8">
        <v>1064062</v>
      </c>
      <c r="AC456" s="8">
        <v>383642</v>
      </c>
      <c r="AE456" s="8">
        <v>0</v>
      </c>
      <c r="AG456" s="8">
        <v>0</v>
      </c>
      <c r="AI456" s="8">
        <v>0</v>
      </c>
      <c r="AJ456" s="13" t="s">
        <v>522</v>
      </c>
      <c r="AK456" s="13"/>
      <c r="AL456" s="13" t="s">
        <v>46</v>
      </c>
      <c r="AN456" s="8">
        <v>335462</v>
      </c>
      <c r="AP456" s="8">
        <v>3077</v>
      </c>
      <c r="AT456" s="8">
        <v>81765</v>
      </c>
      <c r="AV456" s="8">
        <v>11951</v>
      </c>
      <c r="AX456" s="8">
        <v>0</v>
      </c>
      <c r="AZ456" s="8">
        <f t="shared" ref="AZ456:AZ483" si="42">SUM(G456:AX456)</f>
        <v>11287338</v>
      </c>
      <c r="BB456" s="8">
        <v>19640</v>
      </c>
      <c r="BH456" s="8">
        <v>0</v>
      </c>
      <c r="BJ456" s="8">
        <f t="shared" si="41"/>
        <v>11306978</v>
      </c>
      <c r="BL456" s="8">
        <f>+GenRev!AM456-GenExp!BJ456</f>
        <v>-268146</v>
      </c>
      <c r="BN456" s="8">
        <v>3085481</v>
      </c>
      <c r="BP456" s="8">
        <v>0</v>
      </c>
      <c r="BS456" s="8">
        <f t="shared" si="40"/>
        <v>2817335</v>
      </c>
      <c r="BU456" s="9">
        <f>+BS456-'Gen Fd BS'!AA456+BQ456</f>
        <v>0</v>
      </c>
    </row>
    <row r="457" spans="1:75" ht="12" customHeight="1">
      <c r="A457" s="13" t="s">
        <v>614</v>
      </c>
      <c r="B457" s="13"/>
      <c r="C457" s="13" t="s">
        <v>112</v>
      </c>
      <c r="D457" s="13"/>
      <c r="E457" s="32">
        <v>49460</v>
      </c>
      <c r="F457" s="11"/>
      <c r="G457" s="8">
        <v>3031087</v>
      </c>
      <c r="I457" s="8">
        <v>902169</v>
      </c>
      <c r="K457" s="8">
        <v>215036</v>
      </c>
      <c r="M457" s="8">
        <v>444260</v>
      </c>
      <c r="O457" s="8">
        <v>403266</v>
      </c>
      <c r="Q457" s="8">
        <v>238597</v>
      </c>
      <c r="S457" s="8">
        <v>20512</v>
      </c>
      <c r="U457" s="8">
        <v>727606</v>
      </c>
      <c r="W457" s="8">
        <v>1043487</v>
      </c>
      <c r="Y457" s="8">
        <v>4503</v>
      </c>
      <c r="AA457" s="8">
        <v>896365</v>
      </c>
      <c r="AC457" s="8">
        <v>493477</v>
      </c>
      <c r="AE457" s="8">
        <v>46686</v>
      </c>
      <c r="AG457" s="8">
        <v>0</v>
      </c>
      <c r="AI457" s="8">
        <v>0</v>
      </c>
      <c r="AJ457" s="13" t="s">
        <v>614</v>
      </c>
      <c r="AK457" s="13"/>
      <c r="AL457" s="13" t="s">
        <v>112</v>
      </c>
      <c r="AN457" s="8">
        <v>232024</v>
      </c>
      <c r="AP457" s="8">
        <v>683</v>
      </c>
      <c r="AT457" s="8">
        <v>36593</v>
      </c>
      <c r="AV457" s="8">
        <v>35453</v>
      </c>
      <c r="AX457" s="8">
        <v>0</v>
      </c>
      <c r="AZ457" s="8">
        <f t="shared" si="42"/>
        <v>8771804</v>
      </c>
      <c r="BB457" s="8">
        <v>76000</v>
      </c>
      <c r="BH457" s="8">
        <v>0</v>
      </c>
      <c r="BJ457" s="8">
        <f t="shared" si="41"/>
        <v>8847804</v>
      </c>
      <c r="BL457" s="8">
        <f>+GenRev!AM457-GenExp!BJ457</f>
        <v>-885898</v>
      </c>
      <c r="BN457" s="8">
        <v>2226201</v>
      </c>
      <c r="BP457" s="8">
        <v>0</v>
      </c>
      <c r="BS457" s="8">
        <f t="shared" si="40"/>
        <v>1340303</v>
      </c>
      <c r="BU457" s="9">
        <f>+BS457-'Gen Fd BS'!AA457+BQ457</f>
        <v>0</v>
      </c>
    </row>
    <row r="458" spans="1:75" ht="12" customHeight="1">
      <c r="A458" s="12" t="s">
        <v>514</v>
      </c>
      <c r="B458" s="13"/>
      <c r="C458" s="13" t="s">
        <v>45</v>
      </c>
      <c r="D458" s="13"/>
      <c r="E458" s="32">
        <v>48348</v>
      </c>
      <c r="G458" s="8">
        <v>10694347</v>
      </c>
      <c r="I458" s="8">
        <v>1261659</v>
      </c>
      <c r="K458" s="8">
        <v>102159</v>
      </c>
      <c r="M458" s="8">
        <v>590</v>
      </c>
      <c r="O458" s="8">
        <v>1185156</v>
      </c>
      <c r="Q458" s="8">
        <v>371582</v>
      </c>
      <c r="S458" s="8">
        <v>25427</v>
      </c>
      <c r="U458" s="8">
        <v>1341124</v>
      </c>
      <c r="W458" s="8">
        <v>546476</v>
      </c>
      <c r="Y458" s="8">
        <v>480</v>
      </c>
      <c r="AA458" s="8">
        <v>2368815</v>
      </c>
      <c r="AC458" s="8">
        <v>971922</v>
      </c>
      <c r="AE458" s="8">
        <v>8957</v>
      </c>
      <c r="AG458" s="8">
        <v>0</v>
      </c>
      <c r="AI458" s="8">
        <v>0</v>
      </c>
      <c r="AJ458" s="13" t="s">
        <v>514</v>
      </c>
      <c r="AK458" s="13"/>
      <c r="AL458" s="13" t="s">
        <v>45</v>
      </c>
      <c r="AN458" s="8">
        <v>384286</v>
      </c>
      <c r="AP458" s="8">
        <v>0</v>
      </c>
      <c r="AT458" s="8">
        <v>0</v>
      </c>
      <c r="AV458" s="8">
        <v>0</v>
      </c>
      <c r="AX458" s="8">
        <v>0</v>
      </c>
      <c r="AZ458" s="8">
        <f t="shared" si="42"/>
        <v>19262980</v>
      </c>
      <c r="BB458" s="8">
        <v>0</v>
      </c>
      <c r="BH458" s="8">
        <v>0</v>
      </c>
      <c r="BJ458" s="8">
        <f t="shared" si="41"/>
        <v>19262980</v>
      </c>
      <c r="BL458" s="8">
        <f>+GenRev!AM458-GenExp!BJ458</f>
        <v>-92565</v>
      </c>
      <c r="BN458" s="8">
        <v>2516101</v>
      </c>
      <c r="BP458" s="8">
        <v>0</v>
      </c>
      <c r="BS458" s="8">
        <f t="shared" si="40"/>
        <v>2423536</v>
      </c>
      <c r="BU458" s="9">
        <f>+BS458-'Gen Fd BS'!AA461+BQ458</f>
        <v>0</v>
      </c>
      <c r="BW458" s="15" t="s">
        <v>1012</v>
      </c>
    </row>
    <row r="459" spans="1:75" ht="12" customHeight="1">
      <c r="A459" s="13" t="s">
        <v>575</v>
      </c>
      <c r="B459" s="13"/>
      <c r="C459" s="13" t="s">
        <v>53</v>
      </c>
      <c r="D459" s="13"/>
      <c r="E459" s="32">
        <v>44651</v>
      </c>
      <c r="G459" s="8">
        <v>8358467</v>
      </c>
      <c r="I459" s="8">
        <v>1839751</v>
      </c>
      <c r="K459" s="8">
        <v>124301</v>
      </c>
      <c r="M459" s="8">
        <v>745623</v>
      </c>
      <c r="O459" s="8">
        <v>1700258</v>
      </c>
      <c r="Q459" s="8">
        <v>448540</v>
      </c>
      <c r="S459" s="8">
        <v>20045</v>
      </c>
      <c r="U459" s="8">
        <v>1367881</v>
      </c>
      <c r="W459" s="8">
        <v>682596</v>
      </c>
      <c r="Y459" s="8">
        <v>0</v>
      </c>
      <c r="AA459" s="8">
        <v>2246746</v>
      </c>
      <c r="AC459" s="8">
        <v>1175755</v>
      </c>
      <c r="AE459" s="8">
        <v>84347</v>
      </c>
      <c r="AG459" s="8">
        <v>0</v>
      </c>
      <c r="AI459" s="8">
        <v>24531</v>
      </c>
      <c r="AJ459" s="13" t="s">
        <v>575</v>
      </c>
      <c r="AK459" s="13"/>
      <c r="AL459" s="13" t="s">
        <v>53</v>
      </c>
      <c r="AN459" s="8">
        <v>371787</v>
      </c>
      <c r="AP459" s="8">
        <v>63672</v>
      </c>
      <c r="AT459" s="8">
        <v>0</v>
      </c>
      <c r="AV459" s="8">
        <v>0</v>
      </c>
      <c r="AX459" s="8">
        <v>0</v>
      </c>
      <c r="AZ459" s="8">
        <f t="shared" si="42"/>
        <v>19254300</v>
      </c>
      <c r="BB459" s="8">
        <v>411970</v>
      </c>
      <c r="BH459" s="8">
        <v>0</v>
      </c>
      <c r="BJ459" s="8">
        <f t="shared" si="41"/>
        <v>19666270</v>
      </c>
      <c r="BL459" s="8">
        <f>+GenRev!AM459-GenExp!BJ459</f>
        <v>861323</v>
      </c>
      <c r="BN459" s="8">
        <v>6445167</v>
      </c>
      <c r="BP459" s="8">
        <v>0</v>
      </c>
      <c r="BS459" s="8">
        <f t="shared" si="40"/>
        <v>7306490</v>
      </c>
      <c r="BU459" s="9">
        <f>+BS459-'Gen Fd BS'!AA462+BQ459</f>
        <v>0</v>
      </c>
    </row>
    <row r="460" spans="1:75" ht="12" customHeight="1">
      <c r="A460" s="13" t="s">
        <v>631</v>
      </c>
      <c r="B460" s="13"/>
      <c r="C460" s="13" t="s">
        <v>59</v>
      </c>
      <c r="D460" s="13"/>
      <c r="E460" s="32">
        <v>44669</v>
      </c>
      <c r="G460" s="8">
        <v>12348354</v>
      </c>
      <c r="I460" s="8">
        <v>1822824</v>
      </c>
      <c r="K460" s="8">
        <v>467008</v>
      </c>
      <c r="M460" s="8">
        <f>99507+35600</f>
        <v>135107</v>
      </c>
      <c r="O460" s="8">
        <v>803436</v>
      </c>
      <c r="Q460" s="8">
        <v>1070314</v>
      </c>
      <c r="S460" s="8">
        <v>24501</v>
      </c>
      <c r="U460" s="8">
        <v>1527892</v>
      </c>
      <c r="W460" s="8">
        <v>641556</v>
      </c>
      <c r="Y460" s="8">
        <v>61611</v>
      </c>
      <c r="AA460" s="8">
        <v>2506808</v>
      </c>
      <c r="AC460" s="8">
        <v>472355</v>
      </c>
      <c r="AE460" s="8">
        <v>337920</v>
      </c>
      <c r="AG460" s="8">
        <v>905</v>
      </c>
      <c r="AI460" s="8">
        <v>135</v>
      </c>
      <c r="AJ460" s="13" t="s">
        <v>631</v>
      </c>
      <c r="AK460" s="13"/>
      <c r="AL460" s="13" t="s">
        <v>59</v>
      </c>
      <c r="AN460" s="8">
        <v>249603</v>
      </c>
      <c r="AP460" s="8">
        <v>228040</v>
      </c>
      <c r="AT460" s="8">
        <v>8277</v>
      </c>
      <c r="AV460" s="8">
        <v>2204</v>
      </c>
      <c r="AX460" s="8">
        <v>0</v>
      </c>
      <c r="AZ460" s="8">
        <f t="shared" si="42"/>
        <v>22708850</v>
      </c>
      <c r="BB460" s="8">
        <f>2400-543</f>
        <v>1857</v>
      </c>
      <c r="BH460" s="8">
        <v>0</v>
      </c>
      <c r="BJ460" s="8">
        <f t="shared" si="41"/>
        <v>22710707</v>
      </c>
      <c r="BL460" s="8">
        <f>+GenRev!AM460-GenExp!BJ460</f>
        <v>360073</v>
      </c>
      <c r="BN460" s="8">
        <v>529970</v>
      </c>
      <c r="BP460" s="8">
        <v>0</v>
      </c>
      <c r="BS460" s="8">
        <f t="shared" si="40"/>
        <v>890043</v>
      </c>
      <c r="BU460" s="9">
        <f>+BS460-'Gen Fd BS'!AA463+BQ460</f>
        <v>0</v>
      </c>
    </row>
    <row r="461" spans="1:75" ht="12" hidden="1" customHeight="1">
      <c r="A461" s="12" t="s">
        <v>1013</v>
      </c>
      <c r="B461" s="13"/>
      <c r="C461" s="13" t="s">
        <v>57</v>
      </c>
      <c r="D461" s="13"/>
      <c r="E461" s="32">
        <v>49288</v>
      </c>
      <c r="G461" s="8">
        <v>5108555</v>
      </c>
      <c r="I461" s="8">
        <v>1029614</v>
      </c>
      <c r="K461" s="8">
        <v>410720</v>
      </c>
      <c r="O461" s="8">
        <v>651695</v>
      </c>
      <c r="Q461" s="8">
        <v>471412</v>
      </c>
      <c r="S461" s="8">
        <v>52520</v>
      </c>
      <c r="U461" s="8">
        <v>1097918</v>
      </c>
      <c r="W461" s="8">
        <v>400842</v>
      </c>
      <c r="Y461" s="8">
        <v>3437</v>
      </c>
      <c r="AA461" s="8">
        <v>1709422</v>
      </c>
      <c r="AC461" s="8">
        <v>836282</v>
      </c>
      <c r="AE461" s="8">
        <v>283932</v>
      </c>
      <c r="AJ461" s="13" t="s">
        <v>599</v>
      </c>
      <c r="AK461" s="13"/>
      <c r="AL461" s="13" t="s">
        <v>57</v>
      </c>
      <c r="AN461" s="8">
        <v>210053</v>
      </c>
      <c r="AP461" s="8">
        <v>5010</v>
      </c>
      <c r="AX461" s="8">
        <v>0</v>
      </c>
      <c r="AZ461" s="8">
        <f t="shared" si="42"/>
        <v>12271412</v>
      </c>
      <c r="BB461" s="8">
        <v>23655</v>
      </c>
      <c r="BD461" s="8">
        <f>106733-101268</f>
        <v>5465</v>
      </c>
      <c r="BH461" s="8">
        <v>0</v>
      </c>
      <c r="BJ461" s="8">
        <f t="shared" si="41"/>
        <v>12300532</v>
      </c>
      <c r="BL461" s="8">
        <f>+GenRev!AM461-GenExp!BJ461</f>
        <v>1469092</v>
      </c>
      <c r="BN461" s="8">
        <v>4694512</v>
      </c>
      <c r="BS461" s="8">
        <f t="shared" si="40"/>
        <v>6163604</v>
      </c>
      <c r="BU461" s="9">
        <f>+BS461-'Gen Fd BS'!AA464+BQ461</f>
        <v>0</v>
      </c>
    </row>
    <row r="462" spans="1:75" ht="12" customHeight="1">
      <c r="A462" s="13" t="s">
        <v>405</v>
      </c>
      <c r="B462" s="13"/>
      <c r="C462" s="13" t="s">
        <v>32</v>
      </c>
      <c r="D462" s="13"/>
      <c r="E462" s="32">
        <v>44677</v>
      </c>
      <c r="G462" s="8">
        <v>29010449</v>
      </c>
      <c r="I462" s="8">
        <v>6652725</v>
      </c>
      <c r="K462" s="8">
        <v>0</v>
      </c>
      <c r="M462" s="8">
        <v>3809755</v>
      </c>
      <c r="O462" s="8">
        <v>3883675</v>
      </c>
      <c r="Q462" s="8">
        <v>5718975</v>
      </c>
      <c r="S462" s="8">
        <v>288917</v>
      </c>
      <c r="U462" s="8">
        <v>5784258</v>
      </c>
      <c r="W462" s="8">
        <v>2262120</v>
      </c>
      <c r="Y462" s="8">
        <v>501599</v>
      </c>
      <c r="AA462" s="8">
        <v>7849363</v>
      </c>
      <c r="AC462" s="8">
        <v>4520657</v>
      </c>
      <c r="AE462" s="8">
        <v>1380999</v>
      </c>
      <c r="AG462" s="8">
        <v>0</v>
      </c>
      <c r="AI462" s="8">
        <v>208441</v>
      </c>
      <c r="AJ462" s="13" t="s">
        <v>405</v>
      </c>
      <c r="AK462" s="13"/>
      <c r="AL462" s="13" t="s">
        <v>32</v>
      </c>
      <c r="AN462" s="8">
        <v>395299</v>
      </c>
      <c r="AP462" s="8">
        <v>2528</v>
      </c>
      <c r="AT462" s="8">
        <v>0</v>
      </c>
      <c r="AV462" s="8">
        <v>0</v>
      </c>
      <c r="AX462" s="8">
        <v>0</v>
      </c>
      <c r="AZ462" s="8">
        <f t="shared" si="42"/>
        <v>72269760</v>
      </c>
      <c r="BB462" s="8">
        <v>1902458</v>
      </c>
      <c r="BH462" s="8">
        <v>0</v>
      </c>
      <c r="BJ462" s="8">
        <f t="shared" si="41"/>
        <v>74172218</v>
      </c>
      <c r="BL462" s="8">
        <f>+GenRev!AM462-GenExp!BJ462</f>
        <v>-1419824</v>
      </c>
      <c r="BN462" s="8">
        <v>35958389</v>
      </c>
      <c r="BP462" s="8">
        <v>0</v>
      </c>
      <c r="BS462" s="8">
        <f t="shared" si="40"/>
        <v>34538565</v>
      </c>
      <c r="BU462" s="9">
        <f>+BS462-'Gen Fd BS'!AA465+BQ462</f>
        <v>0</v>
      </c>
    </row>
    <row r="463" spans="1:75" ht="12" customHeight="1">
      <c r="A463" s="13" t="s">
        <v>222</v>
      </c>
      <c r="B463" s="13"/>
      <c r="C463" s="13" t="s">
        <v>12</v>
      </c>
      <c r="D463" s="13"/>
      <c r="E463" s="32">
        <v>45880</v>
      </c>
      <c r="G463" s="8">
        <v>4632376</v>
      </c>
      <c r="I463" s="8">
        <v>1079453</v>
      </c>
      <c r="K463" s="8">
        <v>228709</v>
      </c>
      <c r="M463" s="8">
        <v>579489</v>
      </c>
      <c r="O463" s="8">
        <v>614337</v>
      </c>
      <c r="Q463" s="8">
        <v>148383</v>
      </c>
      <c r="S463" s="8">
        <v>24208</v>
      </c>
      <c r="U463" s="8">
        <v>1059606</v>
      </c>
      <c r="W463" s="8">
        <v>304791</v>
      </c>
      <c r="Y463" s="8">
        <v>51861</v>
      </c>
      <c r="AA463" s="8">
        <v>1184171</v>
      </c>
      <c r="AC463" s="8">
        <v>973267</v>
      </c>
      <c r="AE463" s="8">
        <v>62231</v>
      </c>
      <c r="AG463" s="8">
        <v>0</v>
      </c>
      <c r="AI463" s="8">
        <v>26504</v>
      </c>
      <c r="AJ463" s="13" t="s">
        <v>222</v>
      </c>
      <c r="AK463" s="13"/>
      <c r="AL463" s="13" t="s">
        <v>12</v>
      </c>
      <c r="AN463" s="8">
        <v>321782</v>
      </c>
      <c r="AP463" s="8">
        <v>0</v>
      </c>
      <c r="AT463" s="8">
        <v>238803</v>
      </c>
      <c r="AV463" s="8">
        <v>0</v>
      </c>
      <c r="AX463" s="8">
        <v>0</v>
      </c>
      <c r="AZ463" s="8">
        <f t="shared" si="42"/>
        <v>11529971</v>
      </c>
      <c r="BB463" s="8">
        <v>83374</v>
      </c>
      <c r="BH463" s="8">
        <v>0</v>
      </c>
      <c r="BJ463" s="8">
        <f t="shared" si="41"/>
        <v>11613345</v>
      </c>
      <c r="BL463" s="8">
        <f>+GenRev!AM463-GenExp!BJ463</f>
        <v>-220466</v>
      </c>
      <c r="BN463" s="8">
        <v>745709</v>
      </c>
      <c r="BP463" s="8">
        <v>0</v>
      </c>
      <c r="BS463" s="8">
        <f t="shared" si="40"/>
        <v>525243</v>
      </c>
      <c r="BU463" s="9">
        <f>+BS463-'Gen Fd BS'!AA466+BQ463</f>
        <v>0</v>
      </c>
    </row>
    <row r="464" spans="1:75" ht="12" customHeight="1">
      <c r="A464" s="12" t="s">
        <v>866</v>
      </c>
      <c r="B464" s="12"/>
      <c r="C464" s="12" t="s">
        <v>56</v>
      </c>
      <c r="D464" s="12"/>
      <c r="E464" s="32"/>
      <c r="G464" s="8">
        <v>11234711</v>
      </c>
      <c r="I464" s="8">
        <v>3546774</v>
      </c>
      <c r="K464" s="8">
        <v>390364</v>
      </c>
      <c r="M464" s="8">
        <f>24217+1431913</f>
        <v>1456130</v>
      </c>
      <c r="O464" s="8">
        <v>1163508</v>
      </c>
      <c r="Q464" s="8">
        <v>698806</v>
      </c>
      <c r="S464" s="8">
        <v>47480</v>
      </c>
      <c r="U464" s="8">
        <v>2456007</v>
      </c>
      <c r="W464" s="8">
        <v>653035</v>
      </c>
      <c r="Y464" s="8">
        <v>290305</v>
      </c>
      <c r="AA464" s="8">
        <v>2699125</v>
      </c>
      <c r="AC464" s="8">
        <v>1216431</v>
      </c>
      <c r="AE464" s="8">
        <v>655502</v>
      </c>
      <c r="AG464" s="8">
        <v>59519</v>
      </c>
      <c r="AI464" s="8">
        <v>0</v>
      </c>
      <c r="AJ464" s="13" t="s">
        <v>799</v>
      </c>
      <c r="AK464" s="13"/>
      <c r="AL464" s="13" t="s">
        <v>56</v>
      </c>
      <c r="AN464" s="8">
        <v>518720</v>
      </c>
      <c r="AP464" s="8">
        <v>64915</v>
      </c>
      <c r="AT464" s="8">
        <v>0</v>
      </c>
      <c r="AV464" s="8">
        <v>0</v>
      </c>
      <c r="AX464" s="8">
        <v>0</v>
      </c>
      <c r="AZ464" s="8">
        <f t="shared" si="42"/>
        <v>27151332</v>
      </c>
      <c r="BB464" s="8">
        <v>200000</v>
      </c>
      <c r="BH464" s="8">
        <v>0</v>
      </c>
      <c r="BJ464" s="8">
        <f t="shared" si="41"/>
        <v>27351332</v>
      </c>
      <c r="BL464" s="8">
        <f>+GenRev!AM464-GenExp!BJ464</f>
        <v>17539</v>
      </c>
      <c r="BN464" s="8">
        <v>290952</v>
      </c>
      <c r="BP464" s="8">
        <v>0</v>
      </c>
      <c r="BS464" s="8">
        <f t="shared" si="40"/>
        <v>308491</v>
      </c>
      <c r="BU464" s="9">
        <f>+BS464-'Gen Fd BS'!AA467+BQ464</f>
        <v>0</v>
      </c>
    </row>
    <row r="465" spans="1:75" ht="12" customHeight="1">
      <c r="A465" s="13" t="s">
        <v>406</v>
      </c>
      <c r="B465" s="13"/>
      <c r="C465" s="13" t="s">
        <v>32</v>
      </c>
      <c r="D465" s="13"/>
      <c r="E465" s="32">
        <v>44693</v>
      </c>
      <c r="F465" s="11"/>
      <c r="G465" s="8">
        <v>6728430</v>
      </c>
      <c r="I465" s="8">
        <v>1716352</v>
      </c>
      <c r="K465" s="8">
        <v>96787</v>
      </c>
      <c r="M465" s="8">
        <v>329596</v>
      </c>
      <c r="O465" s="8">
        <v>878974</v>
      </c>
      <c r="Q465" s="8">
        <v>487009</v>
      </c>
      <c r="S465" s="8">
        <v>35460</v>
      </c>
      <c r="U465" s="8">
        <v>1281717</v>
      </c>
      <c r="W465" s="8">
        <v>412435</v>
      </c>
      <c r="Y465" s="8">
        <v>25713</v>
      </c>
      <c r="AA465" s="8">
        <v>967185</v>
      </c>
      <c r="AC465" s="8">
        <v>165096</v>
      </c>
      <c r="AE465" s="8">
        <v>252167</v>
      </c>
      <c r="AG465" s="8">
        <v>0</v>
      </c>
      <c r="AI465" s="8">
        <v>12035</v>
      </c>
      <c r="AJ465" s="13" t="s">
        <v>406</v>
      </c>
      <c r="AK465" s="13"/>
      <c r="AL465" s="13" t="s">
        <v>32</v>
      </c>
      <c r="AN465" s="8">
        <v>473936</v>
      </c>
      <c r="AP465" s="8">
        <v>0</v>
      </c>
      <c r="AT465" s="8">
        <v>56511</v>
      </c>
      <c r="AV465" s="8">
        <v>18321</v>
      </c>
      <c r="AX465" s="8">
        <v>0</v>
      </c>
      <c r="AZ465" s="8">
        <f t="shared" si="42"/>
        <v>13937724</v>
      </c>
      <c r="BB465" s="8">
        <f>55383-3052</f>
        <v>52331</v>
      </c>
      <c r="BH465" s="8">
        <v>0</v>
      </c>
      <c r="BJ465" s="8">
        <f t="shared" si="41"/>
        <v>13990055</v>
      </c>
      <c r="BL465" s="8">
        <f>+GenRev!AM465-GenExp!BJ465</f>
        <v>-504804</v>
      </c>
      <c r="BN465" s="8">
        <v>2575585</v>
      </c>
      <c r="BP465" s="8">
        <v>0</v>
      </c>
      <c r="BS465" s="8">
        <f t="shared" si="40"/>
        <v>2070781</v>
      </c>
      <c r="BU465" s="9">
        <f>+BS465-'Gen Fd BS'!AA468+BQ465</f>
        <v>0</v>
      </c>
    </row>
    <row r="466" spans="1:75" ht="12" customHeight="1">
      <c r="A466" s="13" t="s">
        <v>670</v>
      </c>
      <c r="B466" s="13"/>
      <c r="C466" s="13" t="s">
        <v>63</v>
      </c>
      <c r="D466" s="13"/>
      <c r="E466" s="32">
        <v>50054</v>
      </c>
      <c r="G466" s="8">
        <v>13875403</v>
      </c>
      <c r="I466" s="8">
        <v>2566747</v>
      </c>
      <c r="K466" s="8">
        <v>446816</v>
      </c>
      <c r="M466" s="8">
        <v>540204</v>
      </c>
      <c r="O466" s="8">
        <v>1242979</v>
      </c>
      <c r="Q466" s="8">
        <v>731255</v>
      </c>
      <c r="S466" s="8">
        <v>415496</v>
      </c>
      <c r="U466" s="8">
        <v>2071642</v>
      </c>
      <c r="W466" s="8">
        <v>929041</v>
      </c>
      <c r="Y466" s="8">
        <v>65816</v>
      </c>
      <c r="AA466" s="8">
        <v>3440166</v>
      </c>
      <c r="AC466" s="8">
        <v>2003387</v>
      </c>
      <c r="AE466" s="8">
        <v>222286</v>
      </c>
      <c r="AG466" s="8">
        <v>0</v>
      </c>
      <c r="AI466" s="8">
        <v>0</v>
      </c>
      <c r="AJ466" s="13" t="s">
        <v>670</v>
      </c>
      <c r="AK466" s="13"/>
      <c r="AL466" s="13" t="s">
        <v>63</v>
      </c>
      <c r="AN466" s="8">
        <v>755094</v>
      </c>
      <c r="AP466" s="8">
        <v>9403</v>
      </c>
      <c r="AT466" s="8">
        <v>0</v>
      </c>
      <c r="AV466" s="8">
        <v>0</v>
      </c>
      <c r="AX466" s="8">
        <v>0</v>
      </c>
      <c r="AZ466" s="8">
        <f t="shared" si="42"/>
        <v>29315735</v>
      </c>
      <c r="BB466" s="8">
        <v>125000</v>
      </c>
      <c r="BH466" s="8">
        <v>0</v>
      </c>
      <c r="BJ466" s="8">
        <f t="shared" si="41"/>
        <v>29440735</v>
      </c>
      <c r="BL466" s="8">
        <f>+GenRev!AM466-GenExp!BJ466</f>
        <v>740446</v>
      </c>
      <c r="BN466" s="8">
        <v>13009885</v>
      </c>
      <c r="BP466" s="8">
        <v>0</v>
      </c>
      <c r="BS466" s="8">
        <f t="shared" si="40"/>
        <v>13750331</v>
      </c>
      <c r="BU466" s="9">
        <f>+BS466-'Gen Fd BS'!AA469+BQ466</f>
        <v>0</v>
      </c>
    </row>
    <row r="467" spans="1:75" ht="12" customHeight="1">
      <c r="A467" s="13" t="s">
        <v>362</v>
      </c>
      <c r="B467" s="13"/>
      <c r="C467" s="13" t="s">
        <v>27</v>
      </c>
      <c r="D467" s="13"/>
      <c r="E467" s="32">
        <v>47001</v>
      </c>
      <c r="G467" s="8">
        <v>27111339</v>
      </c>
      <c r="I467" s="8">
        <v>2596255</v>
      </c>
      <c r="K467" s="8">
        <v>129809</v>
      </c>
      <c r="M467" s="8">
        <f>500+61446</f>
        <v>61946</v>
      </c>
      <c r="O467" s="8">
        <v>10620085</v>
      </c>
      <c r="Q467" s="8">
        <v>1248974</v>
      </c>
      <c r="S467" s="8">
        <v>58901</v>
      </c>
      <c r="U467" s="8">
        <v>5829698</v>
      </c>
      <c r="W467" s="8">
        <v>1474488</v>
      </c>
      <c r="Y467" s="8">
        <v>355126</v>
      </c>
      <c r="AA467" s="8">
        <v>5456967</v>
      </c>
      <c r="AC467" s="8">
        <v>3150069</v>
      </c>
      <c r="AE467" s="8">
        <v>428936</v>
      </c>
      <c r="AG467" s="8">
        <v>0</v>
      </c>
      <c r="AI467" s="8">
        <v>0</v>
      </c>
      <c r="AJ467" s="13" t="s">
        <v>362</v>
      </c>
      <c r="AK467" s="13"/>
      <c r="AL467" s="13" t="s">
        <v>27</v>
      </c>
      <c r="AN467" s="8">
        <v>983535</v>
      </c>
      <c r="AP467" s="8">
        <v>0</v>
      </c>
      <c r="AT467" s="8">
        <v>44542</v>
      </c>
      <c r="AV467" s="8">
        <v>8441</v>
      </c>
      <c r="AX467" s="8">
        <v>0</v>
      </c>
      <c r="AZ467" s="8">
        <f t="shared" si="42"/>
        <v>59559111</v>
      </c>
      <c r="BB467" s="8">
        <v>14234</v>
      </c>
      <c r="BH467" s="8">
        <v>0</v>
      </c>
      <c r="BJ467" s="8">
        <f t="shared" si="41"/>
        <v>59573345</v>
      </c>
      <c r="BL467" s="8">
        <f>+GenRev!AM467-GenExp!BJ467</f>
        <v>-5293568</v>
      </c>
      <c r="BN467" s="8">
        <v>6252355</v>
      </c>
      <c r="BP467" s="8">
        <v>16381</v>
      </c>
      <c r="BS467" s="8">
        <f t="shared" si="40"/>
        <v>942406</v>
      </c>
      <c r="BU467" s="9">
        <f>+BS467-'Gen Fd BS'!AA470+BQ467</f>
        <v>0</v>
      </c>
    </row>
    <row r="468" spans="1:75" ht="12" customHeight="1">
      <c r="A468" s="13" t="s">
        <v>318</v>
      </c>
      <c r="B468" s="13"/>
      <c r="C468" s="13" t="s">
        <v>20</v>
      </c>
      <c r="D468" s="13"/>
      <c r="E468" s="32">
        <v>46599</v>
      </c>
      <c r="F468" s="11"/>
      <c r="G468" s="8">
        <v>4875459</v>
      </c>
      <c r="I468" s="8">
        <v>1221704</v>
      </c>
      <c r="K468" s="8">
        <v>123878</v>
      </c>
      <c r="M468" s="8">
        <v>0</v>
      </c>
      <c r="O468" s="8">
        <v>732917</v>
      </c>
      <c r="Q468" s="8">
        <v>132010</v>
      </c>
      <c r="S468" s="8">
        <v>104627</v>
      </c>
      <c r="U468" s="8">
        <v>1045110</v>
      </c>
      <c r="W468" s="8">
        <v>358884</v>
      </c>
      <c r="Y468" s="8">
        <v>87691</v>
      </c>
      <c r="AA468" s="8">
        <v>1132172</v>
      </c>
      <c r="AC468" s="8">
        <v>1008400</v>
      </c>
      <c r="AE468" s="8">
        <v>181135</v>
      </c>
      <c r="AG468" s="8">
        <v>0</v>
      </c>
      <c r="AI468" s="8">
        <v>0</v>
      </c>
      <c r="AJ468" s="13" t="s">
        <v>318</v>
      </c>
      <c r="AK468" s="13"/>
      <c r="AL468" s="13" t="s">
        <v>20</v>
      </c>
      <c r="AN468" s="8">
        <v>153118</v>
      </c>
      <c r="AP468" s="8">
        <v>0</v>
      </c>
      <c r="AT468" s="8">
        <v>62133</v>
      </c>
      <c r="AV468" s="8">
        <v>7750</v>
      </c>
      <c r="AX468" s="8">
        <v>0</v>
      </c>
      <c r="AZ468" s="8">
        <f t="shared" si="42"/>
        <v>11226988</v>
      </c>
      <c r="BB468" s="8">
        <f>54298-2409</f>
        <v>51889</v>
      </c>
      <c r="BH468" s="8">
        <v>0</v>
      </c>
      <c r="BJ468" s="8">
        <f t="shared" si="41"/>
        <v>11278877</v>
      </c>
      <c r="BL468" s="8">
        <f>+GenRev!AM468-GenExp!BJ468</f>
        <v>192539</v>
      </c>
      <c r="BN468" s="8">
        <v>343169</v>
      </c>
      <c r="BP468" s="8">
        <v>0</v>
      </c>
      <c r="BS468" s="8">
        <f t="shared" si="40"/>
        <v>535708</v>
      </c>
      <c r="BU468" s="9">
        <f>+BS468-'Gen Fd BS'!AA471+BQ468</f>
        <v>0</v>
      </c>
    </row>
    <row r="469" spans="1:75" ht="12" customHeight="1">
      <c r="A469" s="13" t="s">
        <v>523</v>
      </c>
      <c r="B469" s="13"/>
      <c r="C469" s="13" t="s">
        <v>46</v>
      </c>
      <c r="D469" s="13"/>
      <c r="E469" s="32">
        <v>48439</v>
      </c>
      <c r="G469" s="8">
        <v>3144921</v>
      </c>
      <c r="I469" s="8">
        <v>388382</v>
      </c>
      <c r="K469" s="8">
        <v>200760</v>
      </c>
      <c r="M469" s="8">
        <v>1215620</v>
      </c>
      <c r="O469" s="8">
        <v>235390</v>
      </c>
      <c r="Q469" s="8">
        <v>195573</v>
      </c>
      <c r="S469" s="8">
        <v>50093</v>
      </c>
      <c r="U469" s="8">
        <v>703805</v>
      </c>
      <c r="W469" s="8">
        <v>236283</v>
      </c>
      <c r="Y469" s="8">
        <v>0</v>
      </c>
      <c r="AA469" s="8">
        <v>586203</v>
      </c>
      <c r="AC469" s="8">
        <v>507301</v>
      </c>
      <c r="AE469" s="8">
        <v>21650</v>
      </c>
      <c r="AG469" s="8">
        <v>0</v>
      </c>
      <c r="AI469" s="8">
        <v>0</v>
      </c>
      <c r="AJ469" s="13" t="s">
        <v>523</v>
      </c>
      <c r="AK469" s="13"/>
      <c r="AL469" s="13" t="s">
        <v>46</v>
      </c>
      <c r="AN469" s="8">
        <v>129978</v>
      </c>
      <c r="AP469" s="8">
        <v>0</v>
      </c>
      <c r="AT469" s="8">
        <v>79073</v>
      </c>
      <c r="AV469" s="8">
        <v>11874</v>
      </c>
      <c r="AX469" s="8">
        <v>0</v>
      </c>
      <c r="AZ469" s="8">
        <f t="shared" si="42"/>
        <v>7706906</v>
      </c>
      <c r="BB469" s="8">
        <v>0</v>
      </c>
      <c r="BH469" s="8">
        <v>0</v>
      </c>
      <c r="BJ469" s="8">
        <f t="shared" si="41"/>
        <v>7706906</v>
      </c>
      <c r="BL469" s="8">
        <f>+GenRev!AM469-GenExp!BJ469</f>
        <v>637841</v>
      </c>
      <c r="BN469" s="8">
        <v>1976061</v>
      </c>
      <c r="BP469" s="8">
        <v>0</v>
      </c>
      <c r="BS469" s="8">
        <f t="shared" si="40"/>
        <v>2613902</v>
      </c>
      <c r="BU469" s="9">
        <f>+BS469-'Gen Fd BS'!AA472+BQ469</f>
        <v>0</v>
      </c>
    </row>
    <row r="470" spans="1:75" ht="12" customHeight="1">
      <c r="A470" s="13" t="s">
        <v>424</v>
      </c>
      <c r="B470" s="13"/>
      <c r="C470" s="13" t="s">
        <v>421</v>
      </c>
      <c r="D470" s="13"/>
      <c r="E470" s="32">
        <v>47506</v>
      </c>
      <c r="G470" s="8">
        <v>2318487</v>
      </c>
      <c r="I470" s="8">
        <v>170504</v>
      </c>
      <c r="K470" s="8">
        <v>159017</v>
      </c>
      <c r="M470" s="8">
        <v>80479</v>
      </c>
      <c r="O470" s="8">
        <v>180759</v>
      </c>
      <c r="Q470" s="8">
        <v>213018</v>
      </c>
      <c r="S470" s="8">
        <v>28551</v>
      </c>
      <c r="U470" s="8">
        <v>610308</v>
      </c>
      <c r="W470" s="8">
        <v>198209</v>
      </c>
      <c r="Y470" s="8">
        <v>0</v>
      </c>
      <c r="AA470" s="8">
        <v>494173</v>
      </c>
      <c r="AC470" s="8">
        <v>330585</v>
      </c>
      <c r="AE470" s="8">
        <v>57113</v>
      </c>
      <c r="AG470" s="8">
        <v>0</v>
      </c>
      <c r="AI470" s="8">
        <v>953</v>
      </c>
      <c r="AJ470" s="13" t="s">
        <v>424</v>
      </c>
      <c r="AK470" s="13"/>
      <c r="AL470" s="13" t="s">
        <v>421</v>
      </c>
      <c r="AN470" s="8">
        <v>120617</v>
      </c>
      <c r="AP470" s="8">
        <v>247</v>
      </c>
      <c r="AT470" s="8">
        <v>0</v>
      </c>
      <c r="AV470" s="8">
        <v>0</v>
      </c>
      <c r="AX470" s="8">
        <v>0</v>
      </c>
      <c r="AZ470" s="8">
        <f t="shared" si="42"/>
        <v>4963020</v>
      </c>
      <c r="BB470" s="8">
        <v>100000</v>
      </c>
      <c r="BH470" s="8">
        <v>0</v>
      </c>
      <c r="BJ470" s="8">
        <f t="shared" si="41"/>
        <v>5063020</v>
      </c>
      <c r="BL470" s="8">
        <f>+GenRev!AM470-GenExp!BJ470</f>
        <v>-235590</v>
      </c>
      <c r="BN470" s="8">
        <v>1114661</v>
      </c>
      <c r="BP470" s="8">
        <v>0</v>
      </c>
      <c r="BS470" s="8">
        <f t="shared" si="40"/>
        <v>879071</v>
      </c>
      <c r="BU470" s="9">
        <f>+BS470-'Gen Fd BS'!AA473+BQ470</f>
        <v>0</v>
      </c>
      <c r="BW470" s="15" t="s">
        <v>905</v>
      </c>
    </row>
    <row r="471" spans="1:75" ht="12" customHeight="1">
      <c r="A471" s="13" t="s">
        <v>288</v>
      </c>
      <c r="B471" s="13"/>
      <c r="C471" s="13" t="s">
        <v>19</v>
      </c>
      <c r="D471" s="13"/>
      <c r="E471" s="32">
        <v>46474</v>
      </c>
      <c r="G471" s="8">
        <v>5008044</v>
      </c>
      <c r="I471" s="8">
        <v>749356</v>
      </c>
      <c r="K471" s="8">
        <v>239124</v>
      </c>
      <c r="M471" s="8">
        <v>78097</v>
      </c>
      <c r="O471" s="8">
        <v>496305</v>
      </c>
      <c r="Q471" s="8">
        <v>431232</v>
      </c>
      <c r="S471" s="8">
        <v>38078</v>
      </c>
      <c r="U471" s="8">
        <v>811169</v>
      </c>
      <c r="W471" s="8">
        <v>325414</v>
      </c>
      <c r="Y471" s="8">
        <v>5446</v>
      </c>
      <c r="AA471" s="8">
        <v>1275816</v>
      </c>
      <c r="AC471" s="8">
        <v>770853</v>
      </c>
      <c r="AE471" s="8">
        <v>4596</v>
      </c>
      <c r="AG471" s="8">
        <v>0</v>
      </c>
      <c r="AI471" s="8">
        <v>0</v>
      </c>
      <c r="AJ471" s="13" t="s">
        <v>288</v>
      </c>
      <c r="AK471" s="13"/>
      <c r="AL471" s="13" t="s">
        <v>19</v>
      </c>
      <c r="AN471" s="8">
        <v>236699</v>
      </c>
      <c r="AP471" s="8">
        <v>0</v>
      </c>
      <c r="AT471" s="8">
        <v>15221</v>
      </c>
      <c r="AV471" s="8">
        <v>11435</v>
      </c>
      <c r="AX471" s="8">
        <v>0</v>
      </c>
      <c r="AZ471" s="8">
        <f t="shared" si="42"/>
        <v>10496885</v>
      </c>
      <c r="BB471" s="8">
        <v>0</v>
      </c>
      <c r="BH471" s="8">
        <v>0</v>
      </c>
      <c r="BJ471" s="8">
        <f t="shared" si="41"/>
        <v>10496885</v>
      </c>
      <c r="BL471" s="8">
        <f>+GenRev!AM471-GenExp!BJ471</f>
        <v>44989</v>
      </c>
      <c r="BN471" s="8">
        <v>2853718</v>
      </c>
      <c r="BP471" s="8">
        <v>0</v>
      </c>
      <c r="BS471" s="8">
        <f t="shared" si="40"/>
        <v>2898707</v>
      </c>
      <c r="BU471" s="9">
        <f>+BS471-'Gen Fd BS'!AA474+BQ471</f>
        <v>0</v>
      </c>
      <c r="BW471" s="8" t="s">
        <v>1014</v>
      </c>
    </row>
    <row r="472" spans="1:75" ht="12" customHeight="1">
      <c r="A472" s="13" t="s">
        <v>867</v>
      </c>
      <c r="B472" s="13"/>
      <c r="C472" s="13" t="s">
        <v>77</v>
      </c>
      <c r="D472" s="13"/>
      <c r="E472" s="32">
        <v>46078</v>
      </c>
      <c r="G472" s="8">
        <v>4233753</v>
      </c>
      <c r="I472" s="8">
        <v>762335</v>
      </c>
      <c r="K472" s="8">
        <v>507334</v>
      </c>
      <c r="M472" s="8">
        <v>28165</v>
      </c>
      <c r="O472" s="8">
        <v>306771</v>
      </c>
      <c r="Q472" s="8">
        <v>625978</v>
      </c>
      <c r="S472" s="8">
        <v>108931</v>
      </c>
      <c r="U472" s="8">
        <v>716952</v>
      </c>
      <c r="W472" s="8">
        <v>286289</v>
      </c>
      <c r="Y472" s="8">
        <v>0</v>
      </c>
      <c r="AA472" s="8">
        <v>995560</v>
      </c>
      <c r="AC472" s="8">
        <v>637969</v>
      </c>
      <c r="AE472" s="8">
        <v>70711</v>
      </c>
      <c r="AG472" s="8">
        <v>0</v>
      </c>
      <c r="AI472" s="8">
        <v>3738</v>
      </c>
      <c r="AJ472" s="13" t="s">
        <v>867</v>
      </c>
      <c r="AK472" s="13"/>
      <c r="AL472" s="13" t="s">
        <v>77</v>
      </c>
      <c r="AN472" s="8">
        <v>106367</v>
      </c>
      <c r="AP472" s="8">
        <v>0</v>
      </c>
      <c r="AT472" s="8">
        <v>26000</v>
      </c>
      <c r="AV472" s="8">
        <v>25947</v>
      </c>
      <c r="AX472" s="8">
        <v>0</v>
      </c>
      <c r="AZ472" s="8">
        <f t="shared" si="42"/>
        <v>9442800</v>
      </c>
      <c r="BB472" s="8">
        <v>0</v>
      </c>
      <c r="BH472" s="8">
        <v>0</v>
      </c>
      <c r="BJ472" s="8">
        <f t="shared" si="41"/>
        <v>9442800</v>
      </c>
      <c r="BL472" s="8">
        <f>+GenRev!AM472-GenExp!BJ472</f>
        <v>356915</v>
      </c>
      <c r="BN472" s="8">
        <v>46119</v>
      </c>
      <c r="BP472" s="8">
        <v>0</v>
      </c>
      <c r="BS472" s="8">
        <f t="shared" si="40"/>
        <v>403034</v>
      </c>
      <c r="BU472" s="9">
        <f>+BS472-'Gen Fd BS'!AA475+BQ472</f>
        <v>0</v>
      </c>
    </row>
    <row r="473" spans="1:75" ht="12" customHeight="1">
      <c r="A473" s="13" t="s">
        <v>724</v>
      </c>
      <c r="B473" s="13"/>
      <c r="C473" s="13" t="s">
        <v>71</v>
      </c>
      <c r="D473" s="13"/>
      <c r="E473" s="32">
        <v>45591</v>
      </c>
      <c r="G473" s="8">
        <v>4281196</v>
      </c>
      <c r="I473" s="8">
        <v>642129</v>
      </c>
      <c r="K473" s="8">
        <v>67129</v>
      </c>
      <c r="M473" s="8">
        <f>46268+2964</f>
        <v>49232</v>
      </c>
      <c r="O473" s="8">
        <v>263821</v>
      </c>
      <c r="Q473" s="8">
        <v>469926</v>
      </c>
      <c r="S473" s="8">
        <v>49970</v>
      </c>
      <c r="U473" s="8">
        <v>690894</v>
      </c>
      <c r="W473" s="8">
        <v>285762</v>
      </c>
      <c r="Y473" s="8">
        <v>0</v>
      </c>
      <c r="AA473" s="8">
        <v>988681</v>
      </c>
      <c r="AC473" s="8">
        <v>265806</v>
      </c>
      <c r="AE473" s="8">
        <v>0</v>
      </c>
      <c r="AG473" s="8">
        <v>0</v>
      </c>
      <c r="AI473" s="8">
        <v>0</v>
      </c>
      <c r="AJ473" s="13" t="s">
        <v>724</v>
      </c>
      <c r="AK473" s="13"/>
      <c r="AL473" s="13" t="s">
        <v>71</v>
      </c>
      <c r="AN473" s="8">
        <v>122177</v>
      </c>
      <c r="AP473" s="8">
        <v>0</v>
      </c>
      <c r="AT473" s="8">
        <v>0</v>
      </c>
      <c r="AV473" s="8">
        <v>0</v>
      </c>
      <c r="AX473" s="8">
        <v>0</v>
      </c>
      <c r="AZ473" s="8">
        <f t="shared" si="42"/>
        <v>8176723</v>
      </c>
      <c r="BB473" s="8">
        <v>0</v>
      </c>
      <c r="BH473" s="8">
        <v>0</v>
      </c>
      <c r="BJ473" s="8">
        <f t="shared" si="41"/>
        <v>8176723</v>
      </c>
      <c r="BL473" s="8">
        <f>+GenRev!AM473-GenExp!BJ473</f>
        <v>965054</v>
      </c>
      <c r="BN473" s="8">
        <v>1763586</v>
      </c>
      <c r="BP473" s="8">
        <v>0</v>
      </c>
      <c r="BS473" s="8">
        <f t="shared" si="40"/>
        <v>2728640</v>
      </c>
      <c r="BU473" s="9">
        <f>+BS473-'Gen Fd BS'!AA476+BQ473</f>
        <v>0</v>
      </c>
    </row>
    <row r="474" spans="1:75" ht="12" customHeight="1">
      <c r="A474" s="13" t="s">
        <v>524</v>
      </c>
      <c r="B474" s="13"/>
      <c r="C474" s="13" t="s">
        <v>46</v>
      </c>
      <c r="D474" s="13"/>
      <c r="E474" s="32">
        <v>48447</v>
      </c>
      <c r="G474" s="8">
        <v>9153004</v>
      </c>
      <c r="I474" s="8">
        <v>1191137</v>
      </c>
      <c r="K474" s="8">
        <v>184412</v>
      </c>
      <c r="M474" s="8">
        <v>0</v>
      </c>
      <c r="O474" s="8">
        <v>424021</v>
      </c>
      <c r="Q474" s="8">
        <v>572850</v>
      </c>
      <c r="S474" s="8">
        <v>17701</v>
      </c>
      <c r="U474" s="8">
        <v>1306724</v>
      </c>
      <c r="W474" s="8">
        <v>442063</v>
      </c>
      <c r="Y474" s="8">
        <v>25058</v>
      </c>
      <c r="AA474" s="8">
        <v>1573655</v>
      </c>
      <c r="AC474" s="8">
        <v>949646</v>
      </c>
      <c r="AE474" s="8">
        <v>71263</v>
      </c>
      <c r="AG474" s="8">
        <v>0</v>
      </c>
      <c r="AI474" s="8">
        <v>0</v>
      </c>
      <c r="AJ474" s="13" t="s">
        <v>524</v>
      </c>
      <c r="AK474" s="13"/>
      <c r="AL474" s="13" t="s">
        <v>46</v>
      </c>
      <c r="AN474" s="8">
        <v>18302</v>
      </c>
      <c r="AP474" s="8">
        <v>0</v>
      </c>
      <c r="AT474" s="8">
        <v>24126</v>
      </c>
      <c r="AV474" s="8">
        <v>1494</v>
      </c>
      <c r="AX474" s="8">
        <v>0</v>
      </c>
      <c r="AZ474" s="8">
        <f t="shared" si="42"/>
        <v>15955456</v>
      </c>
      <c r="BB474" s="8">
        <v>92783</v>
      </c>
      <c r="BH474" s="8">
        <v>0</v>
      </c>
      <c r="BJ474" s="8">
        <f t="shared" si="41"/>
        <v>16048239</v>
      </c>
      <c r="BL474" s="8">
        <f>+GenRev!AM474-GenExp!BJ474</f>
        <v>-546302</v>
      </c>
      <c r="BN474" s="8">
        <v>2867379</v>
      </c>
      <c r="BP474" s="8">
        <v>0</v>
      </c>
      <c r="BS474" s="8">
        <f t="shared" si="40"/>
        <v>2321077</v>
      </c>
      <c r="BU474" s="9">
        <f>+BS474-'Gen Fd BS'!AA477+BQ474</f>
        <v>0</v>
      </c>
    </row>
    <row r="475" spans="1:75" ht="12" customHeight="1">
      <c r="A475" s="13" t="s">
        <v>289</v>
      </c>
      <c r="B475" s="13"/>
      <c r="C475" s="13" t="s">
        <v>19</v>
      </c>
      <c r="D475" s="13"/>
      <c r="E475" s="32">
        <v>46482</v>
      </c>
      <c r="F475" s="11"/>
      <c r="G475" s="8">
        <v>9134308</v>
      </c>
      <c r="I475" s="8">
        <v>1796666</v>
      </c>
      <c r="K475" s="8">
        <v>359383</v>
      </c>
      <c r="M475" s="8">
        <v>0</v>
      </c>
      <c r="O475" s="8">
        <v>622705</v>
      </c>
      <c r="Q475" s="8">
        <v>567164</v>
      </c>
      <c r="S475" s="8">
        <v>63619</v>
      </c>
      <c r="U475" s="8">
        <v>1334065</v>
      </c>
      <c r="W475" s="8">
        <v>566671</v>
      </c>
      <c r="Y475" s="8">
        <v>0</v>
      </c>
      <c r="AA475" s="8">
        <v>1716597</v>
      </c>
      <c r="AC475" s="8">
        <v>1366440</v>
      </c>
      <c r="AE475" s="8">
        <v>259816</v>
      </c>
      <c r="AG475" s="8">
        <v>0</v>
      </c>
      <c r="AI475" s="8">
        <v>0</v>
      </c>
      <c r="AJ475" s="13" t="s">
        <v>289</v>
      </c>
      <c r="AK475" s="13"/>
      <c r="AL475" s="13" t="s">
        <v>19</v>
      </c>
      <c r="AN475" s="8">
        <v>285424</v>
      </c>
      <c r="AP475" s="8">
        <v>0</v>
      </c>
      <c r="AT475" s="8">
        <v>169785</v>
      </c>
      <c r="AV475" s="8">
        <v>75599</v>
      </c>
      <c r="AX475" s="8">
        <v>0</v>
      </c>
      <c r="AZ475" s="8">
        <f t="shared" si="42"/>
        <v>18318242</v>
      </c>
      <c r="BB475" s="8">
        <v>60419</v>
      </c>
      <c r="BH475" s="8">
        <v>0</v>
      </c>
      <c r="BJ475" s="8">
        <f t="shared" si="41"/>
        <v>18378661</v>
      </c>
      <c r="BL475" s="8">
        <f>+GenRev!AM475-GenExp!BJ475</f>
        <v>-125187</v>
      </c>
      <c r="BN475" s="8">
        <v>3118503</v>
      </c>
      <c r="BP475" s="8">
        <v>0</v>
      </c>
      <c r="BS475" s="8">
        <f t="shared" si="40"/>
        <v>2993316</v>
      </c>
      <c r="BU475" s="9">
        <f>+BS475-'Gen Fd BS'!AA478+BQ475</f>
        <v>0</v>
      </c>
    </row>
    <row r="476" spans="1:75" s="35" customFormat="1">
      <c r="A476" s="34" t="s">
        <v>425</v>
      </c>
      <c r="B476" s="34"/>
      <c r="C476" s="34" t="s">
        <v>421</v>
      </c>
      <c r="D476" s="34"/>
      <c r="E476" s="32">
        <v>47514</v>
      </c>
      <c r="G476" s="8">
        <v>4379552</v>
      </c>
      <c r="H476" s="8"/>
      <c r="I476" s="8">
        <v>809781</v>
      </c>
      <c r="J476" s="8"/>
      <c r="K476" s="8">
        <v>247904</v>
      </c>
      <c r="L476" s="8"/>
      <c r="M476" s="8">
        <f>21272+652968</f>
        <v>674240</v>
      </c>
      <c r="N476" s="8"/>
      <c r="O476" s="8">
        <v>226739</v>
      </c>
      <c r="P476" s="8"/>
      <c r="Q476" s="8">
        <v>426500</v>
      </c>
      <c r="R476" s="8"/>
      <c r="S476" s="8">
        <v>107296</v>
      </c>
      <c r="T476" s="8"/>
      <c r="U476" s="8">
        <v>871570</v>
      </c>
      <c r="V476" s="8"/>
      <c r="W476" s="8">
        <v>247571</v>
      </c>
      <c r="X476" s="8"/>
      <c r="Y476" s="8">
        <v>34176</v>
      </c>
      <c r="Z476" s="8"/>
      <c r="AA476" s="8">
        <v>1166897</v>
      </c>
      <c r="AB476" s="8"/>
      <c r="AC476" s="8">
        <v>759640</v>
      </c>
      <c r="AD476" s="8"/>
      <c r="AE476" s="8">
        <v>52040</v>
      </c>
      <c r="AF476" s="8"/>
      <c r="AG476" s="8">
        <v>0</v>
      </c>
      <c r="AH476" s="8"/>
      <c r="AI476" s="8">
        <v>0</v>
      </c>
      <c r="AJ476" s="13" t="s">
        <v>425</v>
      </c>
      <c r="AK476" s="13"/>
      <c r="AL476" s="13" t="s">
        <v>421</v>
      </c>
      <c r="AM476" s="8"/>
      <c r="AN476" s="8">
        <v>305934</v>
      </c>
      <c r="AO476" s="8"/>
      <c r="AP476" s="8">
        <v>0</v>
      </c>
      <c r="AQ476" s="8"/>
      <c r="AR476" s="8"/>
      <c r="AS476" s="8"/>
      <c r="AT476" s="8">
        <v>0</v>
      </c>
      <c r="AU476" s="8"/>
      <c r="AV476" s="8">
        <v>0</v>
      </c>
      <c r="AW476" s="8"/>
      <c r="AX476" s="8">
        <v>0</v>
      </c>
      <c r="AY476" s="8"/>
      <c r="AZ476" s="8">
        <f t="shared" si="42"/>
        <v>10309840</v>
      </c>
      <c r="BA476" s="8"/>
      <c r="BB476" s="8">
        <v>55879</v>
      </c>
      <c r="BC476" s="8"/>
      <c r="BD476" s="8"/>
      <c r="BE476" s="8"/>
      <c r="BF476" s="8"/>
      <c r="BG476" s="8"/>
      <c r="BH476" s="8">
        <v>0</v>
      </c>
      <c r="BI476" s="8"/>
      <c r="BJ476" s="8">
        <f t="shared" si="41"/>
        <v>10365719</v>
      </c>
      <c r="BK476" s="8"/>
      <c r="BL476" s="8">
        <f>+GenRev!AM476-GenExp!BJ476</f>
        <v>-1111823</v>
      </c>
      <c r="BM476" s="8"/>
      <c r="BN476" s="8">
        <v>979997</v>
      </c>
      <c r="BO476" s="8"/>
      <c r="BP476" s="8">
        <v>0</v>
      </c>
      <c r="BQ476" s="8"/>
      <c r="BR476" s="8"/>
      <c r="BS476" s="8">
        <f t="shared" si="40"/>
        <v>-131826</v>
      </c>
      <c r="BT476" s="8"/>
      <c r="BU476" s="9">
        <f>+BS476-'Gen Fd BS'!AA479+BQ476</f>
        <v>0</v>
      </c>
    </row>
    <row r="477" spans="1:75" s="35" customFormat="1">
      <c r="A477" s="34" t="s">
        <v>482</v>
      </c>
      <c r="B477" s="34"/>
      <c r="C477" s="34" t="s">
        <v>41</v>
      </c>
      <c r="D477" s="34"/>
      <c r="E477" s="32"/>
      <c r="G477" s="8">
        <v>19455883</v>
      </c>
      <c r="H477" s="8"/>
      <c r="I477" s="8">
        <v>2694588</v>
      </c>
      <c r="J477" s="8"/>
      <c r="K477" s="8">
        <v>0</v>
      </c>
      <c r="L477" s="8"/>
      <c r="M477" s="8">
        <v>700021</v>
      </c>
      <c r="N477" s="8"/>
      <c r="O477" s="8">
        <v>1682371</v>
      </c>
      <c r="P477" s="8"/>
      <c r="Q477" s="8">
        <v>1290603</v>
      </c>
      <c r="R477" s="8"/>
      <c r="S477" s="8">
        <v>22796</v>
      </c>
      <c r="T477" s="8"/>
      <c r="U477" s="8">
        <v>4255520</v>
      </c>
      <c r="V477" s="8"/>
      <c r="W477" s="8">
        <v>857984</v>
      </c>
      <c r="X477" s="8"/>
      <c r="Y477" s="8">
        <v>104030</v>
      </c>
      <c r="Z477" s="8"/>
      <c r="AA477" s="8">
        <v>5017456</v>
      </c>
      <c r="AB477" s="8"/>
      <c r="AC477" s="8">
        <v>4654579</v>
      </c>
      <c r="AD477" s="8"/>
      <c r="AE477" s="8">
        <v>18595</v>
      </c>
      <c r="AF477" s="8"/>
      <c r="AG477" s="8">
        <v>27790</v>
      </c>
      <c r="AH477" s="8"/>
      <c r="AI477" s="8">
        <v>31918</v>
      </c>
      <c r="AJ477" s="13" t="s">
        <v>482</v>
      </c>
      <c r="AK477" s="13"/>
      <c r="AL477" s="13" t="s">
        <v>41</v>
      </c>
      <c r="AM477" s="8"/>
      <c r="AN477" s="8">
        <v>370136</v>
      </c>
      <c r="AO477" s="8"/>
      <c r="AP477" s="8">
        <v>0</v>
      </c>
      <c r="AQ477" s="8"/>
      <c r="AR477" s="8"/>
      <c r="AS477" s="8"/>
      <c r="AT477" s="8">
        <v>0</v>
      </c>
      <c r="AU477" s="8"/>
      <c r="AV477" s="8">
        <v>0</v>
      </c>
      <c r="AW477" s="8"/>
      <c r="AX477" s="8">
        <v>0</v>
      </c>
      <c r="AY477" s="8"/>
      <c r="AZ477" s="8">
        <f t="shared" si="42"/>
        <v>41184270</v>
      </c>
      <c r="BA477" s="8"/>
      <c r="BB477" s="8">
        <v>240548</v>
      </c>
      <c r="BC477" s="8"/>
      <c r="BD477" s="8"/>
      <c r="BE477" s="8"/>
      <c r="BF477" s="8"/>
      <c r="BG477" s="8"/>
      <c r="BH477" s="8">
        <v>0</v>
      </c>
      <c r="BI477" s="8"/>
      <c r="BJ477" s="8">
        <f t="shared" si="41"/>
        <v>41424818</v>
      </c>
      <c r="BK477" s="8"/>
      <c r="BL477" s="8">
        <f>+GenRev!AM477-GenExp!BJ477</f>
        <v>-1360934</v>
      </c>
      <c r="BM477" s="8"/>
      <c r="BN477" s="8">
        <v>5348770</v>
      </c>
      <c r="BO477" s="8"/>
      <c r="BP477" s="8">
        <v>23570</v>
      </c>
      <c r="BQ477" s="8"/>
      <c r="BR477" s="8"/>
      <c r="BS477" s="8">
        <f t="shared" si="40"/>
        <v>3964266</v>
      </c>
      <c r="BT477" s="8"/>
      <c r="BU477" s="9">
        <f>+BS477-'Gen Fd BS'!AA480+BQ477</f>
        <v>0</v>
      </c>
    </row>
    <row r="478" spans="1:75">
      <c r="A478" s="13" t="s">
        <v>482</v>
      </c>
      <c r="B478" s="13"/>
      <c r="C478" s="13" t="s">
        <v>43</v>
      </c>
      <c r="D478" s="13"/>
      <c r="E478" s="32">
        <v>48090</v>
      </c>
      <c r="G478" s="8">
        <v>3738796</v>
      </c>
      <c r="I478" s="8">
        <v>548288</v>
      </c>
      <c r="K478" s="8">
        <v>147852</v>
      </c>
      <c r="M478" s="8">
        <v>0</v>
      </c>
      <c r="O478" s="8">
        <v>202830</v>
      </c>
      <c r="Q478" s="8">
        <v>423620</v>
      </c>
      <c r="S478" s="8">
        <v>18031</v>
      </c>
      <c r="U478" s="8">
        <v>547980</v>
      </c>
      <c r="W478" s="8">
        <v>278710</v>
      </c>
      <c r="Y478" s="8">
        <v>0</v>
      </c>
      <c r="AA478" s="8">
        <v>664827</v>
      </c>
      <c r="AC478" s="8">
        <v>355740</v>
      </c>
      <c r="AE478" s="8">
        <v>3403</v>
      </c>
      <c r="AG478" s="8">
        <v>0</v>
      </c>
      <c r="AI478" s="8">
        <v>0</v>
      </c>
      <c r="AJ478" s="13" t="s">
        <v>482</v>
      </c>
      <c r="AK478" s="13"/>
      <c r="AL478" s="13" t="s">
        <v>43</v>
      </c>
      <c r="AN478" s="8">
        <v>142231</v>
      </c>
      <c r="AP478" s="8">
        <v>0</v>
      </c>
      <c r="AT478" s="8">
        <v>0</v>
      </c>
      <c r="AV478" s="8">
        <v>0</v>
      </c>
      <c r="AX478" s="8">
        <v>0</v>
      </c>
      <c r="AZ478" s="8">
        <f t="shared" si="42"/>
        <v>7072308</v>
      </c>
      <c r="BB478" s="8">
        <v>0</v>
      </c>
      <c r="BH478" s="8">
        <v>0</v>
      </c>
      <c r="BJ478" s="8">
        <f t="shared" si="41"/>
        <v>7072308</v>
      </c>
      <c r="BL478" s="8">
        <f>+GenRev!AM478-GenExp!BJ478</f>
        <v>-571382</v>
      </c>
      <c r="BN478" s="8">
        <v>123089</v>
      </c>
      <c r="BP478" s="8">
        <v>0</v>
      </c>
      <c r="BS478" s="8">
        <f t="shared" si="40"/>
        <v>-448293</v>
      </c>
      <c r="BU478" s="9">
        <f>+BS478-'Gen Fd BS'!AA481+BQ478</f>
        <v>0</v>
      </c>
    </row>
    <row r="479" spans="1:75">
      <c r="A479" s="13" t="s">
        <v>470</v>
      </c>
      <c r="B479" s="13"/>
      <c r="C479" s="13" t="s">
        <v>466</v>
      </c>
      <c r="D479" s="13"/>
      <c r="E479" s="32">
        <v>47944</v>
      </c>
      <c r="G479" s="8">
        <v>7041655</v>
      </c>
      <c r="I479" s="8">
        <v>2343567</v>
      </c>
      <c r="K479" s="8">
        <v>307712</v>
      </c>
      <c r="M479" s="8">
        <v>1620</v>
      </c>
      <c r="O479" s="8">
        <v>439998</v>
      </c>
      <c r="Q479" s="8">
        <v>355447</v>
      </c>
      <c r="S479" s="8">
        <v>225431</v>
      </c>
      <c r="U479" s="8">
        <v>1360189</v>
      </c>
      <c r="W479" s="8">
        <v>344935</v>
      </c>
      <c r="Y479" s="8">
        <v>0</v>
      </c>
      <c r="AA479" s="8">
        <v>2904981</v>
      </c>
      <c r="AC479" s="8">
        <v>1160883</v>
      </c>
      <c r="AE479" s="8">
        <v>85937</v>
      </c>
      <c r="AG479" s="8">
        <v>0</v>
      </c>
      <c r="AI479" s="8">
        <v>0</v>
      </c>
      <c r="AJ479" s="13" t="s">
        <v>470</v>
      </c>
      <c r="AK479" s="13"/>
      <c r="AL479" s="13" t="s">
        <v>466</v>
      </c>
      <c r="AN479" s="8">
        <v>242487</v>
      </c>
      <c r="AP479" s="8">
        <v>0</v>
      </c>
      <c r="AT479" s="8">
        <v>0</v>
      </c>
      <c r="AV479" s="8">
        <v>0</v>
      </c>
      <c r="AX479" s="8">
        <v>0</v>
      </c>
      <c r="AZ479" s="8">
        <f t="shared" si="42"/>
        <v>16814842</v>
      </c>
      <c r="BB479" s="8">
        <f>107000</f>
        <v>107000</v>
      </c>
      <c r="BH479" s="8">
        <v>0</v>
      </c>
      <c r="BJ479" s="8">
        <f t="shared" si="41"/>
        <v>16921842</v>
      </c>
      <c r="BL479" s="8">
        <f>+GenRev!AM479-GenExp!BJ479</f>
        <v>-385149</v>
      </c>
      <c r="BN479" s="8">
        <v>2479341</v>
      </c>
      <c r="BP479" s="8">
        <v>0</v>
      </c>
      <c r="BS479" s="8">
        <f t="shared" si="40"/>
        <v>2094192</v>
      </c>
      <c r="BU479" s="9">
        <f>+BS479-'Gen Fd BS'!AA482+BQ479</f>
        <v>0</v>
      </c>
      <c r="BW479" s="8" t="s">
        <v>956</v>
      </c>
    </row>
    <row r="480" spans="1:75" ht="12" customHeight="1">
      <c r="A480" s="13" t="s">
        <v>1059</v>
      </c>
      <c r="B480" s="13"/>
      <c r="C480" s="13" t="s">
        <v>20</v>
      </c>
      <c r="D480" s="13"/>
      <c r="E480" s="32">
        <v>44701</v>
      </c>
      <c r="G480" s="8">
        <v>13849057</v>
      </c>
      <c r="I480" s="8">
        <v>3188961</v>
      </c>
      <c r="K480" s="8">
        <v>378009</v>
      </c>
      <c r="M480" s="8">
        <v>28300</v>
      </c>
      <c r="O480" s="8">
        <v>1643675</v>
      </c>
      <c r="Q480" s="8">
        <v>751830</v>
      </c>
      <c r="S480" s="8">
        <v>40458</v>
      </c>
      <c r="U480" s="8">
        <v>1922404</v>
      </c>
      <c r="W480" s="8">
        <v>680337</v>
      </c>
      <c r="Y480" s="8">
        <v>445663</v>
      </c>
      <c r="AA480" s="8">
        <v>3664713</v>
      </c>
      <c r="AC480" s="8">
        <v>1442893</v>
      </c>
      <c r="AE480" s="8">
        <v>691509</v>
      </c>
      <c r="AG480" s="8">
        <v>0</v>
      </c>
      <c r="AI480" s="8">
        <v>4648</v>
      </c>
      <c r="AJ480" s="13" t="s">
        <v>319</v>
      </c>
      <c r="AK480" s="13"/>
      <c r="AL480" s="13" t="s">
        <v>20</v>
      </c>
      <c r="AN480" s="8">
        <v>788521</v>
      </c>
      <c r="AP480" s="8">
        <v>49</v>
      </c>
      <c r="AT480" s="8">
        <v>74123</v>
      </c>
      <c r="AV480" s="8">
        <v>5732</v>
      </c>
      <c r="AX480" s="8">
        <v>0</v>
      </c>
      <c r="AZ480" s="8">
        <f t="shared" si="42"/>
        <v>29600882</v>
      </c>
      <c r="BB480" s="8">
        <v>31000</v>
      </c>
      <c r="BH480" s="8">
        <v>0</v>
      </c>
      <c r="BJ480" s="8">
        <f t="shared" si="41"/>
        <v>29631882</v>
      </c>
      <c r="BL480" s="8">
        <f>+GenRev!AM480-GenExp!BJ480</f>
        <v>1388627</v>
      </c>
      <c r="BN480" s="8">
        <v>-1669917</v>
      </c>
      <c r="BP480" s="8">
        <v>0</v>
      </c>
      <c r="BS480" s="8">
        <f t="shared" si="40"/>
        <v>-281290</v>
      </c>
      <c r="BU480" s="9">
        <f>+BS480-'Gen Fd BS'!AA483+BQ480</f>
        <v>0</v>
      </c>
      <c r="BW480" s="15" t="s">
        <v>905</v>
      </c>
    </row>
    <row r="481" spans="1:75" ht="12" customHeight="1">
      <c r="A481" s="13" t="s">
        <v>391</v>
      </c>
      <c r="B481" s="13"/>
      <c r="C481" s="13" t="s">
        <v>31</v>
      </c>
      <c r="D481" s="13"/>
      <c r="E481" s="32">
        <v>47308</v>
      </c>
      <c r="G481" s="8">
        <v>8081299</v>
      </c>
      <c r="I481" s="8">
        <v>1434773</v>
      </c>
      <c r="K481" s="8">
        <v>322358</v>
      </c>
      <c r="M481" s="8">
        <v>0</v>
      </c>
      <c r="O481" s="8">
        <v>530697</v>
      </c>
      <c r="Q481" s="8">
        <v>656471</v>
      </c>
      <c r="S481" s="8">
        <v>36693</v>
      </c>
      <c r="U481" s="8">
        <v>1383264</v>
      </c>
      <c r="W481" s="8">
        <v>520918</v>
      </c>
      <c r="Y481" s="8">
        <v>0</v>
      </c>
      <c r="AA481" s="8">
        <v>1493641</v>
      </c>
      <c r="AC481" s="8">
        <v>767211</v>
      </c>
      <c r="AE481" s="8">
        <v>16101</v>
      </c>
      <c r="AG481" s="8">
        <v>0</v>
      </c>
      <c r="AI481" s="8">
        <v>211</v>
      </c>
      <c r="AJ481" s="13" t="s">
        <v>391</v>
      </c>
      <c r="AK481" s="13"/>
      <c r="AL481" s="13" t="s">
        <v>31</v>
      </c>
      <c r="AN481" s="8">
        <v>21822</v>
      </c>
      <c r="AP481" s="8">
        <v>76696</v>
      </c>
      <c r="AT481" s="8">
        <v>0</v>
      </c>
      <c r="AV481" s="8">
        <v>0</v>
      </c>
      <c r="AX481" s="8">
        <v>0</v>
      </c>
      <c r="AZ481" s="8">
        <f t="shared" si="42"/>
        <v>15342155</v>
      </c>
      <c r="BB481" s="8">
        <v>310814</v>
      </c>
      <c r="BH481" s="8">
        <v>0</v>
      </c>
      <c r="BJ481" s="8">
        <f t="shared" si="41"/>
        <v>15652969</v>
      </c>
      <c r="BL481" s="8">
        <f>+GenRev!AM481-GenExp!BJ481</f>
        <v>31331</v>
      </c>
      <c r="BN481" s="8">
        <v>1148281</v>
      </c>
      <c r="BP481" s="8">
        <v>0</v>
      </c>
      <c r="BS481" s="8">
        <f t="shared" si="40"/>
        <v>1179612</v>
      </c>
      <c r="BU481" s="9">
        <f>+BS481-'Gen Fd BS'!AA484+BQ481</f>
        <v>0</v>
      </c>
    </row>
    <row r="482" spans="1:75" ht="12" customHeight="1">
      <c r="A482" s="13" t="s">
        <v>593</v>
      </c>
      <c r="B482" s="13"/>
      <c r="C482" s="13" t="s">
        <v>56</v>
      </c>
      <c r="D482" s="13"/>
      <c r="E482" s="32">
        <v>49213</v>
      </c>
      <c r="G482" s="8">
        <v>4998264</v>
      </c>
      <c r="I482" s="8">
        <v>944699</v>
      </c>
      <c r="K482" s="8">
        <v>261152</v>
      </c>
      <c r="M482" s="8">
        <v>440389</v>
      </c>
      <c r="O482" s="8">
        <v>495369</v>
      </c>
      <c r="Q482" s="8">
        <v>400871</v>
      </c>
      <c r="S482" s="8">
        <v>27886</v>
      </c>
      <c r="U482" s="8">
        <v>762128</v>
      </c>
      <c r="W482" s="8">
        <v>337182</v>
      </c>
      <c r="Y482" s="8">
        <v>13347</v>
      </c>
      <c r="AA482" s="8">
        <v>928149</v>
      </c>
      <c r="AC482" s="8">
        <v>566960</v>
      </c>
      <c r="AE482" s="8">
        <v>1000</v>
      </c>
      <c r="AG482" s="8">
        <v>0</v>
      </c>
      <c r="AI482" s="8">
        <v>0</v>
      </c>
      <c r="AJ482" s="13" t="s">
        <v>593</v>
      </c>
      <c r="AK482" s="13"/>
      <c r="AL482" s="13" t="s">
        <v>56</v>
      </c>
      <c r="AN482" s="8">
        <v>251915</v>
      </c>
      <c r="AP482" s="8">
        <v>0</v>
      </c>
      <c r="AT482" s="8">
        <v>0</v>
      </c>
      <c r="AV482" s="8">
        <v>20129</v>
      </c>
      <c r="AX482" s="8">
        <v>0</v>
      </c>
      <c r="AZ482" s="8">
        <f t="shared" si="42"/>
        <v>10449440</v>
      </c>
      <c r="BB482" s="8">
        <v>0</v>
      </c>
      <c r="BH482" s="8">
        <v>0</v>
      </c>
      <c r="BJ482" s="8">
        <f t="shared" si="41"/>
        <v>10449440</v>
      </c>
      <c r="BL482" s="8">
        <f>+GenRev!AM482-GenExp!BJ482</f>
        <v>418271</v>
      </c>
      <c r="BN482" s="8">
        <v>-1297517</v>
      </c>
      <c r="BP482" s="8">
        <v>0</v>
      </c>
      <c r="BS482" s="8">
        <f t="shared" si="40"/>
        <v>-879246</v>
      </c>
      <c r="BU482" s="9">
        <f>+BS482-'Gen Fd BS'!AA485+BQ482</f>
        <v>0</v>
      </c>
    </row>
    <row r="483" spans="1:75" ht="12" customHeight="1">
      <c r="A483" s="12" t="s">
        <v>1060</v>
      </c>
      <c r="B483" s="13"/>
      <c r="C483" s="13" t="s">
        <v>242</v>
      </c>
      <c r="D483" s="13"/>
      <c r="E483" s="32">
        <v>46144</v>
      </c>
      <c r="G483" s="8">
        <v>10616847</v>
      </c>
      <c r="I483" s="8">
        <v>1796388</v>
      </c>
      <c r="K483" s="8">
        <v>0</v>
      </c>
      <c r="M483" s="8">
        <v>401083</v>
      </c>
      <c r="O483" s="8">
        <v>870885</v>
      </c>
      <c r="Q483" s="8">
        <v>893296</v>
      </c>
      <c r="S483" s="8">
        <v>19757</v>
      </c>
      <c r="U483" s="8">
        <v>1844804</v>
      </c>
      <c r="W483" s="8">
        <v>691099</v>
      </c>
      <c r="Y483" s="8">
        <v>0</v>
      </c>
      <c r="AA483" s="8">
        <v>1910760</v>
      </c>
      <c r="AC483" s="8">
        <v>1691627</v>
      </c>
      <c r="AE483" s="8">
        <v>3252</v>
      </c>
      <c r="AG483" s="8">
        <v>0</v>
      </c>
      <c r="AI483" s="8">
        <v>0</v>
      </c>
      <c r="AJ483" s="13" t="s">
        <v>250</v>
      </c>
      <c r="AK483" s="13"/>
      <c r="AL483" s="13" t="s">
        <v>242</v>
      </c>
      <c r="AN483" s="8">
        <v>441858</v>
      </c>
      <c r="AP483" s="8">
        <v>248542</v>
      </c>
      <c r="AT483" s="8">
        <v>140929</v>
      </c>
      <c r="AV483" s="8">
        <v>60429</v>
      </c>
      <c r="AX483" s="8">
        <v>0</v>
      </c>
      <c r="AZ483" s="8">
        <f t="shared" si="42"/>
        <v>21631556</v>
      </c>
      <c r="BB483" s="8">
        <v>11365</v>
      </c>
      <c r="BH483" s="8">
        <v>0</v>
      </c>
      <c r="BJ483" s="8">
        <f t="shared" si="41"/>
        <v>21642921</v>
      </c>
      <c r="BL483" s="8">
        <f>+GenRev!AM483-GenExp!BJ483</f>
        <v>630862</v>
      </c>
      <c r="BN483" s="8">
        <v>2455603</v>
      </c>
      <c r="BP483" s="8">
        <v>0</v>
      </c>
      <c r="BS483" s="8">
        <f t="shared" si="40"/>
        <v>3086465</v>
      </c>
      <c r="BU483" s="9">
        <f>+BS483-'Gen Fd BS'!AA486+BQ483</f>
        <v>0</v>
      </c>
      <c r="BW483" s="15" t="s">
        <v>905</v>
      </c>
    </row>
    <row r="484" spans="1:75" ht="12" customHeight="1">
      <c r="A484" s="13" t="s">
        <v>739</v>
      </c>
      <c r="B484" s="13"/>
      <c r="C484" s="13" t="s">
        <v>72</v>
      </c>
      <c r="D484" s="13"/>
      <c r="E484" s="32">
        <v>45609</v>
      </c>
      <c r="F484" s="11"/>
      <c r="G484" s="8">
        <v>10286654</v>
      </c>
      <c r="I484" s="8">
        <v>2125451</v>
      </c>
      <c r="K484" s="8">
        <v>257458</v>
      </c>
      <c r="M484" s="8">
        <v>18007</v>
      </c>
      <c r="O484" s="8">
        <v>1516787</v>
      </c>
      <c r="Q484" s="8">
        <v>1143931</v>
      </c>
      <c r="S484" s="8">
        <v>49235</v>
      </c>
      <c r="U484" s="8">
        <v>2017091</v>
      </c>
      <c r="W484" s="8">
        <v>416133</v>
      </c>
      <c r="Y484" s="8">
        <v>114137</v>
      </c>
      <c r="AA484" s="8">
        <v>2313927</v>
      </c>
      <c r="AC484" s="8">
        <v>1091821</v>
      </c>
      <c r="AE484" s="8">
        <v>377649</v>
      </c>
      <c r="AG484" s="8">
        <v>0</v>
      </c>
      <c r="AI484" s="8">
        <v>27300</v>
      </c>
      <c r="AJ484" s="34" t="s">
        <v>739</v>
      </c>
      <c r="AK484" s="34"/>
      <c r="AL484" s="34" t="s">
        <v>72</v>
      </c>
      <c r="AM484" s="35"/>
      <c r="AN484" s="8">
        <v>465510</v>
      </c>
      <c r="AP484" s="8">
        <v>10262</v>
      </c>
      <c r="AT484" s="8">
        <v>0</v>
      </c>
      <c r="AV484" s="8">
        <v>0</v>
      </c>
      <c r="AX484" s="8">
        <v>0</v>
      </c>
      <c r="AZ484" s="8">
        <f>SUM(G484:AX484)</f>
        <v>22231353</v>
      </c>
      <c r="BB484" s="8">
        <v>92403</v>
      </c>
      <c r="BH484" s="8">
        <v>0</v>
      </c>
      <c r="BJ484" s="8">
        <f>+AZ484+BB484+BD484+BH484</f>
        <v>22323756</v>
      </c>
      <c r="BL484" s="8">
        <f>+GenRev!AM487-GenExp!BJ484</f>
        <v>2133269</v>
      </c>
      <c r="BN484" s="8">
        <v>9688987</v>
      </c>
      <c r="BP484" s="8">
        <v>0</v>
      </c>
      <c r="BS484" s="8">
        <f>+BN484+BL484-BP484</f>
        <v>11822256</v>
      </c>
      <c r="BT484" s="35"/>
      <c r="BU484" s="44">
        <f>+BS484-'Gen Fd BS'!AA487+BQ484</f>
        <v>0</v>
      </c>
    </row>
    <row r="485" spans="1:75">
      <c r="A485" s="13" t="s">
        <v>646</v>
      </c>
      <c r="B485" s="13"/>
      <c r="C485" s="13" t="s">
        <v>61</v>
      </c>
      <c r="D485" s="13"/>
      <c r="E485" s="13">
        <v>49817</v>
      </c>
      <c r="G485" s="8">
        <v>1953676</v>
      </c>
      <c r="I485" s="8">
        <v>380060</v>
      </c>
      <c r="K485" s="8">
        <v>0</v>
      </c>
      <c r="M485" s="8">
        <v>8112</v>
      </c>
      <c r="O485" s="8">
        <v>87887</v>
      </c>
      <c r="Q485" s="8">
        <v>111917</v>
      </c>
      <c r="S485" s="8">
        <v>7749</v>
      </c>
      <c r="U485" s="8">
        <v>340666</v>
      </c>
      <c r="W485" s="8">
        <v>144083</v>
      </c>
      <c r="Y485" s="8">
        <v>488</v>
      </c>
      <c r="AA485" s="8">
        <v>451061</v>
      </c>
      <c r="AC485" s="8">
        <v>140362</v>
      </c>
      <c r="AE485" s="8">
        <v>106423</v>
      </c>
      <c r="AG485" s="8">
        <v>0</v>
      </c>
      <c r="AI485" s="8">
        <v>5749</v>
      </c>
      <c r="AJ485" s="13" t="s">
        <v>646</v>
      </c>
      <c r="AK485" s="13"/>
      <c r="AL485" s="13" t="s">
        <v>61</v>
      </c>
      <c r="AN485" s="8">
        <v>131162</v>
      </c>
      <c r="AP485" s="8">
        <v>0</v>
      </c>
      <c r="AT485" s="8">
        <v>0</v>
      </c>
      <c r="AV485" s="8">
        <v>0</v>
      </c>
      <c r="AX485" s="8">
        <v>0</v>
      </c>
      <c r="AZ485" s="8">
        <f>SUM(G485:AX485)</f>
        <v>3869395</v>
      </c>
      <c r="BB485" s="8">
        <v>5000</v>
      </c>
      <c r="BH485" s="8">
        <v>0</v>
      </c>
      <c r="BJ485" s="8">
        <f>+AZ485+BB485+BD485+BH485</f>
        <v>3874395</v>
      </c>
      <c r="BL485" s="8">
        <f>+GenRev!AM488-GenExp!BJ485</f>
        <v>-53695</v>
      </c>
      <c r="BN485" s="8">
        <v>1014506</v>
      </c>
      <c r="BP485" s="8">
        <v>0</v>
      </c>
      <c r="BS485" s="8">
        <f>+BN485+BL485-BP485</f>
        <v>960811</v>
      </c>
      <c r="BU485" s="9">
        <f>+BS485-'Gen Fd BS'!AA488+BQ485</f>
        <v>0</v>
      </c>
    </row>
    <row r="486" spans="1:75">
      <c r="A486" s="12" t="s">
        <v>822</v>
      </c>
      <c r="B486" s="12"/>
      <c r="C486" s="12" t="s">
        <v>114</v>
      </c>
      <c r="D486" s="12"/>
      <c r="E486" s="32"/>
      <c r="G486" s="8">
        <v>7487582</v>
      </c>
      <c r="I486" s="8">
        <v>1677624</v>
      </c>
      <c r="K486" s="8">
        <v>359382</v>
      </c>
      <c r="M486" s="8">
        <v>1861179</v>
      </c>
      <c r="O486" s="8">
        <v>744322</v>
      </c>
      <c r="Q486" s="8">
        <v>706838</v>
      </c>
      <c r="S486" s="8">
        <v>30311</v>
      </c>
      <c r="U486" s="8">
        <v>1241905</v>
      </c>
      <c r="W486" s="8">
        <v>576375</v>
      </c>
      <c r="Y486" s="8">
        <v>37119</v>
      </c>
      <c r="AA486" s="8">
        <v>1772128</v>
      </c>
      <c r="AC486" s="8">
        <v>595565</v>
      </c>
      <c r="AE486" s="8">
        <v>251233</v>
      </c>
      <c r="AG486" s="8">
        <v>0</v>
      </c>
      <c r="AI486" s="8">
        <v>13679</v>
      </c>
      <c r="AJ486" s="13" t="s">
        <v>800</v>
      </c>
      <c r="AK486" s="13"/>
      <c r="AL486" s="13" t="s">
        <v>114</v>
      </c>
      <c r="AN486" s="8">
        <v>386563</v>
      </c>
      <c r="AP486" s="8">
        <v>0</v>
      </c>
      <c r="AT486" s="8">
        <v>4434</v>
      </c>
      <c r="AV486" s="8">
        <v>27180</v>
      </c>
      <c r="AX486" s="8">
        <v>0</v>
      </c>
      <c r="AZ486" s="8">
        <f t="shared" ref="AZ486:AZ503" si="43">SUM(G486:AX486)</f>
        <v>17773419</v>
      </c>
      <c r="BB486" s="8">
        <v>0</v>
      </c>
      <c r="BH486" s="8">
        <v>0</v>
      </c>
      <c r="BJ486" s="8">
        <f t="shared" ref="BJ486:BJ539" si="44">+AZ486+BB486+BD486+BH486</f>
        <v>17773419</v>
      </c>
      <c r="BL486" s="8">
        <f>+GenRev!AM489-GenExp!BJ486</f>
        <v>1453675</v>
      </c>
      <c r="BN486" s="8">
        <v>-1504126</v>
      </c>
      <c r="BP486" s="8">
        <v>0</v>
      </c>
      <c r="BS486" s="8">
        <f t="shared" ref="BS486:BS539" si="45">+BN486+BL486-BP486</f>
        <v>-50451</v>
      </c>
      <c r="BU486" s="9">
        <f>+BS486-'Gen Fd BS'!AA489+BQ486</f>
        <v>0</v>
      </c>
    </row>
    <row r="487" spans="1:75">
      <c r="A487" s="13" t="s">
        <v>341</v>
      </c>
      <c r="B487" s="13"/>
      <c r="C487" s="13" t="s">
        <v>24</v>
      </c>
      <c r="D487" s="13"/>
      <c r="E487" s="32">
        <v>44743</v>
      </c>
      <c r="G487" s="8">
        <v>17498872</v>
      </c>
      <c r="I487" s="8">
        <v>5696347</v>
      </c>
      <c r="K487" s="8">
        <v>1577257</v>
      </c>
      <c r="M487" s="8">
        <v>263774</v>
      </c>
      <c r="O487" s="8">
        <v>1658877</v>
      </c>
      <c r="Q487" s="8">
        <v>1021095</v>
      </c>
      <c r="S487" s="8">
        <v>219506</v>
      </c>
      <c r="U487" s="8">
        <v>2907293</v>
      </c>
      <c r="W487" s="8">
        <v>772717</v>
      </c>
      <c r="Y487" s="8">
        <v>164658</v>
      </c>
      <c r="AA487" s="8">
        <v>3744485</v>
      </c>
      <c r="AC487" s="8">
        <v>1448552</v>
      </c>
      <c r="AE487" s="8">
        <v>672796</v>
      </c>
      <c r="AG487" s="8">
        <v>0</v>
      </c>
      <c r="AI487" s="8">
        <v>0</v>
      </c>
      <c r="AJ487" s="13" t="s">
        <v>341</v>
      </c>
      <c r="AK487" s="13"/>
      <c r="AL487" s="13" t="s">
        <v>24</v>
      </c>
      <c r="AN487" s="8">
        <v>792104</v>
      </c>
      <c r="AP487" s="8">
        <v>0</v>
      </c>
      <c r="AT487" s="8">
        <v>251275</v>
      </c>
      <c r="AV487" s="8">
        <v>24427</v>
      </c>
      <c r="AX487" s="8">
        <v>0</v>
      </c>
      <c r="AZ487" s="8">
        <f t="shared" si="43"/>
        <v>38714035</v>
      </c>
      <c r="BB487" s="8">
        <v>0</v>
      </c>
      <c r="BH487" s="8">
        <v>0</v>
      </c>
      <c r="BJ487" s="8">
        <f t="shared" si="44"/>
        <v>38714035</v>
      </c>
      <c r="BL487" s="8">
        <f>+GenRev!AM490-GenExp!BJ487</f>
        <v>734665</v>
      </c>
      <c r="BN487" s="8">
        <v>1562295</v>
      </c>
      <c r="BP487" s="8">
        <v>-31078</v>
      </c>
      <c r="BS487" s="8">
        <f t="shared" si="45"/>
        <v>2328038</v>
      </c>
      <c r="BU487" s="9">
        <f>+BS487-'Gen Fd BS'!AA490+BQ487</f>
        <v>0</v>
      </c>
    </row>
    <row r="488" spans="1:75">
      <c r="A488" s="13" t="s">
        <v>660</v>
      </c>
      <c r="B488" s="13"/>
      <c r="C488" s="13" t="s">
        <v>62</v>
      </c>
      <c r="D488" s="13"/>
      <c r="E488" s="32">
        <v>49940</v>
      </c>
      <c r="G488" s="8">
        <v>5164564</v>
      </c>
      <c r="I488" s="8">
        <v>1759869</v>
      </c>
      <c r="K488" s="8">
        <v>349896</v>
      </c>
      <c r="M488" s="8">
        <v>221323</v>
      </c>
      <c r="O488" s="8">
        <v>1041480</v>
      </c>
      <c r="Q488" s="8">
        <v>153200</v>
      </c>
      <c r="S488" s="8">
        <v>12159</v>
      </c>
      <c r="U488" s="8">
        <v>1110287</v>
      </c>
      <c r="W488" s="8">
        <v>358761</v>
      </c>
      <c r="Y488" s="8">
        <v>62221</v>
      </c>
      <c r="AA488" s="8">
        <v>853995</v>
      </c>
      <c r="AC488" s="8">
        <v>868008</v>
      </c>
      <c r="AE488" s="8">
        <v>27184</v>
      </c>
      <c r="AG488" s="8">
        <v>0</v>
      </c>
      <c r="AI488" s="8">
        <v>0</v>
      </c>
      <c r="AJ488" s="13" t="s">
        <v>660</v>
      </c>
      <c r="AK488" s="13"/>
      <c r="AL488" s="13" t="s">
        <v>62</v>
      </c>
      <c r="AN488" s="8">
        <v>307291</v>
      </c>
      <c r="AP488" s="8">
        <v>0</v>
      </c>
      <c r="AT488" s="8">
        <v>0</v>
      </c>
      <c r="AV488" s="8">
        <v>0</v>
      </c>
      <c r="AX488" s="8">
        <v>0</v>
      </c>
      <c r="AZ488" s="8">
        <f t="shared" si="43"/>
        <v>12290238</v>
      </c>
      <c r="BB488" s="8">
        <v>0</v>
      </c>
      <c r="BH488" s="8">
        <v>0</v>
      </c>
      <c r="BJ488" s="8">
        <f t="shared" si="44"/>
        <v>12290238</v>
      </c>
      <c r="BL488" s="8">
        <f>+GenRev!AM491-GenExp!BJ488</f>
        <v>329525</v>
      </c>
      <c r="BN488" s="8">
        <v>832120</v>
      </c>
      <c r="BP488" s="8">
        <v>0</v>
      </c>
      <c r="BS488" s="8">
        <f t="shared" si="45"/>
        <v>1161645</v>
      </c>
      <c r="BU488" s="9">
        <f>+BS488-'Gen Fd BS'!AA491+BQ488</f>
        <v>0</v>
      </c>
    </row>
    <row r="489" spans="1:75">
      <c r="A489" s="13" t="s">
        <v>585</v>
      </c>
      <c r="B489" s="13"/>
      <c r="C489" s="13" t="s">
        <v>55</v>
      </c>
      <c r="D489" s="13"/>
      <c r="E489" s="32">
        <v>49130</v>
      </c>
      <c r="G489" s="8">
        <v>5513657</v>
      </c>
      <c r="I489" s="8">
        <v>1381815</v>
      </c>
      <c r="K489" s="8">
        <v>0</v>
      </c>
      <c r="M489" s="8">
        <v>7172</v>
      </c>
      <c r="O489" s="8">
        <v>256165</v>
      </c>
      <c r="Q489" s="8">
        <v>476902</v>
      </c>
      <c r="S489" s="8">
        <v>18503</v>
      </c>
      <c r="U489" s="8">
        <v>1681414</v>
      </c>
      <c r="W489" s="8">
        <v>284788</v>
      </c>
      <c r="Y489" s="8">
        <v>0</v>
      </c>
      <c r="AA489" s="8">
        <v>1899369</v>
      </c>
      <c r="AC489" s="8">
        <v>1173439</v>
      </c>
      <c r="AE489" s="8">
        <v>111029</v>
      </c>
      <c r="AG489" s="8">
        <v>0</v>
      </c>
      <c r="AI489" s="8">
        <v>0</v>
      </c>
      <c r="AJ489" s="13" t="s">
        <v>585</v>
      </c>
      <c r="AK489" s="13"/>
      <c r="AL489" s="13" t="s">
        <v>55</v>
      </c>
      <c r="AN489" s="8">
        <v>253613</v>
      </c>
      <c r="AP489" s="8">
        <v>161522</v>
      </c>
      <c r="AT489" s="8">
        <v>0</v>
      </c>
      <c r="AV489" s="8">
        <v>0</v>
      </c>
      <c r="AX489" s="8">
        <v>0</v>
      </c>
      <c r="AZ489" s="8">
        <f t="shared" si="43"/>
        <v>13219388</v>
      </c>
      <c r="BB489" s="8">
        <v>129389</v>
      </c>
      <c r="BH489" s="8">
        <v>0</v>
      </c>
      <c r="BJ489" s="8">
        <f t="shared" si="44"/>
        <v>13348777</v>
      </c>
      <c r="BL489" s="8">
        <f>+GenRev!AM492-GenExp!BJ489</f>
        <v>-781246</v>
      </c>
      <c r="BN489" s="8">
        <v>6613697</v>
      </c>
      <c r="BP489" s="8">
        <v>0</v>
      </c>
      <c r="BS489" s="8">
        <f t="shared" si="45"/>
        <v>5832451</v>
      </c>
      <c r="BU489" s="9">
        <f>+BS489-'Gen Fd BS'!AA492+BQ489</f>
        <v>0</v>
      </c>
    </row>
    <row r="490" spans="1:75">
      <c r="A490" s="13" t="s">
        <v>515</v>
      </c>
      <c r="B490" s="13"/>
      <c r="C490" s="13" t="s">
        <v>45</v>
      </c>
      <c r="D490" s="13"/>
      <c r="E490" s="32">
        <v>48355</v>
      </c>
      <c r="G490" s="8">
        <v>2725993</v>
      </c>
      <c r="I490" s="8">
        <v>1549529</v>
      </c>
      <c r="K490" s="8">
        <v>0</v>
      </c>
      <c r="M490" s="8">
        <v>0</v>
      </c>
      <c r="O490" s="8">
        <v>188662</v>
      </c>
      <c r="Q490" s="8">
        <v>251608</v>
      </c>
      <c r="S490" s="8">
        <v>11818</v>
      </c>
      <c r="U490" s="8">
        <v>672833</v>
      </c>
      <c r="W490" s="8">
        <v>239973</v>
      </c>
      <c r="Y490" s="8">
        <v>0</v>
      </c>
      <c r="AA490" s="8">
        <v>733510</v>
      </c>
      <c r="AC490" s="8">
        <v>131728</v>
      </c>
      <c r="AE490" s="8">
        <v>1987</v>
      </c>
      <c r="AG490" s="8">
        <v>0</v>
      </c>
      <c r="AI490" s="8">
        <v>0</v>
      </c>
      <c r="AJ490" s="13" t="s">
        <v>515</v>
      </c>
      <c r="AK490" s="13"/>
      <c r="AL490" s="13" t="s">
        <v>45</v>
      </c>
      <c r="AN490" s="8">
        <v>178779</v>
      </c>
      <c r="AP490" s="8">
        <v>0</v>
      </c>
      <c r="AT490" s="8">
        <v>0</v>
      </c>
      <c r="AV490" s="8">
        <v>0</v>
      </c>
      <c r="AX490" s="8">
        <v>0</v>
      </c>
      <c r="AZ490" s="8">
        <f t="shared" si="43"/>
        <v>6686420</v>
      </c>
      <c r="BB490" s="8">
        <v>27000</v>
      </c>
      <c r="BH490" s="8">
        <v>0</v>
      </c>
      <c r="BJ490" s="8">
        <f>+AZ490+BB490+BD490+BH490</f>
        <v>6713420</v>
      </c>
      <c r="BL490" s="8">
        <f>+GenRev!AM493-GenExp!BJ490</f>
        <v>-393462</v>
      </c>
      <c r="BN490" s="8">
        <v>614796</v>
      </c>
      <c r="BP490" s="8">
        <v>0</v>
      </c>
      <c r="BS490" s="8">
        <f t="shared" si="45"/>
        <v>221334</v>
      </c>
      <c r="BU490" s="9">
        <f>+BS490-'Gen Fd BS'!AA493+BQ490</f>
        <v>0</v>
      </c>
    </row>
    <row r="491" spans="1:75">
      <c r="A491" s="13" t="s">
        <v>639</v>
      </c>
      <c r="B491" s="13"/>
      <c r="C491" s="13" t="s">
        <v>60</v>
      </c>
      <c r="D491" s="13"/>
      <c r="E491" s="32">
        <v>49684</v>
      </c>
      <c r="G491" s="8">
        <v>4069740</v>
      </c>
      <c r="I491" s="8">
        <v>829468</v>
      </c>
      <c r="K491" s="8">
        <v>185892</v>
      </c>
      <c r="M491" s="8">
        <v>0</v>
      </c>
      <c r="O491" s="8">
        <v>111074</v>
      </c>
      <c r="Q491" s="8">
        <v>305167</v>
      </c>
      <c r="S491" s="8">
        <v>31829</v>
      </c>
      <c r="U491" s="8">
        <v>553890</v>
      </c>
      <c r="W491" s="8">
        <v>238278</v>
      </c>
      <c r="Y491" s="8">
        <v>0</v>
      </c>
      <c r="AA491" s="8">
        <v>810941</v>
      </c>
      <c r="AC491" s="8">
        <v>452582</v>
      </c>
      <c r="AE491" s="8">
        <v>0</v>
      </c>
      <c r="AG491" s="8">
        <v>0</v>
      </c>
      <c r="AI491" s="8">
        <v>1357</v>
      </c>
      <c r="AJ491" s="13" t="s">
        <v>639</v>
      </c>
      <c r="AK491" s="13"/>
      <c r="AL491" s="13" t="s">
        <v>60</v>
      </c>
      <c r="AN491" s="8">
        <v>171271</v>
      </c>
      <c r="AP491" s="8">
        <v>0</v>
      </c>
      <c r="AT491" s="8">
        <v>20824</v>
      </c>
      <c r="AV491" s="8">
        <v>1575</v>
      </c>
      <c r="AX491" s="8">
        <v>0</v>
      </c>
      <c r="AZ491" s="8">
        <f t="shared" si="43"/>
        <v>7783888</v>
      </c>
      <c r="BB491" s="8">
        <v>278750</v>
      </c>
      <c r="BH491" s="8">
        <v>0</v>
      </c>
      <c r="BJ491" s="8">
        <f t="shared" si="44"/>
        <v>8062638</v>
      </c>
      <c r="BL491" s="8">
        <f>+GenRev!AM494-GenExp!BJ491</f>
        <v>-65256</v>
      </c>
      <c r="BN491" s="8">
        <v>1104783</v>
      </c>
      <c r="BP491" s="8">
        <v>0</v>
      </c>
      <c r="BS491" s="8">
        <f>+BN491+BL491-BP491</f>
        <v>1039527</v>
      </c>
      <c r="BU491" s="9">
        <f>+BS491-'Gen Fd BS'!AA494+BQ491</f>
        <v>0</v>
      </c>
    </row>
    <row r="492" spans="1:75">
      <c r="A492" s="13" t="s">
        <v>234</v>
      </c>
      <c r="B492" s="13"/>
      <c r="C492" s="13" t="s">
        <v>15</v>
      </c>
      <c r="D492" s="13"/>
      <c r="E492" s="32">
        <v>46003</v>
      </c>
      <c r="G492" s="8">
        <v>3311917</v>
      </c>
      <c r="I492" s="8">
        <v>490706</v>
      </c>
      <c r="K492" s="8">
        <v>27083</v>
      </c>
      <c r="M492" s="8">
        <v>11212</v>
      </c>
      <c r="O492" s="8">
        <v>267608</v>
      </c>
      <c r="Q492" s="8">
        <v>132817</v>
      </c>
      <c r="S492" s="8">
        <v>24612</v>
      </c>
      <c r="U492" s="8">
        <v>566335</v>
      </c>
      <c r="W492" s="8">
        <v>259822</v>
      </c>
      <c r="Y492" s="8">
        <v>0</v>
      </c>
      <c r="AA492" s="8">
        <v>629082</v>
      </c>
      <c r="AC492" s="8">
        <v>210672</v>
      </c>
      <c r="AE492" s="8">
        <v>0</v>
      </c>
      <c r="AG492" s="8">
        <v>0</v>
      </c>
      <c r="AI492" s="8">
        <v>0</v>
      </c>
      <c r="AJ492" s="13" t="s">
        <v>234</v>
      </c>
      <c r="AK492" s="13"/>
      <c r="AL492" s="13" t="s">
        <v>15</v>
      </c>
      <c r="AN492" s="8">
        <v>94775</v>
      </c>
      <c r="AP492" s="8">
        <v>0</v>
      </c>
      <c r="AT492" s="8">
        <v>0</v>
      </c>
      <c r="AV492" s="8">
        <v>0</v>
      </c>
      <c r="AX492" s="8">
        <v>0</v>
      </c>
      <c r="AZ492" s="8">
        <f t="shared" si="43"/>
        <v>6026641</v>
      </c>
      <c r="BB492" s="8">
        <v>117744</v>
      </c>
      <c r="BH492" s="8">
        <v>0</v>
      </c>
      <c r="BJ492" s="8">
        <f t="shared" si="44"/>
        <v>6144385</v>
      </c>
      <c r="BL492" s="8">
        <f>+GenRev!AM495-GenExp!BJ492</f>
        <v>295695</v>
      </c>
      <c r="BN492" s="8">
        <v>696511</v>
      </c>
      <c r="BP492" s="8">
        <v>0</v>
      </c>
      <c r="BS492" s="8">
        <f t="shared" si="45"/>
        <v>992206</v>
      </c>
      <c r="BU492" s="9">
        <f>+BS492-'Gen Fd BS'!AA495+BQ492</f>
        <v>0</v>
      </c>
    </row>
    <row r="493" spans="1:75">
      <c r="A493" s="12" t="s">
        <v>320</v>
      </c>
      <c r="B493" s="13"/>
      <c r="C493" s="13" t="s">
        <v>20</v>
      </c>
      <c r="D493" s="13"/>
      <c r="E493" s="32">
        <v>44750</v>
      </c>
      <c r="G493" s="8">
        <v>35342125</v>
      </c>
      <c r="I493" s="8">
        <v>12416850</v>
      </c>
      <c r="K493" s="8">
        <v>148774</v>
      </c>
      <c r="M493" s="8">
        <v>0</v>
      </c>
      <c r="O493" s="8">
        <v>5977461</v>
      </c>
      <c r="Q493" s="8">
        <v>6006383</v>
      </c>
      <c r="S493" s="8">
        <v>22044</v>
      </c>
      <c r="U493" s="8">
        <v>6171374</v>
      </c>
      <c r="W493" s="8">
        <v>1727877</v>
      </c>
      <c r="Y493" s="8">
        <v>849645</v>
      </c>
      <c r="AA493" s="8">
        <v>13325863</v>
      </c>
      <c r="AC493" s="8">
        <v>4356262</v>
      </c>
      <c r="AE493" s="8">
        <v>1963753</v>
      </c>
      <c r="AG493" s="8">
        <v>0</v>
      </c>
      <c r="AI493" s="8">
        <v>49537</v>
      </c>
      <c r="AJ493" s="13" t="s">
        <v>320</v>
      </c>
      <c r="AK493" s="13"/>
      <c r="AL493" s="13" t="s">
        <v>20</v>
      </c>
      <c r="AN493" s="8">
        <v>997974</v>
      </c>
      <c r="AP493" s="8">
        <v>0</v>
      </c>
      <c r="AT493" s="8">
        <v>0</v>
      </c>
      <c r="AV493" s="8">
        <v>0</v>
      </c>
      <c r="AX493" s="8">
        <v>0</v>
      </c>
      <c r="AZ493" s="8">
        <f t="shared" si="43"/>
        <v>89355922</v>
      </c>
      <c r="BB493" s="8">
        <v>475000</v>
      </c>
      <c r="BH493" s="8">
        <v>0</v>
      </c>
      <c r="BJ493" s="8">
        <f t="shared" si="44"/>
        <v>89830922</v>
      </c>
      <c r="BL493" s="8">
        <f>+GenRev!AM496-GenExp!BJ493</f>
        <v>-6556969</v>
      </c>
      <c r="BN493" s="8">
        <v>26746816</v>
      </c>
      <c r="BP493" s="8">
        <v>0</v>
      </c>
      <c r="BS493" s="8">
        <f t="shared" si="45"/>
        <v>20189847</v>
      </c>
      <c r="BU493" s="9">
        <f>+BS493-'Gen Fd BS'!AA496+BQ493</f>
        <v>0</v>
      </c>
      <c r="BW493" s="15" t="s">
        <v>905</v>
      </c>
    </row>
    <row r="494" spans="1:75" hidden="1">
      <c r="A494" s="12" t="s">
        <v>1034</v>
      </c>
      <c r="B494" s="12"/>
      <c r="C494" s="12" t="s">
        <v>10</v>
      </c>
      <c r="D494" s="13"/>
      <c r="E494" s="32"/>
      <c r="G494" s="8">
        <v>8658364</v>
      </c>
      <c r="I494" s="8">
        <v>1731370</v>
      </c>
      <c r="M494" s="8">
        <f>138635+909865</f>
        <v>1048500</v>
      </c>
      <c r="O494" s="8">
        <v>761741</v>
      </c>
      <c r="Q494" s="8">
        <v>620341</v>
      </c>
      <c r="S494" s="8">
        <v>59861</v>
      </c>
      <c r="U494" s="8">
        <v>1545698</v>
      </c>
      <c r="W494" s="8">
        <v>653567</v>
      </c>
      <c r="AA494" s="8">
        <v>2710240</v>
      </c>
      <c r="AC494" s="8">
        <v>1076777</v>
      </c>
      <c r="AE494" s="8">
        <v>33963</v>
      </c>
      <c r="AG494" s="8">
        <v>0</v>
      </c>
      <c r="AJ494" s="12" t="s">
        <v>1034</v>
      </c>
      <c r="AK494" s="12"/>
      <c r="AL494" s="12" t="s">
        <v>10</v>
      </c>
      <c r="AN494" s="8">
        <v>460451</v>
      </c>
      <c r="AX494" s="8">
        <v>0</v>
      </c>
      <c r="AZ494" s="8">
        <f t="shared" si="43"/>
        <v>19360873</v>
      </c>
      <c r="BB494" s="8">
        <v>108091</v>
      </c>
      <c r="BH494" s="8">
        <v>0</v>
      </c>
      <c r="BJ494" s="8">
        <f t="shared" si="44"/>
        <v>19468964</v>
      </c>
      <c r="BL494" s="8">
        <f>+GenRev!AM497-GenExp!BJ494</f>
        <v>4838983</v>
      </c>
      <c r="BN494" s="8">
        <v>12232444</v>
      </c>
      <c r="BP494" s="8">
        <v>0</v>
      </c>
      <c r="BS494" s="8">
        <f t="shared" si="45"/>
        <v>17071427</v>
      </c>
      <c r="BU494" s="9">
        <f>+BS494-'Gen Fd BS'!AA497+BQ494</f>
        <v>-33509</v>
      </c>
      <c r="BW494" s="15"/>
    </row>
    <row r="495" spans="1:75">
      <c r="A495" s="13" t="s">
        <v>494</v>
      </c>
      <c r="B495" s="13"/>
      <c r="C495" s="13" t="s">
        <v>44</v>
      </c>
      <c r="D495" s="13"/>
      <c r="E495" s="32">
        <v>44768</v>
      </c>
      <c r="G495" s="8">
        <v>8214687</v>
      </c>
      <c r="I495" s="8">
        <v>740816</v>
      </c>
      <c r="K495" s="8">
        <v>152503</v>
      </c>
      <c r="M495" s="8">
        <v>1161681</v>
      </c>
      <c r="O495" s="8">
        <v>898091</v>
      </c>
      <c r="Q495" s="8">
        <v>641678</v>
      </c>
      <c r="S495" s="8">
        <v>44243</v>
      </c>
      <c r="U495" s="8">
        <v>1334370</v>
      </c>
      <c r="W495" s="8">
        <v>524327</v>
      </c>
      <c r="Y495" s="8">
        <v>189058</v>
      </c>
      <c r="AA495" s="8">
        <v>1413159</v>
      </c>
      <c r="AC495" s="8">
        <v>987373</v>
      </c>
      <c r="AE495" s="8">
        <v>338888</v>
      </c>
      <c r="AG495" s="8">
        <v>0</v>
      </c>
      <c r="AI495" s="8">
        <v>0</v>
      </c>
      <c r="AJ495" s="13" t="s">
        <v>494</v>
      </c>
      <c r="AK495" s="13"/>
      <c r="AL495" s="13" t="s">
        <v>44</v>
      </c>
      <c r="AN495" s="8">
        <v>292215</v>
      </c>
      <c r="AP495" s="8">
        <v>0</v>
      </c>
      <c r="AT495" s="8">
        <v>0</v>
      </c>
      <c r="AV495" s="8">
        <v>0</v>
      </c>
      <c r="AX495" s="8">
        <v>0</v>
      </c>
      <c r="AZ495" s="8">
        <f t="shared" si="43"/>
        <v>16933089</v>
      </c>
      <c r="BB495" s="8">
        <v>119654</v>
      </c>
      <c r="BH495" s="8">
        <v>0</v>
      </c>
      <c r="BJ495" s="8">
        <f t="shared" si="44"/>
        <v>17052743</v>
      </c>
      <c r="BL495" s="8">
        <f>+GenRev!AM498-GenExp!BJ495</f>
        <v>1528955</v>
      </c>
      <c r="BN495" s="8">
        <v>7123873</v>
      </c>
      <c r="BP495" s="8">
        <v>0</v>
      </c>
      <c r="BS495" s="8">
        <f t="shared" si="45"/>
        <v>8652828</v>
      </c>
      <c r="BU495" s="9">
        <f>+BS495-'Gen Fd BS'!AA498+BQ495</f>
        <v>0</v>
      </c>
    </row>
    <row r="496" spans="1:75">
      <c r="A496" s="13" t="s">
        <v>615</v>
      </c>
      <c r="B496" s="13"/>
      <c r="C496" s="13" t="s">
        <v>112</v>
      </c>
      <c r="D496" s="13"/>
      <c r="E496" s="32">
        <v>44776</v>
      </c>
      <c r="F496" s="11"/>
      <c r="G496" s="8">
        <v>8093914</v>
      </c>
      <c r="I496" s="8">
        <v>1985419</v>
      </c>
      <c r="K496" s="8">
        <v>227240</v>
      </c>
      <c r="M496" s="8">
        <v>5374</v>
      </c>
      <c r="O496" s="8">
        <v>633253</v>
      </c>
      <c r="Q496" s="8">
        <v>891759</v>
      </c>
      <c r="S496" s="8">
        <v>76215</v>
      </c>
      <c r="U496" s="8">
        <v>1318721</v>
      </c>
      <c r="W496" s="8">
        <v>769385</v>
      </c>
      <c r="Y496" s="8">
        <v>0</v>
      </c>
      <c r="AA496" s="8">
        <v>1892016</v>
      </c>
      <c r="AC496" s="8">
        <v>880579</v>
      </c>
      <c r="AE496" s="8">
        <v>53539</v>
      </c>
      <c r="AG496" s="8">
        <v>0</v>
      </c>
      <c r="AI496" s="8">
        <v>0</v>
      </c>
      <c r="AJ496" s="13" t="s">
        <v>615</v>
      </c>
      <c r="AK496" s="13"/>
      <c r="AL496" s="13" t="s">
        <v>112</v>
      </c>
      <c r="AN496" s="8">
        <v>420281</v>
      </c>
      <c r="AP496" s="8">
        <v>222829</v>
      </c>
      <c r="AT496" s="8">
        <v>212282</v>
      </c>
      <c r="AV496" s="8">
        <v>66044</v>
      </c>
      <c r="AX496" s="8">
        <v>0</v>
      </c>
      <c r="AZ496" s="8">
        <f t="shared" si="43"/>
        <v>17748850</v>
      </c>
      <c r="BB496" s="8">
        <v>0</v>
      </c>
      <c r="BH496" s="8">
        <v>0</v>
      </c>
      <c r="BJ496" s="8">
        <f t="shared" si="44"/>
        <v>17748850</v>
      </c>
      <c r="BL496" s="8">
        <f>+GenRev!AM499-GenExp!BJ496</f>
        <v>1544891</v>
      </c>
      <c r="BN496" s="8">
        <v>2443506</v>
      </c>
      <c r="BP496" s="8">
        <v>0</v>
      </c>
      <c r="BS496" s="8">
        <f t="shared" si="45"/>
        <v>3988397</v>
      </c>
      <c r="BU496" s="9">
        <f>+BS496-'Gen Fd BS'!AA499+BQ496</f>
        <v>0</v>
      </c>
    </row>
    <row r="497" spans="1:73">
      <c r="A497" s="12" t="s">
        <v>647</v>
      </c>
      <c r="B497" s="13"/>
      <c r="C497" s="13" t="s">
        <v>61</v>
      </c>
      <c r="D497" s="13"/>
      <c r="E497" s="32">
        <v>44784</v>
      </c>
      <c r="G497" s="8">
        <v>17285675</v>
      </c>
      <c r="I497" s="8">
        <v>3359252</v>
      </c>
      <c r="K497" s="8">
        <v>86126</v>
      </c>
      <c r="M497" s="8">
        <v>0</v>
      </c>
      <c r="O497" s="8">
        <v>1912759</v>
      </c>
      <c r="Q497" s="8">
        <v>1676651</v>
      </c>
      <c r="S497" s="8">
        <v>22774</v>
      </c>
      <c r="U497" s="8">
        <v>2782594</v>
      </c>
      <c r="W497" s="8">
        <v>733623</v>
      </c>
      <c r="Y497" s="8">
        <v>336295</v>
      </c>
      <c r="AA497" s="8">
        <v>3165453</v>
      </c>
      <c r="AC497" s="8">
        <v>1283666</v>
      </c>
      <c r="AE497" s="8">
        <v>743789</v>
      </c>
      <c r="AG497" s="8">
        <v>0</v>
      </c>
      <c r="AI497" s="8">
        <v>0</v>
      </c>
      <c r="AJ497" s="13" t="s">
        <v>647</v>
      </c>
      <c r="AK497" s="13"/>
      <c r="AL497" s="13" t="s">
        <v>61</v>
      </c>
      <c r="AN497" s="8">
        <v>531051</v>
      </c>
      <c r="AP497" s="8">
        <v>0</v>
      </c>
      <c r="AT497" s="8">
        <v>45078</v>
      </c>
      <c r="AV497" s="8">
        <v>11880</v>
      </c>
      <c r="AX497" s="8">
        <v>0</v>
      </c>
      <c r="AZ497" s="8">
        <f t="shared" si="43"/>
        <v>33976666</v>
      </c>
      <c r="BB497" s="8">
        <v>390717</v>
      </c>
      <c r="BH497" s="8">
        <v>0</v>
      </c>
      <c r="BJ497" s="8">
        <f t="shared" si="44"/>
        <v>34367383</v>
      </c>
      <c r="BL497" s="8">
        <f>+GenRev!AM500-GenExp!BJ497</f>
        <v>-2316865</v>
      </c>
      <c r="BN497" s="8">
        <v>679770</v>
      </c>
      <c r="BP497" s="8">
        <v>0</v>
      </c>
      <c r="BS497" s="8">
        <f t="shared" si="45"/>
        <v>-1637095</v>
      </c>
      <c r="BU497" s="9">
        <f>+BS497-'Gen Fd BS'!AA500+BQ497</f>
        <v>0</v>
      </c>
    </row>
    <row r="498" spans="1:73">
      <c r="A498" s="13" t="s">
        <v>321</v>
      </c>
      <c r="B498" s="13"/>
      <c r="C498" s="13" t="s">
        <v>20</v>
      </c>
      <c r="D498" s="13"/>
      <c r="E498" s="32">
        <v>46607</v>
      </c>
      <c r="F498" s="11"/>
      <c r="G498" s="8">
        <v>31575475</v>
      </c>
      <c r="I498" s="8">
        <v>7588993</v>
      </c>
      <c r="K498" s="8">
        <v>703533</v>
      </c>
      <c r="M498" s="8">
        <v>418361</v>
      </c>
      <c r="O498" s="8">
        <v>3300295</v>
      </c>
      <c r="Q498" s="8">
        <v>1720438</v>
      </c>
      <c r="S498" s="8">
        <v>43196</v>
      </c>
      <c r="U498" s="8">
        <v>3612543</v>
      </c>
      <c r="W498" s="8">
        <v>1421649</v>
      </c>
      <c r="Y498" s="8">
        <v>1125589</v>
      </c>
      <c r="AA498" s="8">
        <v>7195820</v>
      </c>
      <c r="AC498" s="8">
        <v>3137964</v>
      </c>
      <c r="AE498" s="8">
        <v>938864</v>
      </c>
      <c r="AG498" s="8">
        <v>0</v>
      </c>
      <c r="AI498" s="8">
        <v>0</v>
      </c>
      <c r="AJ498" s="13" t="s">
        <v>321</v>
      </c>
      <c r="AK498" s="13"/>
      <c r="AL498" s="13" t="s">
        <v>20</v>
      </c>
      <c r="AN498" s="8">
        <v>1135917</v>
      </c>
      <c r="AP498" s="8">
        <v>0</v>
      </c>
      <c r="AT498" s="8">
        <v>0</v>
      </c>
      <c r="AV498" s="8">
        <v>0</v>
      </c>
      <c r="AX498" s="8">
        <v>0</v>
      </c>
      <c r="AZ498" s="8">
        <f t="shared" si="43"/>
        <v>63918637</v>
      </c>
      <c r="BB498" s="8">
        <v>138219</v>
      </c>
      <c r="BH498" s="8">
        <v>0</v>
      </c>
      <c r="BJ498" s="8">
        <f t="shared" si="44"/>
        <v>64056856</v>
      </c>
      <c r="BL498" s="8">
        <f>+GenRev!AM501-GenExp!BJ498</f>
        <v>-1256399</v>
      </c>
      <c r="BN498" s="8">
        <v>10301803</v>
      </c>
      <c r="BP498" s="8">
        <v>0</v>
      </c>
      <c r="BS498" s="8">
        <f t="shared" si="45"/>
        <v>9045404</v>
      </c>
      <c r="BU498" s="9">
        <f>+BS498-'Gen Fd BS'!AA501+BQ498</f>
        <v>0</v>
      </c>
    </row>
    <row r="499" spans="1:73">
      <c r="A499" s="13" t="s">
        <v>868</v>
      </c>
      <c r="B499" s="13"/>
      <c r="C499" s="13" t="s">
        <v>37</v>
      </c>
      <c r="D499" s="13"/>
      <c r="E499" s="32">
        <v>47738</v>
      </c>
      <c r="G499" s="8">
        <v>3929167</v>
      </c>
      <c r="I499" s="8">
        <v>233231</v>
      </c>
      <c r="K499" s="8">
        <v>215315</v>
      </c>
      <c r="M499" s="8">
        <v>570622</v>
      </c>
      <c r="O499" s="8">
        <v>76267</v>
      </c>
      <c r="Q499" s="8">
        <v>115068</v>
      </c>
      <c r="S499" s="8">
        <v>38667</v>
      </c>
      <c r="U499" s="8">
        <v>886426</v>
      </c>
      <c r="W499" s="8">
        <v>246634</v>
      </c>
      <c r="Y499" s="8">
        <v>0</v>
      </c>
      <c r="AA499" s="8">
        <v>1203180</v>
      </c>
      <c r="AC499" s="8">
        <v>506259</v>
      </c>
      <c r="AE499" s="8">
        <v>0</v>
      </c>
      <c r="AG499" s="8">
        <v>0</v>
      </c>
      <c r="AI499" s="8">
        <v>0</v>
      </c>
      <c r="AJ499" s="13" t="s">
        <v>868</v>
      </c>
      <c r="AK499" s="13"/>
      <c r="AL499" s="13" t="s">
        <v>37</v>
      </c>
      <c r="AN499" s="8">
        <v>206784</v>
      </c>
      <c r="AP499" s="8">
        <v>12020</v>
      </c>
      <c r="AT499" s="8">
        <v>5538</v>
      </c>
      <c r="AV499" s="8">
        <v>1976</v>
      </c>
      <c r="AX499" s="8">
        <v>0</v>
      </c>
      <c r="AZ499" s="8">
        <f t="shared" si="43"/>
        <v>8247154</v>
      </c>
      <c r="BB499" s="8">
        <v>11780</v>
      </c>
      <c r="BH499" s="8">
        <v>0</v>
      </c>
      <c r="BJ499" s="8">
        <f t="shared" si="44"/>
        <v>8258934</v>
      </c>
      <c r="BL499" s="8">
        <f>+GenRev!AM502-GenExp!BJ499</f>
        <v>-681922</v>
      </c>
      <c r="BN499" s="8">
        <v>4052753</v>
      </c>
      <c r="BP499" s="8">
        <v>0</v>
      </c>
      <c r="BS499" s="8">
        <f t="shared" si="45"/>
        <v>3370831</v>
      </c>
      <c r="BU499" s="9">
        <f>+BS499-'Gen Fd BS'!AA502+BQ499</f>
        <v>0</v>
      </c>
    </row>
    <row r="500" spans="1:73">
      <c r="A500" s="13" t="s">
        <v>322</v>
      </c>
      <c r="B500" s="13"/>
      <c r="C500" s="13" t="s">
        <v>20</v>
      </c>
      <c r="D500" s="13"/>
      <c r="E500" s="32">
        <v>44792</v>
      </c>
      <c r="G500" s="8">
        <v>21941581</v>
      </c>
      <c r="I500" s="8">
        <v>6550176</v>
      </c>
      <c r="K500" s="8">
        <v>2085435</v>
      </c>
      <c r="M500" s="8">
        <v>0</v>
      </c>
      <c r="O500" s="8">
        <v>3586838</v>
      </c>
      <c r="Q500" s="8">
        <v>1089192</v>
      </c>
      <c r="S500" s="8">
        <v>210012</v>
      </c>
      <c r="U500" s="8">
        <v>3227920</v>
      </c>
      <c r="W500" s="8">
        <v>1646551</v>
      </c>
      <c r="Y500" s="8">
        <v>311289</v>
      </c>
      <c r="AA500" s="8">
        <v>6936272</v>
      </c>
      <c r="AC500" s="8">
        <v>2587387</v>
      </c>
      <c r="AE500" s="8">
        <v>1164553</v>
      </c>
      <c r="AG500" s="8">
        <v>0</v>
      </c>
      <c r="AI500" s="8">
        <v>20308</v>
      </c>
      <c r="AJ500" s="13" t="s">
        <v>322</v>
      </c>
      <c r="AK500" s="13"/>
      <c r="AL500" s="13" t="s">
        <v>20</v>
      </c>
      <c r="AN500" s="8">
        <v>928778</v>
      </c>
      <c r="AP500" s="8">
        <v>0</v>
      </c>
      <c r="AT500" s="8">
        <v>0</v>
      </c>
      <c r="AV500" s="8">
        <v>0</v>
      </c>
      <c r="AX500" s="8">
        <v>0</v>
      </c>
      <c r="AZ500" s="8">
        <f t="shared" si="43"/>
        <v>52286292</v>
      </c>
      <c r="BB500" s="8">
        <v>680000</v>
      </c>
      <c r="BH500" s="8">
        <v>0</v>
      </c>
      <c r="BJ500" s="8">
        <f t="shared" si="44"/>
        <v>52966292</v>
      </c>
      <c r="BL500" s="8">
        <f>+GenRev!AM503-GenExp!BJ500</f>
        <v>5819503</v>
      </c>
      <c r="BN500" s="8">
        <v>2899474</v>
      </c>
      <c r="BP500" s="8">
        <v>0</v>
      </c>
      <c r="BS500" s="8">
        <f t="shared" si="45"/>
        <v>8718977</v>
      </c>
      <c r="BU500" s="9">
        <f>+BS500-'Gen Fd BS'!AA503+BQ500</f>
        <v>0</v>
      </c>
    </row>
    <row r="501" spans="1:73">
      <c r="A501" s="13" t="s">
        <v>471</v>
      </c>
      <c r="B501" s="13"/>
      <c r="C501" s="13" t="s">
        <v>466</v>
      </c>
      <c r="D501" s="13"/>
      <c r="E501" s="32">
        <v>47951</v>
      </c>
      <c r="G501" s="8">
        <v>6461438</v>
      </c>
      <c r="I501" s="8">
        <v>1196288</v>
      </c>
      <c r="K501" s="8">
        <v>248007</v>
      </c>
      <c r="M501" s="8">
        <f>1910+13197</f>
        <v>15107</v>
      </c>
      <c r="O501" s="8">
        <v>476687</v>
      </c>
      <c r="Q501" s="8">
        <v>722346</v>
      </c>
      <c r="S501" s="8">
        <v>63713</v>
      </c>
      <c r="U501" s="8">
        <v>1293993</v>
      </c>
      <c r="W501" s="8">
        <v>197428</v>
      </c>
      <c r="Y501" s="8">
        <v>0</v>
      </c>
      <c r="AA501" s="8">
        <v>1446052</v>
      </c>
      <c r="AC501" s="8">
        <v>894574</v>
      </c>
      <c r="AE501" s="8">
        <v>68960</v>
      </c>
      <c r="AG501" s="8">
        <v>0</v>
      </c>
      <c r="AI501" s="8">
        <v>0</v>
      </c>
      <c r="AJ501" s="13" t="s">
        <v>471</v>
      </c>
      <c r="AK501" s="13"/>
      <c r="AL501" s="13" t="s">
        <v>466</v>
      </c>
      <c r="AN501" s="8">
        <v>204676</v>
      </c>
      <c r="AP501" s="8">
        <v>8142</v>
      </c>
      <c r="AT501" s="8">
        <v>293916</v>
      </c>
      <c r="AV501" s="8">
        <v>81050</v>
      </c>
      <c r="AX501" s="8">
        <v>0</v>
      </c>
      <c r="AZ501" s="8">
        <f t="shared" si="43"/>
        <v>13672377</v>
      </c>
      <c r="BB501" s="8">
        <v>534141</v>
      </c>
      <c r="BH501" s="8">
        <v>0</v>
      </c>
      <c r="BJ501" s="8">
        <f t="shared" si="44"/>
        <v>14206518</v>
      </c>
      <c r="BL501" s="8">
        <f>+GenRev!AM504-GenExp!BJ501</f>
        <v>135151</v>
      </c>
      <c r="BN501" s="8">
        <v>3575526</v>
      </c>
      <c r="BP501" s="8">
        <v>0</v>
      </c>
      <c r="BS501" s="8">
        <f t="shared" si="45"/>
        <v>3710677</v>
      </c>
      <c r="BU501" s="9">
        <f>+BS501-'Gen Fd BS'!AA504+BQ501</f>
        <v>0</v>
      </c>
    </row>
    <row r="502" spans="1:73">
      <c r="A502" s="13" t="s">
        <v>516</v>
      </c>
      <c r="B502" s="13"/>
      <c r="C502" s="13" t="s">
        <v>45</v>
      </c>
      <c r="D502" s="13"/>
      <c r="E502" s="32">
        <v>48363</v>
      </c>
      <c r="G502" s="8">
        <v>5251646</v>
      </c>
      <c r="I502" s="8">
        <v>1212173</v>
      </c>
      <c r="K502" s="8">
        <v>162842</v>
      </c>
      <c r="M502" s="8">
        <v>204947</v>
      </c>
      <c r="O502" s="8">
        <v>277070</v>
      </c>
      <c r="Q502" s="8">
        <v>619570</v>
      </c>
      <c r="S502" s="8">
        <v>50250</v>
      </c>
      <c r="U502" s="8">
        <v>958983</v>
      </c>
      <c r="W502" s="8">
        <v>385674</v>
      </c>
      <c r="Y502" s="8">
        <v>3080</v>
      </c>
      <c r="AA502" s="8">
        <v>989969</v>
      </c>
      <c r="AC502" s="8">
        <v>887451</v>
      </c>
      <c r="AE502" s="8">
        <v>76300</v>
      </c>
      <c r="AG502" s="8">
        <v>0</v>
      </c>
      <c r="AI502" s="8">
        <v>2431</v>
      </c>
      <c r="AJ502" s="13" t="s">
        <v>516</v>
      </c>
      <c r="AK502" s="13"/>
      <c r="AL502" s="13" t="s">
        <v>45</v>
      </c>
      <c r="AN502" s="8">
        <v>245464</v>
      </c>
      <c r="AP502" s="8">
        <v>101</v>
      </c>
      <c r="AT502" s="8">
        <v>0</v>
      </c>
      <c r="AV502" s="8">
        <v>0</v>
      </c>
      <c r="AX502" s="8">
        <v>0</v>
      </c>
      <c r="AZ502" s="8">
        <f t="shared" si="43"/>
        <v>11327951</v>
      </c>
      <c r="BB502" s="8">
        <v>22444</v>
      </c>
      <c r="BH502" s="8">
        <v>0</v>
      </c>
      <c r="BJ502" s="8">
        <f t="shared" si="44"/>
        <v>11350395</v>
      </c>
      <c r="BL502" s="8">
        <f>+GenRev!AM505-GenExp!BJ502</f>
        <v>50872</v>
      </c>
      <c r="BN502" s="8">
        <v>1908929</v>
      </c>
      <c r="BP502" s="8">
        <v>0</v>
      </c>
      <c r="BS502" s="8">
        <f t="shared" si="45"/>
        <v>1959801</v>
      </c>
      <c r="BU502" s="9">
        <f>+BS502-'Gen Fd BS'!AA505+BQ502</f>
        <v>0</v>
      </c>
    </row>
    <row r="503" spans="1:73">
      <c r="A503" s="13" t="s">
        <v>594</v>
      </c>
      <c r="B503" s="13"/>
      <c r="C503" s="13" t="s">
        <v>56</v>
      </c>
      <c r="D503" s="13"/>
      <c r="E503" s="32">
        <v>49221</v>
      </c>
      <c r="G503" s="8">
        <v>7032309</v>
      </c>
      <c r="I503" s="8">
        <v>1531624</v>
      </c>
      <c r="K503" s="8">
        <v>152534</v>
      </c>
      <c r="M503" s="8">
        <f>26535+839823</f>
        <v>866358</v>
      </c>
      <c r="O503" s="8">
        <v>1497143</v>
      </c>
      <c r="Q503" s="8">
        <v>459460</v>
      </c>
      <c r="S503" s="8">
        <v>25347</v>
      </c>
      <c r="U503" s="8">
        <v>1302852</v>
      </c>
      <c r="W503" s="8">
        <v>455338</v>
      </c>
      <c r="Y503" s="8">
        <v>146717</v>
      </c>
      <c r="AA503" s="8">
        <v>1472601</v>
      </c>
      <c r="AC503" s="8">
        <v>1568541</v>
      </c>
      <c r="AE503" s="8">
        <v>59574</v>
      </c>
      <c r="AG503" s="8">
        <v>378816</v>
      </c>
      <c r="AI503" s="8">
        <v>0</v>
      </c>
      <c r="AJ503" s="13" t="s">
        <v>594</v>
      </c>
      <c r="AK503" s="13"/>
      <c r="AL503" s="13" t="s">
        <v>56</v>
      </c>
      <c r="AN503" s="8">
        <v>0</v>
      </c>
      <c r="AP503" s="8">
        <v>0</v>
      </c>
      <c r="AT503" s="8">
        <v>11473</v>
      </c>
      <c r="AV503" s="8">
        <v>2077</v>
      </c>
      <c r="AX503" s="8">
        <v>0</v>
      </c>
      <c r="AZ503" s="8">
        <f t="shared" si="43"/>
        <v>16962764</v>
      </c>
      <c r="BB503" s="8">
        <v>18</v>
      </c>
      <c r="BH503" s="8">
        <v>0</v>
      </c>
      <c r="BJ503" s="8">
        <f t="shared" si="44"/>
        <v>16962782</v>
      </c>
      <c r="BL503" s="8">
        <f>+GenRev!AM506-GenExp!BJ503</f>
        <v>1654961</v>
      </c>
      <c r="BN503" s="8">
        <v>1704800</v>
      </c>
      <c r="BP503" s="8">
        <v>0</v>
      </c>
      <c r="BS503" s="8">
        <f t="shared" si="45"/>
        <v>3359761</v>
      </c>
      <c r="BU503" s="9">
        <f>+BS503-'Gen Fd BS'!AA506+BQ503</f>
        <v>0</v>
      </c>
    </row>
    <row r="504" spans="1:73">
      <c r="A504" s="13" t="s">
        <v>594</v>
      </c>
      <c r="B504" s="13"/>
      <c r="C504" s="13" t="s">
        <v>71</v>
      </c>
      <c r="D504" s="13"/>
      <c r="E504" s="32">
        <v>50583</v>
      </c>
      <c r="G504" s="8">
        <v>6547446</v>
      </c>
      <c r="I504" s="8">
        <v>990513</v>
      </c>
      <c r="K504" s="8">
        <v>328487</v>
      </c>
      <c r="M504" s="8">
        <v>449935</v>
      </c>
      <c r="O504" s="8">
        <v>327923</v>
      </c>
      <c r="Q504" s="8">
        <v>325483</v>
      </c>
      <c r="S504" s="8">
        <v>40700</v>
      </c>
      <c r="U504" s="8">
        <v>1692015</v>
      </c>
      <c r="W504" s="8">
        <v>348554</v>
      </c>
      <c r="Y504" s="8">
        <v>0</v>
      </c>
      <c r="AA504" s="8">
        <v>1073826</v>
      </c>
      <c r="AC504" s="8">
        <v>970347</v>
      </c>
      <c r="AE504" s="8">
        <v>113761</v>
      </c>
      <c r="AG504" s="8">
        <v>0</v>
      </c>
      <c r="AI504" s="8">
        <v>0</v>
      </c>
      <c r="AJ504" s="13" t="s">
        <v>594</v>
      </c>
      <c r="AK504" s="13"/>
      <c r="AL504" s="13" t="s">
        <v>71</v>
      </c>
      <c r="AN504" s="8">
        <v>277428</v>
      </c>
      <c r="AP504" s="8">
        <v>42680</v>
      </c>
      <c r="AT504" s="8">
        <v>49151</v>
      </c>
      <c r="AV504" s="8">
        <v>11863</v>
      </c>
      <c r="AX504" s="8">
        <v>0</v>
      </c>
      <c r="AZ504" s="8">
        <f t="shared" ref="AZ504:AZ539" si="46">SUM(G504:AX504)</f>
        <v>13590112</v>
      </c>
      <c r="BB504" s="8">
        <v>0</v>
      </c>
      <c r="BH504" s="8">
        <v>0</v>
      </c>
      <c r="BJ504" s="8">
        <f t="shared" si="44"/>
        <v>13590112</v>
      </c>
      <c r="BL504" s="8">
        <f>+GenRev!AM507-GenExp!BJ504</f>
        <v>-464261</v>
      </c>
      <c r="BN504" s="8">
        <v>1146221</v>
      </c>
      <c r="BP504" s="8">
        <v>0</v>
      </c>
      <c r="BS504" s="8">
        <f t="shared" si="45"/>
        <v>681960</v>
      </c>
      <c r="BU504" s="9">
        <f>+BS504-'Gen Fd BS'!AA507+BQ504</f>
        <v>0</v>
      </c>
    </row>
    <row r="505" spans="1:73">
      <c r="A505" s="13" t="s">
        <v>264</v>
      </c>
      <c r="B505" s="13"/>
      <c r="C505" s="13" t="s">
        <v>17</v>
      </c>
      <c r="D505" s="13"/>
      <c r="E505" s="32">
        <v>46276</v>
      </c>
      <c r="F505" s="11"/>
      <c r="G505" s="8">
        <v>3112605</v>
      </c>
      <c r="I505" s="8">
        <v>708256</v>
      </c>
      <c r="K505" s="8">
        <v>203882</v>
      </c>
      <c r="M505" s="8">
        <v>12402</v>
      </c>
      <c r="O505" s="8">
        <v>361072</v>
      </c>
      <c r="Q505" s="8">
        <v>277285</v>
      </c>
      <c r="S505" s="8">
        <v>23154</v>
      </c>
      <c r="U505" s="8">
        <v>580441</v>
      </c>
      <c r="W505" s="8">
        <v>294091</v>
      </c>
      <c r="Y505" s="8">
        <v>0</v>
      </c>
      <c r="AA505" s="8">
        <v>503357</v>
      </c>
      <c r="AC505" s="8">
        <v>339234</v>
      </c>
      <c r="AE505" s="8">
        <v>16915</v>
      </c>
      <c r="AG505" s="8">
        <v>0</v>
      </c>
      <c r="AI505" s="8">
        <v>0</v>
      </c>
      <c r="AJ505" s="13" t="s">
        <v>264</v>
      </c>
      <c r="AK505" s="13"/>
      <c r="AL505" s="13" t="s">
        <v>17</v>
      </c>
      <c r="AN505" s="8">
        <v>201449</v>
      </c>
      <c r="AP505" s="8">
        <v>103675</v>
      </c>
      <c r="AT505" s="8">
        <v>70739</v>
      </c>
      <c r="AV505" s="8">
        <v>1587</v>
      </c>
      <c r="AX505" s="8">
        <v>0</v>
      </c>
      <c r="AZ505" s="8">
        <f t="shared" si="46"/>
        <v>6810144</v>
      </c>
      <c r="BB505" s="8">
        <v>0</v>
      </c>
      <c r="BH505" s="8">
        <v>0</v>
      </c>
      <c r="BJ505" s="8">
        <f t="shared" si="44"/>
        <v>6810144</v>
      </c>
      <c r="BL505" s="8">
        <f>+GenRev!AM508-GenExp!BJ505</f>
        <v>834349</v>
      </c>
      <c r="BN505" s="8">
        <v>4113589</v>
      </c>
      <c r="BP505" s="8">
        <v>0</v>
      </c>
      <c r="BS505" s="8">
        <f t="shared" si="45"/>
        <v>4947938</v>
      </c>
      <c r="BU505" s="9">
        <f>+BS505-'Gen Fd BS'!AA508+BQ505</f>
        <v>0</v>
      </c>
    </row>
    <row r="506" spans="1:73">
      <c r="A506" s="13" t="s">
        <v>264</v>
      </c>
      <c r="B506" s="13"/>
      <c r="C506" s="13" t="s">
        <v>58</v>
      </c>
      <c r="D506" s="13"/>
      <c r="E506" s="32">
        <v>49528</v>
      </c>
      <c r="G506" s="8">
        <v>4127990</v>
      </c>
      <c r="I506" s="8">
        <v>971986</v>
      </c>
      <c r="K506" s="8">
        <v>0</v>
      </c>
      <c r="M506" s="8">
        <v>0</v>
      </c>
      <c r="O506" s="8">
        <v>445479</v>
      </c>
      <c r="Q506" s="8">
        <v>182706</v>
      </c>
      <c r="S506" s="8">
        <v>19571</v>
      </c>
      <c r="U506" s="8">
        <v>583538</v>
      </c>
      <c r="W506" s="8">
        <v>175893</v>
      </c>
      <c r="Y506" s="8">
        <v>161686</v>
      </c>
      <c r="AA506" s="8">
        <v>1097130</v>
      </c>
      <c r="AC506" s="8">
        <v>766897</v>
      </c>
      <c r="AE506" s="8">
        <v>64605</v>
      </c>
      <c r="AG506" s="8">
        <v>0</v>
      </c>
      <c r="AI506" s="8">
        <v>0</v>
      </c>
      <c r="AJ506" s="13" t="s">
        <v>264</v>
      </c>
      <c r="AK506" s="13"/>
      <c r="AL506" s="13" t="s">
        <v>58</v>
      </c>
      <c r="AN506" s="8">
        <v>155954</v>
      </c>
      <c r="AP506" s="8">
        <v>0</v>
      </c>
      <c r="AT506" s="8">
        <v>33000</v>
      </c>
      <c r="AV506" s="8">
        <v>72624</v>
      </c>
      <c r="AX506" s="8">
        <v>0</v>
      </c>
      <c r="AZ506" s="8">
        <f t="shared" si="46"/>
        <v>8859059</v>
      </c>
      <c r="BB506" s="8">
        <v>0</v>
      </c>
      <c r="BH506" s="8">
        <v>0</v>
      </c>
      <c r="BJ506" s="8">
        <f t="shared" si="44"/>
        <v>8859059</v>
      </c>
      <c r="BL506" s="8">
        <f>+GenRev!AM509-GenExp!BJ506</f>
        <v>995417</v>
      </c>
      <c r="BN506" s="8">
        <v>3612626</v>
      </c>
      <c r="BP506" s="8">
        <v>0</v>
      </c>
      <c r="BS506" s="8">
        <f t="shared" si="45"/>
        <v>4608043</v>
      </c>
      <c r="BU506" s="9">
        <f>+BS506-'Gen Fd BS'!AA509+BQ506</f>
        <v>0</v>
      </c>
    </row>
    <row r="507" spans="1:73">
      <c r="A507" s="13" t="s">
        <v>284</v>
      </c>
      <c r="B507" s="13"/>
      <c r="C507" s="13" t="s">
        <v>114</v>
      </c>
      <c r="D507" s="13"/>
      <c r="E507" s="32">
        <v>46441</v>
      </c>
      <c r="G507" s="8">
        <v>3112940</v>
      </c>
      <c r="I507" s="8">
        <v>760222</v>
      </c>
      <c r="K507" s="8">
        <v>245572</v>
      </c>
      <c r="M507" s="8">
        <v>1336</v>
      </c>
      <c r="O507" s="8">
        <v>341440</v>
      </c>
      <c r="Q507" s="8">
        <v>174975</v>
      </c>
      <c r="S507" s="8">
        <v>1279451</v>
      </c>
      <c r="U507" s="8">
        <v>693216</v>
      </c>
      <c r="W507" s="8">
        <v>216757</v>
      </c>
      <c r="Y507" s="8">
        <v>49972</v>
      </c>
      <c r="AA507" s="8">
        <v>769484</v>
      </c>
      <c r="AC507" s="8">
        <v>920882</v>
      </c>
      <c r="AE507" s="8">
        <v>0</v>
      </c>
      <c r="AG507" s="8">
        <v>0</v>
      </c>
      <c r="AI507" s="8">
        <v>0</v>
      </c>
      <c r="AJ507" s="13" t="s">
        <v>284</v>
      </c>
      <c r="AK507" s="13"/>
      <c r="AL507" s="13" t="s">
        <v>114</v>
      </c>
      <c r="AN507" s="8">
        <v>126128</v>
      </c>
      <c r="AP507" s="8">
        <v>0</v>
      </c>
      <c r="AT507" s="8">
        <v>9987</v>
      </c>
      <c r="AV507" s="8">
        <v>719</v>
      </c>
      <c r="AX507" s="8">
        <v>0</v>
      </c>
      <c r="AZ507" s="8">
        <f>SUM(G507:AX507)</f>
        <v>8703081</v>
      </c>
      <c r="BB507" s="8">
        <v>180000</v>
      </c>
      <c r="BH507" s="8">
        <v>0</v>
      </c>
      <c r="BJ507" s="8">
        <f>+AZ507+BB507+BD507+BH507</f>
        <v>8883081</v>
      </c>
      <c r="BL507" s="8">
        <f>+GenRev!AM510-GenExp!BJ507</f>
        <v>-230703</v>
      </c>
      <c r="BN507" s="8">
        <v>459928</v>
      </c>
      <c r="BP507" s="8">
        <v>0</v>
      </c>
      <c r="BS507" s="8">
        <f>+BN507+BL507-BP507</f>
        <v>229225</v>
      </c>
      <c r="BU507" s="9">
        <f>+BS507-'Gen Fd BS'!AA510+BQ507</f>
        <v>0</v>
      </c>
    </row>
    <row r="508" spans="1:73">
      <c r="A508" s="13" t="s">
        <v>284</v>
      </c>
      <c r="B508" s="13"/>
      <c r="C508" s="13" t="s">
        <v>531</v>
      </c>
      <c r="D508" s="13"/>
      <c r="E508" s="32">
        <v>46441</v>
      </c>
      <c r="G508" s="8">
        <v>2285483</v>
      </c>
      <c r="I508" s="8">
        <v>496682</v>
      </c>
      <c r="K508" s="8">
        <v>143945</v>
      </c>
      <c r="M508" s="8">
        <v>0</v>
      </c>
      <c r="O508" s="8">
        <v>288776</v>
      </c>
      <c r="Q508" s="8">
        <v>180676</v>
      </c>
      <c r="S508" s="8">
        <v>14686</v>
      </c>
      <c r="U508" s="8">
        <v>472461</v>
      </c>
      <c r="W508" s="8">
        <v>279707</v>
      </c>
      <c r="Y508" s="8">
        <v>0</v>
      </c>
      <c r="AA508" s="8">
        <v>526697</v>
      </c>
      <c r="AC508" s="8">
        <v>603674</v>
      </c>
      <c r="AE508" s="8">
        <v>55306</v>
      </c>
      <c r="AG508" s="8">
        <v>0</v>
      </c>
      <c r="AI508" s="8">
        <v>0</v>
      </c>
      <c r="AJ508" s="13" t="s">
        <v>284</v>
      </c>
      <c r="AK508" s="13"/>
      <c r="AL508" s="13" t="s">
        <v>531</v>
      </c>
      <c r="AN508" s="8">
        <v>87246</v>
      </c>
      <c r="AP508" s="8">
        <v>0</v>
      </c>
      <c r="AT508" s="8">
        <v>10670</v>
      </c>
      <c r="AV508" s="8">
        <v>2535</v>
      </c>
      <c r="AX508" s="8">
        <v>0</v>
      </c>
      <c r="AZ508" s="8">
        <f t="shared" si="46"/>
        <v>5448544</v>
      </c>
      <c r="BB508" s="8">
        <v>55879</v>
      </c>
      <c r="BH508" s="8">
        <v>0</v>
      </c>
      <c r="BJ508" s="8">
        <f t="shared" si="44"/>
        <v>5504423</v>
      </c>
      <c r="BL508" s="8">
        <f>+GenRev!AM511-GenExp!BJ508</f>
        <v>610396</v>
      </c>
      <c r="BN508" s="8">
        <v>696217</v>
      </c>
      <c r="BP508" s="8">
        <v>0</v>
      </c>
      <c r="BS508" s="8">
        <f t="shared" si="45"/>
        <v>1306613</v>
      </c>
      <c r="BU508" s="9">
        <f>+BS508-'Gen Fd BS'!AA511+BQ508</f>
        <v>0</v>
      </c>
    </row>
    <row r="509" spans="1:73" hidden="1">
      <c r="A509" s="13" t="s">
        <v>1035</v>
      </c>
      <c r="B509" s="13"/>
      <c r="C509" s="13" t="s">
        <v>579</v>
      </c>
      <c r="D509" s="13"/>
      <c r="E509" s="32"/>
      <c r="G509" s="8">
        <v>2640135</v>
      </c>
      <c r="I509" s="8">
        <v>1106612</v>
      </c>
      <c r="K509" s="8">
        <v>227207</v>
      </c>
      <c r="O509" s="8">
        <v>239841</v>
      </c>
      <c r="Q509" s="8">
        <v>186524</v>
      </c>
      <c r="S509" s="8">
        <v>69366</v>
      </c>
      <c r="U509" s="8">
        <v>1157354</v>
      </c>
      <c r="W509" s="8">
        <v>639981</v>
      </c>
      <c r="AA509" s="8">
        <v>829919</v>
      </c>
      <c r="AC509" s="8">
        <v>703910</v>
      </c>
      <c r="AE509" s="8">
        <v>59153</v>
      </c>
      <c r="AG509" s="8">
        <v>0</v>
      </c>
      <c r="AJ509" s="13" t="s">
        <v>1035</v>
      </c>
      <c r="AK509" s="13"/>
      <c r="AL509" s="13" t="s">
        <v>579</v>
      </c>
      <c r="AN509" s="8">
        <v>121951</v>
      </c>
      <c r="AT509" s="8">
        <v>9485</v>
      </c>
      <c r="AX509" s="8">
        <v>0</v>
      </c>
      <c r="AZ509" s="8">
        <f t="shared" si="46"/>
        <v>7991438</v>
      </c>
      <c r="BB509" s="8">
        <v>89329</v>
      </c>
      <c r="BH509" s="8">
        <v>0</v>
      </c>
      <c r="BJ509" s="8">
        <f t="shared" si="44"/>
        <v>8080767</v>
      </c>
      <c r="BL509" s="8">
        <f>+GenRev!AM512-GenExp!BJ509</f>
        <v>-440836</v>
      </c>
      <c r="BN509" s="8">
        <v>878301</v>
      </c>
      <c r="BP509" s="8">
        <v>0</v>
      </c>
      <c r="BS509" s="8">
        <f t="shared" si="45"/>
        <v>437465</v>
      </c>
      <c r="BU509" s="9">
        <f>+BS509-'Gen Fd BS'!AA512+BQ509</f>
        <v>12247</v>
      </c>
    </row>
    <row r="510" spans="1:73">
      <c r="A510" s="13" t="s">
        <v>691</v>
      </c>
      <c r="B510" s="13"/>
      <c r="C510" s="13" t="s">
        <v>64</v>
      </c>
      <c r="D510" s="13"/>
      <c r="E510" s="32">
        <v>50237</v>
      </c>
      <c r="G510" s="8">
        <v>2512264</v>
      </c>
      <c r="I510" s="8">
        <v>238271</v>
      </c>
      <c r="K510" s="8">
        <v>0</v>
      </c>
      <c r="M510" s="8">
        <v>0</v>
      </c>
      <c r="O510" s="8">
        <v>570626</v>
      </c>
      <c r="Q510" s="8">
        <v>124963</v>
      </c>
      <c r="S510" s="8">
        <v>55318</v>
      </c>
      <c r="U510" s="8">
        <v>447057</v>
      </c>
      <c r="W510" s="8">
        <v>221103</v>
      </c>
      <c r="Y510" s="8">
        <v>31964</v>
      </c>
      <c r="AA510" s="8">
        <v>399478</v>
      </c>
      <c r="AC510" s="8">
        <v>297522</v>
      </c>
      <c r="AE510" s="8">
        <v>0</v>
      </c>
      <c r="AG510" s="8">
        <v>0</v>
      </c>
      <c r="AI510" s="8">
        <v>0</v>
      </c>
      <c r="AJ510" s="13" t="s">
        <v>691</v>
      </c>
      <c r="AK510" s="13"/>
      <c r="AL510" s="13" t="s">
        <v>64</v>
      </c>
      <c r="AN510" s="8">
        <v>100680</v>
      </c>
      <c r="AP510" s="8">
        <v>0</v>
      </c>
      <c r="AT510" s="8">
        <v>0</v>
      </c>
      <c r="AV510" s="8">
        <v>0</v>
      </c>
      <c r="AX510" s="8">
        <v>0</v>
      </c>
      <c r="AZ510" s="8">
        <f t="shared" si="46"/>
        <v>4999246</v>
      </c>
      <c r="BB510" s="8">
        <v>0</v>
      </c>
      <c r="BH510" s="8">
        <v>0</v>
      </c>
      <c r="BJ510" s="8">
        <f t="shared" si="44"/>
        <v>4999246</v>
      </c>
      <c r="BL510" s="8">
        <f>+GenRev!AM513-GenExp!BJ510</f>
        <v>-281013</v>
      </c>
      <c r="BN510" s="8">
        <v>952959</v>
      </c>
      <c r="BP510" s="8">
        <v>0</v>
      </c>
      <c r="BS510" s="8">
        <f t="shared" si="45"/>
        <v>671946</v>
      </c>
      <c r="BU510" s="9">
        <f>+BS510-'Gen Fd BS'!AA513+BQ510</f>
        <v>0</v>
      </c>
    </row>
    <row r="511" spans="1:73">
      <c r="A511" s="13" t="s">
        <v>481</v>
      </c>
      <c r="B511" s="13"/>
      <c r="C511" s="13" t="s">
        <v>42</v>
      </c>
      <c r="D511" s="13"/>
      <c r="E511" s="32">
        <v>48041</v>
      </c>
      <c r="F511" s="11"/>
      <c r="G511" s="8">
        <v>13511077</v>
      </c>
      <c r="I511" s="8">
        <v>2673532</v>
      </c>
      <c r="K511" s="8">
        <v>461046</v>
      </c>
      <c r="M511" s="8">
        <v>2420186</v>
      </c>
      <c r="O511" s="8">
        <v>1983156</v>
      </c>
      <c r="Q511" s="8">
        <v>1349171</v>
      </c>
      <c r="S511" s="8">
        <v>57839</v>
      </c>
      <c r="U511" s="8">
        <v>2911305</v>
      </c>
      <c r="W511" s="8">
        <v>889460</v>
      </c>
      <c r="Y511" s="8">
        <v>100790</v>
      </c>
      <c r="AA511" s="8">
        <v>2591005</v>
      </c>
      <c r="AC511" s="8">
        <v>2207777</v>
      </c>
      <c r="AE511" s="8">
        <v>873385</v>
      </c>
      <c r="AG511" s="8">
        <v>0</v>
      </c>
      <c r="AI511" s="8">
        <v>0</v>
      </c>
      <c r="AJ511" s="13" t="s">
        <v>481</v>
      </c>
      <c r="AK511" s="13"/>
      <c r="AL511" s="13" t="s">
        <v>42</v>
      </c>
      <c r="AN511" s="8">
        <v>574889</v>
      </c>
      <c r="AP511" s="8">
        <v>119289</v>
      </c>
      <c r="AT511" s="8">
        <v>0</v>
      </c>
      <c r="AV511" s="8">
        <v>0</v>
      </c>
      <c r="AX511" s="8">
        <v>0</v>
      </c>
      <c r="AZ511" s="8">
        <f t="shared" si="46"/>
        <v>32723907</v>
      </c>
      <c r="BB511" s="8">
        <v>0</v>
      </c>
      <c r="BH511" s="8">
        <v>0</v>
      </c>
      <c r="BJ511" s="8">
        <f t="shared" si="44"/>
        <v>32723907</v>
      </c>
      <c r="BL511" s="8">
        <f>+GenRev!AM514-GenExp!BJ511</f>
        <v>-421656</v>
      </c>
      <c r="BN511" s="8">
        <v>5723163</v>
      </c>
      <c r="BP511" s="8">
        <v>0</v>
      </c>
      <c r="BS511" s="8">
        <f t="shared" si="45"/>
        <v>5301507</v>
      </c>
      <c r="BU511" s="9">
        <f>+BS511-'Gen Fd BS'!AA514+BQ511</f>
        <v>0</v>
      </c>
    </row>
    <row r="512" spans="1:73">
      <c r="A512" s="13" t="s">
        <v>407</v>
      </c>
      <c r="B512" s="13"/>
      <c r="C512" s="13" t="s">
        <v>32</v>
      </c>
      <c r="D512" s="13"/>
      <c r="E512" s="32">
        <v>47381</v>
      </c>
      <c r="G512" s="8">
        <v>15762003</v>
      </c>
      <c r="I512" s="8">
        <v>3317657</v>
      </c>
      <c r="K512" s="8">
        <v>265784</v>
      </c>
      <c r="M512" s="8">
        <v>582769</v>
      </c>
      <c r="O512" s="8">
        <v>1345354</v>
      </c>
      <c r="Q512" s="8">
        <v>1161353</v>
      </c>
      <c r="S512" s="8">
        <v>64044</v>
      </c>
      <c r="U512" s="8">
        <v>2497444</v>
      </c>
      <c r="W512" s="8">
        <v>902852</v>
      </c>
      <c r="Y512" s="8">
        <v>0</v>
      </c>
      <c r="AA512" s="8">
        <v>3889979</v>
      </c>
      <c r="AC512" s="8">
        <v>1966676</v>
      </c>
      <c r="AE512" s="8">
        <v>29044</v>
      </c>
      <c r="AG512" s="8">
        <v>0</v>
      </c>
      <c r="AI512" s="8">
        <v>0</v>
      </c>
      <c r="AJ512" s="13" t="s">
        <v>407</v>
      </c>
      <c r="AK512" s="13"/>
      <c r="AL512" s="13" t="s">
        <v>32</v>
      </c>
      <c r="AN512" s="8">
        <v>596875</v>
      </c>
      <c r="AP512" s="8">
        <v>0</v>
      </c>
      <c r="AT512" s="8">
        <v>250000</v>
      </c>
      <c r="AV512" s="8">
        <v>39160</v>
      </c>
      <c r="AX512" s="8">
        <v>0</v>
      </c>
      <c r="AZ512" s="8">
        <f t="shared" si="46"/>
        <v>32670994</v>
      </c>
      <c r="BB512" s="8">
        <v>1000</v>
      </c>
      <c r="BH512" s="8">
        <v>0</v>
      </c>
      <c r="BJ512" s="8">
        <f t="shared" si="44"/>
        <v>32671994</v>
      </c>
      <c r="BL512" s="8">
        <f>+GenRev!AM515-GenExp!BJ512</f>
        <v>-1332945</v>
      </c>
      <c r="BN512" s="8">
        <v>630491</v>
      </c>
      <c r="BP512" s="8">
        <v>0</v>
      </c>
      <c r="BS512" s="8">
        <f t="shared" si="45"/>
        <v>-702454</v>
      </c>
      <c r="BU512" s="9">
        <f>+BS512-'Gen Fd BS'!AA515+BQ512</f>
        <v>0</v>
      </c>
    </row>
    <row r="513" spans="1:75">
      <c r="A513" s="13" t="s">
        <v>363</v>
      </c>
      <c r="B513" s="13"/>
      <c r="C513" s="13" t="s">
        <v>27</v>
      </c>
      <c r="D513" s="13"/>
      <c r="E513" s="32">
        <v>44800</v>
      </c>
      <c r="F513" s="11"/>
      <c r="G513" s="8">
        <v>90660258</v>
      </c>
      <c r="I513" s="8">
        <v>21032279</v>
      </c>
      <c r="K513" s="8">
        <v>5066396</v>
      </c>
      <c r="M513" s="8">
        <v>281620</v>
      </c>
      <c r="O513" s="8">
        <v>7707001</v>
      </c>
      <c r="Q513" s="8">
        <v>9335244</v>
      </c>
      <c r="S513" s="8">
        <v>53816</v>
      </c>
      <c r="U513" s="8">
        <v>13745688</v>
      </c>
      <c r="W513" s="8">
        <v>3029687</v>
      </c>
      <c r="Y513" s="8">
        <v>868730</v>
      </c>
      <c r="AA513" s="8">
        <v>15803369</v>
      </c>
      <c r="AC513" s="8">
        <v>10497654</v>
      </c>
      <c r="AE513" s="8">
        <v>2970135</v>
      </c>
      <c r="AG513" s="8">
        <v>0</v>
      </c>
      <c r="AI513" s="8">
        <v>261829</v>
      </c>
      <c r="AJ513" s="13" t="s">
        <v>363</v>
      </c>
      <c r="AK513" s="13"/>
      <c r="AL513" s="13" t="s">
        <v>27</v>
      </c>
      <c r="AN513" s="8">
        <v>2566395</v>
      </c>
      <c r="AP513" s="8">
        <v>666639</v>
      </c>
      <c r="AT513" s="8">
        <v>0</v>
      </c>
      <c r="AV513" s="8">
        <v>74138</v>
      </c>
      <c r="AX513" s="8">
        <v>0</v>
      </c>
      <c r="AZ513" s="8">
        <f t="shared" si="46"/>
        <v>184620878</v>
      </c>
      <c r="BB513" s="8">
        <v>1022766</v>
      </c>
      <c r="BH513" s="8">
        <v>0</v>
      </c>
      <c r="BJ513" s="8">
        <f t="shared" si="44"/>
        <v>185643644</v>
      </c>
      <c r="BL513" s="8">
        <f>+GenRev!AM516-GenExp!BJ513</f>
        <v>9228182</v>
      </c>
      <c r="BN513" s="8">
        <v>23999271</v>
      </c>
      <c r="BP513" s="8">
        <v>0</v>
      </c>
      <c r="BS513" s="8">
        <f t="shared" si="45"/>
        <v>33227453</v>
      </c>
      <c r="BU513" s="9">
        <f>+BS513-'Gen Fd BS'!AA516+BQ513</f>
        <v>0</v>
      </c>
    </row>
    <row r="514" spans="1:75" hidden="1">
      <c r="A514" s="12" t="s">
        <v>1037</v>
      </c>
      <c r="B514" s="13"/>
      <c r="C514" s="13" t="s">
        <v>10</v>
      </c>
      <c r="D514" s="13"/>
      <c r="E514" s="32">
        <v>45807</v>
      </c>
      <c r="G514" s="8">
        <v>3869028</v>
      </c>
      <c r="I514" s="8">
        <v>504756</v>
      </c>
      <c r="K514" s="8">
        <v>63032</v>
      </c>
      <c r="M514" s="8">
        <f>1672+357881</f>
        <v>359553</v>
      </c>
      <c r="O514" s="8">
        <v>367783</v>
      </c>
      <c r="Q514" s="8">
        <v>183365</v>
      </c>
      <c r="S514" s="8">
        <v>37955</v>
      </c>
      <c r="U514" s="8">
        <v>661308</v>
      </c>
      <c r="W514" s="8">
        <v>337192</v>
      </c>
      <c r="Y514" s="8">
        <v>222</v>
      </c>
      <c r="AA514" s="8">
        <v>821671</v>
      </c>
      <c r="AC514" s="8">
        <v>513549</v>
      </c>
      <c r="AE514" s="8">
        <v>1858</v>
      </c>
      <c r="AG514" s="8">
        <v>0</v>
      </c>
      <c r="AJ514" s="13" t="s">
        <v>212</v>
      </c>
      <c r="AK514" s="13"/>
      <c r="AL514" s="13" t="s">
        <v>10</v>
      </c>
      <c r="AN514" s="8">
        <v>207920</v>
      </c>
      <c r="AT514" s="8">
        <v>30925</v>
      </c>
      <c r="AV514" s="8">
        <v>6471</v>
      </c>
      <c r="AX514" s="8">
        <v>0</v>
      </c>
      <c r="AZ514" s="8">
        <f t="shared" si="46"/>
        <v>7966588</v>
      </c>
      <c r="BB514" s="8">
        <v>70195</v>
      </c>
      <c r="BH514" s="8">
        <v>0</v>
      </c>
      <c r="BJ514" s="8">
        <f t="shared" si="44"/>
        <v>8036783</v>
      </c>
      <c r="BL514" s="8">
        <f>+GenRev!AM517-GenExp!BJ514</f>
        <v>-77670</v>
      </c>
      <c r="BN514" s="8">
        <v>2403122</v>
      </c>
      <c r="BP514" s="8">
        <v>0</v>
      </c>
      <c r="BS514" s="8">
        <f t="shared" si="45"/>
        <v>2325452</v>
      </c>
      <c r="BU514" s="9">
        <f>+BS514-'Gen Fd BS'!AA517+BQ514</f>
        <v>-38855</v>
      </c>
    </row>
    <row r="515" spans="1:75" hidden="1">
      <c r="A515" s="12" t="s">
        <v>1036</v>
      </c>
      <c r="B515" s="13"/>
      <c r="C515" s="13" t="s">
        <v>69</v>
      </c>
      <c r="D515" s="13"/>
      <c r="E515" s="32">
        <v>50427</v>
      </c>
      <c r="G515" s="8">
        <v>19380283</v>
      </c>
      <c r="I515" s="8">
        <v>2849214</v>
      </c>
      <c r="K515" s="8">
        <v>94914</v>
      </c>
      <c r="M515" s="8">
        <v>377070</v>
      </c>
      <c r="O515" s="8">
        <v>3117239</v>
      </c>
      <c r="Q515" s="8">
        <v>2988691</v>
      </c>
      <c r="S515" s="8">
        <v>144248</v>
      </c>
      <c r="U515" s="8">
        <v>2836784</v>
      </c>
      <c r="W515" s="8">
        <v>1014127</v>
      </c>
      <c r="Y515" s="8">
        <v>164848</v>
      </c>
      <c r="AA515" s="8">
        <v>4374836</v>
      </c>
      <c r="AC515" s="8">
        <v>2689112</v>
      </c>
      <c r="AE515" s="8">
        <v>1342778</v>
      </c>
      <c r="AG515" s="8">
        <v>0</v>
      </c>
      <c r="AI515" s="8">
        <v>46076</v>
      </c>
      <c r="AJ515" s="13" t="s">
        <v>713</v>
      </c>
      <c r="AK515" s="13"/>
      <c r="AL515" s="13" t="s">
        <v>69</v>
      </c>
      <c r="AN515" s="8">
        <v>637528</v>
      </c>
      <c r="AP515" s="8">
        <v>10352</v>
      </c>
      <c r="AT515" s="8">
        <v>444144</v>
      </c>
      <c r="AV515" s="8">
        <v>872516</v>
      </c>
      <c r="AX515" s="8">
        <v>0</v>
      </c>
      <c r="AZ515" s="8">
        <f t="shared" si="46"/>
        <v>43384760</v>
      </c>
      <c r="BH515" s="8">
        <v>0</v>
      </c>
      <c r="BJ515" s="8">
        <f t="shared" si="44"/>
        <v>43384760</v>
      </c>
      <c r="BL515" s="8">
        <f>+GenRev!AM518-GenExp!BJ515</f>
        <v>-514803</v>
      </c>
      <c r="BN515" s="8">
        <v>4473409</v>
      </c>
      <c r="BP515" s="8">
        <v>0</v>
      </c>
      <c r="BS515" s="8">
        <f t="shared" si="45"/>
        <v>3958606</v>
      </c>
      <c r="BU515" s="9">
        <f>+BS515-'Gen Fd BS'!AA518+BQ515</f>
        <v>-447342</v>
      </c>
    </row>
    <row r="516" spans="1:75">
      <c r="A516" s="12" t="s">
        <v>862</v>
      </c>
      <c r="B516" s="12"/>
      <c r="C516" s="12" t="s">
        <v>17</v>
      </c>
      <c r="D516" s="12"/>
      <c r="E516" s="32"/>
      <c r="G516" s="8">
        <v>34566983</v>
      </c>
      <c r="I516" s="8">
        <v>7907963</v>
      </c>
      <c r="K516" s="8">
        <v>213312</v>
      </c>
      <c r="M516" s="8">
        <v>5000</v>
      </c>
      <c r="O516" s="8">
        <v>3829734</v>
      </c>
      <c r="Q516" s="8">
        <v>1989552</v>
      </c>
      <c r="S516" s="8">
        <v>202439</v>
      </c>
      <c r="U516" s="8">
        <v>5632190</v>
      </c>
      <c r="W516" s="8">
        <v>1360725</v>
      </c>
      <c r="Y516" s="8">
        <v>362042</v>
      </c>
      <c r="AA516" s="8">
        <v>7392004</v>
      </c>
      <c r="AC516" s="8">
        <v>2077018</v>
      </c>
      <c r="AE516" s="8">
        <v>406612</v>
      </c>
      <c r="AG516" s="8">
        <v>0</v>
      </c>
      <c r="AI516" s="8">
        <v>844</v>
      </c>
      <c r="AJ516" s="13" t="s">
        <v>801</v>
      </c>
      <c r="AK516" s="13"/>
      <c r="AL516" s="13" t="s">
        <v>17</v>
      </c>
      <c r="AN516" s="8">
        <v>521177</v>
      </c>
      <c r="AP516" s="8">
        <v>24235</v>
      </c>
      <c r="AT516" s="8">
        <v>62715</v>
      </c>
      <c r="AV516" s="8">
        <v>321511</v>
      </c>
      <c r="AX516" s="8">
        <v>0</v>
      </c>
      <c r="AZ516" s="8">
        <f t="shared" si="46"/>
        <v>66876056</v>
      </c>
      <c r="BB516" s="8">
        <v>11000</v>
      </c>
      <c r="BH516" s="8">
        <v>0</v>
      </c>
      <c r="BJ516" s="8">
        <f t="shared" si="44"/>
        <v>66887056</v>
      </c>
      <c r="BL516" s="8">
        <f>+GenRev!AM519-GenExp!BJ516</f>
        <v>7310645</v>
      </c>
      <c r="BN516" s="8">
        <v>3810409</v>
      </c>
      <c r="BP516" s="8">
        <v>0</v>
      </c>
      <c r="BS516" s="8">
        <f t="shared" si="45"/>
        <v>11121054</v>
      </c>
      <c r="BU516" s="9">
        <f>+BS516-'Gen Fd BS'!AA519+BQ516</f>
        <v>0</v>
      </c>
    </row>
    <row r="517" spans="1:75">
      <c r="A517" s="12" t="s">
        <v>500</v>
      </c>
      <c r="B517" s="13"/>
      <c r="C517" s="13" t="s">
        <v>117</v>
      </c>
      <c r="D517" s="13"/>
      <c r="E517" s="32">
        <v>48223</v>
      </c>
      <c r="G517" s="8">
        <v>15528252</v>
      </c>
      <c r="I517" s="8">
        <v>3952061</v>
      </c>
      <c r="K517" s="8">
        <v>284909</v>
      </c>
      <c r="M517" s="8">
        <f>1791453+1230542</f>
        <v>3021995</v>
      </c>
      <c r="O517" s="8">
        <v>1674291</v>
      </c>
      <c r="Q517" s="8">
        <v>634407</v>
      </c>
      <c r="S517" s="8">
        <v>52929</v>
      </c>
      <c r="U517" s="8">
        <v>2746063</v>
      </c>
      <c r="W517" s="8">
        <v>728243</v>
      </c>
      <c r="Y517" s="8">
        <v>0</v>
      </c>
      <c r="AA517" s="8">
        <v>3782279</v>
      </c>
      <c r="AC517" s="8">
        <v>1912053</v>
      </c>
      <c r="AE517" s="8">
        <v>117041</v>
      </c>
      <c r="AG517" s="8">
        <v>0</v>
      </c>
      <c r="AI517" s="8">
        <v>0</v>
      </c>
      <c r="AJ517" s="13" t="s">
        <v>500</v>
      </c>
      <c r="AK517" s="13"/>
      <c r="AL517" s="13" t="s">
        <v>117</v>
      </c>
      <c r="AN517" s="8">
        <v>701797</v>
      </c>
      <c r="AP517" s="8">
        <v>0</v>
      </c>
      <c r="AT517" s="8">
        <v>0</v>
      </c>
      <c r="AV517" s="8">
        <v>0</v>
      </c>
      <c r="AX517" s="8">
        <v>0</v>
      </c>
      <c r="AZ517" s="8">
        <f t="shared" si="46"/>
        <v>35136320</v>
      </c>
      <c r="BB517" s="8">
        <v>66404</v>
      </c>
      <c r="BH517" s="8">
        <v>0</v>
      </c>
      <c r="BJ517" s="8">
        <f t="shared" si="44"/>
        <v>35202724</v>
      </c>
      <c r="BL517" s="8">
        <f>+GenRev!AM520-GenExp!BJ517</f>
        <v>-1276936</v>
      </c>
      <c r="BN517" s="8">
        <v>-615250</v>
      </c>
      <c r="BP517" s="8">
        <v>0</v>
      </c>
      <c r="BS517" s="8">
        <f t="shared" si="45"/>
        <v>-1892186</v>
      </c>
      <c r="BU517" s="9">
        <f>+BS517-'Gen Fd BS'!AA520+BQ517</f>
        <v>0</v>
      </c>
      <c r="BW517" s="15" t="s">
        <v>905</v>
      </c>
    </row>
    <row r="518" spans="1:75">
      <c r="A518" s="13" t="s">
        <v>500</v>
      </c>
      <c r="B518" s="13"/>
      <c r="C518" s="13" t="s">
        <v>45</v>
      </c>
      <c r="D518" s="13"/>
      <c r="E518" s="32">
        <v>48371</v>
      </c>
      <c r="G518" s="8">
        <v>4422496</v>
      </c>
      <c r="I518" s="8">
        <v>730341</v>
      </c>
      <c r="K518" s="8">
        <v>195857</v>
      </c>
      <c r="M518" s="8">
        <v>82832</v>
      </c>
      <c r="O518" s="8">
        <v>260687</v>
      </c>
      <c r="Q518" s="8">
        <v>453158</v>
      </c>
      <c r="S518" s="8">
        <v>20094</v>
      </c>
      <c r="U518" s="8">
        <v>1098481</v>
      </c>
      <c r="W518" s="8">
        <v>284941</v>
      </c>
      <c r="Y518" s="8">
        <v>2432</v>
      </c>
      <c r="AA518" s="8">
        <v>961665</v>
      </c>
      <c r="AC518" s="8">
        <v>609492</v>
      </c>
      <c r="AE518" s="8">
        <v>26128</v>
      </c>
      <c r="AG518" s="8">
        <v>0</v>
      </c>
      <c r="AI518" s="8">
        <v>0</v>
      </c>
      <c r="AJ518" s="13" t="s">
        <v>500</v>
      </c>
      <c r="AK518" s="13"/>
      <c r="AL518" s="13" t="s">
        <v>45</v>
      </c>
      <c r="AN518" s="8">
        <v>253228</v>
      </c>
      <c r="AP518" s="8">
        <v>846412</v>
      </c>
      <c r="AT518" s="8">
        <v>2506</v>
      </c>
      <c r="AV518" s="8">
        <v>434</v>
      </c>
      <c r="AX518" s="8">
        <v>0</v>
      </c>
      <c r="AZ518" s="8">
        <f t="shared" si="46"/>
        <v>10251184</v>
      </c>
      <c r="BB518" s="8">
        <v>15000</v>
      </c>
      <c r="BH518" s="8">
        <v>0</v>
      </c>
      <c r="BJ518" s="8">
        <f t="shared" si="44"/>
        <v>10266184</v>
      </c>
      <c r="BL518" s="8">
        <f>+GenRev!AM521-GenExp!BJ518</f>
        <v>-527177</v>
      </c>
      <c r="BN518" s="8">
        <v>2211163</v>
      </c>
      <c r="BP518" s="8">
        <v>0</v>
      </c>
      <c r="BS518" s="8">
        <f t="shared" si="45"/>
        <v>1683986</v>
      </c>
      <c r="BU518" s="9">
        <f>+BS518-'Gen Fd BS'!AA521+BQ518</f>
        <v>0</v>
      </c>
    </row>
    <row r="519" spans="1:75">
      <c r="A519" s="13" t="s">
        <v>500</v>
      </c>
      <c r="B519" s="13"/>
      <c r="C519" s="13" t="s">
        <v>63</v>
      </c>
      <c r="D519" s="13"/>
      <c r="E519" s="32">
        <v>50062</v>
      </c>
      <c r="G519" s="8">
        <v>10094875</v>
      </c>
      <c r="I519" s="8">
        <v>2481764</v>
      </c>
      <c r="K519" s="8">
        <v>289754</v>
      </c>
      <c r="M519" s="8">
        <v>2818637</v>
      </c>
      <c r="O519" s="8">
        <v>1320886</v>
      </c>
      <c r="Q519" s="8">
        <v>1088237</v>
      </c>
      <c r="S519" s="8">
        <v>36524</v>
      </c>
      <c r="U519" s="8">
        <v>1639508</v>
      </c>
      <c r="W519" s="8">
        <v>664111</v>
      </c>
      <c r="Y519" s="8">
        <v>128334</v>
      </c>
      <c r="AA519" s="8">
        <v>1835341</v>
      </c>
      <c r="AC519" s="8">
        <v>1365770</v>
      </c>
      <c r="AE519" s="8">
        <v>58767</v>
      </c>
      <c r="AG519" s="8">
        <v>0</v>
      </c>
      <c r="AI519" s="8">
        <v>0</v>
      </c>
      <c r="AJ519" s="13" t="s">
        <v>500</v>
      </c>
      <c r="AK519" s="13"/>
      <c r="AL519" s="13" t="s">
        <v>63</v>
      </c>
      <c r="AN519" s="8">
        <v>323638</v>
      </c>
      <c r="AP519" s="8">
        <v>56227</v>
      </c>
      <c r="AT519" s="8">
        <v>65316</v>
      </c>
      <c r="AV519" s="8">
        <v>12793</v>
      </c>
      <c r="AX519" s="8">
        <v>0</v>
      </c>
      <c r="AZ519" s="8">
        <f t="shared" si="46"/>
        <v>24280482</v>
      </c>
      <c r="BB519" s="8">
        <v>0</v>
      </c>
      <c r="BH519" s="8">
        <v>0</v>
      </c>
      <c r="BJ519" s="8">
        <f t="shared" si="44"/>
        <v>24280482</v>
      </c>
      <c r="BL519" s="8">
        <f>+GenRev!AM522-GenExp!BJ519</f>
        <v>40983</v>
      </c>
      <c r="BN519" s="8">
        <v>-1861799</v>
      </c>
      <c r="BP519" s="8">
        <v>0</v>
      </c>
      <c r="BS519" s="8">
        <f t="shared" si="45"/>
        <v>-1820816</v>
      </c>
      <c r="BU519" s="9">
        <f>+BS519-'Gen Fd BS'!AA522+BQ519</f>
        <v>0</v>
      </c>
    </row>
    <row r="520" spans="1:75">
      <c r="A520" s="13" t="s">
        <v>871</v>
      </c>
      <c r="B520" s="13"/>
      <c r="C520" s="13" t="s">
        <v>32</v>
      </c>
      <c r="D520" s="13"/>
      <c r="E520" s="32">
        <v>44719</v>
      </c>
      <c r="G520" s="8">
        <v>4823776</v>
      </c>
      <c r="I520" s="8">
        <v>1197251</v>
      </c>
      <c r="K520" s="8">
        <v>0</v>
      </c>
      <c r="M520" s="8">
        <v>0</v>
      </c>
      <c r="O520" s="8">
        <v>674758</v>
      </c>
      <c r="Q520" s="8">
        <v>746414</v>
      </c>
      <c r="S520" s="8">
        <v>18797</v>
      </c>
      <c r="U520" s="8">
        <v>974741</v>
      </c>
      <c r="W520" s="8">
        <v>454151</v>
      </c>
      <c r="Y520" s="8">
        <v>0</v>
      </c>
      <c r="AA520" s="8">
        <v>1134743</v>
      </c>
      <c r="AC520" s="8">
        <v>402435</v>
      </c>
      <c r="AE520" s="8">
        <v>163798</v>
      </c>
      <c r="AG520" s="8">
        <v>0</v>
      </c>
      <c r="AI520" s="8">
        <v>0</v>
      </c>
      <c r="AJ520" s="13" t="s">
        <v>871</v>
      </c>
      <c r="AK520" s="13"/>
      <c r="AL520" s="13" t="s">
        <v>32</v>
      </c>
      <c r="AN520" s="8">
        <v>127193</v>
      </c>
      <c r="AP520" s="8">
        <v>0</v>
      </c>
      <c r="AT520" s="8">
        <v>0</v>
      </c>
      <c r="AV520" s="8">
        <v>21356</v>
      </c>
      <c r="AX520" s="8">
        <v>0</v>
      </c>
      <c r="AZ520" s="8">
        <f t="shared" si="46"/>
        <v>10739413</v>
      </c>
      <c r="BB520" s="8">
        <f>698154-156356</f>
        <v>541798</v>
      </c>
      <c r="BH520" s="8">
        <v>0</v>
      </c>
      <c r="BJ520" s="8">
        <f t="shared" si="44"/>
        <v>11281211</v>
      </c>
      <c r="BL520" s="8">
        <f>+GenRev!AM523-GenExp!BJ520</f>
        <v>-238437</v>
      </c>
      <c r="BN520" s="8">
        <v>3421082</v>
      </c>
      <c r="BP520" s="8">
        <v>0</v>
      </c>
      <c r="BS520" s="8">
        <f t="shared" si="45"/>
        <v>3182645</v>
      </c>
      <c r="BU520" s="9">
        <f>+BS520-'Gen Fd BS'!AA523+BQ520</f>
        <v>0</v>
      </c>
    </row>
    <row r="521" spans="1:75" s="35" customFormat="1">
      <c r="A521" s="34" t="s">
        <v>870</v>
      </c>
      <c r="B521" s="34"/>
      <c r="C521" s="34" t="s">
        <v>15</v>
      </c>
      <c r="D521" s="34"/>
      <c r="E521" s="34">
        <v>45997</v>
      </c>
      <c r="G521" s="8">
        <v>6404682</v>
      </c>
      <c r="H521" s="8"/>
      <c r="I521" s="8">
        <v>1066177</v>
      </c>
      <c r="J521" s="8"/>
      <c r="K521" s="8">
        <v>11257</v>
      </c>
      <c r="L521" s="8"/>
      <c r="M521" s="8">
        <v>0</v>
      </c>
      <c r="N521" s="8"/>
      <c r="O521" s="8">
        <v>642618</v>
      </c>
      <c r="P521" s="8"/>
      <c r="Q521" s="8">
        <v>365665</v>
      </c>
      <c r="R521" s="8"/>
      <c r="S521" s="8">
        <v>22138</v>
      </c>
      <c r="T521" s="8"/>
      <c r="U521" s="8">
        <v>958623</v>
      </c>
      <c r="V521" s="8"/>
      <c r="W521" s="8">
        <v>450855</v>
      </c>
      <c r="X521" s="8"/>
      <c r="Y521" s="8">
        <v>0</v>
      </c>
      <c r="Z521" s="8"/>
      <c r="AA521" s="8">
        <v>1301639</v>
      </c>
      <c r="AB521" s="8"/>
      <c r="AC521" s="8">
        <v>723255</v>
      </c>
      <c r="AD521" s="8"/>
      <c r="AE521" s="8">
        <v>240351</v>
      </c>
      <c r="AF521" s="8"/>
      <c r="AG521" s="8">
        <v>0</v>
      </c>
      <c r="AH521" s="8"/>
      <c r="AI521" s="8">
        <v>0</v>
      </c>
      <c r="AJ521" s="34" t="s">
        <v>870</v>
      </c>
      <c r="AK521" s="34"/>
      <c r="AL521" s="34" t="s">
        <v>15</v>
      </c>
      <c r="AN521" s="8">
        <v>242304</v>
      </c>
      <c r="AO521" s="8"/>
      <c r="AP521" s="8">
        <v>0</v>
      </c>
      <c r="AQ521" s="8"/>
      <c r="AR521" s="8"/>
      <c r="AS521" s="8"/>
      <c r="AT521" s="8">
        <v>19162</v>
      </c>
      <c r="AU521" s="8"/>
      <c r="AV521" s="8">
        <v>10171</v>
      </c>
      <c r="AW521" s="8"/>
      <c r="AX521" s="8">
        <v>0</v>
      </c>
      <c r="AY521" s="8"/>
      <c r="AZ521" s="8">
        <f t="shared" si="46"/>
        <v>12458897</v>
      </c>
      <c r="BA521" s="8"/>
      <c r="BB521" s="8">
        <v>0</v>
      </c>
      <c r="BC521" s="8"/>
      <c r="BD521" s="8"/>
      <c r="BE521" s="8"/>
      <c r="BF521" s="8"/>
      <c r="BG521" s="8"/>
      <c r="BH521" s="8">
        <v>0</v>
      </c>
      <c r="BI521" s="8"/>
      <c r="BJ521" s="8">
        <f t="shared" si="44"/>
        <v>12458897</v>
      </c>
      <c r="BK521" s="8"/>
      <c r="BL521" s="8">
        <f>+GenRev!AM524-GenExp!BJ521</f>
        <v>-110186</v>
      </c>
      <c r="BM521" s="8"/>
      <c r="BN521" s="8">
        <v>2631874</v>
      </c>
      <c r="BO521" s="8"/>
      <c r="BP521" s="8">
        <v>0</v>
      </c>
      <c r="BQ521" s="8"/>
      <c r="BR521" s="8"/>
      <c r="BS521" s="8">
        <f t="shared" si="45"/>
        <v>2521688</v>
      </c>
      <c r="BU521" s="44">
        <f>+BS521-'Gen Fd BS'!AA524+BQ521</f>
        <v>0</v>
      </c>
    </row>
    <row r="522" spans="1:75" hidden="1">
      <c r="A522" s="12" t="s">
        <v>1038</v>
      </c>
      <c r="B522" s="13"/>
      <c r="C522" s="13" t="s">
        <v>534</v>
      </c>
      <c r="D522" s="13"/>
      <c r="E522" s="32">
        <v>48587</v>
      </c>
      <c r="G522" s="8">
        <v>4415579</v>
      </c>
      <c r="I522" s="8">
        <v>1128342</v>
      </c>
      <c r="K522" s="8">
        <v>256874</v>
      </c>
      <c r="M522" s="8">
        <v>11395</v>
      </c>
      <c r="O522" s="8">
        <v>270340</v>
      </c>
      <c r="Q522" s="8">
        <v>332792</v>
      </c>
      <c r="S522" s="8">
        <v>28664</v>
      </c>
      <c r="U522" s="8">
        <v>695532</v>
      </c>
      <c r="W522" s="8">
        <v>211399</v>
      </c>
      <c r="AA522" s="8">
        <v>642247</v>
      </c>
      <c r="AC522" s="8">
        <v>206218</v>
      </c>
      <c r="AE522" s="8">
        <v>1748</v>
      </c>
      <c r="AG522" s="8">
        <v>0</v>
      </c>
      <c r="AI522" s="8">
        <v>184</v>
      </c>
      <c r="AJ522" s="12" t="s">
        <v>1038</v>
      </c>
      <c r="AK522" s="13"/>
      <c r="AL522" s="13" t="s">
        <v>534</v>
      </c>
      <c r="AN522" s="8">
        <v>246680</v>
      </c>
      <c r="AP522" s="8">
        <v>3806</v>
      </c>
      <c r="AX522" s="8">
        <v>0</v>
      </c>
      <c r="AZ522" s="8">
        <f t="shared" si="46"/>
        <v>8451800</v>
      </c>
      <c r="BH522" s="8">
        <v>0</v>
      </c>
      <c r="BJ522" s="8">
        <f t="shared" si="44"/>
        <v>8451800</v>
      </c>
      <c r="BL522" s="8">
        <f>+GenRev!AM525-GenExp!BJ522</f>
        <v>-42194</v>
      </c>
      <c r="BN522" s="8">
        <v>2976222</v>
      </c>
      <c r="BP522" s="8">
        <v>0</v>
      </c>
      <c r="BS522" s="8">
        <f t="shared" si="45"/>
        <v>2934028</v>
      </c>
      <c r="BU522" s="9">
        <f>+BS522-'Gen Fd BS'!AA525+BQ522</f>
        <v>-129500</v>
      </c>
    </row>
    <row r="523" spans="1:75" hidden="1">
      <c r="A523" s="12" t="s">
        <v>1039</v>
      </c>
      <c r="B523" s="13"/>
      <c r="C523" s="13" t="s">
        <v>14</v>
      </c>
      <c r="D523" s="13"/>
      <c r="E523" s="32">
        <v>44727</v>
      </c>
      <c r="G523" s="8">
        <v>9904251</v>
      </c>
      <c r="I523" s="8">
        <v>1789161</v>
      </c>
      <c r="K523" s="8">
        <v>1504838</v>
      </c>
      <c r="O523" s="8">
        <v>1466525</v>
      </c>
      <c r="Q523" s="8">
        <v>1003577</v>
      </c>
      <c r="S523" s="8">
        <v>106927</v>
      </c>
      <c r="U523" s="8">
        <v>1450078</v>
      </c>
      <c r="W523" s="8">
        <v>403428</v>
      </c>
      <c r="Y523" s="8">
        <v>237622</v>
      </c>
      <c r="AA523" s="8">
        <v>1529600</v>
      </c>
      <c r="AC523" s="8">
        <v>751266</v>
      </c>
      <c r="AE523" s="8">
        <v>8725</v>
      </c>
      <c r="AG523" s="8">
        <v>0</v>
      </c>
      <c r="AJ523" s="12" t="s">
        <v>1039</v>
      </c>
      <c r="AK523" s="13"/>
      <c r="AL523" s="13" t="s">
        <v>14</v>
      </c>
      <c r="AN523" s="8">
        <v>449333</v>
      </c>
      <c r="AP523" s="8">
        <v>10375</v>
      </c>
      <c r="AX523" s="8">
        <v>0</v>
      </c>
      <c r="AZ523" s="8">
        <f t="shared" si="46"/>
        <v>20615706</v>
      </c>
      <c r="BB523" s="8">
        <v>45376</v>
      </c>
      <c r="BH523" s="8">
        <v>0</v>
      </c>
      <c r="BJ523" s="8">
        <f t="shared" si="44"/>
        <v>20661082</v>
      </c>
      <c r="BL523" s="8">
        <f>+GenRev!AM526-GenExp!BJ523</f>
        <v>-1151123</v>
      </c>
      <c r="BN523" s="8">
        <v>7380570</v>
      </c>
      <c r="BP523" s="8">
        <v>0</v>
      </c>
      <c r="BS523" s="8">
        <f t="shared" si="45"/>
        <v>6229447</v>
      </c>
      <c r="BU523" s="9">
        <f>+BS523-'Gen Fd BS'!AA526+BQ523</f>
        <v>0</v>
      </c>
    </row>
    <row r="524" spans="1:75">
      <c r="A524" s="13" t="s">
        <v>452</v>
      </c>
      <c r="B524" s="13"/>
      <c r="C524" s="13" t="s">
        <v>39</v>
      </c>
      <c r="D524" s="13"/>
      <c r="E524" s="32">
        <v>44826</v>
      </c>
      <c r="G524" s="8">
        <v>7280351</v>
      </c>
      <c r="I524" s="8">
        <v>2525737</v>
      </c>
      <c r="K524" s="8">
        <v>818022</v>
      </c>
      <c r="M524" s="8">
        <v>78222</v>
      </c>
      <c r="O524" s="8">
        <v>579324</v>
      </c>
      <c r="Q524" s="8">
        <v>168087</v>
      </c>
      <c r="S524" s="8">
        <v>37889</v>
      </c>
      <c r="U524" s="8">
        <v>1792716</v>
      </c>
      <c r="W524" s="8">
        <v>361066</v>
      </c>
      <c r="Y524" s="8">
        <v>183488</v>
      </c>
      <c r="AA524" s="8">
        <v>2418693</v>
      </c>
      <c r="AC524" s="8">
        <v>509614</v>
      </c>
      <c r="AE524" s="8">
        <v>9058</v>
      </c>
      <c r="AG524" s="8">
        <v>0</v>
      </c>
      <c r="AI524" s="8">
        <v>1124</v>
      </c>
      <c r="AJ524" s="13" t="s">
        <v>452</v>
      </c>
      <c r="AK524" s="13"/>
      <c r="AL524" s="13" t="s">
        <v>39</v>
      </c>
      <c r="AN524" s="8">
        <v>265664</v>
      </c>
      <c r="AP524" s="8">
        <v>0</v>
      </c>
      <c r="AT524" s="8">
        <v>0</v>
      </c>
      <c r="AV524" s="8">
        <v>0</v>
      </c>
      <c r="AX524" s="8">
        <v>0</v>
      </c>
      <c r="AZ524" s="8">
        <f t="shared" si="46"/>
        <v>17029055</v>
      </c>
      <c r="BB524" s="8">
        <v>978706</v>
      </c>
      <c r="BH524" s="8">
        <v>0</v>
      </c>
      <c r="BJ524" s="8">
        <f t="shared" si="44"/>
        <v>18007761</v>
      </c>
      <c r="BL524" s="8">
        <f>+GenRev!AM527-GenExp!BJ524</f>
        <v>-697782</v>
      </c>
      <c r="BN524" s="8">
        <v>2506905</v>
      </c>
      <c r="BP524" s="8">
        <v>0</v>
      </c>
      <c r="BS524" s="8">
        <f t="shared" si="45"/>
        <v>1809123</v>
      </c>
      <c r="BU524" s="9">
        <f>+BS524-'Gen Fd BS'!AA527+BQ524</f>
        <v>0</v>
      </c>
    </row>
    <row r="525" spans="1:75">
      <c r="A525" s="13" t="s">
        <v>671</v>
      </c>
      <c r="B525" s="13"/>
      <c r="C525" s="13" t="s">
        <v>63</v>
      </c>
      <c r="D525" s="13"/>
      <c r="E525" s="32">
        <v>44834</v>
      </c>
      <c r="G525" s="8">
        <v>23534277</v>
      </c>
      <c r="I525" s="8">
        <v>4385358</v>
      </c>
      <c r="K525" s="8">
        <v>1588369</v>
      </c>
      <c r="M525" s="8">
        <f>4031+289534</f>
        <v>293565</v>
      </c>
      <c r="O525" s="8">
        <v>2414888</v>
      </c>
      <c r="Q525" s="8">
        <v>2411506</v>
      </c>
      <c r="S525" s="8">
        <v>421217</v>
      </c>
      <c r="U525" s="8">
        <v>2610751</v>
      </c>
      <c r="W525" s="8">
        <v>1251508</v>
      </c>
      <c r="Y525" s="8">
        <v>447888</v>
      </c>
      <c r="AA525" s="8">
        <v>5132914</v>
      </c>
      <c r="AC525" s="8">
        <v>3100653</v>
      </c>
      <c r="AE525" s="8">
        <v>538192</v>
      </c>
      <c r="AG525" s="8">
        <v>0</v>
      </c>
      <c r="AI525" s="8">
        <v>27</v>
      </c>
      <c r="AJ525" s="13" t="s">
        <v>671</v>
      </c>
      <c r="AK525" s="13"/>
      <c r="AL525" s="13" t="s">
        <v>63</v>
      </c>
      <c r="AN525" s="8">
        <v>872595</v>
      </c>
      <c r="AP525" s="8">
        <v>33537</v>
      </c>
      <c r="AT525" s="8">
        <v>80000</v>
      </c>
      <c r="AV525" s="8">
        <v>61856</v>
      </c>
      <c r="AX525" s="8">
        <v>0</v>
      </c>
      <c r="AZ525" s="8">
        <f t="shared" si="46"/>
        <v>49179101</v>
      </c>
      <c r="BB525" s="8">
        <v>16575</v>
      </c>
      <c r="BH525" s="8">
        <v>0</v>
      </c>
      <c r="BJ525" s="8">
        <f t="shared" si="44"/>
        <v>49195676</v>
      </c>
      <c r="BL525" s="8">
        <f>+GenRev!AM528-GenExp!BJ525</f>
        <v>3091917</v>
      </c>
      <c r="BN525" s="8">
        <v>6013310</v>
      </c>
      <c r="BP525" s="8">
        <v>0</v>
      </c>
      <c r="BS525" s="8">
        <f t="shared" si="45"/>
        <v>9105227</v>
      </c>
      <c r="BU525" s="9">
        <f>+BS525-'Gen Fd BS'!AA528+BQ525</f>
        <v>0</v>
      </c>
    </row>
    <row r="526" spans="1:75" hidden="1">
      <c r="A526" s="13" t="s">
        <v>1040</v>
      </c>
      <c r="B526" s="13"/>
      <c r="C526" s="13" t="s">
        <v>65</v>
      </c>
      <c r="D526" s="13"/>
      <c r="E526" s="32">
        <v>50294</v>
      </c>
      <c r="AG526" s="8">
        <v>0</v>
      </c>
      <c r="AJ526" s="13" t="s">
        <v>700</v>
      </c>
      <c r="AK526" s="13"/>
      <c r="AL526" s="13" t="s">
        <v>65</v>
      </c>
      <c r="AX526" s="8">
        <v>0</v>
      </c>
      <c r="AZ526" s="8">
        <f t="shared" si="46"/>
        <v>0</v>
      </c>
      <c r="BH526" s="8">
        <v>0</v>
      </c>
      <c r="BJ526" s="8">
        <f t="shared" si="44"/>
        <v>0</v>
      </c>
      <c r="BL526" s="8">
        <f>+GenRev!AM529-GenExp!BJ526</f>
        <v>0</v>
      </c>
      <c r="BP526" s="8">
        <v>0</v>
      </c>
      <c r="BS526" s="8">
        <f t="shared" si="45"/>
        <v>0</v>
      </c>
      <c r="BU526" s="9">
        <f>+BS526-'Gen Fd BS'!AA529+BQ526</f>
        <v>0</v>
      </c>
      <c r="BW526" s="8" t="s">
        <v>967</v>
      </c>
    </row>
    <row r="527" spans="1:75">
      <c r="A527" s="13" t="s">
        <v>595</v>
      </c>
      <c r="B527" s="13"/>
      <c r="C527" s="13" t="s">
        <v>56</v>
      </c>
      <c r="D527" s="13"/>
      <c r="E527" s="32">
        <v>49239</v>
      </c>
      <c r="G527" s="8">
        <v>10032592</v>
      </c>
      <c r="I527" s="8">
        <v>1330831</v>
      </c>
      <c r="K527" s="8">
        <v>84339</v>
      </c>
      <c r="M527" s="8">
        <f>328881+755327</f>
        <v>1084208</v>
      </c>
      <c r="O527" s="8">
        <v>1163478</v>
      </c>
      <c r="Q527" s="8">
        <v>1344553</v>
      </c>
      <c r="S527" s="8">
        <v>274856</v>
      </c>
      <c r="U527" s="8">
        <v>1588640</v>
      </c>
      <c r="W527" s="8">
        <v>689107</v>
      </c>
      <c r="Y527" s="8">
        <v>106366</v>
      </c>
      <c r="AA527" s="8">
        <v>1918967</v>
      </c>
      <c r="AC527" s="8">
        <v>1103486</v>
      </c>
      <c r="AE527" s="8">
        <v>130326</v>
      </c>
      <c r="AG527" s="8">
        <v>0</v>
      </c>
      <c r="AI527" s="8">
        <v>0</v>
      </c>
      <c r="AJ527" s="13" t="s">
        <v>595</v>
      </c>
      <c r="AK527" s="13"/>
      <c r="AL527" s="13" t="s">
        <v>56</v>
      </c>
      <c r="AN527" s="8">
        <v>404377</v>
      </c>
      <c r="AP527" s="8">
        <v>80074</v>
      </c>
      <c r="AT527" s="8">
        <v>0</v>
      </c>
      <c r="AV527" s="8">
        <v>0</v>
      </c>
      <c r="AX527" s="8">
        <v>0</v>
      </c>
      <c r="AZ527" s="8">
        <f t="shared" si="46"/>
        <v>21336200</v>
      </c>
      <c r="BB527" s="8">
        <v>38345</v>
      </c>
      <c r="BH527" s="8">
        <v>0</v>
      </c>
      <c r="BJ527" s="8">
        <f t="shared" si="44"/>
        <v>21374545</v>
      </c>
      <c r="BL527" s="8">
        <f>+GenRev!AM530-GenExp!BJ527</f>
        <v>437038</v>
      </c>
      <c r="BN527" s="8">
        <v>-690605</v>
      </c>
      <c r="BP527" s="8">
        <v>0</v>
      </c>
      <c r="BS527" s="8">
        <f t="shared" si="45"/>
        <v>-253567</v>
      </c>
      <c r="BU527" s="9">
        <f>+BS527-'Gen Fd BS'!AA533+BQ527</f>
        <v>0</v>
      </c>
    </row>
    <row r="528" spans="1:75">
      <c r="A528" s="13" t="s">
        <v>323</v>
      </c>
      <c r="B528" s="13"/>
      <c r="C528" s="13" t="s">
        <v>20</v>
      </c>
      <c r="D528" s="13"/>
      <c r="E528" s="32">
        <v>44842</v>
      </c>
      <c r="G528" s="8">
        <v>43849156</v>
      </c>
      <c r="I528" s="8">
        <v>4708850</v>
      </c>
      <c r="K528" s="8">
        <v>292772</v>
      </c>
      <c r="M528" s="8">
        <v>0</v>
      </c>
      <c r="O528" s="8">
        <v>2513313</v>
      </c>
      <c r="Q528" s="8">
        <v>3262679</v>
      </c>
      <c r="S528" s="8">
        <v>120053</v>
      </c>
      <c r="U528" s="8">
        <v>2971411</v>
      </c>
      <c r="W528" s="8">
        <v>6011318</v>
      </c>
      <c r="Y528" s="8">
        <v>521613</v>
      </c>
      <c r="AA528" s="8">
        <v>7031216</v>
      </c>
      <c r="AC528" s="8">
        <v>3618236</v>
      </c>
      <c r="AE528" s="8">
        <v>632851</v>
      </c>
      <c r="AG528" s="8">
        <v>0</v>
      </c>
      <c r="AI528" s="8">
        <v>40304</v>
      </c>
      <c r="AJ528" s="13" t="s">
        <v>323</v>
      </c>
      <c r="AK528" s="13"/>
      <c r="AL528" s="13" t="s">
        <v>20</v>
      </c>
      <c r="AN528" s="8">
        <v>224481</v>
      </c>
      <c r="AP528" s="8">
        <v>0</v>
      </c>
      <c r="AT528" s="8">
        <v>173333</v>
      </c>
      <c r="AV528" s="8">
        <v>39716</v>
      </c>
      <c r="AX528" s="8">
        <v>0</v>
      </c>
      <c r="AZ528" s="8">
        <f t="shared" si="46"/>
        <v>76011302</v>
      </c>
      <c r="BB528" s="8">
        <f>41000-22</f>
        <v>40978</v>
      </c>
      <c r="BH528" s="8">
        <v>0</v>
      </c>
      <c r="BJ528" s="8">
        <f t="shared" si="44"/>
        <v>76052280</v>
      </c>
      <c r="BL528" s="8">
        <f>+GenRev!AM531-GenExp!BJ528</f>
        <v>-1696661</v>
      </c>
      <c r="BN528" s="8">
        <v>-1319270</v>
      </c>
      <c r="BP528" s="8">
        <v>0</v>
      </c>
      <c r="BS528" s="8">
        <f t="shared" si="45"/>
        <v>-3015931</v>
      </c>
      <c r="BU528" s="9">
        <f>+BS528-'Gen Fd BS'!AA534+BQ528</f>
        <v>0</v>
      </c>
    </row>
    <row r="529" spans="1:75">
      <c r="A529" s="13" t="s">
        <v>517</v>
      </c>
      <c r="B529" s="13"/>
      <c r="C529" s="13" t="s">
        <v>45</v>
      </c>
      <c r="D529" s="13"/>
      <c r="E529" s="32">
        <v>44859</v>
      </c>
      <c r="F529" s="11"/>
      <c r="G529" s="8">
        <v>7110314</v>
      </c>
      <c r="I529" s="8">
        <v>1580611</v>
      </c>
      <c r="K529" s="8">
        <v>455614</v>
      </c>
      <c r="M529" s="8">
        <v>662314</v>
      </c>
      <c r="O529" s="8">
        <v>622059</v>
      </c>
      <c r="Q529" s="8">
        <v>116993</v>
      </c>
      <c r="S529" s="8">
        <v>57719</v>
      </c>
      <c r="U529" s="8">
        <v>1012089</v>
      </c>
      <c r="W529" s="8">
        <v>449358</v>
      </c>
      <c r="Y529" s="8">
        <v>42837</v>
      </c>
      <c r="AA529" s="8">
        <v>1698999</v>
      </c>
      <c r="AC529" s="8">
        <v>392348</v>
      </c>
      <c r="AE529" s="8">
        <v>31197</v>
      </c>
      <c r="AG529" s="8">
        <v>0</v>
      </c>
      <c r="AI529" s="8">
        <v>4807</v>
      </c>
      <c r="AJ529" s="13" t="s">
        <v>517</v>
      </c>
      <c r="AK529" s="13"/>
      <c r="AL529" s="13" t="s">
        <v>45</v>
      </c>
      <c r="AN529" s="8">
        <v>213714</v>
      </c>
      <c r="AP529" s="8">
        <v>1162608</v>
      </c>
      <c r="AT529" s="8">
        <v>53483</v>
      </c>
      <c r="AV529" s="8">
        <v>878</v>
      </c>
      <c r="AX529" s="8">
        <v>0</v>
      </c>
      <c r="AZ529" s="8">
        <f t="shared" si="46"/>
        <v>15667942</v>
      </c>
      <c r="BB529" s="8">
        <v>5000</v>
      </c>
      <c r="BH529" s="8">
        <v>0</v>
      </c>
      <c r="BJ529" s="8">
        <f t="shared" si="44"/>
        <v>15672942</v>
      </c>
      <c r="BL529" s="8">
        <f>+GenRev!AM532-GenExp!BJ529</f>
        <v>501984</v>
      </c>
      <c r="BN529" s="8">
        <v>2343522</v>
      </c>
      <c r="BP529" s="8">
        <v>0</v>
      </c>
      <c r="BS529" s="8">
        <f t="shared" si="45"/>
        <v>2845506</v>
      </c>
      <c r="BU529" s="9">
        <f>+BS529-'Gen Fd BS'!AA535+BQ529</f>
        <v>0</v>
      </c>
    </row>
    <row r="530" spans="1:75">
      <c r="A530" s="13" t="s">
        <v>732</v>
      </c>
      <c r="B530" s="13"/>
      <c r="C530" s="13" t="s">
        <v>727</v>
      </c>
      <c r="D530" s="13"/>
      <c r="E530" s="32">
        <v>50658</v>
      </c>
      <c r="G530" s="8">
        <v>1928705</v>
      </c>
      <c r="I530" s="8">
        <v>327103</v>
      </c>
      <c r="K530" s="8">
        <v>52614</v>
      </c>
      <c r="M530" s="8">
        <f>359168+210</f>
        <v>359378</v>
      </c>
      <c r="O530" s="8">
        <v>211406</v>
      </c>
      <c r="Q530" s="8">
        <v>235523</v>
      </c>
      <c r="S530" s="8">
        <v>24728</v>
      </c>
      <c r="U530" s="8">
        <v>344868</v>
      </c>
      <c r="W530" s="8">
        <v>186199</v>
      </c>
      <c r="Y530" s="8">
        <v>8177</v>
      </c>
      <c r="AA530" s="8">
        <v>343536</v>
      </c>
      <c r="AC530" s="8">
        <v>216633</v>
      </c>
      <c r="AE530" s="8">
        <v>21773</v>
      </c>
      <c r="AG530" s="8">
        <v>0</v>
      </c>
      <c r="AI530" s="8">
        <v>0</v>
      </c>
      <c r="AJ530" s="13" t="s">
        <v>732</v>
      </c>
      <c r="AK530" s="13"/>
      <c r="AL530" s="13" t="s">
        <v>727</v>
      </c>
      <c r="AN530" s="8">
        <v>123439</v>
      </c>
      <c r="AP530" s="8">
        <v>363129</v>
      </c>
      <c r="AT530" s="8">
        <v>40014</v>
      </c>
      <c r="AV530" s="8">
        <v>1687</v>
      </c>
      <c r="AX530" s="8">
        <v>0</v>
      </c>
      <c r="AZ530" s="8">
        <f t="shared" si="46"/>
        <v>4788912</v>
      </c>
      <c r="BB530" s="8">
        <v>5000</v>
      </c>
      <c r="BH530" s="8">
        <v>0</v>
      </c>
      <c r="BJ530" s="8">
        <f t="shared" si="44"/>
        <v>4793912</v>
      </c>
      <c r="BL530" s="8">
        <f>+GenRev!AM533-GenExp!BJ530</f>
        <v>-322684</v>
      </c>
      <c r="BN530" s="8">
        <v>1004228</v>
      </c>
      <c r="BP530" s="8">
        <v>0</v>
      </c>
      <c r="BS530" s="8">
        <f t="shared" si="45"/>
        <v>681544</v>
      </c>
      <c r="BU530" s="9">
        <f>+BS530-'Gen Fd BS'!AA536+BQ530</f>
        <v>0</v>
      </c>
    </row>
    <row r="531" spans="1:75">
      <c r="A531" s="13" t="s">
        <v>387</v>
      </c>
      <c r="B531" s="13"/>
      <c r="C531" s="13" t="s">
        <v>116</v>
      </c>
      <c r="D531" s="13"/>
      <c r="E531" s="32">
        <v>47274</v>
      </c>
      <c r="G531" s="8">
        <v>10785081</v>
      </c>
      <c r="I531" s="8">
        <v>1518463</v>
      </c>
      <c r="K531" s="8">
        <v>0</v>
      </c>
      <c r="M531" s="8">
        <v>0</v>
      </c>
      <c r="O531" s="8">
        <v>2158196</v>
      </c>
      <c r="Q531" s="8">
        <v>975007</v>
      </c>
      <c r="S531" s="8">
        <v>30796</v>
      </c>
      <c r="U531" s="8">
        <v>1831533</v>
      </c>
      <c r="W531" s="8">
        <v>626304</v>
      </c>
      <c r="Y531" s="8">
        <v>115192</v>
      </c>
      <c r="AA531" s="8">
        <v>2684537</v>
      </c>
      <c r="AC531" s="8">
        <v>1464086</v>
      </c>
      <c r="AE531" s="8">
        <v>82262</v>
      </c>
      <c r="AG531" s="8">
        <v>0</v>
      </c>
      <c r="AI531" s="8">
        <v>8063</v>
      </c>
      <c r="AJ531" s="13" t="s">
        <v>387</v>
      </c>
      <c r="AK531" s="13"/>
      <c r="AL531" s="13" t="s">
        <v>116</v>
      </c>
      <c r="AN531" s="8">
        <v>579483</v>
      </c>
      <c r="AP531" s="8">
        <v>0</v>
      </c>
      <c r="AT531" s="8">
        <v>0</v>
      </c>
      <c r="AV531" s="8">
        <v>5973</v>
      </c>
      <c r="AX531" s="8">
        <v>0</v>
      </c>
      <c r="AZ531" s="8">
        <f t="shared" si="46"/>
        <v>22864976</v>
      </c>
      <c r="BB531" s="8">
        <v>33655</v>
      </c>
      <c r="BH531" s="8">
        <v>0</v>
      </c>
      <c r="BJ531" s="8">
        <f t="shared" si="44"/>
        <v>22898631</v>
      </c>
      <c r="BL531" s="8">
        <f>+GenRev!AM534-GenExp!BJ531</f>
        <v>-947906</v>
      </c>
      <c r="BN531" s="8">
        <v>-1995846</v>
      </c>
      <c r="BP531" s="8">
        <v>0</v>
      </c>
      <c r="BS531" s="8">
        <f t="shared" si="45"/>
        <v>-2943752</v>
      </c>
      <c r="BU531" s="9">
        <f>+BS531-'Gen Fd BS'!AA537+BQ531</f>
        <v>0</v>
      </c>
    </row>
    <row r="532" spans="1:75">
      <c r="A532" s="13"/>
      <c r="B532" s="13"/>
      <c r="C532" s="13"/>
      <c r="D532" s="13"/>
      <c r="E532" s="32"/>
      <c r="AJ532" s="13"/>
      <c r="AK532" s="13"/>
      <c r="AL532" s="13"/>
    </row>
    <row r="533" spans="1:75">
      <c r="A533" s="13"/>
      <c r="B533" s="13"/>
      <c r="C533" s="13"/>
      <c r="D533" s="13"/>
      <c r="E533" s="32"/>
      <c r="AI533" s="8" t="s">
        <v>805</v>
      </c>
      <c r="AJ533" s="13"/>
      <c r="AK533" s="13"/>
      <c r="AL533" s="13"/>
      <c r="BS533" s="8" t="s">
        <v>805</v>
      </c>
    </row>
    <row r="534" spans="1:75">
      <c r="A534" s="13"/>
      <c r="B534" s="13"/>
      <c r="C534" s="13"/>
      <c r="D534" s="13"/>
      <c r="E534" s="32"/>
      <c r="AJ534" s="13"/>
      <c r="AK534" s="13"/>
      <c r="AL534" s="13"/>
    </row>
    <row r="535" spans="1:75">
      <c r="A535" s="13" t="s">
        <v>373</v>
      </c>
      <c r="B535" s="13"/>
      <c r="C535" s="13" t="s">
        <v>28</v>
      </c>
      <c r="D535" s="13"/>
      <c r="E535" s="32">
        <v>47092</v>
      </c>
      <c r="G535" s="35">
        <v>5789053</v>
      </c>
      <c r="H535" s="35"/>
      <c r="I535" s="35">
        <v>1335134</v>
      </c>
      <c r="J535" s="35"/>
      <c r="K535" s="35">
        <v>0</v>
      </c>
      <c r="L535" s="35"/>
      <c r="M535" s="35">
        <v>0</v>
      </c>
      <c r="N535" s="35"/>
      <c r="O535" s="35">
        <v>599486</v>
      </c>
      <c r="P535" s="35"/>
      <c r="Q535" s="35">
        <v>644305</v>
      </c>
      <c r="R535" s="35"/>
      <c r="S535" s="35">
        <v>15911</v>
      </c>
      <c r="T535" s="35"/>
      <c r="U535" s="35">
        <v>1161677</v>
      </c>
      <c r="V535" s="35"/>
      <c r="W535" s="35">
        <v>436289</v>
      </c>
      <c r="X535" s="35"/>
      <c r="Y535" s="35">
        <v>2176</v>
      </c>
      <c r="Z535" s="35"/>
      <c r="AA535" s="35">
        <v>1340044</v>
      </c>
      <c r="AB535" s="35"/>
      <c r="AC535" s="35">
        <v>727086</v>
      </c>
      <c r="AD535" s="35"/>
      <c r="AE535" s="35">
        <v>33298</v>
      </c>
      <c r="AF535" s="35"/>
      <c r="AG535" s="35">
        <v>0</v>
      </c>
      <c r="AH535" s="35"/>
      <c r="AI535" s="35">
        <v>0</v>
      </c>
      <c r="AJ535" s="13" t="s">
        <v>373</v>
      </c>
      <c r="AK535" s="13"/>
      <c r="AL535" s="13" t="s">
        <v>28</v>
      </c>
      <c r="AN535" s="35">
        <v>292003</v>
      </c>
      <c r="AO535" s="35"/>
      <c r="AP535" s="35">
        <v>0</v>
      </c>
      <c r="AQ535" s="35"/>
      <c r="AR535" s="35"/>
      <c r="AS535" s="35"/>
      <c r="AT535" s="35">
        <v>0</v>
      </c>
      <c r="AU535" s="35"/>
      <c r="AV535" s="35">
        <v>14828</v>
      </c>
      <c r="AW535" s="35"/>
      <c r="AX535" s="35">
        <v>0</v>
      </c>
      <c r="AY535" s="35"/>
      <c r="AZ535" s="35">
        <f t="shared" si="46"/>
        <v>12391290</v>
      </c>
      <c r="BA535" s="35"/>
      <c r="BB535" s="35">
        <f>544564-69590</f>
        <v>474974</v>
      </c>
      <c r="BC535" s="35"/>
      <c r="BD535" s="35"/>
      <c r="BE535" s="35"/>
      <c r="BF535" s="35"/>
      <c r="BG535" s="35"/>
      <c r="BH535" s="35">
        <v>0</v>
      </c>
      <c r="BI535" s="35"/>
      <c r="BJ535" s="35">
        <f t="shared" si="44"/>
        <v>12866264</v>
      </c>
      <c r="BK535" s="35"/>
      <c r="BL535" s="35">
        <f>+GenRev!AM535-GenExp!BJ535</f>
        <v>1509981</v>
      </c>
      <c r="BM535" s="35"/>
      <c r="BN535" s="35">
        <v>8264467</v>
      </c>
      <c r="BO535" s="35"/>
      <c r="BP535" s="35">
        <v>0</v>
      </c>
      <c r="BQ535" s="35"/>
      <c r="BR535" s="35"/>
      <c r="BS535" s="35">
        <f t="shared" si="45"/>
        <v>9774448</v>
      </c>
      <c r="BU535" s="9">
        <f>+BS535-'Gen Fd BS'!AA538+BQ535</f>
        <v>0</v>
      </c>
    </row>
    <row r="536" spans="1:75">
      <c r="A536" s="13" t="s">
        <v>861</v>
      </c>
      <c r="B536" s="13"/>
      <c r="C536" s="13" t="s">
        <v>49</v>
      </c>
      <c r="D536" s="13"/>
      <c r="E536" s="32">
        <v>48652</v>
      </c>
      <c r="G536" s="8">
        <v>9704480</v>
      </c>
      <c r="I536" s="8">
        <v>1996188</v>
      </c>
      <c r="K536" s="8">
        <v>1869496</v>
      </c>
      <c r="M536" s="8">
        <v>55683</v>
      </c>
      <c r="O536" s="8">
        <v>871606</v>
      </c>
      <c r="Q536" s="8">
        <v>412625</v>
      </c>
      <c r="S536" s="8">
        <v>25490</v>
      </c>
      <c r="U536" s="8">
        <v>1956011</v>
      </c>
      <c r="W536" s="8">
        <v>678634</v>
      </c>
      <c r="Y536" s="8">
        <v>0</v>
      </c>
      <c r="AA536" s="8">
        <v>2089460</v>
      </c>
      <c r="AC536" s="8">
        <v>2412205</v>
      </c>
      <c r="AE536" s="8">
        <v>23030</v>
      </c>
      <c r="AG536" s="8">
        <v>0</v>
      </c>
      <c r="AI536" s="8">
        <v>0</v>
      </c>
      <c r="AJ536" s="13" t="s">
        <v>543</v>
      </c>
      <c r="AK536" s="13"/>
      <c r="AL536" s="13" t="s">
        <v>49</v>
      </c>
      <c r="AN536" s="8">
        <v>245224</v>
      </c>
      <c r="AP536" s="8">
        <v>2000</v>
      </c>
      <c r="AT536" s="8">
        <v>0</v>
      </c>
      <c r="AV536" s="8">
        <v>0</v>
      </c>
      <c r="AX536" s="8">
        <v>0</v>
      </c>
      <c r="AZ536" s="8">
        <f t="shared" si="46"/>
        <v>22342132</v>
      </c>
      <c r="BB536" s="8">
        <v>79318</v>
      </c>
      <c r="BH536" s="8">
        <v>0</v>
      </c>
      <c r="BJ536" s="8">
        <f t="shared" si="44"/>
        <v>22421450</v>
      </c>
      <c r="BL536" s="8">
        <f>+GenRev!AM536-GenExp!BJ536</f>
        <v>-881345</v>
      </c>
      <c r="BN536" s="8">
        <v>-1032892</v>
      </c>
      <c r="BP536" s="8">
        <v>0</v>
      </c>
      <c r="BS536" s="8">
        <f t="shared" si="45"/>
        <v>-1914237</v>
      </c>
      <c r="BU536" s="9">
        <f>+BS536-'Gen Fd BS'!AA539+BQ536</f>
        <v>0</v>
      </c>
    </row>
    <row r="537" spans="1:75">
      <c r="A537" s="13" t="s">
        <v>409</v>
      </c>
      <c r="B537" s="13"/>
      <c r="C537" s="13" t="s">
        <v>32</v>
      </c>
      <c r="D537" s="13"/>
      <c r="E537" s="32">
        <v>44867</v>
      </c>
      <c r="G537" s="8">
        <v>32453113</v>
      </c>
      <c r="I537" s="8">
        <v>7473108</v>
      </c>
      <c r="K537" s="8">
        <v>2281</v>
      </c>
      <c r="M537" s="8">
        <v>247587</v>
      </c>
      <c r="O537" s="8">
        <v>4107731</v>
      </c>
      <c r="Q537" s="8">
        <v>4610095</v>
      </c>
      <c r="S537" s="8">
        <v>44637</v>
      </c>
      <c r="U537" s="8">
        <v>5181272</v>
      </c>
      <c r="W537" s="8">
        <v>1607550</v>
      </c>
      <c r="Y537" s="8">
        <v>78149</v>
      </c>
      <c r="AA537" s="8">
        <v>7421873</v>
      </c>
      <c r="AC537" s="8">
        <v>4036992</v>
      </c>
      <c r="AE537" s="8">
        <v>1684530</v>
      </c>
      <c r="AG537" s="8">
        <v>0</v>
      </c>
      <c r="AI537" s="8">
        <v>100</v>
      </c>
      <c r="AJ537" s="13" t="s">
        <v>409</v>
      </c>
      <c r="AK537" s="13"/>
      <c r="AL537" s="13" t="s">
        <v>32</v>
      </c>
      <c r="AN537" s="8">
        <v>887129</v>
      </c>
      <c r="AP537" s="8">
        <v>25937</v>
      </c>
      <c r="AT537" s="8">
        <v>520000</v>
      </c>
      <c r="AV537" s="8">
        <v>355028</v>
      </c>
      <c r="AX537" s="8">
        <v>0</v>
      </c>
      <c r="AZ537" s="8">
        <f t="shared" si="46"/>
        <v>70737112</v>
      </c>
      <c r="BB537" s="8">
        <v>1312425</v>
      </c>
      <c r="BH537" s="8">
        <v>0</v>
      </c>
      <c r="BJ537" s="8">
        <f t="shared" si="44"/>
        <v>72049537</v>
      </c>
      <c r="BL537" s="8">
        <f>+GenRev!AM537-GenExp!BJ537</f>
        <v>4926235</v>
      </c>
      <c r="BN537" s="8">
        <v>49269617</v>
      </c>
      <c r="BP537" s="8">
        <v>0</v>
      </c>
      <c r="BS537" s="8">
        <f t="shared" si="45"/>
        <v>54195852</v>
      </c>
      <c r="BU537" s="9">
        <f>+BS537-'Gen Fd BS'!AA540+BQ537</f>
        <v>0</v>
      </c>
    </row>
    <row r="538" spans="1:75">
      <c r="A538" s="13" t="s">
        <v>501</v>
      </c>
      <c r="B538" s="13"/>
      <c r="C538" s="13" t="s">
        <v>117</v>
      </c>
      <c r="D538" s="13"/>
      <c r="E538" s="32">
        <v>44875</v>
      </c>
      <c r="F538" s="11"/>
      <c r="G538" s="8">
        <v>34760023</v>
      </c>
      <c r="I538" s="8">
        <v>7678865</v>
      </c>
      <c r="K538" s="8">
        <v>2190439</v>
      </c>
      <c r="M538" s="8">
        <v>1688636</v>
      </c>
      <c r="O538" s="8">
        <v>5902511</v>
      </c>
      <c r="Q538" s="8">
        <v>3018412</v>
      </c>
      <c r="S538" s="8">
        <v>18684</v>
      </c>
      <c r="U538" s="8">
        <v>7528545</v>
      </c>
      <c r="W538" s="8">
        <v>1520161</v>
      </c>
      <c r="Y538" s="8">
        <v>122173</v>
      </c>
      <c r="AA538" s="8">
        <v>9320232</v>
      </c>
      <c r="AC538" s="8">
        <v>4905619</v>
      </c>
      <c r="AE538" s="8">
        <v>1103292</v>
      </c>
      <c r="AG538" s="8">
        <v>0</v>
      </c>
      <c r="AI538" s="8">
        <v>61736</v>
      </c>
      <c r="AJ538" s="13" t="s">
        <v>501</v>
      </c>
      <c r="AK538" s="13"/>
      <c r="AL538" s="13" t="s">
        <v>117</v>
      </c>
      <c r="AN538" s="8">
        <v>1496788</v>
      </c>
      <c r="AP538" s="8">
        <v>80400</v>
      </c>
      <c r="AT538" s="8">
        <v>120814</v>
      </c>
      <c r="AV538" s="8">
        <v>9074</v>
      </c>
      <c r="AX538" s="8">
        <v>0</v>
      </c>
      <c r="AZ538" s="8">
        <f t="shared" si="46"/>
        <v>81526404</v>
      </c>
      <c r="BB538" s="8">
        <v>363311</v>
      </c>
      <c r="BH538" s="8">
        <v>0</v>
      </c>
      <c r="BJ538" s="8">
        <f t="shared" si="44"/>
        <v>81889715</v>
      </c>
      <c r="BL538" s="8">
        <f>+GenRev!AM538-GenExp!BJ538</f>
        <v>-5485095</v>
      </c>
      <c r="BN538" s="8">
        <v>10410145</v>
      </c>
      <c r="BP538" s="8">
        <v>0</v>
      </c>
      <c r="BS538" s="8">
        <f t="shared" si="45"/>
        <v>4925050</v>
      </c>
      <c r="BU538" s="9">
        <f>+BS538-'Gen Fd BS'!AA541+BQ538</f>
        <v>0</v>
      </c>
    </row>
    <row r="539" spans="1:75">
      <c r="A539" s="13" t="s">
        <v>472</v>
      </c>
      <c r="B539" s="13"/>
      <c r="C539" s="13" t="s">
        <v>466</v>
      </c>
      <c r="D539" s="13"/>
      <c r="E539" s="32">
        <v>47969</v>
      </c>
      <c r="G539" s="8">
        <v>3933830</v>
      </c>
      <c r="I539" s="8">
        <v>589829</v>
      </c>
      <c r="K539" s="8">
        <v>150089</v>
      </c>
      <c r="M539" s="8">
        <v>0</v>
      </c>
      <c r="O539" s="8">
        <v>264549</v>
      </c>
      <c r="Q539" s="8">
        <v>144931</v>
      </c>
      <c r="S539" s="8">
        <v>57521</v>
      </c>
      <c r="U539" s="8">
        <v>562095</v>
      </c>
      <c r="W539" s="8">
        <v>338897</v>
      </c>
      <c r="Y539" s="8">
        <v>0</v>
      </c>
      <c r="AA539" s="8">
        <v>791273</v>
      </c>
      <c r="AC539" s="8">
        <v>873908</v>
      </c>
      <c r="AE539" s="8">
        <v>85267</v>
      </c>
      <c r="AG539" s="8">
        <v>0</v>
      </c>
      <c r="AI539" s="8">
        <v>0</v>
      </c>
      <c r="AJ539" s="13" t="s">
        <v>472</v>
      </c>
      <c r="AK539" s="13"/>
      <c r="AL539" s="13" t="s">
        <v>466</v>
      </c>
      <c r="AN539" s="8">
        <v>154331</v>
      </c>
      <c r="AP539" s="8">
        <v>0</v>
      </c>
      <c r="AT539" s="8">
        <v>0</v>
      </c>
      <c r="AV539" s="8">
        <v>0</v>
      </c>
      <c r="AX539" s="8">
        <v>0</v>
      </c>
      <c r="AZ539" s="8">
        <f t="shared" si="46"/>
        <v>7946520</v>
      </c>
      <c r="BB539" s="8">
        <v>27850</v>
      </c>
      <c r="BH539" s="8">
        <v>0</v>
      </c>
      <c r="BJ539" s="8">
        <f t="shared" si="44"/>
        <v>7974370</v>
      </c>
      <c r="BL539" s="8">
        <f>+GenRev!AM539-GenExp!BJ539</f>
        <v>-667457</v>
      </c>
      <c r="BN539" s="8">
        <v>4426837</v>
      </c>
      <c r="BP539" s="8">
        <v>0</v>
      </c>
      <c r="BS539" s="8">
        <f t="shared" si="45"/>
        <v>3759380</v>
      </c>
      <c r="BU539" s="9">
        <f>+BS539-'Gen Fd BS'!AA542+BQ539</f>
        <v>0</v>
      </c>
      <c r="BW539" s="8" t="s">
        <v>956</v>
      </c>
    </row>
    <row r="540" spans="1:75">
      <c r="A540" s="12" t="s">
        <v>251</v>
      </c>
      <c r="B540" s="13"/>
      <c r="C540" s="13" t="s">
        <v>242</v>
      </c>
      <c r="D540" s="13"/>
      <c r="E540" s="32">
        <v>46151</v>
      </c>
      <c r="F540" s="11"/>
      <c r="G540" s="8">
        <v>13278501</v>
      </c>
      <c r="I540" s="8">
        <v>2265721</v>
      </c>
      <c r="K540" s="8">
        <v>1066944</v>
      </c>
      <c r="M540" s="8">
        <v>0</v>
      </c>
      <c r="O540" s="8">
        <v>1238375</v>
      </c>
      <c r="Q540" s="8">
        <v>1766385</v>
      </c>
      <c r="S540" s="8">
        <v>62513</v>
      </c>
      <c r="U540" s="8">
        <v>2062000</v>
      </c>
      <c r="W540" s="8">
        <v>1135506</v>
      </c>
      <c r="Y540" s="8">
        <v>4663</v>
      </c>
      <c r="AA540" s="8">
        <v>2780040</v>
      </c>
      <c r="AC540" s="8">
        <v>2034126</v>
      </c>
      <c r="AE540" s="8">
        <v>116155</v>
      </c>
      <c r="AG540" s="8">
        <v>0</v>
      </c>
      <c r="AI540" s="8">
        <v>196</v>
      </c>
      <c r="AJ540" s="13" t="s">
        <v>251</v>
      </c>
      <c r="AK540" s="13"/>
      <c r="AL540" s="13" t="s">
        <v>242</v>
      </c>
      <c r="AN540" s="8">
        <v>534214</v>
      </c>
      <c r="AP540" s="8">
        <v>2000</v>
      </c>
      <c r="AT540" s="8">
        <v>0</v>
      </c>
      <c r="AV540" s="8">
        <v>0</v>
      </c>
      <c r="AX540" s="8">
        <v>0</v>
      </c>
      <c r="AZ540" s="8">
        <f t="shared" ref="AZ540:AZ573" si="47">SUM(G540:AX540)</f>
        <v>28347339</v>
      </c>
      <c r="BB540" s="8">
        <v>0</v>
      </c>
      <c r="BH540" s="8">
        <v>0</v>
      </c>
      <c r="BJ540" s="8">
        <f t="shared" ref="BJ540:BJ554" si="48">+AZ540+BB540+BD540+BH540</f>
        <v>28347339</v>
      </c>
      <c r="BL540" s="8">
        <f>+GenRev!AM540-GenExp!BJ540</f>
        <v>1768752</v>
      </c>
      <c r="BN540" s="8">
        <v>10768407</v>
      </c>
      <c r="BP540" s="8">
        <v>0</v>
      </c>
      <c r="BS540" s="8">
        <f t="shared" ref="BS540:BS555" si="49">+BN540+BL540-BP540</f>
        <v>12537159</v>
      </c>
      <c r="BU540" s="9">
        <f>+BS540-'Gen Fd BS'!AA543+BQ540</f>
        <v>0</v>
      </c>
      <c r="BW540" s="15" t="s">
        <v>905</v>
      </c>
    </row>
    <row r="541" spans="1:75">
      <c r="A541" s="13" t="s">
        <v>672</v>
      </c>
      <c r="B541" s="13"/>
      <c r="C541" s="13" t="s">
        <v>63</v>
      </c>
      <c r="D541" s="13"/>
      <c r="E541" s="32">
        <v>44883</v>
      </c>
      <c r="G541" s="8">
        <v>11800680</v>
      </c>
      <c r="I541" s="8">
        <v>2189929</v>
      </c>
      <c r="K541" s="8">
        <v>872308</v>
      </c>
      <c r="M541" s="8">
        <v>12620</v>
      </c>
      <c r="O541" s="8">
        <v>1267007</v>
      </c>
      <c r="Q541" s="8">
        <v>408073</v>
      </c>
      <c r="S541" s="8">
        <v>24881</v>
      </c>
      <c r="U541" s="8">
        <v>2473620</v>
      </c>
      <c r="W541" s="8">
        <v>946346</v>
      </c>
      <c r="Y541" s="8">
        <v>204243</v>
      </c>
      <c r="AA541" s="8">
        <v>2539325</v>
      </c>
      <c r="AC541" s="8">
        <v>986450</v>
      </c>
      <c r="AE541" s="8">
        <v>244038</v>
      </c>
      <c r="AG541" s="8">
        <v>0</v>
      </c>
      <c r="AI541" s="8">
        <v>0</v>
      </c>
      <c r="AJ541" s="13" t="s">
        <v>672</v>
      </c>
      <c r="AK541" s="13"/>
      <c r="AL541" s="13" t="s">
        <v>63</v>
      </c>
      <c r="AN541" s="8">
        <v>853226</v>
      </c>
      <c r="AP541" s="8">
        <v>11447</v>
      </c>
      <c r="AT541" s="8">
        <v>0</v>
      </c>
      <c r="AV541" s="8">
        <v>0</v>
      </c>
      <c r="AX541" s="8">
        <v>0</v>
      </c>
      <c r="AZ541" s="8">
        <f t="shared" si="47"/>
        <v>24834193</v>
      </c>
      <c r="BB541" s="8">
        <v>500000</v>
      </c>
      <c r="BH541" s="8">
        <v>0</v>
      </c>
      <c r="BJ541" s="8">
        <f t="shared" si="48"/>
        <v>25334193</v>
      </c>
      <c r="BL541" s="8">
        <f>+GenRev!AM541-GenExp!BJ541</f>
        <v>-1519504</v>
      </c>
      <c r="BN541" s="8">
        <v>2319701</v>
      </c>
      <c r="BP541" s="8">
        <v>0</v>
      </c>
      <c r="BS541" s="8">
        <f t="shared" si="49"/>
        <v>800197</v>
      </c>
      <c r="BU541" s="9">
        <f>+BS541-'Gen Fd BS'!AA544+BQ541</f>
        <v>0</v>
      </c>
    </row>
    <row r="542" spans="1:75">
      <c r="A542" s="13" t="s">
        <v>583</v>
      </c>
      <c r="B542" s="13"/>
      <c r="C542" s="13" t="s">
        <v>54</v>
      </c>
      <c r="D542" s="13"/>
      <c r="E542" s="32">
        <v>49098</v>
      </c>
      <c r="G542" s="8">
        <v>13872576</v>
      </c>
      <c r="I542" s="8">
        <v>2515933</v>
      </c>
      <c r="K542" s="8">
        <v>725328</v>
      </c>
      <c r="M542" s="8">
        <v>26792</v>
      </c>
      <c r="O542" s="8">
        <v>1082488</v>
      </c>
      <c r="Q542" s="8">
        <v>1366097</v>
      </c>
      <c r="S542" s="8">
        <v>138455</v>
      </c>
      <c r="U542" s="8">
        <v>2720908</v>
      </c>
      <c r="W542" s="8">
        <v>620219</v>
      </c>
      <c r="Y542" s="8">
        <v>77517</v>
      </c>
      <c r="AA542" s="8">
        <v>2073081</v>
      </c>
      <c r="AC542" s="8">
        <v>1328690</v>
      </c>
      <c r="AE542" s="8">
        <v>124847</v>
      </c>
      <c r="AG542" s="8">
        <v>0</v>
      </c>
      <c r="AI542" s="8">
        <v>19877</v>
      </c>
      <c r="AJ542" s="13" t="s">
        <v>583</v>
      </c>
      <c r="AK542" s="13"/>
      <c r="AL542" s="13" t="s">
        <v>54</v>
      </c>
      <c r="AN542" s="8">
        <v>504344</v>
      </c>
      <c r="AP542" s="8">
        <v>0</v>
      </c>
      <c r="AT542" s="8">
        <v>165675</v>
      </c>
      <c r="AV542" s="8">
        <v>19585</v>
      </c>
      <c r="AX542" s="8">
        <v>0</v>
      </c>
      <c r="AZ542" s="8">
        <f t="shared" si="47"/>
        <v>27382412</v>
      </c>
      <c r="BB542" s="8">
        <v>95920</v>
      </c>
      <c r="BH542" s="8">
        <v>0</v>
      </c>
      <c r="BJ542" s="8">
        <f t="shared" si="48"/>
        <v>27478332</v>
      </c>
      <c r="BL542" s="8">
        <f>+GenRev!AM542-GenExp!BJ542</f>
        <v>279106</v>
      </c>
      <c r="BN542" s="8">
        <v>5664261</v>
      </c>
      <c r="BP542" s="8">
        <v>-87232</v>
      </c>
      <c r="BS542" s="8">
        <f t="shared" si="49"/>
        <v>6030599</v>
      </c>
      <c r="BU542" s="9">
        <f>+BS542-'Gen Fd BS'!AA545+BQ542</f>
        <v>0</v>
      </c>
    </row>
    <row r="543" spans="1:75" ht="12.75" customHeight="1">
      <c r="A543" s="13" t="s">
        <v>265</v>
      </c>
      <c r="B543" s="13"/>
      <c r="C543" s="13" t="s">
        <v>17</v>
      </c>
      <c r="D543" s="13"/>
      <c r="E543" s="32">
        <v>46243</v>
      </c>
      <c r="G543" s="8">
        <v>11997972</v>
      </c>
      <c r="I543" s="8">
        <v>2531151</v>
      </c>
      <c r="K543" s="8">
        <v>554822</v>
      </c>
      <c r="M543" s="8">
        <f>7466+800672</f>
        <v>808138</v>
      </c>
      <c r="O543" s="8">
        <v>1535360</v>
      </c>
      <c r="Q543" s="8">
        <v>1215641</v>
      </c>
      <c r="S543" s="8">
        <v>87818</v>
      </c>
      <c r="U543" s="8">
        <v>2595913</v>
      </c>
      <c r="W543" s="8">
        <v>550906</v>
      </c>
      <c r="Y543" s="8">
        <v>83530</v>
      </c>
      <c r="AA543" s="8">
        <v>3327179</v>
      </c>
      <c r="AC543" s="8">
        <v>1325849</v>
      </c>
      <c r="AE543" s="8">
        <v>138644</v>
      </c>
      <c r="AG543" s="8">
        <v>0</v>
      </c>
      <c r="AI543" s="8">
        <v>2775</v>
      </c>
      <c r="AJ543" s="13" t="s">
        <v>265</v>
      </c>
      <c r="AK543" s="13"/>
      <c r="AL543" s="13" t="s">
        <v>17</v>
      </c>
      <c r="AN543" s="8">
        <v>352607</v>
      </c>
      <c r="AP543" s="8">
        <v>7190</v>
      </c>
      <c r="AT543" s="8">
        <v>0</v>
      </c>
      <c r="AV543" s="8">
        <v>0</v>
      </c>
      <c r="AX543" s="8">
        <v>0</v>
      </c>
      <c r="AZ543" s="8">
        <f t="shared" si="47"/>
        <v>27115495</v>
      </c>
      <c r="BB543" s="8">
        <v>0</v>
      </c>
      <c r="BH543" s="8">
        <v>0</v>
      </c>
      <c r="BJ543" s="8">
        <f t="shared" si="48"/>
        <v>27115495</v>
      </c>
      <c r="BL543" s="8">
        <f>+GenRev!AM543-GenExp!BJ543</f>
        <v>135669</v>
      </c>
      <c r="BN543" s="8">
        <v>1844248</v>
      </c>
      <c r="BP543" s="8">
        <v>0</v>
      </c>
      <c r="BS543" s="8">
        <f t="shared" si="49"/>
        <v>1979917</v>
      </c>
      <c r="BU543" s="9">
        <f>+BS543-'Gen Fd BS'!AA546+BQ543</f>
        <v>0</v>
      </c>
    </row>
    <row r="544" spans="1:75">
      <c r="A544" s="13" t="s">
        <v>1073</v>
      </c>
      <c r="B544" s="13"/>
      <c r="C544" s="13" t="s">
        <v>32</v>
      </c>
      <c r="D544" s="13"/>
      <c r="E544" s="32">
        <v>47399</v>
      </c>
      <c r="G544" s="8">
        <v>9659096</v>
      </c>
      <c r="I544" s="8">
        <v>1177285</v>
      </c>
      <c r="K544" s="8">
        <v>0</v>
      </c>
      <c r="M544" s="8">
        <v>10580</v>
      </c>
      <c r="O544" s="8">
        <v>999552</v>
      </c>
      <c r="Q544" s="8">
        <v>1393246</v>
      </c>
      <c r="S544" s="8">
        <v>46436</v>
      </c>
      <c r="U544" s="8">
        <v>1419554</v>
      </c>
      <c r="W544" s="8">
        <v>762750</v>
      </c>
      <c r="Y544" s="8">
        <v>17335</v>
      </c>
      <c r="AA544" s="8">
        <v>1367982</v>
      </c>
      <c r="AC544" s="8">
        <v>1068732</v>
      </c>
      <c r="AE544" s="8">
        <v>534922</v>
      </c>
      <c r="AG544" s="8">
        <v>0</v>
      </c>
      <c r="AI544" s="8">
        <v>43919</v>
      </c>
      <c r="AJ544" s="13" t="s">
        <v>410</v>
      </c>
      <c r="AK544" s="13"/>
      <c r="AL544" s="13" t="s">
        <v>32</v>
      </c>
      <c r="AN544" s="8">
        <v>231157</v>
      </c>
      <c r="AP544" s="8">
        <v>674680</v>
      </c>
      <c r="AT544" s="8">
        <v>0</v>
      </c>
      <c r="AV544" s="8">
        <v>0</v>
      </c>
      <c r="AX544" s="8">
        <v>0</v>
      </c>
      <c r="AZ544" s="8">
        <f t="shared" si="47"/>
        <v>19407226</v>
      </c>
      <c r="BB544" s="8">
        <v>1043825</v>
      </c>
      <c r="BH544" s="8">
        <v>0</v>
      </c>
      <c r="BJ544" s="8">
        <f t="shared" si="48"/>
        <v>20451051</v>
      </c>
      <c r="BL544" s="8">
        <f>+GenRev!AM544-GenExp!BJ544</f>
        <v>-842722</v>
      </c>
      <c r="BN544" s="8">
        <v>9276346</v>
      </c>
      <c r="BP544" s="8">
        <v>0</v>
      </c>
      <c r="BS544" s="8">
        <f t="shared" si="49"/>
        <v>8433624</v>
      </c>
      <c r="BU544" s="9">
        <f>+BS544-'Gen Fd BS'!AA547+BQ544</f>
        <v>0</v>
      </c>
      <c r="BW544" s="15" t="s">
        <v>905</v>
      </c>
    </row>
    <row r="545" spans="1:75">
      <c r="A545" s="13" t="s">
        <v>640</v>
      </c>
      <c r="B545" s="13"/>
      <c r="C545" s="13" t="s">
        <v>60</v>
      </c>
      <c r="D545" s="13"/>
      <c r="E545" s="32">
        <v>44891</v>
      </c>
      <c r="G545" s="8">
        <v>9627370</v>
      </c>
      <c r="I545" s="8">
        <v>2837155</v>
      </c>
      <c r="K545" s="8">
        <v>218221</v>
      </c>
      <c r="M545" s="8">
        <v>1952629</v>
      </c>
      <c r="O545" s="8">
        <v>915934</v>
      </c>
      <c r="Q545" s="8">
        <v>929308</v>
      </c>
      <c r="S545" s="8">
        <v>44888</v>
      </c>
      <c r="U545" s="8">
        <v>1747001</v>
      </c>
      <c r="W545" s="8">
        <v>558764</v>
      </c>
      <c r="Y545" s="8">
        <v>34414</v>
      </c>
      <c r="AA545" s="8">
        <v>2219371</v>
      </c>
      <c r="AC545" s="8">
        <v>794071</v>
      </c>
      <c r="AE545" s="8">
        <v>49247</v>
      </c>
      <c r="AG545" s="8">
        <v>0</v>
      </c>
      <c r="AI545" s="8">
        <v>0</v>
      </c>
      <c r="AJ545" s="13" t="s">
        <v>640</v>
      </c>
      <c r="AK545" s="13"/>
      <c r="AL545" s="13" t="s">
        <v>60</v>
      </c>
      <c r="AN545" s="8">
        <v>302416</v>
      </c>
      <c r="AP545" s="8">
        <v>0</v>
      </c>
      <c r="AT545" s="8">
        <v>70101</v>
      </c>
      <c r="AV545" s="8">
        <v>29972</v>
      </c>
      <c r="AX545" s="8">
        <v>0</v>
      </c>
      <c r="AZ545" s="8">
        <f t="shared" si="47"/>
        <v>22330862</v>
      </c>
      <c r="BB545" s="8">
        <v>116676</v>
      </c>
      <c r="BH545" s="8">
        <v>0</v>
      </c>
      <c r="BJ545" s="8">
        <f t="shared" si="48"/>
        <v>22447538</v>
      </c>
      <c r="BL545" s="8">
        <f>+GenRev!AM545-GenExp!BJ545</f>
        <v>-72644</v>
      </c>
      <c r="BN545" s="8">
        <v>3041269</v>
      </c>
      <c r="BP545" s="8">
        <v>0</v>
      </c>
      <c r="BS545" s="8">
        <f t="shared" si="49"/>
        <v>2968625</v>
      </c>
      <c r="BU545" s="9">
        <f>+BS545-'Gen Fd BS'!AA548+BQ545</f>
        <v>0</v>
      </c>
    </row>
    <row r="546" spans="1:75">
      <c r="A546" s="13" t="s">
        <v>541</v>
      </c>
      <c r="B546" s="13"/>
      <c r="C546" s="13" t="s">
        <v>48</v>
      </c>
      <c r="D546" s="13"/>
      <c r="E546" s="32">
        <v>45617</v>
      </c>
      <c r="G546" s="8">
        <v>9808586</v>
      </c>
      <c r="I546" s="8">
        <v>0</v>
      </c>
      <c r="K546" s="8">
        <v>0</v>
      </c>
      <c r="M546" s="8">
        <v>0</v>
      </c>
      <c r="O546" s="8">
        <v>884186</v>
      </c>
      <c r="Q546" s="8">
        <v>1124424</v>
      </c>
      <c r="S546" s="8">
        <v>37801</v>
      </c>
      <c r="U546" s="8">
        <v>1574600</v>
      </c>
      <c r="W546" s="8">
        <v>496285</v>
      </c>
      <c r="Y546" s="8">
        <v>0</v>
      </c>
      <c r="AA546" s="8">
        <v>2061685</v>
      </c>
      <c r="AC546" s="8">
        <v>876515</v>
      </c>
      <c r="AE546" s="8">
        <v>383917</v>
      </c>
      <c r="AG546" s="8">
        <v>0</v>
      </c>
      <c r="AI546" s="8">
        <v>8031</v>
      </c>
      <c r="AJ546" s="13" t="s">
        <v>541</v>
      </c>
      <c r="AK546" s="13"/>
      <c r="AL546" s="13" t="s">
        <v>48</v>
      </c>
      <c r="AN546" s="8">
        <v>425701</v>
      </c>
      <c r="AP546" s="8">
        <v>0</v>
      </c>
      <c r="AT546" s="8">
        <v>54841</v>
      </c>
      <c r="AV546" s="8">
        <v>21214</v>
      </c>
      <c r="AX546" s="8">
        <v>0</v>
      </c>
      <c r="AZ546" s="8">
        <f t="shared" si="47"/>
        <v>17757786</v>
      </c>
      <c r="BB546" s="8">
        <v>35300</v>
      </c>
      <c r="BH546" s="8">
        <v>0</v>
      </c>
      <c r="BJ546" s="8">
        <f t="shared" si="48"/>
        <v>17793086</v>
      </c>
      <c r="BL546" s="8">
        <f>+GenRev!AM546-GenExp!BJ546</f>
        <v>-296512</v>
      </c>
      <c r="BN546" s="8">
        <v>-289867</v>
      </c>
      <c r="BP546" s="8">
        <v>0</v>
      </c>
      <c r="BS546" s="8">
        <f t="shared" si="49"/>
        <v>-586379</v>
      </c>
      <c r="BU546" s="9">
        <f>+BS546-'Gen Fd BS'!AA549+BQ546</f>
        <v>0</v>
      </c>
      <c r="BW546" s="8" t="s">
        <v>1009</v>
      </c>
    </row>
    <row r="547" spans="1:75">
      <c r="A547" s="13" t="s">
        <v>502</v>
      </c>
      <c r="B547" s="13"/>
      <c r="C547" s="13" t="s">
        <v>117</v>
      </c>
      <c r="D547" s="13"/>
      <c r="E547" s="32">
        <v>44909</v>
      </c>
      <c r="G547" s="8">
        <v>207452653</v>
      </c>
      <c r="I547" s="8">
        <v>0</v>
      </c>
      <c r="K547" s="8">
        <v>0</v>
      </c>
      <c r="M547" s="8">
        <v>0</v>
      </c>
      <c r="O547" s="8">
        <v>104594772</v>
      </c>
      <c r="Q547" s="8">
        <v>0</v>
      </c>
      <c r="S547" s="8">
        <v>0</v>
      </c>
      <c r="U547" s="8">
        <v>0</v>
      </c>
      <c r="W547" s="8">
        <v>0</v>
      </c>
      <c r="Y547" s="8">
        <v>0</v>
      </c>
      <c r="AA547" s="8">
        <v>0</v>
      </c>
      <c r="AC547" s="8">
        <v>0</v>
      </c>
      <c r="AE547" s="8">
        <v>0</v>
      </c>
      <c r="AG547" s="8">
        <v>6565278</v>
      </c>
      <c r="AI547" s="8">
        <v>0</v>
      </c>
      <c r="AJ547" s="13" t="s">
        <v>502</v>
      </c>
      <c r="AK547" s="13"/>
      <c r="AL547" s="13" t="s">
        <v>117</v>
      </c>
      <c r="AN547" s="8">
        <v>3960794</v>
      </c>
      <c r="AP547" s="8">
        <v>1300381</v>
      </c>
      <c r="AT547" s="8">
        <v>0</v>
      </c>
      <c r="AV547" s="8">
        <v>0</v>
      </c>
      <c r="AX547" s="8">
        <v>0</v>
      </c>
      <c r="AZ547" s="8">
        <f t="shared" si="47"/>
        <v>323873878</v>
      </c>
      <c r="BB547" s="8">
        <v>2790043</v>
      </c>
      <c r="BH547" s="8">
        <v>0</v>
      </c>
      <c r="BJ547" s="8">
        <f t="shared" si="48"/>
        <v>326663921</v>
      </c>
      <c r="BL547" s="8">
        <f>+GenRev!AM547-GenExp!BJ547</f>
        <v>-17908579</v>
      </c>
      <c r="BN547" s="8">
        <v>13721761</v>
      </c>
      <c r="BP547" s="8">
        <v>0</v>
      </c>
      <c r="BS547" s="8">
        <f t="shared" si="49"/>
        <v>-4186818</v>
      </c>
      <c r="BU547" s="9">
        <f>+BS547-'Gen Fd BS'!AA550+BQ547</f>
        <v>0</v>
      </c>
      <c r="BW547" s="10" t="s">
        <v>1017</v>
      </c>
    </row>
    <row r="548" spans="1:75">
      <c r="A548" s="13" t="s">
        <v>1024</v>
      </c>
      <c r="B548" s="13"/>
      <c r="C548" s="13" t="s">
        <v>117</v>
      </c>
      <c r="D548" s="13"/>
      <c r="E548" s="32"/>
      <c r="G548" s="8">
        <f>2040477+713084</f>
        <v>2753561</v>
      </c>
      <c r="I548" s="8">
        <v>0</v>
      </c>
      <c r="K548" s="8">
        <v>0</v>
      </c>
      <c r="M548" s="8">
        <v>0</v>
      </c>
      <c r="O548" s="8">
        <v>0</v>
      </c>
      <c r="Q548" s="8">
        <v>0</v>
      </c>
      <c r="S548" s="8">
        <v>0</v>
      </c>
      <c r="U548" s="8">
        <v>0</v>
      </c>
      <c r="W548" s="8">
        <v>0</v>
      </c>
      <c r="Y548" s="8">
        <v>0</v>
      </c>
      <c r="AA548" s="8">
        <v>0</v>
      </c>
      <c r="AC548" s="8">
        <v>0</v>
      </c>
      <c r="AE548" s="8">
        <v>0</v>
      </c>
      <c r="AG548" s="8">
        <v>0</v>
      </c>
      <c r="AI548" s="8">
        <f>664854+234487</f>
        <v>899341</v>
      </c>
      <c r="AJ548" s="13" t="s">
        <v>1024</v>
      </c>
      <c r="AK548" s="13"/>
      <c r="AL548" s="13" t="s">
        <v>117</v>
      </c>
      <c r="AN548" s="8">
        <v>0</v>
      </c>
      <c r="AP548" s="8">
        <v>0</v>
      </c>
      <c r="AT548" s="8">
        <v>0</v>
      </c>
      <c r="AV548" s="8">
        <v>254111</v>
      </c>
      <c r="AX548" s="8">
        <f>121920+209740</f>
        <v>331660</v>
      </c>
      <c r="AZ548" s="8">
        <f t="shared" si="47"/>
        <v>4238673</v>
      </c>
      <c r="BB548" s="8">
        <v>0</v>
      </c>
      <c r="BH548" s="8">
        <v>0</v>
      </c>
      <c r="BJ548" s="8">
        <f t="shared" si="48"/>
        <v>4238673</v>
      </c>
      <c r="BL548" s="8">
        <f>+GenRev!AM548-GenExp!BJ548</f>
        <v>412009</v>
      </c>
      <c r="BN548" s="8">
        <v>145724</v>
      </c>
      <c r="BP548" s="8">
        <v>0</v>
      </c>
      <c r="BS548" s="8">
        <f t="shared" si="49"/>
        <v>557733</v>
      </c>
      <c r="BU548" s="9">
        <f>+BS548-'Gen Fd BS'!AA551+BQ548</f>
        <v>0</v>
      </c>
      <c r="BW548" s="10"/>
    </row>
    <row r="549" spans="1:75">
      <c r="A549" s="13" t="s">
        <v>1065</v>
      </c>
      <c r="B549" s="13"/>
      <c r="C549" s="13" t="s">
        <v>39</v>
      </c>
      <c r="D549" s="13"/>
      <c r="E549" s="32">
        <v>44917</v>
      </c>
      <c r="G549" s="8">
        <v>2486309</v>
      </c>
      <c r="I549" s="8">
        <v>605851</v>
      </c>
      <c r="K549" s="8">
        <v>127972</v>
      </c>
      <c r="M549" s="8">
        <f>11302+26635</f>
        <v>37937</v>
      </c>
      <c r="O549" s="8">
        <v>231172</v>
      </c>
      <c r="Q549" s="8">
        <v>173370</v>
      </c>
      <c r="S549" s="8">
        <v>10316</v>
      </c>
      <c r="U549" s="8">
        <v>829670</v>
      </c>
      <c r="W549" s="8">
        <v>302050</v>
      </c>
      <c r="Y549" s="8">
        <v>0</v>
      </c>
      <c r="AA549" s="8">
        <v>833319</v>
      </c>
      <c r="AC549" s="8">
        <v>109244</v>
      </c>
      <c r="AE549" s="8">
        <v>0</v>
      </c>
      <c r="AG549" s="8">
        <v>0</v>
      </c>
      <c r="AI549" s="8">
        <v>0</v>
      </c>
      <c r="AJ549" s="13" t="s">
        <v>453</v>
      </c>
      <c r="AK549" s="13"/>
      <c r="AL549" s="13" t="s">
        <v>39</v>
      </c>
      <c r="AN549" s="8">
        <v>161028</v>
      </c>
      <c r="AP549" s="8">
        <v>0</v>
      </c>
      <c r="AT549" s="8">
        <v>22301</v>
      </c>
      <c r="AV549" s="8">
        <v>699</v>
      </c>
      <c r="AX549" s="8">
        <v>0</v>
      </c>
      <c r="AZ549" s="8">
        <f t="shared" si="47"/>
        <v>5931238</v>
      </c>
      <c r="BB549" s="8">
        <v>43795</v>
      </c>
      <c r="BH549" s="8">
        <v>0</v>
      </c>
      <c r="BJ549" s="8">
        <f t="shared" si="48"/>
        <v>5975033</v>
      </c>
      <c r="BL549" s="8">
        <f>+GenRev!AM549-GenExp!BJ549</f>
        <v>-287171</v>
      </c>
      <c r="BN549" s="8">
        <v>2879020</v>
      </c>
      <c r="BP549" s="8">
        <v>0</v>
      </c>
      <c r="BS549" s="8">
        <f t="shared" si="49"/>
        <v>2591849</v>
      </c>
      <c r="BU549" s="9">
        <f>+BS549-'Gen Fd BS'!AA552+BQ549</f>
        <v>0</v>
      </c>
      <c r="BW549" s="15" t="s">
        <v>905</v>
      </c>
    </row>
    <row r="550" spans="1:75">
      <c r="A550" s="13" t="s">
        <v>257</v>
      </c>
      <c r="B550" s="13"/>
      <c r="C550" s="13" t="s">
        <v>255</v>
      </c>
      <c r="D550" s="13"/>
      <c r="E550" s="32">
        <v>46201</v>
      </c>
      <c r="G550" s="8">
        <v>4308303</v>
      </c>
      <c r="I550" s="8">
        <v>900642</v>
      </c>
      <c r="K550" s="8">
        <v>201711</v>
      </c>
      <c r="M550" s="8">
        <v>0</v>
      </c>
      <c r="O550" s="8">
        <v>376235</v>
      </c>
      <c r="Q550" s="8">
        <v>226089</v>
      </c>
      <c r="S550" s="8">
        <v>68783</v>
      </c>
      <c r="U550" s="8">
        <v>787764</v>
      </c>
      <c r="W550" s="8">
        <v>270217</v>
      </c>
      <c r="Y550" s="8">
        <v>8074</v>
      </c>
      <c r="AA550" s="8">
        <v>1117292</v>
      </c>
      <c r="AC550" s="8">
        <v>629047</v>
      </c>
      <c r="AE550" s="8">
        <v>220325</v>
      </c>
      <c r="AG550" s="8">
        <v>0</v>
      </c>
      <c r="AI550" s="8">
        <v>0</v>
      </c>
      <c r="AJ550" s="13" t="s">
        <v>257</v>
      </c>
      <c r="AK550" s="13"/>
      <c r="AL550" s="13" t="s">
        <v>255</v>
      </c>
      <c r="AN550" s="8">
        <v>294778</v>
      </c>
      <c r="AP550" s="8">
        <v>1800</v>
      </c>
      <c r="AT550" s="8">
        <v>0</v>
      </c>
      <c r="AV550" s="8">
        <v>0</v>
      </c>
      <c r="AX550" s="8">
        <v>0</v>
      </c>
      <c r="AZ550" s="8">
        <f t="shared" si="47"/>
        <v>9411060</v>
      </c>
      <c r="BB550" s="8">
        <v>295274</v>
      </c>
      <c r="BH550" s="8">
        <v>0</v>
      </c>
      <c r="BJ550" s="8">
        <f t="shared" si="48"/>
        <v>9706334</v>
      </c>
      <c r="BL550" s="8">
        <f>+GenRev!AM550-GenExp!BJ550</f>
        <v>-353070</v>
      </c>
      <c r="BN550" s="8">
        <v>1736932</v>
      </c>
      <c r="BP550" s="8">
        <v>0</v>
      </c>
      <c r="BS550" s="8">
        <f t="shared" si="49"/>
        <v>1383862</v>
      </c>
      <c r="BU550" s="9">
        <f>+BS550-'Gen Fd BS'!AA553+BQ550</f>
        <v>0</v>
      </c>
    </row>
    <row r="551" spans="1:75">
      <c r="A551" s="13" t="s">
        <v>600</v>
      </c>
      <c r="B551" s="13"/>
      <c r="C551" s="13" t="s">
        <v>57</v>
      </c>
      <c r="D551" s="13"/>
      <c r="E551" s="32">
        <v>91397</v>
      </c>
      <c r="F551" s="11"/>
      <c r="G551" s="8">
        <v>4713284</v>
      </c>
      <c r="I551" s="8">
        <v>715008</v>
      </c>
      <c r="K551" s="8">
        <v>101050</v>
      </c>
      <c r="M551" s="8">
        <v>0</v>
      </c>
      <c r="O551" s="8">
        <v>387235</v>
      </c>
      <c r="Q551" s="8">
        <v>437019</v>
      </c>
      <c r="S551" s="8">
        <v>20313</v>
      </c>
      <c r="U551" s="8">
        <v>1065585</v>
      </c>
      <c r="W551" s="8">
        <v>205252</v>
      </c>
      <c r="Y551" s="8">
        <v>0</v>
      </c>
      <c r="AA551" s="8">
        <v>766707</v>
      </c>
      <c r="AC551" s="8">
        <v>552244</v>
      </c>
      <c r="AE551" s="8">
        <v>20592</v>
      </c>
      <c r="AG551" s="8">
        <v>0</v>
      </c>
      <c r="AI551" s="8">
        <v>0</v>
      </c>
      <c r="AJ551" s="13" t="s">
        <v>600</v>
      </c>
      <c r="AK551" s="13"/>
      <c r="AL551" s="13" t="s">
        <v>57</v>
      </c>
      <c r="AN551" s="8">
        <v>221930</v>
      </c>
      <c r="AP551" s="8">
        <v>0</v>
      </c>
      <c r="AT551" s="8">
        <v>0</v>
      </c>
      <c r="AV551" s="8">
        <v>0</v>
      </c>
      <c r="AX551" s="8">
        <v>0</v>
      </c>
      <c r="AZ551" s="8">
        <f t="shared" si="47"/>
        <v>9206219</v>
      </c>
      <c r="BB551" s="8">
        <v>120655</v>
      </c>
      <c r="BH551" s="8">
        <v>0</v>
      </c>
      <c r="BJ551" s="8">
        <f t="shared" si="48"/>
        <v>9326874</v>
      </c>
      <c r="BL551" s="8">
        <f>+GenRev!AM551-GenExp!BJ551</f>
        <v>-811923</v>
      </c>
      <c r="BN551" s="8">
        <v>4043045</v>
      </c>
      <c r="BP551" s="8">
        <v>0</v>
      </c>
      <c r="BS551" s="8">
        <f t="shared" si="49"/>
        <v>3231122</v>
      </c>
      <c r="BU551" s="9">
        <f>+BS551-'Gen Fd BS'!AA554+BQ551</f>
        <v>0</v>
      </c>
    </row>
    <row r="552" spans="1:75">
      <c r="A552" s="13" t="s">
        <v>225</v>
      </c>
      <c r="B552" s="13"/>
      <c r="C552" s="13" t="s">
        <v>13</v>
      </c>
      <c r="D552" s="13"/>
      <c r="E552" s="32">
        <v>45922</v>
      </c>
      <c r="G552" s="8">
        <v>2972823</v>
      </c>
      <c r="I552" s="8">
        <v>997138</v>
      </c>
      <c r="K552" s="8">
        <v>78239</v>
      </c>
      <c r="M552" s="8">
        <f>29847+613881</f>
        <v>643728</v>
      </c>
      <c r="O552" s="8">
        <v>162924</v>
      </c>
      <c r="Q552" s="8">
        <v>55505</v>
      </c>
      <c r="S552" s="8">
        <v>95100</v>
      </c>
      <c r="U552" s="8">
        <v>666847</v>
      </c>
      <c r="W552" s="8">
        <v>288991</v>
      </c>
      <c r="Y552" s="8">
        <v>0</v>
      </c>
      <c r="AA552" s="8">
        <v>864949</v>
      </c>
      <c r="AC552" s="8">
        <v>480142</v>
      </c>
      <c r="AE552" s="8">
        <v>14892</v>
      </c>
      <c r="AG552" s="8">
        <v>0</v>
      </c>
      <c r="AI552" s="8">
        <v>123</v>
      </c>
      <c r="AJ552" s="13" t="s">
        <v>225</v>
      </c>
      <c r="AK552" s="13"/>
      <c r="AL552" s="13" t="s">
        <v>13</v>
      </c>
      <c r="AN552" s="8">
        <v>90599</v>
      </c>
      <c r="AP552" s="8">
        <v>0</v>
      </c>
      <c r="AT552" s="8">
        <v>67465</v>
      </c>
      <c r="AV552" s="8">
        <v>4715</v>
      </c>
      <c r="AX552" s="8">
        <v>0</v>
      </c>
      <c r="AZ552" s="8">
        <f t="shared" si="47"/>
        <v>7484180</v>
      </c>
      <c r="BB552" s="8">
        <v>24000</v>
      </c>
      <c r="BH552" s="8">
        <v>0</v>
      </c>
      <c r="BJ552" s="8">
        <f t="shared" si="48"/>
        <v>7508180</v>
      </c>
      <c r="BL552" s="8">
        <f>+GenRev!AM552-GenExp!BJ552</f>
        <v>159428</v>
      </c>
      <c r="BN552" s="8">
        <v>-492387</v>
      </c>
      <c r="BP552" s="8">
        <v>0</v>
      </c>
      <c r="BS552" s="8">
        <f t="shared" si="49"/>
        <v>-332959</v>
      </c>
      <c r="BU552" s="9">
        <f>+BS552-'Gen Fd BS'!AA555+BQ552</f>
        <v>0</v>
      </c>
    </row>
    <row r="553" spans="1:75">
      <c r="A553" s="13" t="s">
        <v>566</v>
      </c>
      <c r="B553" s="13"/>
      <c r="C553" s="13" t="s">
        <v>51</v>
      </c>
      <c r="D553" s="13"/>
      <c r="E553" s="32">
        <v>48876</v>
      </c>
      <c r="F553" s="11"/>
      <c r="G553" s="8">
        <v>11643540</v>
      </c>
      <c r="I553" s="8">
        <v>2582395</v>
      </c>
      <c r="K553" s="8">
        <v>431599</v>
      </c>
      <c r="M553" s="8">
        <v>9513</v>
      </c>
      <c r="O553" s="8">
        <v>484080</v>
      </c>
      <c r="Q553" s="8">
        <v>1197114</v>
      </c>
      <c r="S553" s="8">
        <v>1552304</v>
      </c>
      <c r="U553" s="8">
        <v>2273005</v>
      </c>
      <c r="W553" s="8">
        <v>522598</v>
      </c>
      <c r="Y553" s="8">
        <v>0</v>
      </c>
      <c r="AA553" s="8">
        <v>2113842</v>
      </c>
      <c r="AC553" s="8">
        <v>1850213</v>
      </c>
      <c r="AE553" s="8">
        <v>219232</v>
      </c>
      <c r="AG553" s="8">
        <v>0</v>
      </c>
      <c r="AI553" s="8">
        <v>0</v>
      </c>
      <c r="AJ553" s="13" t="s">
        <v>566</v>
      </c>
      <c r="AK553" s="13"/>
      <c r="AL553" s="13" t="s">
        <v>51</v>
      </c>
      <c r="AN553" s="8">
        <v>9194</v>
      </c>
      <c r="AP553" s="8">
        <v>77895</v>
      </c>
      <c r="AT553" s="8">
        <v>20206</v>
      </c>
      <c r="AV553" s="8">
        <v>4058</v>
      </c>
      <c r="AX553" s="8">
        <v>0</v>
      </c>
      <c r="AZ553" s="8">
        <f t="shared" si="47"/>
        <v>24990788</v>
      </c>
      <c r="BB553" s="8">
        <v>0</v>
      </c>
      <c r="BH553" s="8">
        <v>0</v>
      </c>
      <c r="BJ553" s="8">
        <f t="shared" si="48"/>
        <v>24990788</v>
      </c>
      <c r="BL553" s="8">
        <f>+GenRev!AM553-GenExp!BJ553</f>
        <v>-373244</v>
      </c>
      <c r="BN553" s="8">
        <v>-1576467</v>
      </c>
      <c r="BP553" s="8">
        <v>0</v>
      </c>
      <c r="BS553" s="8">
        <f t="shared" si="49"/>
        <v>-1949711</v>
      </c>
      <c r="BU553" s="9">
        <f>+BS553-'Gen Fd BS'!AA556+BQ553</f>
        <v>0</v>
      </c>
    </row>
    <row r="554" spans="1:75" hidden="1">
      <c r="A554" s="12" t="s">
        <v>1018</v>
      </c>
      <c r="B554" s="13"/>
      <c r="C554" s="13" t="s">
        <v>21</v>
      </c>
      <c r="D554" s="13"/>
      <c r="E554" s="32">
        <v>46680</v>
      </c>
      <c r="G554" s="8">
        <v>3128508</v>
      </c>
      <c r="I554" s="8">
        <v>516616</v>
      </c>
      <c r="M554" s="8">
        <v>17782</v>
      </c>
      <c r="O554" s="8">
        <v>246309</v>
      </c>
      <c r="Q554" s="8">
        <v>256654</v>
      </c>
      <c r="S554" s="8">
        <v>17320</v>
      </c>
      <c r="U554" s="8">
        <v>533840</v>
      </c>
      <c r="W554" s="8">
        <v>222599</v>
      </c>
      <c r="AA554" s="8">
        <v>558955</v>
      </c>
      <c r="AC554" s="8">
        <v>520215</v>
      </c>
      <c r="AE554" s="8">
        <v>17240</v>
      </c>
      <c r="AJ554" s="13" t="s">
        <v>329</v>
      </c>
      <c r="AK554" s="13"/>
      <c r="AL554" s="13" t="s">
        <v>21</v>
      </c>
      <c r="AN554" s="8">
        <v>143018</v>
      </c>
      <c r="AT554" s="8">
        <v>37000</v>
      </c>
      <c r="AV554" s="8">
        <v>90424</v>
      </c>
      <c r="AZ554" s="8">
        <f t="shared" si="47"/>
        <v>6306480</v>
      </c>
      <c r="BH554" s="8">
        <v>0</v>
      </c>
      <c r="BJ554" s="8">
        <f t="shared" si="48"/>
        <v>6306480</v>
      </c>
      <c r="BL554" s="8">
        <f>+GenRev!AM554-GenExp!BJ554</f>
        <v>78390</v>
      </c>
      <c r="BN554" s="8">
        <v>1399569</v>
      </c>
      <c r="BS554" s="8">
        <f t="shared" si="49"/>
        <v>1477959</v>
      </c>
      <c r="BU554" s="9">
        <f>+BS554-'Gen Fd BS'!AA557+BQ554</f>
        <v>-34908</v>
      </c>
    </row>
    <row r="555" spans="1:75">
      <c r="A555" s="13" t="s">
        <v>725</v>
      </c>
      <c r="B555" s="13"/>
      <c r="C555" s="13" t="s">
        <v>71</v>
      </c>
      <c r="D555" s="13"/>
      <c r="E555" s="32">
        <v>50591</v>
      </c>
      <c r="G555" s="8">
        <v>8663263</v>
      </c>
      <c r="I555" s="8">
        <v>1555379</v>
      </c>
      <c r="K555" s="8">
        <v>402070</v>
      </c>
      <c r="M555" s="8">
        <v>79089</v>
      </c>
      <c r="O555" s="8">
        <v>544538</v>
      </c>
      <c r="Q555" s="8">
        <v>258169</v>
      </c>
      <c r="S555" s="8">
        <v>49474</v>
      </c>
      <c r="U555" s="8">
        <v>1314952</v>
      </c>
      <c r="W555" s="8">
        <v>354990</v>
      </c>
      <c r="Y555" s="8">
        <v>42939</v>
      </c>
      <c r="AA555" s="8">
        <v>1470437</v>
      </c>
      <c r="AC555" s="8">
        <v>1078281</v>
      </c>
      <c r="AE555" s="8">
        <v>340238</v>
      </c>
      <c r="AG555" s="8">
        <v>0</v>
      </c>
      <c r="AI555" s="8">
        <v>0</v>
      </c>
      <c r="AJ555" s="13" t="s">
        <v>725</v>
      </c>
      <c r="AK555" s="13"/>
      <c r="AL555" s="13" t="s">
        <v>71</v>
      </c>
      <c r="AN555" s="8">
        <v>401642</v>
      </c>
      <c r="AP555" s="8">
        <v>0</v>
      </c>
      <c r="AT555" s="8">
        <v>0</v>
      </c>
      <c r="AV555" s="8">
        <v>0</v>
      </c>
      <c r="AX555" s="8">
        <v>0</v>
      </c>
      <c r="AZ555" s="8">
        <f t="shared" si="47"/>
        <v>16555461</v>
      </c>
      <c r="BB555" s="8">
        <v>58287</v>
      </c>
      <c r="BH555" s="8">
        <v>0</v>
      </c>
      <c r="BJ555" s="8">
        <f t="shared" ref="BJ555:BJ572" si="50">+AZ555+BB555+BD555+BH555</f>
        <v>16613748</v>
      </c>
      <c r="BL555" s="8">
        <f>+GenRev!AM555-GenExp!BJ555</f>
        <v>-77532</v>
      </c>
      <c r="BN555" s="8">
        <v>1022260</v>
      </c>
      <c r="BP555" s="8">
        <v>6729</v>
      </c>
      <c r="BS555" s="8">
        <f t="shared" si="49"/>
        <v>937999</v>
      </c>
      <c r="BU555" s="9">
        <f>+BS555-'Gen Fd BS'!AA558+BQ555</f>
        <v>0</v>
      </c>
    </row>
    <row r="556" spans="1:75">
      <c r="A556" s="13" t="s">
        <v>555</v>
      </c>
      <c r="B556" s="13"/>
      <c r="C556" s="13" t="s">
        <v>50</v>
      </c>
      <c r="D556" s="13"/>
      <c r="E556" s="32">
        <v>48694</v>
      </c>
      <c r="G556" s="8">
        <v>13601735</v>
      </c>
      <c r="I556" s="8">
        <v>3555376</v>
      </c>
      <c r="K556" s="8">
        <v>0</v>
      </c>
      <c r="M556" s="8">
        <v>0</v>
      </c>
      <c r="O556" s="8">
        <v>1479681</v>
      </c>
      <c r="Q556" s="8">
        <v>1067535</v>
      </c>
      <c r="S556" s="8">
        <v>43159</v>
      </c>
      <c r="U556" s="8">
        <v>2285640</v>
      </c>
      <c r="W556" s="8">
        <v>747921</v>
      </c>
      <c r="Y556" s="8">
        <v>436387</v>
      </c>
      <c r="AA556" s="8">
        <v>3197082</v>
      </c>
      <c r="AC556" s="8">
        <v>1475198</v>
      </c>
      <c r="AE556" s="8">
        <v>1318049</v>
      </c>
      <c r="AG556" s="8">
        <v>0</v>
      </c>
      <c r="AI556" s="8">
        <v>14073</v>
      </c>
      <c r="AJ556" s="13" t="s">
        <v>555</v>
      </c>
      <c r="AK556" s="13"/>
      <c r="AL556" s="13" t="s">
        <v>50</v>
      </c>
      <c r="AN556" s="8">
        <v>458132</v>
      </c>
      <c r="AP556" s="8">
        <v>728760</v>
      </c>
      <c r="AT556" s="8">
        <v>0</v>
      </c>
      <c r="AV556" s="8">
        <v>0</v>
      </c>
      <c r="AX556" s="8">
        <v>0</v>
      </c>
      <c r="AZ556" s="8">
        <f t="shared" si="47"/>
        <v>30408728</v>
      </c>
      <c r="BB556" s="8">
        <v>332573</v>
      </c>
      <c r="BH556" s="8">
        <v>0</v>
      </c>
      <c r="BJ556" s="8">
        <f t="shared" si="50"/>
        <v>30741301</v>
      </c>
      <c r="BL556" s="8">
        <f>+GenRev!AM556-GenExp!BJ556</f>
        <v>833034</v>
      </c>
      <c r="BN556" s="8">
        <v>6898970</v>
      </c>
      <c r="BP556" s="8">
        <v>0</v>
      </c>
      <c r="BS556" s="8">
        <f t="shared" ref="BS556:BS577" si="51">+BN556+BL556-BP556</f>
        <v>7732004</v>
      </c>
      <c r="BU556" s="9">
        <f>+BS556-'Gen Fd BS'!AA559+BQ556</f>
        <v>0</v>
      </c>
    </row>
    <row r="557" spans="1:75">
      <c r="A557" s="13" t="s">
        <v>542</v>
      </c>
      <c r="B557" s="13"/>
      <c r="C557" s="13" t="s">
        <v>48</v>
      </c>
      <c r="D557" s="13"/>
      <c r="E557" s="13">
        <v>44925</v>
      </c>
      <c r="F557" s="11"/>
      <c r="G557" s="8">
        <v>20602179</v>
      </c>
      <c r="I557" s="8">
        <v>4881684</v>
      </c>
      <c r="K557" s="8">
        <v>0</v>
      </c>
      <c r="M557" s="8">
        <v>2117816</v>
      </c>
      <c r="O557" s="8">
        <v>1994855</v>
      </c>
      <c r="Q557" s="8">
        <v>1098655</v>
      </c>
      <c r="S557" s="8">
        <v>650911</v>
      </c>
      <c r="U557" s="8">
        <v>2913419</v>
      </c>
      <c r="W557" s="8">
        <v>475564</v>
      </c>
      <c r="Y557" s="8">
        <v>595781</v>
      </c>
      <c r="AA557" s="8">
        <v>3404627</v>
      </c>
      <c r="AC557" s="8">
        <v>1661505</v>
      </c>
      <c r="AE557" s="8">
        <v>64007</v>
      </c>
      <c r="AG557" s="8">
        <v>0</v>
      </c>
      <c r="AI557" s="8">
        <v>0</v>
      </c>
      <c r="AJ557" s="13" t="s">
        <v>542</v>
      </c>
      <c r="AK557" s="13"/>
      <c r="AL557" s="13" t="s">
        <v>48</v>
      </c>
      <c r="AN557" s="8">
        <v>0</v>
      </c>
      <c r="AP557" s="8">
        <v>640868</v>
      </c>
      <c r="AT557" s="8">
        <v>122733</v>
      </c>
      <c r="AV557" s="8">
        <v>9418</v>
      </c>
      <c r="AX557" s="8">
        <v>0</v>
      </c>
      <c r="AZ557" s="8">
        <f t="shared" si="47"/>
        <v>41234022</v>
      </c>
      <c r="BB557" s="8">
        <v>147084</v>
      </c>
      <c r="BH557" s="8">
        <v>0</v>
      </c>
      <c r="BJ557" s="8">
        <f t="shared" si="50"/>
        <v>41381106</v>
      </c>
      <c r="BL557" s="8">
        <f>+GenRev!AM557-GenExp!BJ557</f>
        <v>462455</v>
      </c>
      <c r="BN557" s="8">
        <v>10535933</v>
      </c>
      <c r="BP557" s="8">
        <v>0</v>
      </c>
      <c r="BS557" s="8">
        <f t="shared" si="51"/>
        <v>10998388</v>
      </c>
      <c r="BU557" s="9">
        <f>+BS557-'Gen Fd BS'!AA560+BQ557</f>
        <v>0</v>
      </c>
    </row>
    <row r="558" spans="1:75">
      <c r="A558" s="13" t="s">
        <v>701</v>
      </c>
      <c r="B558" s="13"/>
      <c r="C558" s="13" t="s">
        <v>65</v>
      </c>
      <c r="D558" s="13"/>
      <c r="E558" s="32">
        <v>50302</v>
      </c>
      <c r="G558" s="8">
        <v>5532512</v>
      </c>
      <c r="I558" s="8">
        <v>620596</v>
      </c>
      <c r="K558" s="8">
        <v>129799</v>
      </c>
      <c r="M558" s="8">
        <v>936541</v>
      </c>
      <c r="O558" s="8">
        <v>456883</v>
      </c>
      <c r="Q558" s="8">
        <v>573843</v>
      </c>
      <c r="S558" s="8">
        <v>15787</v>
      </c>
      <c r="U558" s="8">
        <v>908492</v>
      </c>
      <c r="W558" s="8">
        <v>330175</v>
      </c>
      <c r="Y558" s="8">
        <v>0</v>
      </c>
      <c r="AA558" s="8">
        <v>983421</v>
      </c>
      <c r="AC558" s="8">
        <v>900308</v>
      </c>
      <c r="AE558" s="8">
        <v>57571</v>
      </c>
      <c r="AG558" s="8">
        <v>0</v>
      </c>
      <c r="AI558" s="8">
        <v>0</v>
      </c>
      <c r="AJ558" s="13" t="s">
        <v>701</v>
      </c>
      <c r="AK558" s="13"/>
      <c r="AL558" s="13" t="s">
        <v>65</v>
      </c>
      <c r="AN558" s="8">
        <v>258986</v>
      </c>
      <c r="AP558" s="8">
        <v>88171</v>
      </c>
      <c r="AT558" s="8">
        <v>39667</v>
      </c>
      <c r="AV558" s="8">
        <v>5777</v>
      </c>
      <c r="AX558" s="8">
        <v>0</v>
      </c>
      <c r="AZ558" s="8">
        <f t="shared" si="47"/>
        <v>11838529</v>
      </c>
      <c r="BB558" s="8">
        <v>80</v>
      </c>
      <c r="BH558" s="8">
        <v>0</v>
      </c>
      <c r="BJ558" s="8">
        <f t="shared" si="50"/>
        <v>11838609</v>
      </c>
      <c r="BL558" s="8">
        <f>+GenRev!AM558-GenExp!BJ558</f>
        <v>326058</v>
      </c>
      <c r="BN558" s="8">
        <v>1259116</v>
      </c>
      <c r="BP558" s="8">
        <v>5771</v>
      </c>
      <c r="BS558" s="8">
        <f t="shared" si="51"/>
        <v>1579403</v>
      </c>
      <c r="BU558" s="9">
        <f>+BS558-'Gen Fd BS'!AA561+BQ558</f>
        <v>0</v>
      </c>
    </row>
    <row r="559" spans="1:75">
      <c r="A559" s="13" t="s">
        <v>661</v>
      </c>
      <c r="B559" s="13"/>
      <c r="C559" s="13" t="s">
        <v>62</v>
      </c>
      <c r="D559" s="13"/>
      <c r="E559" s="32">
        <v>49957</v>
      </c>
      <c r="G559" s="8">
        <v>5150059</v>
      </c>
      <c r="I559" s="8">
        <v>1192912</v>
      </c>
      <c r="K559" s="8">
        <v>189574</v>
      </c>
      <c r="M559" s="8">
        <v>10227</v>
      </c>
      <c r="O559" s="8">
        <v>570487</v>
      </c>
      <c r="Q559" s="8">
        <v>310538</v>
      </c>
      <c r="S559" s="8">
        <v>13547</v>
      </c>
      <c r="U559" s="8">
        <v>999499</v>
      </c>
      <c r="W559" s="8">
        <v>322206</v>
      </c>
      <c r="Y559" s="8">
        <v>45109</v>
      </c>
      <c r="AA559" s="8">
        <v>1070514</v>
      </c>
      <c r="AC559" s="8">
        <v>821913</v>
      </c>
      <c r="AE559" s="8">
        <v>52953</v>
      </c>
      <c r="AG559" s="8">
        <v>0</v>
      </c>
      <c r="AI559" s="8">
        <v>0</v>
      </c>
      <c r="AJ559" s="13" t="s">
        <v>661</v>
      </c>
      <c r="AK559" s="13"/>
      <c r="AL559" s="13" t="s">
        <v>62</v>
      </c>
      <c r="AN559" s="8">
        <v>372822</v>
      </c>
      <c r="AP559" s="8">
        <v>0</v>
      </c>
      <c r="AT559" s="8">
        <v>14753</v>
      </c>
      <c r="AV559" s="8">
        <v>2441</v>
      </c>
      <c r="AX559" s="8">
        <v>0</v>
      </c>
      <c r="AZ559" s="8">
        <f t="shared" si="47"/>
        <v>11139554</v>
      </c>
      <c r="BB559" s="8">
        <v>93112</v>
      </c>
      <c r="BH559" s="8">
        <v>0</v>
      </c>
      <c r="BJ559" s="8">
        <f t="shared" si="50"/>
        <v>11232666</v>
      </c>
      <c r="BL559" s="8">
        <f>+GenRev!AM559-GenExp!BJ559</f>
        <v>5674</v>
      </c>
      <c r="BN559" s="8">
        <v>-2574</v>
      </c>
      <c r="BP559" s="8">
        <v>0</v>
      </c>
      <c r="BS559" s="8">
        <f t="shared" si="51"/>
        <v>3100</v>
      </c>
      <c r="BU559" s="9">
        <f>+BS559-'Gen Fd BS'!AA562+BQ559</f>
        <v>0</v>
      </c>
    </row>
    <row r="560" spans="1:75" hidden="1">
      <c r="A560" s="12" t="s">
        <v>1025</v>
      </c>
      <c r="B560" s="13"/>
      <c r="C560" s="13" t="s">
        <v>57</v>
      </c>
      <c r="D560" s="13"/>
      <c r="E560" s="32">
        <v>49296</v>
      </c>
      <c r="G560" s="8">
        <v>3381699</v>
      </c>
      <c r="I560" s="8">
        <v>341200</v>
      </c>
      <c r="K560" s="8">
        <v>154479</v>
      </c>
      <c r="O560" s="8">
        <v>199866</v>
      </c>
      <c r="Q560" s="8">
        <v>259141</v>
      </c>
      <c r="S560" s="8">
        <v>117217</v>
      </c>
      <c r="U560" s="8">
        <v>1056492</v>
      </c>
      <c r="W560" s="8">
        <v>228394</v>
      </c>
      <c r="AA560" s="8">
        <v>982601</v>
      </c>
      <c r="AC560" s="8">
        <v>408536</v>
      </c>
      <c r="AE560" s="8">
        <v>80764</v>
      </c>
      <c r="AJ560" s="13" t="s">
        <v>601</v>
      </c>
      <c r="AK560" s="13"/>
      <c r="AL560" s="13" t="s">
        <v>57</v>
      </c>
      <c r="AN560" s="8">
        <v>168864</v>
      </c>
      <c r="AP560" s="8">
        <v>2119</v>
      </c>
      <c r="AZ560" s="8">
        <f t="shared" si="47"/>
        <v>7381372</v>
      </c>
      <c r="BH560" s="8">
        <v>0</v>
      </c>
      <c r="BJ560" s="8">
        <f t="shared" si="50"/>
        <v>7381372</v>
      </c>
      <c r="BL560" s="8">
        <f>+GenRev!AM560-GenExp!BJ560</f>
        <v>582763</v>
      </c>
      <c r="BN560" s="8">
        <v>924550</v>
      </c>
      <c r="BS560" s="8">
        <f t="shared" si="51"/>
        <v>1507313</v>
      </c>
      <c r="BU560" s="9">
        <f>+BS560-'Gen Fd BS'!AA563+BQ560</f>
        <v>0</v>
      </c>
    </row>
    <row r="561" spans="1:75">
      <c r="A561" s="13" t="s">
        <v>673</v>
      </c>
      <c r="B561" s="13"/>
      <c r="C561" s="13" t="s">
        <v>63</v>
      </c>
      <c r="D561" s="13"/>
      <c r="E561" s="32">
        <v>50070</v>
      </c>
      <c r="G561" s="8">
        <v>19769054</v>
      </c>
      <c r="I561" s="8">
        <v>2588773</v>
      </c>
      <c r="K561" s="8">
        <v>313378</v>
      </c>
      <c r="M561" s="8">
        <v>2850</v>
      </c>
      <c r="O561" s="8">
        <v>2835152</v>
      </c>
      <c r="Q561" s="8">
        <v>715016</v>
      </c>
      <c r="S561" s="8">
        <v>260220</v>
      </c>
      <c r="U561" s="8">
        <v>2863020</v>
      </c>
      <c r="W561" s="8">
        <v>1080887</v>
      </c>
      <c r="Y561" s="8">
        <v>100642</v>
      </c>
      <c r="AA561" s="8">
        <v>3934478</v>
      </c>
      <c r="AC561" s="8">
        <v>2541353</v>
      </c>
      <c r="AE561" s="8">
        <v>614239</v>
      </c>
      <c r="AG561" s="8">
        <v>0</v>
      </c>
      <c r="AI561" s="8">
        <v>0</v>
      </c>
      <c r="AJ561" s="13" t="s">
        <v>673</v>
      </c>
      <c r="AK561" s="13"/>
      <c r="AL561" s="13" t="s">
        <v>63</v>
      </c>
      <c r="AN561" s="8">
        <v>832819</v>
      </c>
      <c r="AP561" s="8">
        <v>476349</v>
      </c>
      <c r="AT561" s="8">
        <v>199993</v>
      </c>
      <c r="AV561" s="8">
        <v>46438</v>
      </c>
      <c r="AX561" s="8">
        <v>0</v>
      </c>
      <c r="AZ561" s="8">
        <f t="shared" si="47"/>
        <v>39174661</v>
      </c>
      <c r="BB561" s="8">
        <v>0</v>
      </c>
      <c r="BH561" s="8">
        <v>0</v>
      </c>
      <c r="BJ561" s="8">
        <f t="shared" si="50"/>
        <v>39174661</v>
      </c>
      <c r="BL561" s="8">
        <f>+GenRev!AM564-GenExp!BJ561</f>
        <v>8733276</v>
      </c>
      <c r="BN561" s="8">
        <v>19990661</v>
      </c>
      <c r="BP561" s="8">
        <v>0</v>
      </c>
      <c r="BS561" s="8">
        <f t="shared" si="51"/>
        <v>28723937</v>
      </c>
      <c r="BU561" s="9">
        <f>+BS561-'Gen Fd BS'!AA564+BQ561</f>
        <v>0</v>
      </c>
    </row>
    <row r="562" spans="1:75">
      <c r="A562" s="13" t="s">
        <v>236</v>
      </c>
      <c r="B562" s="13"/>
      <c r="C562" s="13" t="s">
        <v>15</v>
      </c>
      <c r="D562" s="13"/>
      <c r="E562" s="32">
        <v>46011</v>
      </c>
      <c r="G562" s="8">
        <v>5910629</v>
      </c>
      <c r="I562" s="8">
        <v>1367169</v>
      </c>
      <c r="K562" s="8">
        <v>394240</v>
      </c>
      <c r="M562" s="8">
        <f>184470+8372</f>
        <v>192842</v>
      </c>
      <c r="O562" s="8">
        <v>431515</v>
      </c>
      <c r="Q562" s="8">
        <v>562595</v>
      </c>
      <c r="S562" s="8">
        <v>53298</v>
      </c>
      <c r="U562" s="8">
        <v>813693</v>
      </c>
      <c r="W562" s="8">
        <v>326707</v>
      </c>
      <c r="Y562" s="8">
        <v>0</v>
      </c>
      <c r="AA562" s="8">
        <v>1176063</v>
      </c>
      <c r="AC562" s="8">
        <v>671754</v>
      </c>
      <c r="AE562" s="8">
        <v>14778</v>
      </c>
      <c r="AG562" s="8">
        <v>0</v>
      </c>
      <c r="AI562" s="8">
        <v>1390</v>
      </c>
      <c r="AJ562" s="13" t="s">
        <v>236</v>
      </c>
      <c r="AK562" s="13"/>
      <c r="AL562" s="13" t="s">
        <v>15</v>
      </c>
      <c r="AN562" s="8">
        <v>235366</v>
      </c>
      <c r="AP562" s="8">
        <v>26966</v>
      </c>
      <c r="AT562" s="8">
        <v>14668</v>
      </c>
      <c r="AV562" s="8">
        <v>11432</v>
      </c>
      <c r="AX562" s="8">
        <v>2768</v>
      </c>
      <c r="AZ562" s="8">
        <f t="shared" si="47"/>
        <v>12207873</v>
      </c>
      <c r="BB562" s="8">
        <v>118446</v>
      </c>
      <c r="BH562" s="8">
        <v>0</v>
      </c>
      <c r="BJ562" s="8">
        <f t="shared" si="50"/>
        <v>12326319</v>
      </c>
      <c r="BL562" s="8">
        <f>+GenRev!AM565-GenExp!BJ562</f>
        <v>-303446</v>
      </c>
      <c r="BN562" s="8">
        <v>-545634</v>
      </c>
      <c r="BP562" s="8">
        <v>0</v>
      </c>
      <c r="BS562" s="8">
        <f t="shared" si="51"/>
        <v>-849080</v>
      </c>
      <c r="BU562" s="9">
        <f>+BS562-'Gen Fd BS'!AA565+BQ562</f>
        <v>0</v>
      </c>
    </row>
    <row r="563" spans="1:75">
      <c r="A563" s="13" t="s">
        <v>620</v>
      </c>
      <c r="B563" s="13"/>
      <c r="C563" s="13" t="s">
        <v>58</v>
      </c>
      <c r="D563" s="13"/>
      <c r="E563" s="32">
        <v>49536</v>
      </c>
      <c r="G563" s="8">
        <v>7087735</v>
      </c>
      <c r="I563" s="8">
        <v>742416</v>
      </c>
      <c r="K563" s="8">
        <v>8831</v>
      </c>
      <c r="M563" s="8">
        <v>0</v>
      </c>
      <c r="O563" s="8">
        <v>490627</v>
      </c>
      <c r="Q563" s="8">
        <v>658199</v>
      </c>
      <c r="S563" s="8">
        <v>1574527</v>
      </c>
      <c r="U563" s="8">
        <v>1046526</v>
      </c>
      <c r="W563" s="8">
        <v>388126</v>
      </c>
      <c r="Y563" s="8">
        <v>36182</v>
      </c>
      <c r="AA563" s="8">
        <v>1532374</v>
      </c>
      <c r="AC563" s="8">
        <v>724757</v>
      </c>
      <c r="AE563" s="8">
        <v>0</v>
      </c>
      <c r="AG563" s="8">
        <v>136</v>
      </c>
      <c r="AI563" s="8">
        <v>0</v>
      </c>
      <c r="AJ563" s="13" t="s">
        <v>620</v>
      </c>
      <c r="AK563" s="13"/>
      <c r="AL563" s="13" t="s">
        <v>58</v>
      </c>
      <c r="AN563" s="8">
        <v>119539</v>
      </c>
      <c r="AP563" s="8">
        <v>5420</v>
      </c>
      <c r="AT563" s="8">
        <v>122802</v>
      </c>
      <c r="AV563" s="8">
        <v>25134</v>
      </c>
      <c r="AX563" s="8">
        <v>0</v>
      </c>
      <c r="AZ563" s="8">
        <f t="shared" si="47"/>
        <v>14563331</v>
      </c>
      <c r="BB563" s="8">
        <v>10259</v>
      </c>
      <c r="BH563" s="8">
        <v>0</v>
      </c>
      <c r="BJ563" s="8">
        <f t="shared" si="50"/>
        <v>14573590</v>
      </c>
      <c r="BL563" s="8">
        <f>+GenRev!AM566-GenExp!BJ563</f>
        <v>1665536</v>
      </c>
      <c r="BN563" s="8">
        <v>6247064</v>
      </c>
      <c r="BP563" s="8">
        <v>0</v>
      </c>
      <c r="BS563" s="8">
        <f t="shared" si="51"/>
        <v>7912600</v>
      </c>
      <c r="BU563" s="9">
        <f>+BS563-'Gen Fd BS'!AA566+BQ563</f>
        <v>0</v>
      </c>
    </row>
    <row r="564" spans="1:75">
      <c r="A564" s="13" t="s">
        <v>285</v>
      </c>
      <c r="B564" s="13"/>
      <c r="C564" s="13" t="s">
        <v>114</v>
      </c>
      <c r="D564" s="13"/>
      <c r="E564" s="32">
        <v>46458</v>
      </c>
      <c r="G564" s="8">
        <v>5602652</v>
      </c>
      <c r="I564" s="8">
        <v>1232556</v>
      </c>
      <c r="K564" s="8">
        <v>197470</v>
      </c>
      <c r="M564" s="8">
        <f>12573+14195</f>
        <v>26768</v>
      </c>
      <c r="O564" s="8">
        <v>314101</v>
      </c>
      <c r="Q564" s="8">
        <v>496173</v>
      </c>
      <c r="S564" s="8">
        <v>60541</v>
      </c>
      <c r="U564" s="8">
        <v>835598</v>
      </c>
      <c r="W564" s="8">
        <v>271567</v>
      </c>
      <c r="Y564" s="8">
        <v>0</v>
      </c>
      <c r="AA564" s="8">
        <v>1068787</v>
      </c>
      <c r="AC564" s="8">
        <v>697196</v>
      </c>
      <c r="AE564" s="8">
        <v>5942</v>
      </c>
      <c r="AG564" s="8">
        <v>0</v>
      </c>
      <c r="AI564" s="8">
        <v>618</v>
      </c>
      <c r="AJ564" s="13" t="s">
        <v>285</v>
      </c>
      <c r="AK564" s="13"/>
      <c r="AL564" s="13" t="s">
        <v>114</v>
      </c>
      <c r="AN564" s="8">
        <v>275003</v>
      </c>
      <c r="AP564" s="8">
        <v>855</v>
      </c>
      <c r="AT564" s="8">
        <v>20359</v>
      </c>
      <c r="AV564" s="8">
        <v>5754</v>
      </c>
      <c r="AX564" s="8">
        <v>0</v>
      </c>
      <c r="AZ564" s="8">
        <f t="shared" si="47"/>
        <v>11111940</v>
      </c>
      <c r="BB564" s="8">
        <v>17768</v>
      </c>
      <c r="BH564" s="8">
        <v>0</v>
      </c>
      <c r="BJ564" s="8">
        <f t="shared" si="50"/>
        <v>11129708</v>
      </c>
      <c r="BL564" s="8">
        <f>+GenRev!AM567-GenExp!BJ564</f>
        <v>-187125</v>
      </c>
      <c r="BN564" s="8">
        <v>3104149</v>
      </c>
      <c r="BP564" s="8">
        <v>0</v>
      </c>
      <c r="BS564" s="8">
        <f t="shared" si="51"/>
        <v>2917024</v>
      </c>
      <c r="BU564" s="9">
        <f>+BS564-'Gen Fd BS'!AA567+BQ564</f>
        <v>0</v>
      </c>
    </row>
    <row r="565" spans="1:75">
      <c r="A565" s="13" t="s">
        <v>364</v>
      </c>
      <c r="B565" s="13"/>
      <c r="C565" s="13" t="s">
        <v>27</v>
      </c>
      <c r="D565" s="13"/>
      <c r="E565" s="32">
        <v>44933</v>
      </c>
      <c r="G565" s="8">
        <v>37080311</v>
      </c>
      <c r="I565" s="8">
        <v>7623563</v>
      </c>
      <c r="K565" s="8">
        <v>149739</v>
      </c>
      <c r="M565" s="8">
        <v>0</v>
      </c>
      <c r="O565" s="8">
        <v>4101306</v>
      </c>
      <c r="Q565" s="8">
        <v>5580417</v>
      </c>
      <c r="S565" s="8">
        <v>42522</v>
      </c>
      <c r="U565" s="8">
        <v>4206666</v>
      </c>
      <c r="W565" s="8">
        <v>1297778</v>
      </c>
      <c r="Y565" s="8">
        <v>470036</v>
      </c>
      <c r="AA565" s="8">
        <v>6471205</v>
      </c>
      <c r="AC565" s="8">
        <v>1579607</v>
      </c>
      <c r="AE565" s="8">
        <v>1703836</v>
      </c>
      <c r="AG565" s="8">
        <v>0</v>
      </c>
      <c r="AI565" s="8">
        <v>0</v>
      </c>
      <c r="AJ565" s="13" t="s">
        <v>364</v>
      </c>
      <c r="AK565" s="13"/>
      <c r="AL565" s="13" t="s">
        <v>27</v>
      </c>
      <c r="AN565" s="8">
        <v>1071988</v>
      </c>
      <c r="AP565" s="8">
        <v>0</v>
      </c>
      <c r="AT565" s="8">
        <v>0</v>
      </c>
      <c r="AV565" s="8">
        <v>0</v>
      </c>
      <c r="AX565" s="8">
        <v>0</v>
      </c>
      <c r="AZ565" s="8">
        <f t="shared" si="47"/>
        <v>71378974</v>
      </c>
      <c r="BB565" s="8">
        <v>93550</v>
      </c>
      <c r="BH565" s="8">
        <v>0</v>
      </c>
      <c r="BJ565" s="8">
        <f t="shared" si="50"/>
        <v>71472524</v>
      </c>
      <c r="BL565" s="8">
        <f>+GenRev!AM568-GenExp!BJ565</f>
        <v>10328522</v>
      </c>
      <c r="BN565" s="8">
        <v>38206657</v>
      </c>
      <c r="BP565" s="8">
        <v>0</v>
      </c>
      <c r="BS565" s="8">
        <f t="shared" si="51"/>
        <v>48535179</v>
      </c>
      <c r="BU565" s="9">
        <f>+BS565-'Gen Fd BS'!AA568+BQ565</f>
        <v>0</v>
      </c>
    </row>
    <row r="566" spans="1:75" hidden="1">
      <c r="A566" s="12" t="s">
        <v>1026</v>
      </c>
      <c r="B566" s="13"/>
      <c r="C566" s="13" t="s">
        <v>740</v>
      </c>
      <c r="D566" s="13"/>
      <c r="E566" s="32">
        <v>45625</v>
      </c>
      <c r="G566" s="8">
        <v>6012766</v>
      </c>
      <c r="I566" s="8">
        <v>1089084</v>
      </c>
      <c r="K566" s="8">
        <v>80333</v>
      </c>
      <c r="M566" s="8">
        <v>1114051</v>
      </c>
      <c r="O566" s="8">
        <v>735458</v>
      </c>
      <c r="Q566" s="8">
        <v>383346</v>
      </c>
      <c r="S566" s="8">
        <v>51721</v>
      </c>
      <c r="U566" s="8">
        <v>1285659</v>
      </c>
      <c r="W566" s="8">
        <v>823993</v>
      </c>
      <c r="AA566" s="8">
        <v>1138715</v>
      </c>
      <c r="AC566" s="8">
        <v>969923</v>
      </c>
      <c r="AE566" s="8">
        <v>38373</v>
      </c>
      <c r="AJ566" s="13" t="s">
        <v>742</v>
      </c>
      <c r="AK566" s="13"/>
      <c r="AL566" s="13" t="s">
        <v>740</v>
      </c>
      <c r="AN566" s="8">
        <v>381468</v>
      </c>
      <c r="AT566" s="8">
        <v>490577</v>
      </c>
      <c r="AV566" s="8">
        <v>45331</v>
      </c>
      <c r="AX566" s="8">
        <v>0</v>
      </c>
      <c r="AZ566" s="8">
        <f t="shared" si="47"/>
        <v>14640798</v>
      </c>
      <c r="BB566" s="8">
        <v>515000</v>
      </c>
      <c r="BH566" s="8">
        <v>0</v>
      </c>
      <c r="BJ566" s="8">
        <f t="shared" si="50"/>
        <v>15155798</v>
      </c>
      <c r="BL566" s="8">
        <f>+GenRev!AM569-GenExp!BJ566</f>
        <v>-359774</v>
      </c>
      <c r="BN566" s="8">
        <v>4303868</v>
      </c>
      <c r="BS566" s="8">
        <f t="shared" si="51"/>
        <v>3944094</v>
      </c>
      <c r="BU566" s="9">
        <f>+BS566-'Gen Fd BS'!AA569+BQ566</f>
        <v>-357000</v>
      </c>
    </row>
    <row r="567" spans="1:75" hidden="1">
      <c r="A567" s="12" t="s">
        <v>1027</v>
      </c>
      <c r="B567" s="13"/>
      <c r="C567" s="13" t="s">
        <v>421</v>
      </c>
      <c r="D567" s="13"/>
      <c r="E567" s="32">
        <v>47522</v>
      </c>
      <c r="G567" s="8">
        <v>2105791</v>
      </c>
      <c r="I567" s="8">
        <v>577294</v>
      </c>
      <c r="K567" s="8">
        <v>2110</v>
      </c>
      <c r="M567" s="8">
        <v>740569</v>
      </c>
      <c r="O567" s="8">
        <v>95677</v>
      </c>
      <c r="Q567" s="8">
        <v>119325</v>
      </c>
      <c r="S567" s="8">
        <v>60875</v>
      </c>
      <c r="U567" s="8">
        <v>610153</v>
      </c>
      <c r="W567" s="8">
        <v>261470</v>
      </c>
      <c r="AA567" s="8">
        <v>574276</v>
      </c>
      <c r="AC567" s="8">
        <v>289215</v>
      </c>
      <c r="AE567" s="8">
        <v>257333</v>
      </c>
      <c r="AI567" s="8">
        <v>147</v>
      </c>
      <c r="AJ567" s="13" t="s">
        <v>426</v>
      </c>
      <c r="AK567" s="13"/>
      <c r="AL567" s="13" t="s">
        <v>421</v>
      </c>
      <c r="AN567" s="8">
        <v>112133</v>
      </c>
      <c r="AP567" s="8">
        <v>34000</v>
      </c>
      <c r="AX567" s="8">
        <v>0</v>
      </c>
      <c r="AZ567" s="8">
        <f t="shared" si="47"/>
        <v>5840368</v>
      </c>
      <c r="BH567" s="8">
        <v>0</v>
      </c>
      <c r="BJ567" s="8">
        <f t="shared" si="50"/>
        <v>5840368</v>
      </c>
      <c r="BL567" s="8">
        <f>+GenRev!AM570-GenExp!BJ567</f>
        <v>468179</v>
      </c>
      <c r="BN567" s="8">
        <v>2464669</v>
      </c>
      <c r="BS567" s="8">
        <f t="shared" si="51"/>
        <v>2932848</v>
      </c>
      <c r="BU567" s="9">
        <f>+BS567-'Gen Fd BS'!AA570+BQ567</f>
        <v>-395</v>
      </c>
    </row>
    <row r="568" spans="1:75">
      <c r="A568" s="13" t="s">
        <v>258</v>
      </c>
      <c r="B568" s="13"/>
      <c r="C568" s="13" t="s">
        <v>255</v>
      </c>
      <c r="D568" s="13"/>
      <c r="E568" s="32">
        <v>44941</v>
      </c>
      <c r="G568" s="8">
        <v>10077620</v>
      </c>
      <c r="I568" s="8">
        <v>3382497</v>
      </c>
      <c r="K568" s="8">
        <v>320323</v>
      </c>
      <c r="M568" s="8">
        <v>34247</v>
      </c>
      <c r="O568" s="8">
        <v>1156882</v>
      </c>
      <c r="Q568" s="8">
        <v>544338</v>
      </c>
      <c r="S568" s="8">
        <v>22258</v>
      </c>
      <c r="U568" s="8">
        <v>1805675</v>
      </c>
      <c r="W568" s="8">
        <v>329871</v>
      </c>
      <c r="Y568" s="8">
        <v>197716</v>
      </c>
      <c r="AA568" s="8">
        <v>1583113</v>
      </c>
      <c r="AC568" s="8">
        <v>707792</v>
      </c>
      <c r="AE568" s="8">
        <v>185400</v>
      </c>
      <c r="AG568" s="8">
        <v>0</v>
      </c>
      <c r="AI568" s="8">
        <v>55603</v>
      </c>
      <c r="AJ568" s="13" t="s">
        <v>258</v>
      </c>
      <c r="AK568" s="13"/>
      <c r="AL568" s="13" t="s">
        <v>255</v>
      </c>
      <c r="AN568" s="8">
        <v>518087</v>
      </c>
      <c r="AP568" s="8">
        <v>0</v>
      </c>
      <c r="AT568" s="8">
        <v>12562</v>
      </c>
      <c r="AV568" s="8">
        <v>68941</v>
      </c>
      <c r="AX568" s="8">
        <v>0</v>
      </c>
      <c r="AZ568" s="8">
        <f t="shared" si="47"/>
        <v>21002925</v>
      </c>
      <c r="BB568" s="8">
        <v>0</v>
      </c>
      <c r="BH568" s="8">
        <v>0</v>
      </c>
      <c r="BJ568" s="8">
        <f t="shared" si="50"/>
        <v>21002925</v>
      </c>
      <c r="BL568" s="8">
        <f>+GenRev!AM571-GenExp!BJ568</f>
        <v>1670217</v>
      </c>
      <c r="BN568" s="8">
        <v>2589170</v>
      </c>
      <c r="BP568" s="8">
        <v>0</v>
      </c>
      <c r="BS568" s="8">
        <f t="shared" si="51"/>
        <v>4259387</v>
      </c>
      <c r="BU568" s="9">
        <f>+BS568-'Gen Fd BS'!AA571+BQ568</f>
        <v>0</v>
      </c>
    </row>
    <row r="569" spans="1:75" hidden="1">
      <c r="A569" s="12" t="s">
        <v>1028</v>
      </c>
      <c r="B569" s="13"/>
      <c r="C569" s="13" t="s">
        <v>59</v>
      </c>
      <c r="D569" s="13"/>
      <c r="E569" s="32">
        <v>49643</v>
      </c>
      <c r="G569" s="8">
        <v>4589346</v>
      </c>
      <c r="I569" s="8">
        <v>801038</v>
      </c>
      <c r="K569" s="8">
        <v>168855</v>
      </c>
      <c r="M569" s="8">
        <v>155072</v>
      </c>
      <c r="O569" s="8">
        <v>493280</v>
      </c>
      <c r="Q569" s="8">
        <v>519086</v>
      </c>
      <c r="S569" s="8">
        <v>46585</v>
      </c>
      <c r="U569" s="8">
        <v>791109</v>
      </c>
      <c r="W569" s="8">
        <v>215146</v>
      </c>
      <c r="AA569" s="8">
        <v>1126475</v>
      </c>
      <c r="AC569" s="8">
        <v>697309</v>
      </c>
      <c r="AE569" s="8">
        <v>324737</v>
      </c>
      <c r="AI569" s="8">
        <v>17241</v>
      </c>
      <c r="AJ569" s="13" t="s">
        <v>632</v>
      </c>
      <c r="AK569" s="13"/>
      <c r="AL569" s="13" t="s">
        <v>59</v>
      </c>
      <c r="AN569" s="8">
        <v>275687</v>
      </c>
      <c r="AP569" s="8">
        <v>23828</v>
      </c>
      <c r="AX569" s="8">
        <v>0</v>
      </c>
      <c r="AZ569" s="8">
        <f t="shared" si="47"/>
        <v>10244794</v>
      </c>
      <c r="BB569" s="8">
        <v>5000</v>
      </c>
      <c r="BH569" s="8">
        <v>0</v>
      </c>
      <c r="BJ569" s="8">
        <f t="shared" si="50"/>
        <v>10249794</v>
      </c>
      <c r="BL569" s="8">
        <f>+GenRev!AM572-GenExp!BJ569</f>
        <v>-671561</v>
      </c>
      <c r="BN569" s="8">
        <v>2097246</v>
      </c>
      <c r="BS569" s="8">
        <f t="shared" si="51"/>
        <v>1425685</v>
      </c>
      <c r="BU569" s="9">
        <f>+BS569-'Gen Fd BS'!AA572+BQ569</f>
        <v>-3255</v>
      </c>
    </row>
    <row r="570" spans="1:75" s="35" customFormat="1">
      <c r="A570" s="34" t="s">
        <v>556</v>
      </c>
      <c r="B570" s="34"/>
      <c r="C570" s="34" t="s">
        <v>50</v>
      </c>
      <c r="D570" s="34"/>
      <c r="E570" s="32">
        <v>48744</v>
      </c>
      <c r="G570" s="8">
        <v>8187613</v>
      </c>
      <c r="H570" s="8"/>
      <c r="I570" s="8">
        <v>1100586</v>
      </c>
      <c r="J570" s="8"/>
      <c r="K570" s="8">
        <v>372192</v>
      </c>
      <c r="L570" s="8"/>
      <c r="M570" s="8">
        <v>434813</v>
      </c>
      <c r="N570" s="8"/>
      <c r="O570" s="8">
        <v>904047</v>
      </c>
      <c r="P570" s="8"/>
      <c r="Q570" s="8">
        <v>1203616</v>
      </c>
      <c r="R570" s="8"/>
      <c r="S570" s="8">
        <v>25976</v>
      </c>
      <c r="T570" s="8"/>
      <c r="U570" s="8">
        <v>1409246</v>
      </c>
      <c r="V570" s="8"/>
      <c r="W570" s="8">
        <v>319064</v>
      </c>
      <c r="X570" s="8"/>
      <c r="Y570" s="8">
        <v>13261</v>
      </c>
      <c r="Z570" s="8"/>
      <c r="AA570" s="8">
        <v>1881160</v>
      </c>
      <c r="AB570" s="8"/>
      <c r="AC570" s="8">
        <v>1239407</v>
      </c>
      <c r="AD570" s="8"/>
      <c r="AE570" s="8">
        <v>328026</v>
      </c>
      <c r="AF570" s="8"/>
      <c r="AG570" s="8">
        <v>0</v>
      </c>
      <c r="AH570" s="8"/>
      <c r="AI570" s="8">
        <v>0</v>
      </c>
      <c r="AJ570" s="13" t="s">
        <v>556</v>
      </c>
      <c r="AK570" s="13"/>
      <c r="AL570" s="13" t="s">
        <v>50</v>
      </c>
      <c r="AM570" s="8"/>
      <c r="AN570" s="8">
        <v>431586</v>
      </c>
      <c r="AO570" s="8"/>
      <c r="AP570" s="8">
        <f>410+4629</f>
        <v>5039</v>
      </c>
      <c r="AQ570" s="8"/>
      <c r="AR570" s="8"/>
      <c r="AS570" s="8"/>
      <c r="AT570" s="8">
        <v>124871</v>
      </c>
      <c r="AU570" s="8"/>
      <c r="AV570" s="8">
        <v>60493</v>
      </c>
      <c r="AW570" s="8"/>
      <c r="AX570" s="8">
        <v>0</v>
      </c>
      <c r="AY570" s="8"/>
      <c r="AZ570" s="8">
        <f t="shared" si="47"/>
        <v>18040996</v>
      </c>
      <c r="BA570" s="8"/>
      <c r="BB570" s="8">
        <v>53200</v>
      </c>
      <c r="BC570" s="8"/>
      <c r="BD570" s="8"/>
      <c r="BE570" s="8"/>
      <c r="BF570" s="8"/>
      <c r="BG570" s="8"/>
      <c r="BH570" s="8">
        <v>0</v>
      </c>
      <c r="BI570" s="8"/>
      <c r="BJ570" s="8">
        <f t="shared" si="50"/>
        <v>18094196</v>
      </c>
      <c r="BK570" s="8"/>
      <c r="BL570" s="8">
        <f>+GenRev!AM573-GenExp!BJ570</f>
        <v>-428726</v>
      </c>
      <c r="BM570" s="8"/>
      <c r="BN570" s="8">
        <v>6598845</v>
      </c>
      <c r="BO570" s="8"/>
      <c r="BP570" s="8">
        <v>0</v>
      </c>
      <c r="BQ570" s="8"/>
      <c r="BR570" s="8"/>
      <c r="BS570" s="8">
        <f t="shared" si="51"/>
        <v>6170119</v>
      </c>
      <c r="BT570" s="8"/>
      <c r="BU570" s="9">
        <f>+BS570-'Gen Fd BS'!AA573+BQ570</f>
        <v>0</v>
      </c>
    </row>
    <row r="571" spans="1:75">
      <c r="A571" s="13" t="s">
        <v>419</v>
      </c>
      <c r="B571" s="13"/>
      <c r="C571" s="13" t="s">
        <v>33</v>
      </c>
      <c r="D571" s="13"/>
      <c r="E571" s="32">
        <v>47464</v>
      </c>
      <c r="G571" s="8">
        <v>4315419</v>
      </c>
      <c r="I571" s="8">
        <v>870125</v>
      </c>
      <c r="K571" s="8">
        <v>203148</v>
      </c>
      <c r="M571" s="8">
        <v>0</v>
      </c>
      <c r="O571" s="8">
        <v>153011</v>
      </c>
      <c r="Q571" s="8">
        <v>320698</v>
      </c>
      <c r="S571" s="8">
        <v>65411</v>
      </c>
      <c r="U571" s="8">
        <v>741897</v>
      </c>
      <c r="W571" s="8">
        <v>405228</v>
      </c>
      <c r="Y571" s="8">
        <v>0</v>
      </c>
      <c r="AA571" s="8">
        <v>1029544</v>
      </c>
      <c r="AC571" s="8">
        <v>422367</v>
      </c>
      <c r="AE571" s="8">
        <v>15251</v>
      </c>
      <c r="AG571" s="8">
        <v>0</v>
      </c>
      <c r="AI571" s="8">
        <v>0</v>
      </c>
      <c r="AJ571" s="13" t="s">
        <v>419</v>
      </c>
      <c r="AK571" s="13"/>
      <c r="AL571" s="13" t="s">
        <v>33</v>
      </c>
      <c r="AN571" s="8">
        <v>261463</v>
      </c>
      <c r="AP571" s="8">
        <v>0</v>
      </c>
      <c r="AT571" s="8">
        <v>0</v>
      </c>
      <c r="AV571" s="8">
        <v>0</v>
      </c>
      <c r="AX571" s="8">
        <v>0</v>
      </c>
      <c r="AZ571" s="8">
        <f t="shared" si="47"/>
        <v>8803562</v>
      </c>
      <c r="BB571" s="8">
        <v>42296</v>
      </c>
      <c r="BH571" s="8">
        <v>0</v>
      </c>
      <c r="BJ571" s="8">
        <f t="shared" si="50"/>
        <v>8845858</v>
      </c>
      <c r="BL571" s="8">
        <f>+GenRev!AM574-GenExp!BJ571</f>
        <v>1118184</v>
      </c>
      <c r="BN571" s="8">
        <v>4888130</v>
      </c>
      <c r="BP571" s="8">
        <v>0</v>
      </c>
      <c r="BS571" s="8">
        <f t="shared" si="51"/>
        <v>6006314</v>
      </c>
      <c r="BU571" s="9">
        <f>+BS571-'Gen Fd BS'!AA574+BQ571</f>
        <v>0</v>
      </c>
    </row>
    <row r="572" spans="1:75">
      <c r="A572" s="13" t="s">
        <v>706</v>
      </c>
      <c r="B572" s="13"/>
      <c r="C572" s="13" t="s">
        <v>67</v>
      </c>
      <c r="D572" s="13"/>
      <c r="E572" s="32">
        <v>44966</v>
      </c>
      <c r="G572" s="8">
        <v>10279349</v>
      </c>
      <c r="I572" s="8">
        <v>2188021</v>
      </c>
      <c r="K572" s="8">
        <v>6943</v>
      </c>
      <c r="M572" s="8">
        <v>0</v>
      </c>
      <c r="O572" s="8">
        <v>793039</v>
      </c>
      <c r="Q572" s="8">
        <v>953745</v>
      </c>
      <c r="S572" s="8">
        <v>36534</v>
      </c>
      <c r="U572" s="8">
        <v>1496438</v>
      </c>
      <c r="W572" s="8">
        <v>485234</v>
      </c>
      <c r="Y572" s="8">
        <v>0</v>
      </c>
      <c r="AA572" s="8">
        <v>1866102</v>
      </c>
      <c r="AC572" s="8">
        <v>410946</v>
      </c>
      <c r="AE572" s="8">
        <v>197373</v>
      </c>
      <c r="AG572" s="8">
        <v>0</v>
      </c>
      <c r="AI572" s="8">
        <v>529</v>
      </c>
      <c r="AJ572" s="13" t="s">
        <v>706</v>
      </c>
      <c r="AK572" s="13"/>
      <c r="AL572" s="13" t="s">
        <v>67</v>
      </c>
      <c r="AN572" s="8">
        <v>285606</v>
      </c>
      <c r="AP572" s="8">
        <v>9403</v>
      </c>
      <c r="AT572" s="8">
        <v>0</v>
      </c>
      <c r="AV572" s="8">
        <v>0</v>
      </c>
      <c r="AX572" s="8">
        <v>0</v>
      </c>
      <c r="AZ572" s="8">
        <f t="shared" si="47"/>
        <v>19009262</v>
      </c>
      <c r="BB572" s="8">
        <v>0</v>
      </c>
      <c r="BH572" s="8">
        <v>0</v>
      </c>
      <c r="BJ572" s="8">
        <f t="shared" si="50"/>
        <v>19009262</v>
      </c>
      <c r="BL572" s="8">
        <f>+GenRev!AM575-GenExp!BJ572</f>
        <v>456199</v>
      </c>
      <c r="BN572" s="8">
        <v>5346624</v>
      </c>
      <c r="BP572" s="8">
        <v>0</v>
      </c>
      <c r="BS572" s="8">
        <f t="shared" si="51"/>
        <v>5802823</v>
      </c>
      <c r="BU572" s="9">
        <f>+BS572-'Gen Fd BS'!AA575+BQ572</f>
        <v>0</v>
      </c>
    </row>
    <row r="573" spans="1:75">
      <c r="A573" s="13" t="s">
        <v>557</v>
      </c>
      <c r="B573" s="13"/>
      <c r="C573" s="13" t="s">
        <v>50</v>
      </c>
      <c r="D573" s="13"/>
      <c r="E573" s="32">
        <v>44958</v>
      </c>
      <c r="G573" s="8">
        <v>15283551</v>
      </c>
      <c r="I573" s="8">
        <v>3094271</v>
      </c>
      <c r="K573" s="8">
        <v>325696</v>
      </c>
      <c r="M573" s="8">
        <v>2421136</v>
      </c>
      <c r="O573" s="8">
        <v>2140487</v>
      </c>
      <c r="Q573" s="8">
        <v>1746865</v>
      </c>
      <c r="S573" s="8">
        <v>81358</v>
      </c>
      <c r="U573" s="8">
        <v>2186511</v>
      </c>
      <c r="W573" s="8">
        <v>1247597</v>
      </c>
      <c r="Y573" s="8">
        <v>0</v>
      </c>
      <c r="AA573" s="8">
        <v>2594543</v>
      </c>
      <c r="AC573" s="8">
        <v>1430948</v>
      </c>
      <c r="AE573" s="8">
        <v>564103</v>
      </c>
      <c r="AG573" s="8">
        <v>0</v>
      </c>
      <c r="AI573" s="8">
        <v>0</v>
      </c>
      <c r="AJ573" s="13" t="s">
        <v>557</v>
      </c>
      <c r="AK573" s="13"/>
      <c r="AL573" s="13" t="s">
        <v>50</v>
      </c>
      <c r="AN573" s="8">
        <v>259872</v>
      </c>
      <c r="AP573" s="8">
        <v>245388</v>
      </c>
      <c r="AT573" s="8">
        <v>51954</v>
      </c>
      <c r="AV573" s="8">
        <v>7804</v>
      </c>
      <c r="AX573" s="8">
        <v>0</v>
      </c>
      <c r="AZ573" s="8">
        <f t="shared" si="47"/>
        <v>33682084</v>
      </c>
      <c r="BB573" s="8">
        <v>0</v>
      </c>
      <c r="BH573" s="8">
        <v>0</v>
      </c>
      <c r="BJ573" s="8">
        <f>+AZ573+BB573+BD573+BH573</f>
        <v>33682084</v>
      </c>
      <c r="BL573" s="8">
        <f>+GenRev!AM576-GenExp!BJ573</f>
        <v>1126107</v>
      </c>
      <c r="BN573" s="8">
        <v>12798955</v>
      </c>
      <c r="BP573" s="8">
        <v>0</v>
      </c>
      <c r="BS573" s="8">
        <f t="shared" si="51"/>
        <v>13925062</v>
      </c>
      <c r="BU573" s="9">
        <f>+BS573-'Gen Fd BS'!AA576+BQ573</f>
        <v>0</v>
      </c>
    </row>
    <row r="574" spans="1:75" hidden="1">
      <c r="A574" s="12" t="s">
        <v>1031</v>
      </c>
      <c r="B574" s="13"/>
      <c r="C574" s="13" t="s">
        <v>33</v>
      </c>
      <c r="D574" s="13"/>
      <c r="E574" s="32">
        <v>47472</v>
      </c>
      <c r="G574" s="8">
        <v>1247803</v>
      </c>
      <c r="I574" s="8">
        <v>314989</v>
      </c>
      <c r="K574" s="8">
        <v>95710</v>
      </c>
      <c r="O574" s="8">
        <v>45971</v>
      </c>
      <c r="Q574" s="8">
        <v>78827</v>
      </c>
      <c r="S574" s="8">
        <v>35127</v>
      </c>
      <c r="U574" s="8">
        <v>263314</v>
      </c>
      <c r="W574" s="8">
        <v>123609</v>
      </c>
      <c r="AA574" s="8">
        <v>263796</v>
      </c>
      <c r="AC574" s="8">
        <v>137556</v>
      </c>
      <c r="AE574" s="8">
        <v>34485</v>
      </c>
      <c r="AJ574" s="13" t="s">
        <v>420</v>
      </c>
      <c r="AK574" s="13"/>
      <c r="AL574" s="13" t="s">
        <v>33</v>
      </c>
      <c r="AN574" s="8">
        <v>82121</v>
      </c>
      <c r="AX574" s="8">
        <v>0</v>
      </c>
      <c r="AZ574" s="8">
        <f>SUM(G574:AX574)</f>
        <v>2723308</v>
      </c>
      <c r="BH574" s="8">
        <v>0</v>
      </c>
      <c r="BJ574" s="8">
        <f>+AZ574+BB574+BD574+BH574</f>
        <v>2723308</v>
      </c>
      <c r="BL574" s="8">
        <f>+GenRev!AM577-GenExp!BJ574</f>
        <v>517192</v>
      </c>
      <c r="BN574" s="8">
        <v>1049601</v>
      </c>
      <c r="BS574" s="8">
        <f t="shared" si="51"/>
        <v>1566793</v>
      </c>
      <c r="BU574" s="9">
        <f>+BS574-'Gen Fd BS'!AA577+BQ574</f>
        <v>-1828</v>
      </c>
    </row>
    <row r="575" spans="1:75">
      <c r="A575" s="13" t="s">
        <v>342</v>
      </c>
      <c r="B575" s="13"/>
      <c r="C575" s="13" t="s">
        <v>24</v>
      </c>
      <c r="D575" s="13"/>
      <c r="E575" s="32">
        <v>46821</v>
      </c>
      <c r="G575" s="8">
        <v>9251736</v>
      </c>
      <c r="I575" s="8">
        <v>1974198</v>
      </c>
      <c r="K575" s="8">
        <v>349851</v>
      </c>
      <c r="M575" s="8">
        <v>989403</v>
      </c>
      <c r="O575" s="8">
        <v>1082775</v>
      </c>
      <c r="Q575" s="8">
        <v>1302822</v>
      </c>
      <c r="S575" s="8">
        <v>300521</v>
      </c>
      <c r="U575" s="8">
        <v>1838960</v>
      </c>
      <c r="W575" s="8">
        <v>562904</v>
      </c>
      <c r="Y575" s="8">
        <v>122706</v>
      </c>
      <c r="AA575" s="8">
        <v>2654136</v>
      </c>
      <c r="AC575" s="8">
        <v>1447959</v>
      </c>
      <c r="AE575" s="8">
        <v>60495</v>
      </c>
      <c r="AG575" s="8">
        <v>0</v>
      </c>
      <c r="AI575" s="8">
        <v>0</v>
      </c>
      <c r="AJ575" s="13" t="s">
        <v>342</v>
      </c>
      <c r="AK575" s="13"/>
      <c r="AL575" s="13" t="s">
        <v>24</v>
      </c>
      <c r="AN575" s="8">
        <v>597783</v>
      </c>
      <c r="AP575" s="8">
        <v>69615</v>
      </c>
      <c r="AT575" s="8">
        <v>387526</v>
      </c>
      <c r="AV575" s="8">
        <v>160351</v>
      </c>
      <c r="AX575" s="8">
        <v>0</v>
      </c>
      <c r="AZ575" s="8">
        <f>SUM(G575:AX575)</f>
        <v>23153741</v>
      </c>
      <c r="BB575" s="8">
        <v>0</v>
      </c>
      <c r="BH575" s="8">
        <v>0</v>
      </c>
      <c r="BJ575" s="8">
        <f>+AZ575+BB575+BD575+BH575</f>
        <v>23153741</v>
      </c>
      <c r="BL575" s="8">
        <f>+GenRev!AM578-GenExp!BJ575</f>
        <v>969390</v>
      </c>
      <c r="BN575" s="8">
        <v>9070389</v>
      </c>
      <c r="BP575" s="8">
        <v>-551</v>
      </c>
      <c r="BS575" s="8">
        <f t="shared" si="51"/>
        <v>10040330</v>
      </c>
      <c r="BU575" s="9">
        <f>+BS575-'Gen Fd BS'!AA578+BQ575</f>
        <v>0</v>
      </c>
    </row>
    <row r="576" spans="1:75" hidden="1">
      <c r="A576" s="91" t="s">
        <v>1032</v>
      </c>
      <c r="B576" s="12"/>
      <c r="C576" s="12" t="s">
        <v>21</v>
      </c>
      <c r="D576" s="13"/>
      <c r="E576" s="32"/>
      <c r="AJ576" s="12" t="s">
        <v>1032</v>
      </c>
      <c r="AK576" s="12"/>
      <c r="AL576" s="12" t="s">
        <v>21</v>
      </c>
      <c r="AX576" s="8">
        <v>0</v>
      </c>
      <c r="BH576" s="8">
        <v>0</v>
      </c>
      <c r="BW576" s="8" t="s">
        <v>967</v>
      </c>
    </row>
    <row r="577" spans="1:73">
      <c r="A577" s="13" t="s">
        <v>707</v>
      </c>
      <c r="B577" s="13"/>
      <c r="C577" s="13" t="s">
        <v>68</v>
      </c>
      <c r="D577" s="13"/>
      <c r="E577" s="32">
        <v>50393</v>
      </c>
      <c r="G577" s="8">
        <v>7323544</v>
      </c>
      <c r="I577" s="8">
        <v>1793366</v>
      </c>
      <c r="K577" s="8">
        <v>284650</v>
      </c>
      <c r="M577" s="8">
        <f>25389+1090404</f>
        <v>1115793</v>
      </c>
      <c r="O577" s="8">
        <v>1067624</v>
      </c>
      <c r="Q577" s="8">
        <v>864395</v>
      </c>
      <c r="S577" s="8">
        <v>286563</v>
      </c>
      <c r="U577" s="8">
        <v>1551857</v>
      </c>
      <c r="W577" s="8">
        <v>325180</v>
      </c>
      <c r="Y577" s="8">
        <v>0</v>
      </c>
      <c r="AA577" s="8">
        <v>2264060</v>
      </c>
      <c r="AC577" s="8">
        <v>1622813</v>
      </c>
      <c r="AE577" s="8">
        <v>1122720</v>
      </c>
      <c r="AG577" s="8">
        <v>0</v>
      </c>
      <c r="AI577" s="8">
        <v>50571</v>
      </c>
      <c r="AJ577" s="13" t="s">
        <v>707</v>
      </c>
      <c r="AK577" s="13"/>
      <c r="AL577" s="13" t="s">
        <v>68</v>
      </c>
      <c r="AN577" s="8">
        <v>174148</v>
      </c>
      <c r="AP577" s="8">
        <v>536568</v>
      </c>
      <c r="AT577" s="8">
        <v>117999</v>
      </c>
      <c r="AV577" s="8">
        <v>36997</v>
      </c>
      <c r="AX577" s="8">
        <v>0</v>
      </c>
      <c r="AZ577" s="8">
        <f>SUM(G577:AX577)</f>
        <v>20538848</v>
      </c>
      <c r="BB577" s="8">
        <v>6700</v>
      </c>
      <c r="BH577" s="8">
        <v>0</v>
      </c>
      <c r="BJ577" s="8">
        <f>+AZ577+BB577+BD577+BH577</f>
        <v>20545548</v>
      </c>
      <c r="BL577" s="8">
        <f>+GenRev!AM580-GenExp!BJ577</f>
        <v>148659</v>
      </c>
      <c r="BN577" s="8">
        <v>10745367</v>
      </c>
      <c r="BP577" s="8">
        <v>0</v>
      </c>
      <c r="BS577" s="8">
        <f t="shared" si="51"/>
        <v>10894026</v>
      </c>
      <c r="BU577" s="9">
        <f>+BS577-'Gen Fd BS'!AA580+BQ577</f>
        <v>0</v>
      </c>
    </row>
    <row r="578" spans="1:73">
      <c r="A578" s="13" t="s">
        <v>530</v>
      </c>
      <c r="B578" s="13"/>
      <c r="C578" s="13" t="s">
        <v>47</v>
      </c>
      <c r="D578" s="13"/>
      <c r="E578" s="32">
        <v>44974</v>
      </c>
      <c r="G578" s="8">
        <v>17676299</v>
      </c>
      <c r="I578" s="8">
        <v>2494713</v>
      </c>
      <c r="K578" s="8">
        <v>1651787</v>
      </c>
      <c r="M578" s="8">
        <v>1020269</v>
      </c>
      <c r="O578" s="8">
        <v>2205713</v>
      </c>
      <c r="Q578" s="8">
        <v>1093920</v>
      </c>
      <c r="S578" s="8">
        <v>326454</v>
      </c>
      <c r="U578" s="8">
        <v>3024632</v>
      </c>
      <c r="W578" s="8">
        <v>695806</v>
      </c>
      <c r="Y578" s="8">
        <v>972</v>
      </c>
      <c r="AA578" s="8">
        <v>4592994</v>
      </c>
      <c r="AC578" s="8">
        <v>1685135</v>
      </c>
      <c r="AE578" s="8">
        <v>1156346</v>
      </c>
      <c r="AG578" s="8">
        <v>0</v>
      </c>
      <c r="AI578" s="8">
        <v>0</v>
      </c>
      <c r="AJ578" s="13" t="s">
        <v>530</v>
      </c>
      <c r="AK578" s="13"/>
      <c r="AL578" s="13" t="s">
        <v>47</v>
      </c>
      <c r="AN578" s="8">
        <v>678130</v>
      </c>
      <c r="AP578" s="8">
        <v>264801</v>
      </c>
      <c r="AT578" s="8">
        <v>0</v>
      </c>
      <c r="AV578" s="8">
        <v>0</v>
      </c>
      <c r="AX578" s="8">
        <v>0</v>
      </c>
      <c r="AZ578" s="8">
        <f t="shared" ref="AZ578:AZ596" si="52">SUM(G578:AX578)</f>
        <v>38567971</v>
      </c>
      <c r="BB578" s="8">
        <v>255449</v>
      </c>
      <c r="BH578" s="8">
        <v>0</v>
      </c>
      <c r="BJ578" s="8">
        <f t="shared" ref="BJ578:BJ631" si="53">+AZ578+BB578+BD578+BH578</f>
        <v>38823420</v>
      </c>
      <c r="BL578" s="8">
        <f>+GenRev!AM581-GenExp!BJ578</f>
        <v>-881748</v>
      </c>
      <c r="BN578" s="8">
        <v>7529611</v>
      </c>
      <c r="BP578" s="8">
        <v>0</v>
      </c>
      <c r="BS578" s="8">
        <f t="shared" ref="BS578:BS631" si="54">+BN578+BL578-BP578</f>
        <v>6647863</v>
      </c>
      <c r="BU578" s="9">
        <f>+BS578-'Gen Fd BS'!AA581+BQ578</f>
        <v>0</v>
      </c>
    </row>
    <row r="579" spans="1:73">
      <c r="A579" s="13" t="s">
        <v>692</v>
      </c>
      <c r="B579" s="13"/>
      <c r="C579" s="13" t="s">
        <v>64</v>
      </c>
      <c r="D579" s="13"/>
      <c r="E579" s="32">
        <v>44990</v>
      </c>
      <c r="G579" s="8">
        <v>24652259</v>
      </c>
      <c r="I579" s="8">
        <v>6564816</v>
      </c>
      <c r="K579" s="8">
        <v>212724</v>
      </c>
      <c r="M579" s="8">
        <v>2562302</v>
      </c>
      <c r="O579" s="8">
        <v>2805694</v>
      </c>
      <c r="Q579" s="8">
        <v>2592185</v>
      </c>
      <c r="S579" s="8">
        <v>37800</v>
      </c>
      <c r="U579" s="8">
        <v>4418726</v>
      </c>
      <c r="W579" s="8">
        <v>908895</v>
      </c>
      <c r="Y579" s="8">
        <v>657398</v>
      </c>
      <c r="AA579" s="8">
        <v>7152458</v>
      </c>
      <c r="AC579" s="8">
        <v>2615848</v>
      </c>
      <c r="AE579" s="8">
        <v>1276993</v>
      </c>
      <c r="AG579" s="8">
        <v>0</v>
      </c>
      <c r="AI579" s="8">
        <v>0</v>
      </c>
      <c r="AJ579" s="13" t="s">
        <v>692</v>
      </c>
      <c r="AK579" s="13"/>
      <c r="AL579" s="13" t="s">
        <v>64</v>
      </c>
      <c r="AN579" s="8">
        <v>818626</v>
      </c>
      <c r="AP579" s="8">
        <v>0</v>
      </c>
      <c r="AT579" s="8">
        <v>0</v>
      </c>
      <c r="AV579" s="8">
        <v>0</v>
      </c>
      <c r="AX579" s="8">
        <v>0</v>
      </c>
      <c r="AZ579" s="8">
        <f t="shared" si="52"/>
        <v>57276724</v>
      </c>
      <c r="BB579" s="8">
        <v>0</v>
      </c>
      <c r="BH579" s="8">
        <f>89200-21408</f>
        <v>67792</v>
      </c>
      <c r="BJ579" s="8">
        <f t="shared" si="53"/>
        <v>57344516</v>
      </c>
      <c r="BL579" s="8">
        <f>+GenRev!AM582-GenExp!BJ579</f>
        <v>1445990</v>
      </c>
      <c r="BN579" s="8">
        <v>11915190</v>
      </c>
      <c r="BP579" s="8">
        <v>0</v>
      </c>
      <c r="BS579" s="8">
        <f t="shared" si="54"/>
        <v>13361180</v>
      </c>
      <c r="BU579" s="9">
        <f>+BS579-'Gen Fd BS'!AA582+BQ579</f>
        <v>0</v>
      </c>
    </row>
    <row r="580" spans="1:73">
      <c r="A580" s="13" t="s">
        <v>719</v>
      </c>
      <c r="B580" s="13"/>
      <c r="C580" s="13" t="s">
        <v>70</v>
      </c>
      <c r="D580" s="13"/>
      <c r="E580" s="32">
        <v>50500</v>
      </c>
      <c r="G580" s="8">
        <v>10535497</v>
      </c>
      <c r="I580" s="8">
        <v>1632648</v>
      </c>
      <c r="K580" s="8">
        <v>121638</v>
      </c>
      <c r="M580" s="8">
        <v>27555</v>
      </c>
      <c r="O580" s="8">
        <v>685257</v>
      </c>
      <c r="Q580" s="8">
        <v>667807</v>
      </c>
      <c r="S580" s="8">
        <v>83959</v>
      </c>
      <c r="U580" s="8">
        <v>1339726</v>
      </c>
      <c r="W580" s="8">
        <v>847439</v>
      </c>
      <c r="Y580" s="8">
        <v>5222</v>
      </c>
      <c r="AA580" s="8">
        <v>1797768</v>
      </c>
      <c r="AC580" s="8">
        <v>1841149</v>
      </c>
      <c r="AE580" s="8">
        <v>16486</v>
      </c>
      <c r="AG580" s="8">
        <v>0</v>
      </c>
      <c r="AI580" s="8">
        <v>0</v>
      </c>
      <c r="AJ580" s="13" t="s">
        <v>719</v>
      </c>
      <c r="AK580" s="13"/>
      <c r="AL580" s="13" t="s">
        <v>70</v>
      </c>
      <c r="AN580" s="8">
        <v>371196</v>
      </c>
      <c r="AP580" s="8">
        <v>0</v>
      </c>
      <c r="AT580" s="8">
        <v>0</v>
      </c>
      <c r="AV580" s="8">
        <v>0</v>
      </c>
      <c r="AX580" s="8">
        <v>0</v>
      </c>
      <c r="AZ580" s="8">
        <f t="shared" si="52"/>
        <v>19973347</v>
      </c>
      <c r="BB580" s="8">
        <v>321166</v>
      </c>
      <c r="BH580" s="8">
        <v>0</v>
      </c>
      <c r="BJ580" s="8">
        <f t="shared" si="53"/>
        <v>20294513</v>
      </c>
      <c r="BL580" s="8">
        <f>+GenRev!AM583-GenExp!BJ580</f>
        <v>1117474</v>
      </c>
      <c r="BN580" s="8">
        <v>-414220</v>
      </c>
      <c r="BP580" s="8">
        <v>0</v>
      </c>
      <c r="BS580" s="8">
        <f t="shared" si="54"/>
        <v>703254</v>
      </c>
      <c r="BU580" s="9">
        <f>+BS580-'Gen Fd BS'!AA583+BQ580</f>
        <v>0</v>
      </c>
    </row>
    <row r="581" spans="1:73">
      <c r="A581" s="13" t="s">
        <v>324</v>
      </c>
      <c r="B581" s="13"/>
      <c r="C581" s="13" t="s">
        <v>20</v>
      </c>
      <c r="D581" s="13"/>
      <c r="E581" s="13">
        <v>45005</v>
      </c>
      <c r="F581" s="11"/>
      <c r="G581" s="8">
        <v>13969022</v>
      </c>
      <c r="I581" s="8">
        <v>2999450</v>
      </c>
      <c r="K581" s="8">
        <v>200523</v>
      </c>
      <c r="M581" s="8">
        <v>0</v>
      </c>
      <c r="O581" s="8">
        <v>1217967</v>
      </c>
      <c r="Q581" s="8">
        <v>1375278</v>
      </c>
      <c r="S581" s="8">
        <v>117068</v>
      </c>
      <c r="U581" s="8">
        <v>3809608</v>
      </c>
      <c r="W581" s="8">
        <v>1015391</v>
      </c>
      <c r="Y581" s="8">
        <v>1026401</v>
      </c>
      <c r="AA581" s="8">
        <v>3521209</v>
      </c>
      <c r="AC581" s="8">
        <v>1108706</v>
      </c>
      <c r="AE581" s="8">
        <v>238630</v>
      </c>
      <c r="AG581" s="8">
        <v>34927</v>
      </c>
      <c r="AI581" s="8">
        <v>17309</v>
      </c>
      <c r="AJ581" s="13" t="s">
        <v>324</v>
      </c>
      <c r="AK581" s="13"/>
      <c r="AL581" s="13" t="s">
        <v>20</v>
      </c>
      <c r="AN581" s="8">
        <v>114135</v>
      </c>
      <c r="AP581" s="8">
        <v>0</v>
      </c>
      <c r="AT581" s="8">
        <v>327765</v>
      </c>
      <c r="AV581" s="8">
        <v>0</v>
      </c>
      <c r="AX581" s="8">
        <v>0</v>
      </c>
      <c r="AZ581" s="8">
        <f>SUM(G581:AX581)</f>
        <v>31093389</v>
      </c>
      <c r="BB581" s="8">
        <v>1017226</v>
      </c>
      <c r="BH581" s="8">
        <v>0</v>
      </c>
      <c r="BJ581" s="8">
        <f>+AZ581+BB581+BD581+BH581</f>
        <v>32110615</v>
      </c>
      <c r="BL581" s="8">
        <f>+GenRev!AM584-GenExp!BJ581</f>
        <v>-1343327</v>
      </c>
      <c r="BN581" s="8">
        <v>2793614</v>
      </c>
      <c r="BP581" s="8">
        <v>0</v>
      </c>
      <c r="BS581" s="8">
        <f>+BN581+BL581-BP581</f>
        <v>1450287</v>
      </c>
      <c r="BU581" s="9">
        <f>+BS581-'Gen Fd BS'!AA584+BQ581</f>
        <v>9945</v>
      </c>
    </row>
    <row r="582" spans="1:73">
      <c r="A582" s="13" t="s">
        <v>351</v>
      </c>
      <c r="B582" s="13"/>
      <c r="C582" s="13" t="s">
        <v>26</v>
      </c>
      <c r="D582" s="13"/>
      <c r="E582" s="32">
        <v>45013</v>
      </c>
      <c r="G582" s="8">
        <v>8732038</v>
      </c>
      <c r="I582" s="8">
        <v>2112995</v>
      </c>
      <c r="K582" s="8">
        <v>123614</v>
      </c>
      <c r="M582" s="8">
        <v>0</v>
      </c>
      <c r="O582" s="8">
        <v>639378</v>
      </c>
      <c r="Q582" s="8">
        <v>380436</v>
      </c>
      <c r="S582" s="8">
        <v>34474</v>
      </c>
      <c r="U582" s="8">
        <v>1634991</v>
      </c>
      <c r="W582" s="8">
        <v>526118</v>
      </c>
      <c r="Y582" s="8">
        <v>0</v>
      </c>
      <c r="AA582" s="8">
        <v>1567206</v>
      </c>
      <c r="AC582" s="8">
        <v>613141</v>
      </c>
      <c r="AE582" s="8">
        <v>46294</v>
      </c>
      <c r="AG582" s="8">
        <v>0</v>
      </c>
      <c r="AI582" s="8">
        <v>0</v>
      </c>
      <c r="AJ582" s="13" t="s">
        <v>351</v>
      </c>
      <c r="AK582" s="13"/>
      <c r="AL582" s="13" t="s">
        <v>26</v>
      </c>
      <c r="AN582" s="8">
        <v>299217</v>
      </c>
      <c r="AP582" s="8">
        <v>307177</v>
      </c>
      <c r="AT582" s="8">
        <v>62542</v>
      </c>
      <c r="AV582" s="8">
        <v>20630</v>
      </c>
      <c r="AX582" s="8">
        <v>0</v>
      </c>
      <c r="AZ582" s="8">
        <f t="shared" si="52"/>
        <v>17100251</v>
      </c>
      <c r="BB582" s="8">
        <v>0</v>
      </c>
      <c r="BH582" s="8">
        <v>0</v>
      </c>
      <c r="BJ582" s="8">
        <f t="shared" si="53"/>
        <v>17100251</v>
      </c>
      <c r="BL582" s="8">
        <f>+GenRev!AM585-GenExp!BJ582</f>
        <v>2345048</v>
      </c>
      <c r="BN582" s="8">
        <v>-88718</v>
      </c>
      <c r="BP582" s="8">
        <v>0</v>
      </c>
      <c r="BS582" s="8">
        <f t="shared" si="54"/>
        <v>2256330</v>
      </c>
      <c r="BU582" s="9">
        <f>+BS582-'Gen Fd BS'!AA585+BQ582</f>
        <v>0</v>
      </c>
    </row>
    <row r="583" spans="1:73">
      <c r="A583" s="13" t="s">
        <v>503</v>
      </c>
      <c r="B583" s="13"/>
      <c r="C583" s="13" t="s">
        <v>117</v>
      </c>
      <c r="D583" s="13"/>
      <c r="E583" s="32">
        <v>48231</v>
      </c>
      <c r="G583" s="8">
        <v>27200085</v>
      </c>
      <c r="I583" s="8">
        <v>6353419</v>
      </c>
      <c r="K583" s="8">
        <v>2472477</v>
      </c>
      <c r="M583" s="8">
        <f>5603+2876438</f>
        <v>2882041</v>
      </c>
      <c r="O583" s="8">
        <v>3500058</v>
      </c>
      <c r="Q583" s="8">
        <v>3393218</v>
      </c>
      <c r="S583" s="8">
        <v>116574</v>
      </c>
      <c r="U583" s="8">
        <v>4894319</v>
      </c>
      <c r="W583" s="8">
        <v>1341168</v>
      </c>
      <c r="Y583" s="8">
        <v>581829</v>
      </c>
      <c r="AA583" s="8">
        <v>9224453</v>
      </c>
      <c r="AC583" s="8">
        <v>3311708</v>
      </c>
      <c r="AE583" s="8">
        <v>1271356</v>
      </c>
      <c r="AG583" s="8">
        <v>0</v>
      </c>
      <c r="AI583" s="8">
        <v>4900</v>
      </c>
      <c r="AJ583" s="13" t="s">
        <v>503</v>
      </c>
      <c r="AK583" s="13"/>
      <c r="AL583" s="13" t="s">
        <v>117</v>
      </c>
      <c r="AN583" s="8">
        <v>739325</v>
      </c>
      <c r="AP583" s="8">
        <v>0</v>
      </c>
      <c r="AT583" s="8">
        <v>0</v>
      </c>
      <c r="AV583" s="8">
        <v>0</v>
      </c>
      <c r="AX583" s="8">
        <v>0</v>
      </c>
      <c r="AZ583" s="8">
        <f t="shared" si="52"/>
        <v>67286930</v>
      </c>
      <c r="BB583" s="8">
        <v>142913</v>
      </c>
      <c r="BH583" s="8">
        <v>0</v>
      </c>
      <c r="BJ583" s="8">
        <f t="shared" si="53"/>
        <v>67429843</v>
      </c>
      <c r="BL583" s="8">
        <f>+GenRev!AM586-GenExp!BJ583</f>
        <v>1030842</v>
      </c>
      <c r="BN583" s="8">
        <v>27680045</v>
      </c>
      <c r="BP583" s="8">
        <v>0</v>
      </c>
      <c r="BS583" s="8">
        <f t="shared" si="54"/>
        <v>28710887</v>
      </c>
      <c r="BU583" s="9">
        <f>+BS583-'Gen Fd BS'!AA586+BQ583</f>
        <v>0</v>
      </c>
    </row>
    <row r="584" spans="1:73">
      <c r="A584" s="13" t="s">
        <v>633</v>
      </c>
      <c r="B584" s="13"/>
      <c r="C584" s="13" t="s">
        <v>59</v>
      </c>
      <c r="D584" s="13"/>
      <c r="E584" s="32">
        <v>49650</v>
      </c>
      <c r="F584" s="11"/>
      <c r="G584" s="8">
        <v>5497276</v>
      </c>
      <c r="I584" s="8">
        <v>976254</v>
      </c>
      <c r="K584" s="8">
        <v>92732</v>
      </c>
      <c r="M584" s="8">
        <v>49538</v>
      </c>
      <c r="O584" s="8">
        <v>695442</v>
      </c>
      <c r="Q584" s="8">
        <v>509966</v>
      </c>
      <c r="S584" s="8">
        <v>79160</v>
      </c>
      <c r="U584" s="8">
        <v>1003931</v>
      </c>
      <c r="W584" s="8">
        <v>262434</v>
      </c>
      <c r="Y584" s="8">
        <v>0</v>
      </c>
      <c r="AA584" s="8">
        <v>1647566</v>
      </c>
      <c r="AC584" s="8">
        <v>962521</v>
      </c>
      <c r="AE584" s="8">
        <v>0</v>
      </c>
      <c r="AG584" s="8">
        <v>7814</v>
      </c>
      <c r="AI584" s="8">
        <v>0</v>
      </c>
      <c r="AJ584" s="13" t="s">
        <v>633</v>
      </c>
      <c r="AK584" s="13"/>
      <c r="AL584" s="13" t="s">
        <v>59</v>
      </c>
      <c r="AN584" s="8">
        <v>134094</v>
      </c>
      <c r="AP584" s="8">
        <v>19636</v>
      </c>
      <c r="AT584" s="8">
        <v>0</v>
      </c>
      <c r="AV584" s="8">
        <v>0</v>
      </c>
      <c r="AX584" s="8">
        <v>0</v>
      </c>
      <c r="AZ584" s="8">
        <f t="shared" si="52"/>
        <v>11938364</v>
      </c>
      <c r="BB584" s="8">
        <v>819077</v>
      </c>
      <c r="BH584" s="8">
        <v>0</v>
      </c>
      <c r="BJ584" s="8">
        <f t="shared" si="53"/>
        <v>12757441</v>
      </c>
      <c r="BL584" s="8">
        <f>+GenRev!AM587-GenExp!BJ584</f>
        <v>-761209</v>
      </c>
      <c r="BN584" s="8">
        <v>2587843</v>
      </c>
      <c r="BP584" s="8">
        <v>0</v>
      </c>
      <c r="BS584" s="8">
        <f t="shared" si="54"/>
        <v>1826634</v>
      </c>
      <c r="BU584" s="9">
        <f>+BS584-'Gen Fd BS'!AA587+BQ584</f>
        <v>0</v>
      </c>
    </row>
    <row r="585" spans="1:73">
      <c r="A585" s="13" t="s">
        <v>596</v>
      </c>
      <c r="B585" s="13"/>
      <c r="C585" s="13" t="s">
        <v>56</v>
      </c>
      <c r="D585" s="13"/>
      <c r="E585" s="32">
        <v>49247</v>
      </c>
      <c r="G585" s="8">
        <v>5057284</v>
      </c>
      <c r="I585" s="8">
        <v>959876</v>
      </c>
      <c r="K585" s="8">
        <v>57007</v>
      </c>
      <c r="M585" s="8">
        <v>81063</v>
      </c>
      <c r="O585" s="8">
        <v>375262</v>
      </c>
      <c r="Q585" s="8">
        <v>453143</v>
      </c>
      <c r="S585" s="8">
        <v>25636</v>
      </c>
      <c r="U585" s="8">
        <v>759532</v>
      </c>
      <c r="W585" s="8">
        <v>319419</v>
      </c>
      <c r="Y585" s="8">
        <v>25853</v>
      </c>
      <c r="AA585" s="8">
        <v>1117194</v>
      </c>
      <c r="AC585" s="8">
        <v>1026265</v>
      </c>
      <c r="AE585" s="8">
        <v>11280</v>
      </c>
      <c r="AG585" s="8">
        <v>0</v>
      </c>
      <c r="AI585" s="8">
        <v>0</v>
      </c>
      <c r="AJ585" s="13" t="s">
        <v>596</v>
      </c>
      <c r="AK585" s="13"/>
      <c r="AL585" s="13" t="s">
        <v>56</v>
      </c>
      <c r="AN585" s="8">
        <v>216050</v>
      </c>
      <c r="AP585" s="8">
        <v>1034</v>
      </c>
      <c r="AT585" s="8">
        <v>21144</v>
      </c>
      <c r="AV585" s="8">
        <v>2087</v>
      </c>
      <c r="AX585" s="8">
        <v>0</v>
      </c>
      <c r="AZ585" s="8">
        <f t="shared" si="52"/>
        <v>10509129</v>
      </c>
      <c r="BB585" s="8">
        <v>12873</v>
      </c>
      <c r="BH585" s="8">
        <v>0</v>
      </c>
      <c r="BJ585" s="8">
        <f t="shared" si="53"/>
        <v>10522002</v>
      </c>
      <c r="BL585" s="8">
        <f>+GenRev!AM588-GenExp!BJ585</f>
        <v>-120434</v>
      </c>
      <c r="BN585" s="8">
        <v>1150505</v>
      </c>
      <c r="BP585" s="8">
        <v>1162</v>
      </c>
      <c r="BS585" s="8">
        <f t="shared" si="54"/>
        <v>1028909</v>
      </c>
      <c r="BU585" s="9">
        <f>+BS585-'Gen Fd BS'!AA588+BQ585</f>
        <v>0</v>
      </c>
    </row>
    <row r="586" spans="1:73">
      <c r="A586" s="13" t="s">
        <v>374</v>
      </c>
      <c r="B586" s="13"/>
      <c r="C586" s="13" t="s">
        <v>28</v>
      </c>
      <c r="D586" s="13"/>
      <c r="E586" s="32">
        <v>45641</v>
      </c>
      <c r="G586" s="8">
        <v>7253285</v>
      </c>
      <c r="I586" s="8">
        <v>1584591</v>
      </c>
      <c r="K586" s="8">
        <v>312790</v>
      </c>
      <c r="M586" s="8">
        <v>787269</v>
      </c>
      <c r="O586" s="8">
        <v>487408</v>
      </c>
      <c r="Q586" s="8">
        <v>654639</v>
      </c>
      <c r="S586" s="8">
        <v>39844</v>
      </c>
      <c r="U586" s="8">
        <v>1230843</v>
      </c>
      <c r="W586" s="8">
        <v>357847</v>
      </c>
      <c r="Y586" s="8">
        <v>65230</v>
      </c>
      <c r="AA586" s="8">
        <v>1303756</v>
      </c>
      <c r="AC586" s="8">
        <v>719298</v>
      </c>
      <c r="AE586" s="8">
        <v>48309</v>
      </c>
      <c r="AG586" s="8">
        <v>0</v>
      </c>
      <c r="AI586" s="8">
        <v>0</v>
      </c>
      <c r="AJ586" s="13" t="s">
        <v>374</v>
      </c>
      <c r="AK586" s="13"/>
      <c r="AL586" s="13" t="s">
        <v>28</v>
      </c>
      <c r="AN586" s="8">
        <v>464329</v>
      </c>
      <c r="AP586" s="8">
        <v>0</v>
      </c>
      <c r="AT586" s="8">
        <v>0</v>
      </c>
      <c r="AV586" s="8">
        <v>0</v>
      </c>
      <c r="AX586" s="8">
        <v>0</v>
      </c>
      <c r="AZ586" s="8">
        <f t="shared" si="52"/>
        <v>15309438</v>
      </c>
      <c r="BB586" s="8">
        <v>34055</v>
      </c>
      <c r="BH586" s="8">
        <v>0</v>
      </c>
      <c r="BJ586" s="8">
        <f t="shared" si="53"/>
        <v>15343493</v>
      </c>
      <c r="BL586" s="8">
        <f>+GenRev!AM589-GenExp!BJ586</f>
        <v>-303453</v>
      </c>
      <c r="BN586" s="8">
        <v>3510985</v>
      </c>
      <c r="BP586" s="8">
        <v>0</v>
      </c>
      <c r="BS586" s="8">
        <f t="shared" si="54"/>
        <v>3207532</v>
      </c>
      <c r="BU586" s="9">
        <f>+BS586-'Gen Fd BS'!AA589+BQ586</f>
        <v>0</v>
      </c>
    </row>
    <row r="587" spans="1:73">
      <c r="A587" s="13" t="s">
        <v>586</v>
      </c>
      <c r="B587" s="13"/>
      <c r="C587" s="13" t="s">
        <v>55</v>
      </c>
      <c r="D587" s="13"/>
      <c r="E587" s="32">
        <v>49148</v>
      </c>
      <c r="G587" s="8">
        <v>7308718</v>
      </c>
      <c r="I587" s="8">
        <v>1291477</v>
      </c>
      <c r="K587" s="8">
        <v>168036</v>
      </c>
      <c r="M587" s="8">
        <v>22021</v>
      </c>
      <c r="O587" s="8">
        <v>880712</v>
      </c>
      <c r="Q587" s="8">
        <v>532519</v>
      </c>
      <c r="S587" s="8">
        <v>48071</v>
      </c>
      <c r="U587" s="8">
        <v>914970</v>
      </c>
      <c r="W587" s="8">
        <v>417862</v>
      </c>
      <c r="Y587" s="8">
        <v>0</v>
      </c>
      <c r="AA587" s="8">
        <v>2021225</v>
      </c>
      <c r="AC587" s="8">
        <v>962645</v>
      </c>
      <c r="AE587" s="8">
        <v>2171</v>
      </c>
      <c r="AG587" s="8">
        <v>34325</v>
      </c>
      <c r="AI587" s="8">
        <v>0</v>
      </c>
      <c r="AJ587" s="13" t="s">
        <v>586</v>
      </c>
      <c r="AK587" s="13"/>
      <c r="AL587" s="13" t="s">
        <v>55</v>
      </c>
      <c r="AN587" s="8">
        <v>246767</v>
      </c>
      <c r="AP587" s="8">
        <v>0</v>
      </c>
      <c r="AT587" s="8">
        <v>62509</v>
      </c>
      <c r="AV587" s="8">
        <v>68513</v>
      </c>
      <c r="AX587" s="8">
        <v>0</v>
      </c>
      <c r="AZ587" s="8">
        <f t="shared" si="52"/>
        <v>14982541</v>
      </c>
      <c r="BB587" s="8">
        <v>296226</v>
      </c>
      <c r="BH587" s="8">
        <v>0</v>
      </c>
      <c r="BJ587" s="8">
        <f t="shared" si="53"/>
        <v>15278767</v>
      </c>
      <c r="BL587" s="8">
        <f>+GenRev!AM590-GenExp!BJ587</f>
        <v>-961416</v>
      </c>
      <c r="BN587" s="8">
        <v>2302701</v>
      </c>
      <c r="BP587" s="8">
        <v>0</v>
      </c>
      <c r="BS587" s="8">
        <f t="shared" si="54"/>
        <v>1341285</v>
      </c>
      <c r="BU587" s="9">
        <f>+BS587-'Gen Fd BS'!AA590+BQ587</f>
        <v>0</v>
      </c>
    </row>
    <row r="588" spans="1:73" hidden="1">
      <c r="A588" s="12" t="s">
        <v>1043</v>
      </c>
      <c r="B588" s="13"/>
      <c r="C588" s="13" t="s">
        <v>69</v>
      </c>
      <c r="D588" s="13"/>
      <c r="E588" s="32">
        <v>50468</v>
      </c>
      <c r="F588" s="11"/>
      <c r="AJ588" s="13" t="s">
        <v>714</v>
      </c>
      <c r="AK588" s="13"/>
      <c r="AL588" s="13" t="s">
        <v>69</v>
      </c>
      <c r="AX588" s="8">
        <v>0</v>
      </c>
      <c r="AZ588" s="8">
        <f t="shared" si="52"/>
        <v>0</v>
      </c>
      <c r="BH588" s="8">
        <v>0</v>
      </c>
      <c r="BJ588" s="8">
        <f t="shared" si="53"/>
        <v>0</v>
      </c>
      <c r="BL588" s="8">
        <f>+GenRev!AM591-GenExp!BJ588</f>
        <v>0</v>
      </c>
      <c r="BP588" s="8">
        <v>0</v>
      </c>
      <c r="BS588" s="8">
        <f t="shared" si="54"/>
        <v>0</v>
      </c>
      <c r="BU588" s="9">
        <f>+BS588-'Gen Fd BS'!AA591+BQ588</f>
        <v>0</v>
      </c>
    </row>
    <row r="589" spans="1:73" hidden="1">
      <c r="A589" s="12" t="s">
        <v>846</v>
      </c>
      <c r="B589" s="13"/>
      <c r="C589" s="13" t="s">
        <v>576</v>
      </c>
      <c r="D589" s="13"/>
      <c r="E589" s="32">
        <v>49031</v>
      </c>
      <c r="AJ589" s="13" t="s">
        <v>578</v>
      </c>
      <c r="AK589" s="13"/>
      <c r="AL589" s="13" t="s">
        <v>576</v>
      </c>
      <c r="AX589" s="8">
        <v>0</v>
      </c>
      <c r="AZ589" s="8">
        <f t="shared" si="52"/>
        <v>0</v>
      </c>
      <c r="BH589" s="8">
        <v>0</v>
      </c>
      <c r="BJ589" s="8">
        <f t="shared" si="53"/>
        <v>0</v>
      </c>
      <c r="BL589" s="8">
        <f>+GenRev!AM592-GenExp!BJ589</f>
        <v>0</v>
      </c>
      <c r="BP589" s="8">
        <v>0</v>
      </c>
      <c r="BS589" s="8">
        <f t="shared" si="54"/>
        <v>0</v>
      </c>
      <c r="BU589" s="9">
        <f>+BS589-'Gen Fd BS'!AA592+BQ589</f>
        <v>0</v>
      </c>
    </row>
    <row r="590" spans="1:73" hidden="1">
      <c r="A590" s="12" t="s">
        <v>891</v>
      </c>
      <c r="B590" s="13"/>
      <c r="C590" s="13" t="s">
        <v>14</v>
      </c>
      <c r="D590" s="13"/>
      <c r="E590" s="32">
        <v>45971</v>
      </c>
      <c r="AJ590" s="13" t="s">
        <v>230</v>
      </c>
      <c r="AK590" s="13"/>
      <c r="AL590" s="13" t="s">
        <v>14</v>
      </c>
      <c r="AX590" s="8">
        <v>0</v>
      </c>
      <c r="AZ590" s="8">
        <f t="shared" si="52"/>
        <v>0</v>
      </c>
      <c r="BH590" s="8">
        <v>0</v>
      </c>
      <c r="BJ590" s="8">
        <f t="shared" si="53"/>
        <v>0</v>
      </c>
      <c r="BL590" s="8">
        <f>+GenRev!AM593-GenExp!BJ590</f>
        <v>0</v>
      </c>
      <c r="BP590" s="8">
        <v>0</v>
      </c>
      <c r="BS590" s="8">
        <f t="shared" si="54"/>
        <v>0</v>
      </c>
      <c r="BU590" s="9">
        <f>+BS590-'Gen Fd BS'!AA593+BQ590</f>
        <v>0</v>
      </c>
    </row>
    <row r="591" spans="1:73">
      <c r="A591" s="13" t="s">
        <v>693</v>
      </c>
      <c r="B591" s="13"/>
      <c r="C591" s="13" t="s">
        <v>64</v>
      </c>
      <c r="D591" s="13"/>
      <c r="E591" s="32">
        <v>50252</v>
      </c>
      <c r="G591" s="8">
        <v>3913022</v>
      </c>
      <c r="I591" s="8">
        <v>725068</v>
      </c>
      <c r="K591" s="8">
        <v>0</v>
      </c>
      <c r="M591" s="8">
        <v>361772</v>
      </c>
      <c r="O591" s="8">
        <v>423662</v>
      </c>
      <c r="Q591" s="8">
        <v>193483</v>
      </c>
      <c r="S591" s="8">
        <v>23192</v>
      </c>
      <c r="U591" s="8">
        <v>774326</v>
      </c>
      <c r="W591" s="8">
        <v>297311</v>
      </c>
      <c r="Y591" s="8">
        <v>11880</v>
      </c>
      <c r="AA591" s="8">
        <v>1299989</v>
      </c>
      <c r="AC591" s="8">
        <v>406529</v>
      </c>
      <c r="AE591" s="8">
        <v>0</v>
      </c>
      <c r="AG591" s="8">
        <v>0</v>
      </c>
      <c r="AI591" s="8">
        <v>2590</v>
      </c>
      <c r="AJ591" s="13" t="s">
        <v>693</v>
      </c>
      <c r="AK591" s="13"/>
      <c r="AL591" s="13" t="s">
        <v>64</v>
      </c>
      <c r="AN591" s="8">
        <v>232669</v>
      </c>
      <c r="AP591" s="8">
        <v>0</v>
      </c>
      <c r="AT591" s="8">
        <v>64000</v>
      </c>
      <c r="AV591" s="8">
        <v>37723</v>
      </c>
      <c r="AX591" s="8">
        <v>0</v>
      </c>
      <c r="AZ591" s="8">
        <f t="shared" si="52"/>
        <v>8767216</v>
      </c>
      <c r="BB591" s="8">
        <v>65888</v>
      </c>
      <c r="BH591" s="8">
        <v>0</v>
      </c>
      <c r="BJ591" s="8">
        <f t="shared" si="53"/>
        <v>8833104</v>
      </c>
      <c r="BL591" s="8">
        <f>+GenRev!AM594-GenExp!BJ591</f>
        <v>-367303</v>
      </c>
      <c r="BN591" s="8">
        <v>1361030</v>
      </c>
      <c r="BP591" s="8">
        <v>0</v>
      </c>
      <c r="BS591" s="8">
        <f t="shared" si="54"/>
        <v>993727</v>
      </c>
      <c r="BU591" s="9">
        <f>+BS591-'Gen Fd BS'!AA594+BQ591</f>
        <v>0</v>
      </c>
    </row>
    <row r="592" spans="1:73">
      <c r="A592" s="13" t="s">
        <v>495</v>
      </c>
      <c r="B592" s="13"/>
      <c r="C592" s="13" t="s">
        <v>44</v>
      </c>
      <c r="D592" s="13"/>
      <c r="E592" s="32">
        <v>45658</v>
      </c>
      <c r="G592" s="8">
        <v>6349971</v>
      </c>
      <c r="I592" s="8">
        <v>1063795</v>
      </c>
      <c r="K592" s="8">
        <v>90807</v>
      </c>
      <c r="M592" s="8">
        <v>0</v>
      </c>
      <c r="O592" s="8">
        <v>516321</v>
      </c>
      <c r="Q592" s="8">
        <v>447080</v>
      </c>
      <c r="S592" s="8">
        <v>70836</v>
      </c>
      <c r="U592" s="8">
        <v>1101228</v>
      </c>
      <c r="W592" s="8">
        <v>380930</v>
      </c>
      <c r="Y592" s="8">
        <v>0</v>
      </c>
      <c r="AA592" s="8">
        <v>1127879</v>
      </c>
      <c r="AC592" s="8">
        <v>605864</v>
      </c>
      <c r="AE592" s="8">
        <v>134198</v>
      </c>
      <c r="AG592" s="8">
        <v>0</v>
      </c>
      <c r="AI592" s="8">
        <v>754</v>
      </c>
      <c r="AJ592" s="13" t="s">
        <v>495</v>
      </c>
      <c r="AK592" s="13"/>
      <c r="AL592" s="13" t="s">
        <v>44</v>
      </c>
      <c r="AN592" s="8">
        <v>268666</v>
      </c>
      <c r="AP592" s="8">
        <v>0</v>
      </c>
      <c r="AT592" s="8">
        <v>0</v>
      </c>
      <c r="AV592" s="8">
        <v>0</v>
      </c>
      <c r="AX592" s="8">
        <v>0</v>
      </c>
      <c r="AZ592" s="8">
        <f t="shared" si="52"/>
        <v>12158329</v>
      </c>
      <c r="BB592" s="8">
        <v>44739</v>
      </c>
      <c r="BH592" s="8">
        <v>0</v>
      </c>
      <c r="BJ592" s="8">
        <f t="shared" si="53"/>
        <v>12203068</v>
      </c>
      <c r="BL592" s="8">
        <f>+GenRev!AM595-GenExp!BJ592</f>
        <v>108663</v>
      </c>
      <c r="BN592" s="8">
        <v>3746126</v>
      </c>
      <c r="BP592" s="8">
        <v>0</v>
      </c>
      <c r="BS592" s="8">
        <f t="shared" si="54"/>
        <v>3854789</v>
      </c>
      <c r="BU592" s="9">
        <f>+BS592-'Gen Fd BS'!AA595+BQ592</f>
        <v>0</v>
      </c>
    </row>
    <row r="593" spans="1:73" ht="11.25" customHeight="1">
      <c r="A593" s="13" t="s">
        <v>449</v>
      </c>
      <c r="B593" s="13"/>
      <c r="C593" s="13" t="s">
        <v>38</v>
      </c>
      <c r="D593" s="13"/>
      <c r="E593" s="32">
        <v>45021</v>
      </c>
      <c r="G593" s="8">
        <v>4943438</v>
      </c>
      <c r="I593" s="8">
        <v>1872629</v>
      </c>
      <c r="K593" s="8">
        <v>154694</v>
      </c>
      <c r="M593" s="8">
        <v>13136</v>
      </c>
      <c r="O593" s="8">
        <v>557784</v>
      </c>
      <c r="Q593" s="8">
        <v>729371</v>
      </c>
      <c r="S593" s="8">
        <v>161959</v>
      </c>
      <c r="U593" s="8">
        <v>1197677</v>
      </c>
      <c r="W593" s="8">
        <v>412378</v>
      </c>
      <c r="Y593" s="8">
        <v>0</v>
      </c>
      <c r="AA593" s="8">
        <v>1002621</v>
      </c>
      <c r="AC593" s="8">
        <v>851572</v>
      </c>
      <c r="AE593" s="8">
        <v>93100</v>
      </c>
      <c r="AG593" s="8">
        <v>0</v>
      </c>
      <c r="AI593" s="8">
        <v>100</v>
      </c>
      <c r="AJ593" s="13" t="s">
        <v>449</v>
      </c>
      <c r="AK593" s="13"/>
      <c r="AL593" s="13" t="s">
        <v>38</v>
      </c>
      <c r="AN593" s="8">
        <v>166380</v>
      </c>
      <c r="AP593" s="8">
        <v>16342</v>
      </c>
      <c r="AT593" s="8">
        <v>0</v>
      </c>
      <c r="AV593" s="8">
        <v>0</v>
      </c>
      <c r="AX593" s="8">
        <v>0</v>
      </c>
      <c r="AZ593" s="8">
        <f t="shared" si="52"/>
        <v>12173181</v>
      </c>
      <c r="BB593" s="8">
        <v>0</v>
      </c>
      <c r="BH593" s="8">
        <v>0</v>
      </c>
      <c r="BJ593" s="8">
        <f t="shared" si="53"/>
        <v>12173181</v>
      </c>
      <c r="BL593" s="8">
        <f>+GenRev!AM596-GenExp!BJ593</f>
        <v>913379</v>
      </c>
      <c r="BN593" s="8">
        <v>5238497</v>
      </c>
      <c r="BP593" s="8">
        <v>0</v>
      </c>
      <c r="BS593" s="8">
        <f t="shared" si="54"/>
        <v>6151876</v>
      </c>
      <c r="BU593" s="9">
        <f>+BS593-'Gen Fd BS'!AA596+BQ593</f>
        <v>0</v>
      </c>
    </row>
    <row r="594" spans="1:73">
      <c r="A594" s="13" t="s">
        <v>286</v>
      </c>
      <c r="B594" s="13"/>
      <c r="C594" s="13" t="s">
        <v>114</v>
      </c>
      <c r="D594" s="13"/>
      <c r="E594" s="32">
        <v>45039</v>
      </c>
      <c r="G594" s="8">
        <v>3654796</v>
      </c>
      <c r="I594" s="8">
        <v>767880</v>
      </c>
      <c r="K594" s="8">
        <v>126771</v>
      </c>
      <c r="M594" s="8">
        <v>55570</v>
      </c>
      <c r="O594" s="8">
        <v>268591</v>
      </c>
      <c r="Q594" s="8">
        <v>161695</v>
      </c>
      <c r="S594" s="8">
        <v>12793</v>
      </c>
      <c r="U594" s="8">
        <v>778680</v>
      </c>
      <c r="W594" s="8">
        <v>231365</v>
      </c>
      <c r="Y594" s="8">
        <v>0</v>
      </c>
      <c r="AA594" s="8">
        <v>894409</v>
      </c>
      <c r="AC594" s="8">
        <v>133399</v>
      </c>
      <c r="AE594" s="8">
        <v>0</v>
      </c>
      <c r="AG594" s="8">
        <v>0</v>
      </c>
      <c r="AI594" s="8">
        <v>0</v>
      </c>
      <c r="AJ594" s="13" t="s">
        <v>286</v>
      </c>
      <c r="AK594" s="13"/>
      <c r="AL594" s="13" t="s">
        <v>114</v>
      </c>
      <c r="AN594" s="8">
        <v>179919</v>
      </c>
      <c r="AP594" s="8">
        <v>0</v>
      </c>
      <c r="AT594" s="8">
        <v>19137</v>
      </c>
      <c r="AV594" s="8">
        <v>1983</v>
      </c>
      <c r="AX594" s="8">
        <v>0</v>
      </c>
      <c r="AZ594" s="8">
        <f t="shared" si="52"/>
        <v>7286988</v>
      </c>
      <c r="BB594" s="8">
        <v>0</v>
      </c>
      <c r="BH594" s="8">
        <v>0</v>
      </c>
      <c r="BJ594" s="8">
        <f t="shared" si="53"/>
        <v>7286988</v>
      </c>
      <c r="BL594" s="8">
        <f>+GenRev!AM597-GenExp!BJ594</f>
        <v>235553</v>
      </c>
      <c r="BN594" s="8">
        <v>1541087</v>
      </c>
      <c r="BP594" s="8">
        <v>0</v>
      </c>
      <c r="BS594" s="8">
        <f t="shared" si="54"/>
        <v>1776640</v>
      </c>
      <c r="BU594" s="9">
        <f>+BS594-'Gen Fd BS'!AA597+BQ594</f>
        <v>0</v>
      </c>
    </row>
    <row r="595" spans="1:73">
      <c r="A595" s="13" t="s">
        <v>518</v>
      </c>
      <c r="B595" s="13"/>
      <c r="C595" s="13" t="s">
        <v>45</v>
      </c>
      <c r="D595" s="13"/>
      <c r="E595" s="32">
        <v>48389</v>
      </c>
      <c r="G595" s="8">
        <v>8466260</v>
      </c>
      <c r="I595" s="8">
        <v>1672999</v>
      </c>
      <c r="K595" s="8">
        <v>407698</v>
      </c>
      <c r="M595" s="8">
        <v>66842</v>
      </c>
      <c r="O595" s="8">
        <v>810594</v>
      </c>
      <c r="Q595" s="8">
        <v>841831</v>
      </c>
      <c r="S595" s="8">
        <v>36734</v>
      </c>
      <c r="U595" s="8">
        <v>1501179</v>
      </c>
      <c r="W595" s="8">
        <v>435384</v>
      </c>
      <c r="Y595" s="8">
        <v>0</v>
      </c>
      <c r="AA595" s="8">
        <v>2082859</v>
      </c>
      <c r="AC595" s="8">
        <v>1396112</v>
      </c>
      <c r="AE595" s="8">
        <v>244862</v>
      </c>
      <c r="AG595" s="8">
        <v>0</v>
      </c>
      <c r="AI595" s="8">
        <v>39773</v>
      </c>
      <c r="AJ595" s="13" t="s">
        <v>518</v>
      </c>
      <c r="AK595" s="13"/>
      <c r="AL595" s="13" t="s">
        <v>45</v>
      </c>
      <c r="AN595" s="8">
        <v>367869</v>
      </c>
      <c r="AP595" s="8">
        <v>0</v>
      </c>
      <c r="AT595" s="8">
        <v>0</v>
      </c>
      <c r="AV595" s="8">
        <v>0</v>
      </c>
      <c r="AX595" s="8">
        <v>0</v>
      </c>
      <c r="AZ595" s="8">
        <f t="shared" si="52"/>
        <v>18370996</v>
      </c>
      <c r="BB595" s="8">
        <v>30600</v>
      </c>
      <c r="BH595" s="8">
        <v>0</v>
      </c>
      <c r="BJ595" s="8">
        <f t="shared" si="53"/>
        <v>18401596</v>
      </c>
      <c r="BL595" s="8">
        <f>+GenRev!AM598-GenExp!BJ595</f>
        <v>475239</v>
      </c>
      <c r="BN595" s="8">
        <v>1163582</v>
      </c>
      <c r="BP595" s="8">
        <v>0</v>
      </c>
      <c r="BS595" s="8">
        <f t="shared" si="54"/>
        <v>1638821</v>
      </c>
      <c r="BU595" s="9">
        <f>+BS595-'Gen Fd BS'!AA598+BQ595</f>
        <v>0</v>
      </c>
    </row>
    <row r="596" spans="1:73">
      <c r="A596" s="12" t="s">
        <v>1042</v>
      </c>
      <c r="B596" s="12"/>
      <c r="C596" s="12" t="s">
        <v>50</v>
      </c>
      <c r="D596" s="13"/>
      <c r="E596" s="32"/>
      <c r="G596" s="8">
        <v>14594981</v>
      </c>
      <c r="I596" s="8">
        <v>3113198</v>
      </c>
      <c r="K596" s="8">
        <v>211866</v>
      </c>
      <c r="M596" s="8">
        <v>1714373</v>
      </c>
      <c r="O596" s="8">
        <v>2161332</v>
      </c>
      <c r="Q596" s="8">
        <v>1880939</v>
      </c>
      <c r="S596" s="8">
        <v>30241</v>
      </c>
      <c r="U596" s="8">
        <v>2695837</v>
      </c>
      <c r="W596" s="8">
        <v>705058</v>
      </c>
      <c r="Y596" s="8">
        <v>472382</v>
      </c>
      <c r="AA596" s="8">
        <v>3303354</v>
      </c>
      <c r="AC596" s="8">
        <v>2097679</v>
      </c>
      <c r="AE596" s="8">
        <v>177077</v>
      </c>
      <c r="AG596" s="8">
        <v>0</v>
      </c>
      <c r="AI596" s="8">
        <v>88183</v>
      </c>
      <c r="AJ596" s="12" t="s">
        <v>1042</v>
      </c>
      <c r="AK596" s="12"/>
      <c r="AL596" s="12" t="s">
        <v>50</v>
      </c>
      <c r="AN596" s="8">
        <v>487462</v>
      </c>
      <c r="AP596" s="8">
        <v>0</v>
      </c>
      <c r="AT596" s="8">
        <v>259974</v>
      </c>
      <c r="AV596" s="8">
        <v>62960</v>
      </c>
      <c r="AX596" s="8">
        <v>0</v>
      </c>
      <c r="AZ596" s="8">
        <f t="shared" si="52"/>
        <v>34056896</v>
      </c>
      <c r="BB596" s="8">
        <v>0</v>
      </c>
      <c r="BH596" s="8">
        <v>0</v>
      </c>
      <c r="BJ596" s="8">
        <f t="shared" si="53"/>
        <v>34056896</v>
      </c>
      <c r="BL596" s="8">
        <f>+GenRev!AM599-GenExp!BJ596</f>
        <v>2782918</v>
      </c>
      <c r="BN596" s="8">
        <v>9594705</v>
      </c>
      <c r="BP596" s="8">
        <v>0</v>
      </c>
      <c r="BS596" s="8">
        <f t="shared" si="54"/>
        <v>12377623</v>
      </c>
      <c r="BU596" s="9">
        <f>+BS596-'Gen Fd BS'!AA599+BQ596</f>
        <v>0</v>
      </c>
    </row>
    <row r="597" spans="1:73">
      <c r="A597" s="13" t="s">
        <v>272</v>
      </c>
      <c r="B597" s="13"/>
      <c r="C597" s="13" t="s">
        <v>115</v>
      </c>
      <c r="D597" s="13"/>
      <c r="E597" s="32">
        <v>46359</v>
      </c>
      <c r="G597" s="8">
        <v>34165301</v>
      </c>
      <c r="I597" s="8">
        <v>9779751</v>
      </c>
      <c r="K597" s="8">
        <v>134191</v>
      </c>
      <c r="M597" s="8">
        <v>0</v>
      </c>
      <c r="O597" s="8">
        <v>5107953</v>
      </c>
      <c r="Q597" s="8">
        <v>1567030</v>
      </c>
      <c r="S597" s="8">
        <v>51703</v>
      </c>
      <c r="U597" s="8">
        <v>5417540</v>
      </c>
      <c r="W597" s="8">
        <v>1507597</v>
      </c>
      <c r="Y597" s="8">
        <v>50051</v>
      </c>
      <c r="AA597" s="8">
        <v>4923468</v>
      </c>
      <c r="AC597" s="8">
        <v>6880574</v>
      </c>
      <c r="AE597" s="8">
        <v>814964</v>
      </c>
      <c r="AG597" s="8">
        <v>0</v>
      </c>
      <c r="AI597" s="8">
        <v>0</v>
      </c>
      <c r="AJ597" s="13" t="s">
        <v>272</v>
      </c>
      <c r="AK597" s="13"/>
      <c r="AL597" s="13" t="s">
        <v>115</v>
      </c>
      <c r="AN597" s="8">
        <v>995892</v>
      </c>
      <c r="AP597" s="8">
        <v>0</v>
      </c>
      <c r="AT597" s="8">
        <v>0</v>
      </c>
      <c r="AV597" s="8">
        <v>0</v>
      </c>
      <c r="AX597" s="8">
        <v>0</v>
      </c>
      <c r="AZ597" s="8">
        <f t="shared" ref="AZ597:AZ631" si="55">SUM(G597:AX597)</f>
        <v>71396015</v>
      </c>
      <c r="BB597" s="8">
        <v>0</v>
      </c>
      <c r="BH597" s="8">
        <v>0</v>
      </c>
      <c r="BJ597" s="8">
        <f t="shared" si="53"/>
        <v>71396015</v>
      </c>
      <c r="BL597" s="8">
        <f>+GenRev!AM600-GenExp!BJ597</f>
        <v>-2901358</v>
      </c>
      <c r="BN597" s="8">
        <v>435072</v>
      </c>
      <c r="BP597" s="8">
        <v>0</v>
      </c>
      <c r="BS597" s="8">
        <f t="shared" si="54"/>
        <v>-2466286</v>
      </c>
      <c r="BU597" s="9">
        <f>+BS597-'Gen Fd BS'!AA600+BQ597</f>
        <v>0</v>
      </c>
    </row>
    <row r="598" spans="1:73">
      <c r="A598" s="13" t="s">
        <v>383</v>
      </c>
      <c r="B598" s="13"/>
      <c r="C598" s="13" t="s">
        <v>30</v>
      </c>
      <c r="D598" s="13"/>
      <c r="E598" s="32">
        <v>47225</v>
      </c>
      <c r="G598" s="8">
        <v>9944364</v>
      </c>
      <c r="I598" s="8">
        <v>2990880</v>
      </c>
      <c r="K598" s="8">
        <v>214889</v>
      </c>
      <c r="M598" s="8">
        <v>425149</v>
      </c>
      <c r="O598" s="8">
        <v>1834598</v>
      </c>
      <c r="Q598" s="8">
        <v>732364</v>
      </c>
      <c r="S598" s="8">
        <v>58378</v>
      </c>
      <c r="U598" s="8">
        <v>1773180</v>
      </c>
      <c r="W598" s="8">
        <v>542481</v>
      </c>
      <c r="Y598" s="8">
        <v>327419</v>
      </c>
      <c r="AA598" s="8">
        <v>2382179</v>
      </c>
      <c r="AC598" s="8">
        <v>1772500</v>
      </c>
      <c r="AE598" s="8">
        <v>65600</v>
      </c>
      <c r="AG598" s="8">
        <v>0</v>
      </c>
      <c r="AI598" s="8">
        <v>100</v>
      </c>
      <c r="AJ598" s="13" t="s">
        <v>383</v>
      </c>
      <c r="AK598" s="13"/>
      <c r="AL598" s="13" t="s">
        <v>30</v>
      </c>
      <c r="AN598" s="8">
        <v>505579</v>
      </c>
      <c r="AP598" s="8">
        <v>415371</v>
      </c>
      <c r="AT598" s="8">
        <v>0</v>
      </c>
      <c r="AV598" s="8">
        <v>0</v>
      </c>
      <c r="AX598" s="8">
        <v>0</v>
      </c>
      <c r="AZ598" s="8">
        <f t="shared" si="55"/>
        <v>23985031</v>
      </c>
      <c r="BB598" s="8">
        <v>170569</v>
      </c>
      <c r="BH598" s="8">
        <v>0</v>
      </c>
      <c r="BJ598" s="8">
        <f t="shared" si="53"/>
        <v>24155600</v>
      </c>
      <c r="BL598" s="8">
        <f>+GenRev!AM601-GenExp!BJ598</f>
        <v>50816</v>
      </c>
      <c r="BN598" s="8">
        <v>4783282</v>
      </c>
      <c r="BP598" s="8">
        <v>0</v>
      </c>
      <c r="BS598" s="8">
        <f t="shared" si="54"/>
        <v>4834098</v>
      </c>
      <c r="BU598" s="9">
        <f>+BS598-'Gen Fd BS'!AA601+BQ598</f>
        <v>0</v>
      </c>
    </row>
    <row r="599" spans="1:73">
      <c r="A599" s="13" t="s">
        <v>442</v>
      </c>
      <c r="B599" s="13"/>
      <c r="C599" s="13" t="s">
        <v>36</v>
      </c>
      <c r="D599" s="13"/>
      <c r="E599" s="32">
        <v>47696</v>
      </c>
      <c r="F599" s="11"/>
      <c r="G599" s="8">
        <v>10436181</v>
      </c>
      <c r="I599" s="8">
        <v>2222768</v>
      </c>
      <c r="K599" s="8">
        <v>293321</v>
      </c>
      <c r="M599" s="8">
        <v>0</v>
      </c>
      <c r="O599" s="8">
        <v>742993</v>
      </c>
      <c r="Q599" s="8">
        <v>470165</v>
      </c>
      <c r="S599" s="8">
        <v>61315</v>
      </c>
      <c r="U599" s="8">
        <v>1620344</v>
      </c>
      <c r="W599" s="8">
        <v>471514</v>
      </c>
      <c r="Y599" s="8">
        <v>1440</v>
      </c>
      <c r="AA599" s="8">
        <v>2030175</v>
      </c>
      <c r="AC599" s="8">
        <v>1566903</v>
      </c>
      <c r="AE599" s="8">
        <v>68260</v>
      </c>
      <c r="AG599" s="8">
        <v>3991</v>
      </c>
      <c r="AI599" s="8">
        <v>43937</v>
      </c>
      <c r="AJ599" s="13" t="s">
        <v>442</v>
      </c>
      <c r="AK599" s="13"/>
      <c r="AL599" s="13" t="s">
        <v>36</v>
      </c>
      <c r="AN599" s="8">
        <v>230275</v>
      </c>
      <c r="AP599" s="8">
        <v>0</v>
      </c>
      <c r="AT599" s="8">
        <v>48523</v>
      </c>
      <c r="AV599" s="8">
        <v>1800</v>
      </c>
      <c r="AX599" s="8">
        <v>0</v>
      </c>
      <c r="AZ599" s="8">
        <f t="shared" si="55"/>
        <v>20313905</v>
      </c>
      <c r="BB599" s="8">
        <v>0</v>
      </c>
      <c r="BH599" s="8">
        <v>0</v>
      </c>
      <c r="BJ599" s="8">
        <f t="shared" si="53"/>
        <v>20313905</v>
      </c>
      <c r="BL599" s="8">
        <f>+GenRev!AM602-GenExp!BJ599</f>
        <v>904007</v>
      </c>
      <c r="BN599" s="8">
        <v>6429476</v>
      </c>
      <c r="BP599" s="8">
        <v>0</v>
      </c>
      <c r="BS599" s="8">
        <f t="shared" si="54"/>
        <v>7333483</v>
      </c>
      <c r="BU599" s="9">
        <f>+BS599-'Gen Fd BS'!AA602+BQ599</f>
        <v>0</v>
      </c>
    </row>
    <row r="600" spans="1:73">
      <c r="A600" s="13" t="s">
        <v>259</v>
      </c>
      <c r="B600" s="13"/>
      <c r="C600" s="13" t="s">
        <v>255</v>
      </c>
      <c r="D600" s="13"/>
      <c r="E600" s="32">
        <v>46219</v>
      </c>
      <c r="G600" s="8">
        <v>4559775</v>
      </c>
      <c r="I600" s="8">
        <v>1580386</v>
      </c>
      <c r="K600" s="8">
        <v>204774</v>
      </c>
      <c r="M600" s="8">
        <v>422465</v>
      </c>
      <c r="O600" s="8">
        <v>297082</v>
      </c>
      <c r="Q600" s="8">
        <v>610702</v>
      </c>
      <c r="S600" s="8">
        <v>47296</v>
      </c>
      <c r="U600" s="8">
        <v>757835</v>
      </c>
      <c r="W600" s="8">
        <v>385921</v>
      </c>
      <c r="Y600" s="8">
        <v>0</v>
      </c>
      <c r="AA600" s="8">
        <v>961448</v>
      </c>
      <c r="AC600" s="8">
        <v>784720</v>
      </c>
      <c r="AE600" s="8">
        <v>291160</v>
      </c>
      <c r="AG600" s="8">
        <v>0</v>
      </c>
      <c r="AI600" s="8">
        <v>0</v>
      </c>
      <c r="AJ600" s="13" t="s">
        <v>259</v>
      </c>
      <c r="AK600" s="13"/>
      <c r="AL600" s="13" t="s">
        <v>255</v>
      </c>
      <c r="AN600" s="8">
        <v>279226</v>
      </c>
      <c r="AP600" s="8">
        <v>0</v>
      </c>
      <c r="AT600" s="8">
        <v>71336</v>
      </c>
      <c r="AV600" s="8">
        <v>13228</v>
      </c>
      <c r="AX600" s="8">
        <v>0</v>
      </c>
      <c r="AZ600" s="8">
        <f t="shared" si="55"/>
        <v>11267354</v>
      </c>
      <c r="BB600" s="8">
        <v>16000</v>
      </c>
      <c r="BH600" s="8">
        <v>0</v>
      </c>
      <c r="BJ600" s="8">
        <f t="shared" si="53"/>
        <v>11283354</v>
      </c>
      <c r="BL600" s="8">
        <f>+GenRev!AM603-GenExp!BJ600</f>
        <v>235815</v>
      </c>
      <c r="BN600" s="8">
        <v>2188355</v>
      </c>
      <c r="BP600" s="8">
        <v>0</v>
      </c>
      <c r="BS600" s="8">
        <f t="shared" si="54"/>
        <v>2424170</v>
      </c>
      <c r="BU600" s="9">
        <f>+BS600-'Gen Fd BS'!AA603+BQ600</f>
        <v>0</v>
      </c>
    </row>
    <row r="601" spans="1:73">
      <c r="A601" s="13" t="s">
        <v>567</v>
      </c>
      <c r="B601" s="13"/>
      <c r="C601" s="13" t="s">
        <v>51</v>
      </c>
      <c r="D601" s="13"/>
      <c r="E601" s="32">
        <v>48884</v>
      </c>
      <c r="F601" s="11"/>
      <c r="G601" s="8">
        <v>6712575</v>
      </c>
      <c r="I601" s="8">
        <v>1523388</v>
      </c>
      <c r="K601" s="8">
        <v>253287</v>
      </c>
      <c r="M601" s="8">
        <v>126618</v>
      </c>
      <c r="O601" s="8">
        <v>304420</v>
      </c>
      <c r="Q601" s="8">
        <v>409578</v>
      </c>
      <c r="S601" s="8">
        <v>15575</v>
      </c>
      <c r="U601" s="8">
        <v>1251428</v>
      </c>
      <c r="W601" s="8">
        <v>399358</v>
      </c>
      <c r="Y601" s="8">
        <v>0</v>
      </c>
      <c r="AA601" s="8">
        <v>1542656</v>
      </c>
      <c r="AC601" s="8">
        <v>901035</v>
      </c>
      <c r="AE601" s="8">
        <v>60883</v>
      </c>
      <c r="AG601" s="8">
        <v>0</v>
      </c>
      <c r="AI601" s="8">
        <v>10554</v>
      </c>
      <c r="AJ601" s="13" t="s">
        <v>567</v>
      </c>
      <c r="AK601" s="13"/>
      <c r="AL601" s="13" t="s">
        <v>51</v>
      </c>
      <c r="AN601" s="8">
        <v>14346</v>
      </c>
      <c r="AP601" s="8">
        <v>116661</v>
      </c>
      <c r="AT601" s="8">
        <v>75507</v>
      </c>
      <c r="AV601" s="8">
        <v>81502</v>
      </c>
      <c r="AX601" s="8">
        <v>0</v>
      </c>
      <c r="AZ601" s="8">
        <f t="shared" si="55"/>
        <v>13799371</v>
      </c>
      <c r="BB601" s="8">
        <v>570000</v>
      </c>
      <c r="BH601" s="8">
        <v>0</v>
      </c>
      <c r="BJ601" s="8">
        <f t="shared" si="53"/>
        <v>14369371</v>
      </c>
      <c r="BL601" s="8">
        <f>+GenRev!AM604-GenExp!BJ601</f>
        <v>-467250</v>
      </c>
      <c r="BN601" s="8">
        <v>-58324</v>
      </c>
      <c r="BP601" s="8">
        <v>0</v>
      </c>
      <c r="BS601" s="8">
        <f t="shared" si="54"/>
        <v>-525574</v>
      </c>
      <c r="BU601" s="9">
        <f>+BS601-'Gen Fd BS'!AA607+BQ601</f>
        <v>0</v>
      </c>
    </row>
    <row r="602" spans="1:73">
      <c r="A602" s="13" t="s">
        <v>240</v>
      </c>
      <c r="B602" s="13"/>
      <c r="C602" s="13" t="s">
        <v>77</v>
      </c>
      <c r="D602" s="13"/>
      <c r="E602" s="32">
        <v>46060</v>
      </c>
      <c r="G602" s="8">
        <v>13566894</v>
      </c>
      <c r="I602" s="8">
        <v>2683056</v>
      </c>
      <c r="K602" s="8">
        <v>292940</v>
      </c>
      <c r="M602" s="8">
        <v>73420</v>
      </c>
      <c r="O602" s="8">
        <v>726907</v>
      </c>
      <c r="Q602" s="8">
        <v>877003</v>
      </c>
      <c r="S602" s="8">
        <v>20524</v>
      </c>
      <c r="U602" s="8">
        <v>1753204</v>
      </c>
      <c r="W602" s="8">
        <v>523070</v>
      </c>
      <c r="Y602" s="8">
        <v>0</v>
      </c>
      <c r="AA602" s="8">
        <v>2977144</v>
      </c>
      <c r="AC602" s="8">
        <v>2055205</v>
      </c>
      <c r="AE602" s="8">
        <v>261575</v>
      </c>
      <c r="AG602" s="8">
        <v>0</v>
      </c>
      <c r="AI602" s="8">
        <v>10037</v>
      </c>
      <c r="AJ602" s="13" t="s">
        <v>240</v>
      </c>
      <c r="AK602" s="13"/>
      <c r="AL602" s="13" t="s">
        <v>77</v>
      </c>
      <c r="AN602" s="8">
        <v>450373</v>
      </c>
      <c r="AP602" s="8">
        <v>116431</v>
      </c>
      <c r="AT602" s="8">
        <v>33000</v>
      </c>
      <c r="AV602" s="8">
        <v>11536</v>
      </c>
      <c r="AX602" s="8">
        <v>0</v>
      </c>
      <c r="AZ602" s="8">
        <f t="shared" si="55"/>
        <v>26432319</v>
      </c>
      <c r="BB602" s="8">
        <v>0</v>
      </c>
      <c r="BH602" s="8">
        <v>0</v>
      </c>
      <c r="BJ602" s="8">
        <f t="shared" si="53"/>
        <v>26432319</v>
      </c>
      <c r="BL602" s="8">
        <f>+GenRev!AM605-GenExp!BJ602</f>
        <v>-352061</v>
      </c>
      <c r="BN602" s="8">
        <v>967640</v>
      </c>
      <c r="BP602" s="8">
        <v>0</v>
      </c>
      <c r="BS602" s="8">
        <f t="shared" si="54"/>
        <v>615579</v>
      </c>
      <c r="BU602" s="9">
        <f>+BS602-'Gen Fd BS'!AA608+BQ602</f>
        <v>0</v>
      </c>
    </row>
    <row r="603" spans="1:73">
      <c r="A603" s="13" t="s">
        <v>587</v>
      </c>
      <c r="B603" s="13"/>
      <c r="C603" s="13" t="s">
        <v>55</v>
      </c>
      <c r="D603" s="13"/>
      <c r="E603" s="32">
        <v>49155</v>
      </c>
      <c r="G603" s="8">
        <v>2596252</v>
      </c>
      <c r="I603" s="8">
        <v>855403</v>
      </c>
      <c r="K603" s="8">
        <v>0</v>
      </c>
      <c r="M603" s="8">
        <v>488833</v>
      </c>
      <c r="O603" s="8">
        <v>254745</v>
      </c>
      <c r="Q603" s="8">
        <v>199534</v>
      </c>
      <c r="S603" s="8">
        <v>17931</v>
      </c>
      <c r="U603" s="8">
        <v>593901</v>
      </c>
      <c r="W603" s="8">
        <v>271339</v>
      </c>
      <c r="Y603" s="8">
        <v>0</v>
      </c>
      <c r="AA603" s="8">
        <v>860689</v>
      </c>
      <c r="AC603" s="8">
        <v>655868</v>
      </c>
      <c r="AE603" s="8">
        <v>2720</v>
      </c>
      <c r="AG603" s="8">
        <v>0</v>
      </c>
      <c r="AI603" s="8">
        <v>3099</v>
      </c>
      <c r="AJ603" s="13" t="s">
        <v>587</v>
      </c>
      <c r="AK603" s="13"/>
      <c r="AL603" s="13" t="s">
        <v>55</v>
      </c>
      <c r="AN603" s="8">
        <v>131655</v>
      </c>
      <c r="AP603" s="8">
        <v>27309</v>
      </c>
      <c r="AT603" s="8">
        <v>0</v>
      </c>
      <c r="AV603" s="8">
        <v>0</v>
      </c>
      <c r="AX603" s="8">
        <v>0</v>
      </c>
      <c r="AZ603" s="8">
        <f t="shared" si="55"/>
        <v>6959278</v>
      </c>
      <c r="BB603" s="8">
        <v>225000</v>
      </c>
      <c r="BH603" s="8">
        <v>0</v>
      </c>
      <c r="BJ603" s="8">
        <f t="shared" si="53"/>
        <v>7184278</v>
      </c>
      <c r="BL603" s="8">
        <f>+GenRev!AM606-GenExp!BJ603</f>
        <v>-624385</v>
      </c>
      <c r="BN603" s="8">
        <v>4843480</v>
      </c>
      <c r="BP603" s="8">
        <v>0</v>
      </c>
      <c r="BS603" s="8">
        <f t="shared" si="54"/>
        <v>4219095</v>
      </c>
      <c r="BU603" s="9">
        <f>+BS603-'Gen Fd BS'!AA609+BQ603</f>
        <v>0</v>
      </c>
    </row>
    <row r="604" spans="1:73">
      <c r="A604" s="13" t="s">
        <v>447</v>
      </c>
      <c r="B604" s="13"/>
      <c r="C604" s="13" t="s">
        <v>37</v>
      </c>
      <c r="D604" s="13"/>
      <c r="E604" s="32">
        <v>47746</v>
      </c>
      <c r="G604" s="8">
        <v>4861556</v>
      </c>
      <c r="I604" s="8">
        <v>1292605</v>
      </c>
      <c r="K604" s="8">
        <v>141832</v>
      </c>
      <c r="M604" s="8">
        <v>286138</v>
      </c>
      <c r="O604" s="8">
        <v>186644</v>
      </c>
      <c r="Q604" s="8">
        <v>571175</v>
      </c>
      <c r="S604" s="8">
        <v>83606</v>
      </c>
      <c r="U604" s="8">
        <v>785324</v>
      </c>
      <c r="W604" s="8">
        <v>431554</v>
      </c>
      <c r="Y604" s="8">
        <v>0</v>
      </c>
      <c r="AA604" s="8">
        <v>955199</v>
      </c>
      <c r="AC604" s="8">
        <v>651538</v>
      </c>
      <c r="AE604" s="8">
        <v>45728</v>
      </c>
      <c r="AG604" s="8">
        <v>0</v>
      </c>
      <c r="AI604" s="8">
        <v>186140</v>
      </c>
      <c r="AJ604" s="13" t="s">
        <v>447</v>
      </c>
      <c r="AK604" s="13"/>
      <c r="AL604" s="13" t="s">
        <v>37</v>
      </c>
      <c r="AN604" s="8">
        <v>255149</v>
      </c>
      <c r="AP604" s="8">
        <v>695</v>
      </c>
      <c r="AT604" s="8">
        <v>25522</v>
      </c>
      <c r="AV604" s="8">
        <v>6470</v>
      </c>
      <c r="AX604" s="8">
        <v>0</v>
      </c>
      <c r="AZ604" s="8">
        <f t="shared" si="55"/>
        <v>10766875</v>
      </c>
      <c r="BB604" s="8">
        <v>0</v>
      </c>
      <c r="BH604" s="8">
        <v>0</v>
      </c>
      <c r="BJ604" s="8">
        <f t="shared" si="53"/>
        <v>10766875</v>
      </c>
      <c r="BL604" s="8">
        <f>+GenRev!AM607-GenExp!BJ604</f>
        <v>501284</v>
      </c>
      <c r="BN604" s="8">
        <v>424898</v>
      </c>
      <c r="BP604" s="8">
        <v>0</v>
      </c>
      <c r="BS604" s="8">
        <f t="shared" si="54"/>
        <v>926182</v>
      </c>
      <c r="BU604" s="9">
        <f>+BS604-'Gen Fd BS'!AA610+BQ604</f>
        <v>0</v>
      </c>
    </row>
    <row r="605" spans="1:73">
      <c r="A605" s="13" t="s">
        <v>447</v>
      </c>
      <c r="B605" s="13"/>
      <c r="C605" s="13" t="s">
        <v>45</v>
      </c>
      <c r="D605" s="13"/>
      <c r="E605" s="32">
        <v>48397</v>
      </c>
      <c r="G605" s="8">
        <v>2714141</v>
      </c>
      <c r="I605" s="8">
        <v>604281</v>
      </c>
      <c r="K605" s="8">
        <v>112928</v>
      </c>
      <c r="M605" s="8">
        <v>0</v>
      </c>
      <c r="O605" s="8">
        <v>310471</v>
      </c>
      <c r="Q605" s="8">
        <v>313009</v>
      </c>
      <c r="S605" s="8">
        <v>20959</v>
      </c>
      <c r="U605" s="8">
        <v>580319</v>
      </c>
      <c r="W605" s="8">
        <v>238384</v>
      </c>
      <c r="Y605" s="8">
        <v>0</v>
      </c>
      <c r="AA605" s="8">
        <v>447114</v>
      </c>
      <c r="AC605" s="8">
        <v>382687</v>
      </c>
      <c r="AE605" s="8">
        <v>24379</v>
      </c>
      <c r="AG605" s="8">
        <v>0</v>
      </c>
      <c r="AI605" s="8">
        <v>0</v>
      </c>
      <c r="AJ605" s="13" t="s">
        <v>447</v>
      </c>
      <c r="AK605" s="13"/>
      <c r="AL605" s="13" t="s">
        <v>45</v>
      </c>
      <c r="AN605" s="8">
        <v>234719</v>
      </c>
      <c r="AP605" s="8">
        <v>1594</v>
      </c>
      <c r="AT605" s="8">
        <v>0</v>
      </c>
      <c r="AV605" s="8">
        <v>0</v>
      </c>
      <c r="AX605" s="8">
        <v>0</v>
      </c>
      <c r="AZ605" s="8">
        <f t="shared" si="55"/>
        <v>5984985</v>
      </c>
      <c r="BB605" s="8">
        <v>27919</v>
      </c>
      <c r="BH605" s="8">
        <v>0</v>
      </c>
      <c r="BJ605" s="8">
        <f t="shared" si="53"/>
        <v>6012904</v>
      </c>
      <c r="BL605" s="8">
        <f>+GenRev!AM608-GenExp!BJ605</f>
        <v>331819</v>
      </c>
      <c r="BN605" s="8">
        <v>1160524</v>
      </c>
      <c r="BP605" s="8">
        <v>0</v>
      </c>
      <c r="BS605" s="8">
        <f t="shared" si="54"/>
        <v>1492343</v>
      </c>
      <c r="BU605" s="9">
        <f>+BS605-'Gen Fd BS'!AA611+BQ605</f>
        <v>0</v>
      </c>
    </row>
    <row r="606" spans="1:73">
      <c r="A606" s="13" t="s">
        <v>365</v>
      </c>
      <c r="B606" s="13"/>
      <c r="C606" s="13" t="s">
        <v>27</v>
      </c>
      <c r="D606" s="13"/>
      <c r="E606" s="32">
        <v>45047</v>
      </c>
      <c r="G606" s="8">
        <v>60387404</v>
      </c>
      <c r="I606" s="8">
        <v>18720302</v>
      </c>
      <c r="K606" s="8">
        <v>484151</v>
      </c>
      <c r="M606" s="8">
        <v>3744750</v>
      </c>
      <c r="O606" s="8">
        <v>10055003</v>
      </c>
      <c r="Q606" s="8">
        <v>4671160</v>
      </c>
      <c r="S606" s="8">
        <v>1455878</v>
      </c>
      <c r="U606" s="8">
        <v>9843640</v>
      </c>
      <c r="W606" s="8">
        <v>1510018</v>
      </c>
      <c r="Y606" s="8">
        <v>943391</v>
      </c>
      <c r="AA606" s="8">
        <v>11998409</v>
      </c>
      <c r="AC606" s="8">
        <v>7359442</v>
      </c>
      <c r="AE606" s="8">
        <v>2371276</v>
      </c>
      <c r="AG606" s="8">
        <v>0</v>
      </c>
      <c r="AI606" s="8">
        <v>209801</v>
      </c>
      <c r="AJ606" s="13" t="s">
        <v>365</v>
      </c>
      <c r="AK606" s="13"/>
      <c r="AL606" s="13" t="s">
        <v>27</v>
      </c>
      <c r="AN606" s="8">
        <v>1950648</v>
      </c>
      <c r="AP606" s="8">
        <v>0</v>
      </c>
      <c r="AT606" s="8">
        <v>0</v>
      </c>
      <c r="AV606" s="8">
        <v>0</v>
      </c>
      <c r="AX606" s="8">
        <v>0</v>
      </c>
      <c r="AZ606" s="8">
        <f t="shared" si="55"/>
        <v>135705273</v>
      </c>
      <c r="BB606" s="8">
        <v>0</v>
      </c>
      <c r="BH606" s="8">
        <v>0</v>
      </c>
      <c r="BJ606" s="8">
        <f t="shared" si="53"/>
        <v>135705273</v>
      </c>
      <c r="BL606" s="8">
        <f>+GenRev!AM609-GenExp!BJ606</f>
        <v>-4492778</v>
      </c>
      <c r="BN606" s="8">
        <v>15154612</v>
      </c>
      <c r="BP606" s="8">
        <v>0</v>
      </c>
      <c r="BS606" s="8">
        <f t="shared" si="54"/>
        <v>10661834</v>
      </c>
      <c r="BU606" s="9">
        <f>+BS606-'Gen Fd BS'!AA612+BQ606</f>
        <v>0</v>
      </c>
    </row>
    <row r="607" spans="1:73">
      <c r="A607" s="13" t="s">
        <v>584</v>
      </c>
      <c r="B607" s="13"/>
      <c r="C607" s="13" t="s">
        <v>54</v>
      </c>
      <c r="D607" s="13"/>
      <c r="E607" s="32">
        <v>49106</v>
      </c>
      <c r="G607" s="8">
        <v>6566023</v>
      </c>
      <c r="I607" s="8">
        <v>937697</v>
      </c>
      <c r="K607" s="8">
        <v>32518</v>
      </c>
      <c r="M607" s="8">
        <v>0</v>
      </c>
      <c r="O607" s="8">
        <v>339057</v>
      </c>
      <c r="Q607" s="8">
        <v>974349</v>
      </c>
      <c r="S607" s="8">
        <v>221474</v>
      </c>
      <c r="U607" s="8">
        <v>1437801</v>
      </c>
      <c r="W607" s="8">
        <v>375946</v>
      </c>
      <c r="Y607" s="8">
        <v>9486</v>
      </c>
      <c r="AA607" s="8">
        <v>889989</v>
      </c>
      <c r="AC607" s="8">
        <v>1037720</v>
      </c>
      <c r="AE607" s="8">
        <v>20037</v>
      </c>
      <c r="AG607" s="8">
        <v>0</v>
      </c>
      <c r="AI607" s="8">
        <v>0</v>
      </c>
      <c r="AJ607" s="13" t="s">
        <v>584</v>
      </c>
      <c r="AK607" s="13"/>
      <c r="AL607" s="13" t="s">
        <v>54</v>
      </c>
      <c r="AN607" s="8">
        <v>230471</v>
      </c>
      <c r="AP607" s="8">
        <v>0</v>
      </c>
      <c r="AT607" s="8">
        <v>52066</v>
      </c>
      <c r="AV607" s="8">
        <v>24926</v>
      </c>
      <c r="AX607" s="8">
        <v>0</v>
      </c>
      <c r="AZ607" s="8">
        <f t="shared" si="55"/>
        <v>13149560</v>
      </c>
      <c r="BB607" s="8">
        <f>56792-14919</f>
        <v>41873</v>
      </c>
      <c r="BH607" s="8">
        <v>0</v>
      </c>
      <c r="BJ607" s="8">
        <f t="shared" si="53"/>
        <v>13191433</v>
      </c>
      <c r="BL607" s="8">
        <f>+GenRev!AM610-GenExp!BJ607</f>
        <v>853630</v>
      </c>
      <c r="BN607" s="8">
        <v>-177104</v>
      </c>
      <c r="BP607" s="8">
        <v>0</v>
      </c>
      <c r="BS607" s="8">
        <f t="shared" si="54"/>
        <v>676526</v>
      </c>
      <c r="BU607" s="9">
        <f>+BS607-'Gen Fd BS'!AA613+BQ607</f>
        <v>0</v>
      </c>
    </row>
    <row r="608" spans="1:73">
      <c r="A608" s="13" t="s">
        <v>325</v>
      </c>
      <c r="B608" s="13"/>
      <c r="C608" s="13" t="s">
        <v>20</v>
      </c>
      <c r="D608" s="13"/>
      <c r="E608" s="32">
        <v>45062</v>
      </c>
      <c r="G608" s="8">
        <v>21061904</v>
      </c>
      <c r="I608" s="8">
        <v>3782119</v>
      </c>
      <c r="K608" s="8">
        <v>433570</v>
      </c>
      <c r="M608" s="8">
        <f>55+1041855</f>
        <v>1041910</v>
      </c>
      <c r="O608" s="8">
        <v>3062547</v>
      </c>
      <c r="Q608" s="8">
        <v>2945875</v>
      </c>
      <c r="S608" s="8">
        <v>33885</v>
      </c>
      <c r="U608" s="8">
        <v>2951924</v>
      </c>
      <c r="W608" s="8">
        <v>1163844</v>
      </c>
      <c r="Y608" s="8">
        <v>452497</v>
      </c>
      <c r="AA608" s="8">
        <v>4482016</v>
      </c>
      <c r="AC608" s="8">
        <v>4247517</v>
      </c>
      <c r="AE608" s="8">
        <v>105681</v>
      </c>
      <c r="AG608" s="8">
        <v>0</v>
      </c>
      <c r="AI608" s="8">
        <v>0</v>
      </c>
      <c r="AJ608" s="13" t="s">
        <v>325</v>
      </c>
      <c r="AK608" s="13"/>
      <c r="AL608" s="13" t="s">
        <v>20</v>
      </c>
      <c r="AN608" s="8">
        <v>833083</v>
      </c>
      <c r="AP608" s="8">
        <f>656758+348014</f>
        <v>1004772</v>
      </c>
      <c r="AT608" s="8">
        <v>11167</v>
      </c>
      <c r="AV608" s="8">
        <v>617</v>
      </c>
      <c r="AX608" s="8">
        <v>0</v>
      </c>
      <c r="AZ608" s="8">
        <f t="shared" si="55"/>
        <v>47614928</v>
      </c>
      <c r="BB608" s="8">
        <v>10000</v>
      </c>
      <c r="BH608" s="8">
        <v>0</v>
      </c>
      <c r="BJ608" s="8">
        <f t="shared" si="53"/>
        <v>47624928</v>
      </c>
      <c r="BL608" s="8">
        <f>+GenRev!AM611-GenExp!BJ608</f>
        <v>4732932</v>
      </c>
      <c r="BN608" s="8">
        <v>14188782</v>
      </c>
      <c r="BP608" s="8">
        <v>0</v>
      </c>
      <c r="BS608" s="8">
        <f t="shared" si="54"/>
        <v>18921714</v>
      </c>
      <c r="BU608" s="9">
        <f>+BS608-'Gen Fd BS'!AA614+BQ608</f>
        <v>0</v>
      </c>
    </row>
    <row r="609" spans="1:73">
      <c r="A609" s="13" t="s">
        <v>634</v>
      </c>
      <c r="B609" s="13"/>
      <c r="C609" s="13" t="s">
        <v>59</v>
      </c>
      <c r="D609" s="13"/>
      <c r="E609" s="32">
        <v>49668</v>
      </c>
      <c r="G609" s="8">
        <v>6071362</v>
      </c>
      <c r="I609" s="8">
        <v>585000</v>
      </c>
      <c r="K609" s="8">
        <v>5377</v>
      </c>
      <c r="M609" s="8">
        <v>0</v>
      </c>
      <c r="O609" s="8">
        <v>444667</v>
      </c>
      <c r="Q609" s="8">
        <v>543208</v>
      </c>
      <c r="S609" s="8">
        <v>131700</v>
      </c>
      <c r="U609" s="8">
        <v>865858</v>
      </c>
      <c r="W609" s="8">
        <v>333557</v>
      </c>
      <c r="Y609" s="8">
        <v>0</v>
      </c>
      <c r="AA609" s="8">
        <v>1147849</v>
      </c>
      <c r="AC609" s="8">
        <v>450761</v>
      </c>
      <c r="AE609" s="8">
        <v>115304</v>
      </c>
      <c r="AG609" s="8">
        <v>0</v>
      </c>
      <c r="AI609" s="8">
        <v>0</v>
      </c>
      <c r="AJ609" s="13" t="s">
        <v>634</v>
      </c>
      <c r="AK609" s="13"/>
      <c r="AL609" s="13" t="s">
        <v>59</v>
      </c>
      <c r="AN609" s="8">
        <v>201236</v>
      </c>
      <c r="AP609" s="8">
        <v>2574</v>
      </c>
      <c r="AT609" s="8">
        <v>47000</v>
      </c>
      <c r="AV609" s="8">
        <v>25572</v>
      </c>
      <c r="AX609" s="8">
        <v>0</v>
      </c>
      <c r="AZ609" s="8">
        <f t="shared" si="55"/>
        <v>10971025</v>
      </c>
      <c r="BB609" s="8">
        <v>276597</v>
      </c>
      <c r="BH609" s="8">
        <v>0</v>
      </c>
      <c r="BJ609" s="8">
        <f t="shared" si="53"/>
        <v>11247622</v>
      </c>
      <c r="BL609" s="8">
        <f>+GenRev!AM612-GenExp!BJ609</f>
        <v>118604</v>
      </c>
      <c r="BN609" s="8">
        <v>1164038</v>
      </c>
      <c r="BP609" s="8">
        <v>0</v>
      </c>
      <c r="BS609" s="8">
        <f t="shared" si="54"/>
        <v>1282642</v>
      </c>
      <c r="BU609" s="9">
        <f>+BS609-'Gen Fd BS'!AA615+BQ609</f>
        <v>0</v>
      </c>
    </row>
    <row r="610" spans="1:73">
      <c r="A610" s="13" t="s">
        <v>366</v>
      </c>
      <c r="B610" s="13"/>
      <c r="C610" s="13" t="s">
        <v>27</v>
      </c>
      <c r="D610" s="13"/>
      <c r="E610" s="32">
        <v>45070</v>
      </c>
      <c r="G610" s="8">
        <v>12769746</v>
      </c>
      <c r="I610" s="8">
        <v>3657072</v>
      </c>
      <c r="K610" s="8">
        <v>705432</v>
      </c>
      <c r="M610" s="8">
        <v>0</v>
      </c>
      <c r="O610" s="8">
        <v>1134727</v>
      </c>
      <c r="Q610" s="8">
        <v>980449</v>
      </c>
      <c r="S610" s="8">
        <v>138932</v>
      </c>
      <c r="U610" s="8">
        <v>2385032</v>
      </c>
      <c r="W610" s="8">
        <v>0</v>
      </c>
      <c r="Y610" s="8">
        <v>672478</v>
      </c>
      <c r="AA610" s="8">
        <v>2442543</v>
      </c>
      <c r="AC610" s="8">
        <v>1333492</v>
      </c>
      <c r="AE610" s="8">
        <v>475289</v>
      </c>
      <c r="AG610" s="8">
        <v>0</v>
      </c>
      <c r="AI610" s="8">
        <v>11072</v>
      </c>
      <c r="AJ610" s="13" t="s">
        <v>366</v>
      </c>
      <c r="AK610" s="13"/>
      <c r="AL610" s="13" t="s">
        <v>27</v>
      </c>
      <c r="AN610" s="8">
        <v>578974</v>
      </c>
      <c r="AP610" s="8">
        <v>294899</v>
      </c>
      <c r="AT610" s="8">
        <v>3655</v>
      </c>
      <c r="AV610" s="8">
        <v>1717</v>
      </c>
      <c r="AX610" s="8">
        <v>0</v>
      </c>
      <c r="AZ610" s="8">
        <f t="shared" si="55"/>
        <v>27585509</v>
      </c>
      <c r="BB610" s="8">
        <v>500000</v>
      </c>
      <c r="BH610" s="8">
        <v>0</v>
      </c>
      <c r="BJ610" s="8">
        <f t="shared" si="53"/>
        <v>28085509</v>
      </c>
      <c r="BL610" s="8">
        <f>+GenRev!AM613-GenExp!BJ610</f>
        <v>1973979</v>
      </c>
      <c r="BN610" s="8">
        <v>13138787</v>
      </c>
      <c r="BP610" s="8">
        <v>0</v>
      </c>
      <c r="BS610" s="8">
        <f t="shared" si="54"/>
        <v>15112766</v>
      </c>
      <c r="BU610" s="9">
        <f>+BS610-'Gen Fd BS'!AA616+BQ610</f>
        <v>0</v>
      </c>
    </row>
    <row r="611" spans="1:73" hidden="1">
      <c r="A611" s="12" t="s">
        <v>844</v>
      </c>
      <c r="B611" s="13"/>
      <c r="C611" s="13" t="s">
        <v>41</v>
      </c>
      <c r="D611" s="13"/>
      <c r="E611" s="32">
        <v>45088</v>
      </c>
      <c r="AJ611" s="13" t="s">
        <v>463</v>
      </c>
      <c r="AK611" s="13"/>
      <c r="AL611" s="13" t="s">
        <v>41</v>
      </c>
      <c r="AX611" s="8">
        <v>0</v>
      </c>
      <c r="AZ611" s="8">
        <f t="shared" si="55"/>
        <v>0</v>
      </c>
      <c r="BH611" s="8">
        <v>0</v>
      </c>
      <c r="BJ611" s="8">
        <f t="shared" si="53"/>
        <v>0</v>
      </c>
      <c r="BL611" s="8">
        <f>+GenRev!AM614-GenExp!BJ611</f>
        <v>0</v>
      </c>
      <c r="BP611" s="8">
        <v>0</v>
      </c>
      <c r="BS611" s="8">
        <f t="shared" si="54"/>
        <v>0</v>
      </c>
      <c r="BU611" s="9">
        <f>+BS611-'Gen Fd BS'!AA617+BQ611</f>
        <v>0</v>
      </c>
    </row>
    <row r="612" spans="1:73">
      <c r="A612" s="13" t="s">
        <v>448</v>
      </c>
      <c r="B612" s="13"/>
      <c r="C612" s="13" t="s">
        <v>37</v>
      </c>
      <c r="D612" s="13"/>
      <c r="E612" s="32">
        <v>45096</v>
      </c>
      <c r="G612" s="8">
        <v>7518146</v>
      </c>
      <c r="I612" s="8">
        <v>791336</v>
      </c>
      <c r="K612" s="8">
        <v>260736</v>
      </c>
      <c r="M612" s="8">
        <v>1628580</v>
      </c>
      <c r="O612" s="8">
        <v>826926</v>
      </c>
      <c r="Q612" s="8">
        <v>722800</v>
      </c>
      <c r="S612" s="8">
        <v>433389</v>
      </c>
      <c r="U612" s="8">
        <v>1809188</v>
      </c>
      <c r="W612" s="8">
        <v>375353</v>
      </c>
      <c r="Y612" s="8">
        <v>41746</v>
      </c>
      <c r="AA612" s="8">
        <v>1481485</v>
      </c>
      <c r="AC612" s="8">
        <v>897841</v>
      </c>
      <c r="AE612" s="8">
        <v>5095</v>
      </c>
      <c r="AG612" s="8">
        <v>0</v>
      </c>
      <c r="AI612" s="8">
        <v>0</v>
      </c>
      <c r="AJ612" s="13" t="s">
        <v>448</v>
      </c>
      <c r="AK612" s="13"/>
      <c r="AL612" s="13" t="s">
        <v>37</v>
      </c>
      <c r="AN612" s="8">
        <v>356059</v>
      </c>
      <c r="AP612" s="8">
        <v>0</v>
      </c>
      <c r="AT612" s="8">
        <v>57809</v>
      </c>
      <c r="AV612" s="8">
        <v>17183</v>
      </c>
      <c r="AX612" s="8">
        <v>0</v>
      </c>
      <c r="AZ612" s="8">
        <f t="shared" si="55"/>
        <v>17223672</v>
      </c>
      <c r="BB612" s="8">
        <v>129238</v>
      </c>
      <c r="BH612" s="8">
        <v>0</v>
      </c>
      <c r="BJ612" s="8">
        <f t="shared" si="53"/>
        <v>17352910</v>
      </c>
      <c r="BL612" s="8">
        <f>+GenRev!AM615-GenExp!BJ612</f>
        <v>-1073313</v>
      </c>
      <c r="BN612" s="8">
        <v>2901983</v>
      </c>
      <c r="BP612" s="8">
        <v>0</v>
      </c>
      <c r="BS612" s="8">
        <f t="shared" si="54"/>
        <v>1828670</v>
      </c>
      <c r="BU612" s="9">
        <f>+BS612-'Gen Fd BS'!AA618+BQ612</f>
        <v>0</v>
      </c>
    </row>
    <row r="613" spans="1:73">
      <c r="A613" s="13" t="s">
        <v>273</v>
      </c>
      <c r="B613" s="13"/>
      <c r="C613" s="13" t="s">
        <v>115</v>
      </c>
      <c r="D613" s="13"/>
      <c r="E613" s="32">
        <v>46367</v>
      </c>
      <c r="G613" s="8">
        <v>4467180</v>
      </c>
      <c r="I613" s="8">
        <v>908314</v>
      </c>
      <c r="K613" s="8">
        <v>79706</v>
      </c>
      <c r="M613" s="8">
        <v>3120</v>
      </c>
      <c r="O613" s="8">
        <v>363659</v>
      </c>
      <c r="Q613" s="8">
        <v>335948</v>
      </c>
      <c r="S613" s="8">
        <v>27149</v>
      </c>
      <c r="U613" s="8">
        <v>702870</v>
      </c>
      <c r="W613" s="8">
        <v>307064</v>
      </c>
      <c r="Y613" s="8">
        <v>0</v>
      </c>
      <c r="AA613" s="8">
        <v>1054541</v>
      </c>
      <c r="AC613" s="8">
        <v>557042</v>
      </c>
      <c r="AE613" s="8">
        <v>0</v>
      </c>
      <c r="AG613" s="8">
        <v>0</v>
      </c>
      <c r="AI613" s="8">
        <v>15634</v>
      </c>
      <c r="AJ613" s="13" t="s">
        <v>273</v>
      </c>
      <c r="AK613" s="13"/>
      <c r="AL613" s="13" t="s">
        <v>115</v>
      </c>
      <c r="AN613" s="8">
        <v>84357</v>
      </c>
      <c r="AP613" s="8">
        <v>0</v>
      </c>
      <c r="AT613" s="8">
        <v>42377</v>
      </c>
      <c r="AV613" s="8">
        <v>11058</v>
      </c>
      <c r="AX613" s="8">
        <v>0</v>
      </c>
      <c r="AZ613" s="8">
        <f t="shared" si="55"/>
        <v>8960019</v>
      </c>
      <c r="BB613" s="8">
        <v>137130</v>
      </c>
      <c r="BH613" s="8">
        <v>0</v>
      </c>
      <c r="BJ613" s="8">
        <f t="shared" si="53"/>
        <v>9097149</v>
      </c>
      <c r="BL613" s="8">
        <f>+GenRev!AM616-GenExp!BJ613</f>
        <v>-483238</v>
      </c>
      <c r="BN613" s="8">
        <v>2911589</v>
      </c>
      <c r="BP613" s="8">
        <v>0</v>
      </c>
      <c r="BS613" s="8">
        <f t="shared" si="54"/>
        <v>2428351</v>
      </c>
      <c r="BU613" s="9">
        <f>+BS613-'Gen Fd BS'!AA619+BQ613</f>
        <v>0</v>
      </c>
    </row>
    <row r="614" spans="1:73">
      <c r="A614" s="13" t="s">
        <v>464</v>
      </c>
      <c r="B614" s="13"/>
      <c r="C614" s="13" t="s">
        <v>41</v>
      </c>
      <c r="D614" s="13"/>
      <c r="E614" s="32">
        <v>45104</v>
      </c>
      <c r="G614" s="8">
        <v>38741946</v>
      </c>
      <c r="I614" s="8">
        <v>13590257</v>
      </c>
      <c r="K614" s="8">
        <v>1302538</v>
      </c>
      <c r="M614" s="8">
        <v>0</v>
      </c>
      <c r="O614" s="8">
        <v>4585288</v>
      </c>
      <c r="Q614" s="8">
        <v>3177194</v>
      </c>
      <c r="S614" s="8">
        <v>334039</v>
      </c>
      <c r="U614" s="8">
        <v>4770310</v>
      </c>
      <c r="W614" s="8">
        <v>1636705</v>
      </c>
      <c r="Y614" s="8">
        <v>420598</v>
      </c>
      <c r="AA614" s="8">
        <v>7055985</v>
      </c>
      <c r="AC614" s="8">
        <v>5937403</v>
      </c>
      <c r="AE614" s="8">
        <v>1108662</v>
      </c>
      <c r="AG614" s="8">
        <v>0</v>
      </c>
      <c r="AI614" s="8">
        <v>0</v>
      </c>
      <c r="AJ614" s="13" t="s">
        <v>464</v>
      </c>
      <c r="AK614" s="13"/>
      <c r="AL614" s="13" t="s">
        <v>41</v>
      </c>
      <c r="AN614" s="8">
        <v>1161152</v>
      </c>
      <c r="AP614" s="8">
        <v>0</v>
      </c>
      <c r="AT614" s="8">
        <v>0</v>
      </c>
      <c r="AV614" s="8">
        <v>0</v>
      </c>
      <c r="AX614" s="8">
        <v>0</v>
      </c>
      <c r="AZ614" s="8">
        <f t="shared" si="55"/>
        <v>83822077</v>
      </c>
      <c r="BB614" s="8">
        <v>1379890</v>
      </c>
      <c r="BH614" s="8">
        <v>0</v>
      </c>
      <c r="BJ614" s="8">
        <f t="shared" si="53"/>
        <v>85201967</v>
      </c>
      <c r="BL614" s="8">
        <f>+GenRev!AM617-GenExp!BJ614</f>
        <v>-2585424</v>
      </c>
      <c r="BN614" s="8">
        <v>14706238</v>
      </c>
      <c r="BP614" s="8">
        <v>0</v>
      </c>
      <c r="BS614" s="8">
        <f t="shared" si="54"/>
        <v>12120814</v>
      </c>
      <c r="BU614" s="9">
        <f>+BS614-'Gen Fd BS'!AA620+BQ614</f>
        <v>0</v>
      </c>
    </row>
    <row r="615" spans="1:73">
      <c r="A615" s="13" t="s">
        <v>277</v>
      </c>
      <c r="B615" s="13"/>
      <c r="C615" s="13" t="s">
        <v>18</v>
      </c>
      <c r="D615" s="13"/>
      <c r="E615" s="32">
        <v>45112</v>
      </c>
      <c r="G615" s="8">
        <v>12271686</v>
      </c>
      <c r="I615" s="8">
        <v>2313744</v>
      </c>
      <c r="K615" s="8">
        <v>276571</v>
      </c>
      <c r="M615" s="8">
        <v>456743</v>
      </c>
      <c r="O615" s="8">
        <v>1164381</v>
      </c>
      <c r="Q615" s="8">
        <v>1345498</v>
      </c>
      <c r="S615" s="8">
        <v>235432</v>
      </c>
      <c r="U615" s="8">
        <v>1541210</v>
      </c>
      <c r="W615" s="8">
        <v>671634</v>
      </c>
      <c r="Y615" s="8">
        <v>409298</v>
      </c>
      <c r="AA615" s="8">
        <v>2131334</v>
      </c>
      <c r="AC615" s="8">
        <v>1218933</v>
      </c>
      <c r="AE615" s="8">
        <v>211034</v>
      </c>
      <c r="AG615" s="8">
        <v>0</v>
      </c>
      <c r="AI615" s="8">
        <v>0</v>
      </c>
      <c r="AJ615" s="13" t="s">
        <v>277</v>
      </c>
      <c r="AK615" s="13"/>
      <c r="AL615" s="13" t="s">
        <v>18</v>
      </c>
      <c r="AN615" s="8">
        <v>460668</v>
      </c>
      <c r="AP615" s="8">
        <v>0</v>
      </c>
      <c r="AT615" s="8">
        <v>70000</v>
      </c>
      <c r="AV615" s="8">
        <v>25813</v>
      </c>
      <c r="AX615" s="8">
        <v>0</v>
      </c>
      <c r="AZ615" s="8">
        <f t="shared" si="55"/>
        <v>24803979</v>
      </c>
      <c r="BB615" s="8">
        <v>0</v>
      </c>
      <c r="BH615" s="8">
        <v>0</v>
      </c>
      <c r="BJ615" s="8">
        <f t="shared" si="53"/>
        <v>24803979</v>
      </c>
      <c r="BL615" s="8">
        <f>+GenRev!AM618-GenExp!BJ615</f>
        <v>-268952</v>
      </c>
      <c r="BN615" s="8">
        <v>5233829</v>
      </c>
      <c r="BP615" s="8">
        <v>0</v>
      </c>
      <c r="BS615" s="8">
        <f t="shared" si="54"/>
        <v>4964877</v>
      </c>
      <c r="BU615" s="9">
        <f>+BS615-'Gen Fd BS'!AA621+BQ615</f>
        <v>0</v>
      </c>
    </row>
    <row r="616" spans="1:73">
      <c r="A616" s="13" t="s">
        <v>597</v>
      </c>
      <c r="B616" s="13"/>
      <c r="C616" s="13" t="s">
        <v>56</v>
      </c>
      <c r="D616" s="13"/>
      <c r="E616" s="32">
        <v>45666</v>
      </c>
      <c r="G616" s="8">
        <v>3186317</v>
      </c>
      <c r="I616" s="8">
        <v>903801</v>
      </c>
      <c r="K616" s="8">
        <v>75138</v>
      </c>
      <c r="M616" s="8">
        <v>26994</v>
      </c>
      <c r="O616" s="8">
        <v>344285</v>
      </c>
      <c r="Q616" s="8">
        <v>302425</v>
      </c>
      <c r="S616" s="8">
        <v>32236</v>
      </c>
      <c r="U616" s="8">
        <v>616326</v>
      </c>
      <c r="W616" s="8">
        <v>196057</v>
      </c>
      <c r="Y616" s="8">
        <v>6100</v>
      </c>
      <c r="AA616" s="8">
        <v>863508</v>
      </c>
      <c r="AC616" s="8">
        <v>381790</v>
      </c>
      <c r="AE616" s="8">
        <v>30069</v>
      </c>
      <c r="AG616" s="8">
        <v>0</v>
      </c>
      <c r="AI616" s="8">
        <v>0</v>
      </c>
      <c r="AJ616" s="13" t="s">
        <v>597</v>
      </c>
      <c r="AK616" s="13"/>
      <c r="AL616" s="13" t="s">
        <v>56</v>
      </c>
      <c r="AN616" s="8">
        <v>153097</v>
      </c>
      <c r="AP616" s="8">
        <v>0</v>
      </c>
      <c r="AT616" s="8">
        <v>22336</v>
      </c>
      <c r="AV616" s="8">
        <v>4293</v>
      </c>
      <c r="AX616" s="8">
        <v>0</v>
      </c>
      <c r="AZ616" s="8">
        <f t="shared" si="55"/>
        <v>7144772</v>
      </c>
      <c r="BB616" s="8">
        <v>0</v>
      </c>
      <c r="BH616" s="8">
        <v>0</v>
      </c>
      <c r="BJ616" s="8">
        <f t="shared" si="53"/>
        <v>7144772</v>
      </c>
      <c r="BL616" s="8">
        <f>+GenRev!AM619-GenExp!BJ616</f>
        <v>863560</v>
      </c>
      <c r="BN616" s="8">
        <v>-393701</v>
      </c>
      <c r="BP616" s="8">
        <v>-762</v>
      </c>
      <c r="BS616" s="8">
        <f t="shared" si="54"/>
        <v>470621</v>
      </c>
      <c r="BU616" s="9">
        <f>+BS616-'Gen Fd BS'!AA622+BQ616</f>
        <v>0</v>
      </c>
    </row>
    <row r="617" spans="1:73">
      <c r="A617" s="13" t="s">
        <v>411</v>
      </c>
      <c r="B617" s="13"/>
      <c r="C617" s="13" t="s">
        <v>32</v>
      </c>
      <c r="D617" s="13"/>
      <c r="E617" s="32">
        <v>44081</v>
      </c>
      <c r="G617" s="8">
        <v>17382184</v>
      </c>
      <c r="I617" s="8">
        <v>5031743</v>
      </c>
      <c r="K617" s="8">
        <v>305498</v>
      </c>
      <c r="M617" s="8">
        <v>9377</v>
      </c>
      <c r="O617" s="8">
        <v>2244638</v>
      </c>
      <c r="Q617" s="8">
        <v>3348224</v>
      </c>
      <c r="S617" s="8">
        <v>74545</v>
      </c>
      <c r="U617" s="8">
        <v>3458694</v>
      </c>
      <c r="W617" s="8">
        <v>750882</v>
      </c>
      <c r="Y617" s="8">
        <v>221421</v>
      </c>
      <c r="AA617" s="8">
        <v>3660776</v>
      </c>
      <c r="AC617" s="8">
        <v>1896199</v>
      </c>
      <c r="AE617" s="8">
        <v>870733</v>
      </c>
      <c r="AG617" s="8">
        <v>0</v>
      </c>
      <c r="AI617" s="8">
        <v>15000</v>
      </c>
      <c r="AJ617" s="13" t="s">
        <v>411</v>
      </c>
      <c r="AK617" s="13"/>
      <c r="AL617" s="13" t="s">
        <v>32</v>
      </c>
      <c r="AN617" s="8">
        <v>530827</v>
      </c>
      <c r="AP617" s="8">
        <v>0</v>
      </c>
      <c r="AT617" s="8">
        <v>28628</v>
      </c>
      <c r="AV617" s="8">
        <v>568</v>
      </c>
      <c r="AX617" s="8">
        <v>0</v>
      </c>
      <c r="AZ617" s="8">
        <f t="shared" si="55"/>
        <v>39829937</v>
      </c>
      <c r="BB617" s="8">
        <v>0</v>
      </c>
      <c r="BH617" s="8">
        <v>0</v>
      </c>
      <c r="BJ617" s="8">
        <f t="shared" si="53"/>
        <v>39829937</v>
      </c>
      <c r="BL617" s="8">
        <f>+GenRev!AM620-GenExp!BJ617</f>
        <v>-1329597</v>
      </c>
      <c r="BN617" s="8">
        <v>6225292</v>
      </c>
      <c r="BP617" s="8">
        <v>0</v>
      </c>
      <c r="BS617" s="8">
        <f t="shared" si="54"/>
        <v>4895695</v>
      </c>
      <c r="BU617" s="9">
        <f>+BS617-'Gen Fd BS'!AA623+BQ617</f>
        <v>0</v>
      </c>
    </row>
    <row r="618" spans="1:73">
      <c r="A618" s="13"/>
      <c r="B618" s="13"/>
      <c r="C618" s="13"/>
      <c r="D618" s="13"/>
      <c r="E618" s="32"/>
      <c r="AJ618" s="13"/>
      <c r="AK618" s="13"/>
      <c r="AL618" s="13"/>
    </row>
    <row r="619" spans="1:73">
      <c r="A619" s="13"/>
      <c r="B619" s="13"/>
      <c r="C619" s="13"/>
      <c r="D619" s="13"/>
      <c r="E619" s="32"/>
      <c r="AI619" s="8" t="s">
        <v>805</v>
      </c>
      <c r="AJ619" s="13"/>
      <c r="AK619" s="13"/>
      <c r="AL619" s="13"/>
      <c r="BS619" s="8" t="s">
        <v>805</v>
      </c>
    </row>
    <row r="620" spans="1:73">
      <c r="A620" s="13"/>
      <c r="B620" s="13"/>
      <c r="C620" s="13"/>
      <c r="D620" s="13"/>
      <c r="E620" s="32"/>
      <c r="AJ620" s="13"/>
      <c r="AK620" s="13"/>
      <c r="AL620" s="13"/>
    </row>
    <row r="621" spans="1:73">
      <c r="A621" s="13" t="s">
        <v>720</v>
      </c>
      <c r="B621" s="13"/>
      <c r="C621" s="13" t="s">
        <v>70</v>
      </c>
      <c r="D621" s="13"/>
      <c r="E621" s="32">
        <v>50518</v>
      </c>
      <c r="G621" s="35">
        <v>2786758</v>
      </c>
      <c r="H621" s="35"/>
      <c r="I621" s="35">
        <v>196536</v>
      </c>
      <c r="J621" s="35"/>
      <c r="K621" s="35">
        <v>154927</v>
      </c>
      <c r="L621" s="35"/>
      <c r="M621" s="35">
        <v>0</v>
      </c>
      <c r="N621" s="35"/>
      <c r="O621" s="35">
        <v>157492</v>
      </c>
      <c r="P621" s="35"/>
      <c r="Q621" s="35">
        <v>398518</v>
      </c>
      <c r="R621" s="35"/>
      <c r="S621" s="35">
        <v>13163</v>
      </c>
      <c r="T621" s="35"/>
      <c r="U621" s="35">
        <v>440810</v>
      </c>
      <c r="V621" s="35"/>
      <c r="W621" s="35">
        <v>504474</v>
      </c>
      <c r="X621" s="35"/>
      <c r="Y621" s="35">
        <v>0</v>
      </c>
      <c r="Z621" s="35"/>
      <c r="AA621" s="35">
        <v>547202</v>
      </c>
      <c r="AB621" s="35"/>
      <c r="AC621" s="35">
        <v>367282</v>
      </c>
      <c r="AD621" s="35"/>
      <c r="AE621" s="35">
        <v>40529</v>
      </c>
      <c r="AF621" s="35"/>
      <c r="AG621" s="35">
        <v>0</v>
      </c>
      <c r="AH621" s="35"/>
      <c r="AI621" s="35">
        <v>0</v>
      </c>
      <c r="AJ621" s="13" t="s">
        <v>720</v>
      </c>
      <c r="AK621" s="13"/>
      <c r="AL621" s="13" t="s">
        <v>70</v>
      </c>
      <c r="AN621" s="35">
        <v>218477</v>
      </c>
      <c r="AO621" s="35"/>
      <c r="AP621" s="35">
        <v>0</v>
      </c>
      <c r="AQ621" s="35"/>
      <c r="AR621" s="35"/>
      <c r="AS621" s="35"/>
      <c r="AT621" s="35">
        <v>0</v>
      </c>
      <c r="AU621" s="35"/>
      <c r="AV621" s="35">
        <v>0</v>
      </c>
      <c r="AW621" s="35"/>
      <c r="AX621" s="35">
        <v>0</v>
      </c>
      <c r="AY621" s="35"/>
      <c r="AZ621" s="35">
        <f t="shared" si="55"/>
        <v>5826168</v>
      </c>
      <c r="BA621" s="35"/>
      <c r="BB621" s="35">
        <v>100000</v>
      </c>
      <c r="BC621" s="35"/>
      <c r="BD621" s="35"/>
      <c r="BE621" s="35"/>
      <c r="BF621" s="35"/>
      <c r="BG621" s="35"/>
      <c r="BH621" s="35">
        <v>0</v>
      </c>
      <c r="BI621" s="35"/>
      <c r="BJ621" s="35">
        <f t="shared" si="53"/>
        <v>5926168</v>
      </c>
      <c r="BK621" s="35"/>
      <c r="BL621" s="35">
        <f>+GenRev!AM621-GenExp!BJ621</f>
        <v>1449764</v>
      </c>
      <c r="BM621" s="35"/>
      <c r="BN621" s="35">
        <v>3452835</v>
      </c>
      <c r="BO621" s="35"/>
      <c r="BP621" s="35">
        <v>0</v>
      </c>
      <c r="BQ621" s="35"/>
      <c r="BR621" s="35"/>
      <c r="BS621" s="35">
        <f t="shared" si="54"/>
        <v>4902599</v>
      </c>
      <c r="BU621" s="9">
        <f>+BS621-'Gen Fd BS'!AA624+BQ621</f>
        <v>0</v>
      </c>
    </row>
    <row r="622" spans="1:73">
      <c r="A622" s="13" t="s">
        <v>625</v>
      </c>
      <c r="B622" s="13"/>
      <c r="C622" s="13" t="s">
        <v>79</v>
      </c>
      <c r="D622" s="13"/>
      <c r="E622" s="13">
        <v>49577</v>
      </c>
      <c r="G622" s="8">
        <v>4862004</v>
      </c>
      <c r="I622" s="8">
        <v>683001</v>
      </c>
      <c r="K622" s="8">
        <v>8657</v>
      </c>
      <c r="M622" s="8">
        <v>1282</v>
      </c>
      <c r="O622" s="8">
        <v>499398</v>
      </c>
      <c r="Q622" s="8">
        <v>134780</v>
      </c>
      <c r="S622" s="8">
        <v>50019</v>
      </c>
      <c r="U622" s="8">
        <v>761955</v>
      </c>
      <c r="W622" s="8">
        <v>323034</v>
      </c>
      <c r="Y622" s="8">
        <v>0</v>
      </c>
      <c r="AA622" s="8">
        <v>789368</v>
      </c>
      <c r="AC622" s="8">
        <v>485542</v>
      </c>
      <c r="AE622" s="8">
        <v>2187</v>
      </c>
      <c r="AG622" s="8">
        <v>0</v>
      </c>
      <c r="AI622" s="8">
        <v>0</v>
      </c>
      <c r="AJ622" s="13" t="s">
        <v>625</v>
      </c>
      <c r="AK622" s="13"/>
      <c r="AL622" s="13" t="s">
        <v>79</v>
      </c>
      <c r="AN622" s="8">
        <v>232563</v>
      </c>
      <c r="AP622" s="8">
        <v>0</v>
      </c>
      <c r="AT622" s="8">
        <v>13613</v>
      </c>
      <c r="AV622" s="8">
        <v>5680</v>
      </c>
      <c r="AX622" s="8">
        <v>0</v>
      </c>
      <c r="AZ622" s="8">
        <f t="shared" si="55"/>
        <v>8853083</v>
      </c>
      <c r="BB622" s="8">
        <v>0</v>
      </c>
      <c r="BH622" s="8">
        <v>0</v>
      </c>
      <c r="BJ622" s="8">
        <f t="shared" si="53"/>
        <v>8853083</v>
      </c>
      <c r="BL622" s="8">
        <f>+GenRev!AM622-GenExp!BJ622</f>
        <v>142574</v>
      </c>
      <c r="BN622" s="8">
        <v>142444</v>
      </c>
      <c r="BP622" s="8">
        <v>0</v>
      </c>
      <c r="BS622" s="8">
        <f t="shared" si="54"/>
        <v>285018</v>
      </c>
      <c r="BU622" s="9">
        <f>+BS622-'Gen Fd BS'!AA625+BQ622</f>
        <v>0</v>
      </c>
    </row>
    <row r="623" spans="1:73" s="35" customFormat="1">
      <c r="A623" s="34" t="s">
        <v>674</v>
      </c>
      <c r="B623" s="34"/>
      <c r="C623" s="34" t="s">
        <v>63</v>
      </c>
      <c r="D623" s="34"/>
      <c r="E623" s="34">
        <v>49973</v>
      </c>
      <c r="G623" s="8">
        <v>9251706</v>
      </c>
      <c r="H623" s="8"/>
      <c r="I623" s="8">
        <v>2991249</v>
      </c>
      <c r="J623" s="8"/>
      <c r="K623" s="8">
        <v>281124</v>
      </c>
      <c r="L623" s="8"/>
      <c r="M623" s="8">
        <v>409753</v>
      </c>
      <c r="N623" s="8"/>
      <c r="O623" s="8">
        <v>1143665</v>
      </c>
      <c r="P623" s="8"/>
      <c r="Q623" s="8">
        <v>416353</v>
      </c>
      <c r="R623" s="8"/>
      <c r="S623" s="8">
        <v>31968</v>
      </c>
      <c r="T623" s="8"/>
      <c r="U623" s="8">
        <v>1896273</v>
      </c>
      <c r="V623" s="8"/>
      <c r="W623" s="8">
        <v>566470</v>
      </c>
      <c r="X623" s="8"/>
      <c r="Y623" s="8">
        <v>0</v>
      </c>
      <c r="Z623" s="8"/>
      <c r="AA623" s="8">
        <v>1689783</v>
      </c>
      <c r="AB623" s="8"/>
      <c r="AC623" s="8">
        <v>1451348</v>
      </c>
      <c r="AD623" s="8"/>
      <c r="AE623" s="8">
        <v>191850</v>
      </c>
      <c r="AF623" s="8"/>
      <c r="AG623" s="8">
        <v>0</v>
      </c>
      <c r="AH623" s="8"/>
      <c r="AI623" s="8">
        <v>0</v>
      </c>
      <c r="AJ623" s="34" t="s">
        <v>674</v>
      </c>
      <c r="AK623" s="34"/>
      <c r="AL623" s="34" t="s">
        <v>63</v>
      </c>
      <c r="AN623" s="8">
        <v>462171</v>
      </c>
      <c r="AO623" s="8"/>
      <c r="AP623" s="8">
        <v>104857</v>
      </c>
      <c r="AQ623" s="8"/>
      <c r="AR623" s="8"/>
      <c r="AS623" s="8"/>
      <c r="AT623" s="8">
        <v>16185</v>
      </c>
      <c r="AU623" s="8"/>
      <c r="AV623" s="8">
        <v>3455</v>
      </c>
      <c r="AW623" s="8"/>
      <c r="AX623" s="8">
        <v>0</v>
      </c>
      <c r="AY623" s="8"/>
      <c r="AZ623" s="8">
        <f t="shared" si="55"/>
        <v>20908210</v>
      </c>
      <c r="BA623" s="8"/>
      <c r="BB623" s="8">
        <v>84300</v>
      </c>
      <c r="BC623" s="8"/>
      <c r="BD623" s="8"/>
      <c r="BE623" s="8"/>
      <c r="BF623" s="8"/>
      <c r="BG623" s="8"/>
      <c r="BH623" s="8">
        <v>0</v>
      </c>
      <c r="BI623" s="8"/>
      <c r="BJ623" s="8">
        <f t="shared" si="53"/>
        <v>20992510</v>
      </c>
      <c r="BK623" s="8"/>
      <c r="BL623" s="8">
        <f>+GenRev!AM623-GenExp!BJ623</f>
        <v>251331</v>
      </c>
      <c r="BM623" s="8"/>
      <c r="BN623" s="8">
        <v>9188007</v>
      </c>
      <c r="BO623" s="8"/>
      <c r="BP623" s="8">
        <v>0</v>
      </c>
      <c r="BQ623" s="8"/>
      <c r="BR623" s="8"/>
      <c r="BS623" s="8">
        <f t="shared" si="54"/>
        <v>9439338</v>
      </c>
      <c r="BU623" s="44">
        <f>+BS623-'Gen Fd BS'!AA626+BQ623</f>
        <v>0</v>
      </c>
    </row>
    <row r="624" spans="1:73">
      <c r="A624" s="13" t="s">
        <v>845</v>
      </c>
      <c r="B624" s="13"/>
      <c r="C624" s="13" t="s">
        <v>71</v>
      </c>
      <c r="D624" s="13"/>
      <c r="E624" s="32">
        <v>45138</v>
      </c>
      <c r="G624" s="8">
        <v>15756755</v>
      </c>
      <c r="I624" s="8">
        <v>3301104</v>
      </c>
      <c r="K624" s="8">
        <v>369278</v>
      </c>
      <c r="M624" s="8">
        <v>2550008</v>
      </c>
      <c r="O624" s="8">
        <v>2019575</v>
      </c>
      <c r="Q624" s="8">
        <v>1861480</v>
      </c>
      <c r="S624" s="8">
        <v>126063</v>
      </c>
      <c r="U624" s="8">
        <v>2912724</v>
      </c>
      <c r="W624" s="8">
        <v>910646</v>
      </c>
      <c r="Y624" s="8">
        <v>218351</v>
      </c>
      <c r="AA624" s="8">
        <v>4164892</v>
      </c>
      <c r="AC624" s="8">
        <v>1712900</v>
      </c>
      <c r="AE624" s="8">
        <v>355762</v>
      </c>
      <c r="AG624" s="8">
        <v>0</v>
      </c>
      <c r="AI624" s="8">
        <v>165948</v>
      </c>
      <c r="AJ624" s="13" t="s">
        <v>845</v>
      </c>
      <c r="AK624" s="13"/>
      <c r="AL624" s="13" t="s">
        <v>71</v>
      </c>
      <c r="AN624" s="8">
        <v>410225</v>
      </c>
      <c r="AP624" s="8">
        <v>168742</v>
      </c>
      <c r="AT624" s="8">
        <v>360074</v>
      </c>
      <c r="AV624" s="8">
        <v>10442</v>
      </c>
      <c r="AX624" s="8">
        <v>0</v>
      </c>
      <c r="AZ624" s="8">
        <f t="shared" si="55"/>
        <v>37374969</v>
      </c>
      <c r="BB624" s="8">
        <v>492275</v>
      </c>
      <c r="BH624" s="8">
        <v>0</v>
      </c>
      <c r="BJ624" s="8">
        <f t="shared" si="53"/>
        <v>37867244</v>
      </c>
      <c r="BL624" s="8">
        <f>+GenRev!AM624-GenExp!BJ624</f>
        <v>36854</v>
      </c>
      <c r="BN624" s="8">
        <v>14086084</v>
      </c>
      <c r="BP624" s="8">
        <v>0</v>
      </c>
      <c r="BS624" s="8">
        <f t="shared" si="54"/>
        <v>14122938</v>
      </c>
      <c r="BU624" s="9">
        <f>+BS624-'Gen Fd BS'!AA627+BQ624</f>
        <v>0</v>
      </c>
    </row>
    <row r="625" spans="1:73">
      <c r="A625" s="13" t="s">
        <v>367</v>
      </c>
      <c r="B625" s="13"/>
      <c r="C625" s="13" t="s">
        <v>27</v>
      </c>
      <c r="D625" s="13"/>
      <c r="E625" s="32">
        <v>46524</v>
      </c>
      <c r="G625" s="8">
        <v>56124557</v>
      </c>
      <c r="I625" s="8">
        <v>10540357</v>
      </c>
      <c r="K625" s="8">
        <v>923791</v>
      </c>
      <c r="M625" s="8">
        <v>2508</v>
      </c>
      <c r="O625" s="8">
        <v>5918161</v>
      </c>
      <c r="Q625" s="8">
        <v>8542227</v>
      </c>
      <c r="S625" s="8">
        <v>40799</v>
      </c>
      <c r="U625" s="8">
        <v>8994282</v>
      </c>
      <c r="W625" s="8">
        <v>0</v>
      </c>
      <c r="Y625" s="8">
        <v>2304817</v>
      </c>
      <c r="AA625" s="8">
        <v>10262688</v>
      </c>
      <c r="AC625" s="8">
        <v>3671857</v>
      </c>
      <c r="AE625" s="8">
        <v>773806</v>
      </c>
      <c r="AG625" s="8">
        <v>0</v>
      </c>
      <c r="AI625" s="8">
        <v>844231</v>
      </c>
      <c r="AJ625" s="13" t="s">
        <v>367</v>
      </c>
      <c r="AK625" s="13"/>
      <c r="AL625" s="13" t="s">
        <v>27</v>
      </c>
      <c r="AN625" s="8">
        <v>1505088</v>
      </c>
      <c r="AP625" s="8">
        <v>216965</v>
      </c>
      <c r="AT625" s="8">
        <v>0</v>
      </c>
      <c r="AV625" s="8">
        <v>0</v>
      </c>
      <c r="AX625" s="8">
        <v>0</v>
      </c>
      <c r="AZ625" s="8">
        <f t="shared" si="55"/>
        <v>110666134</v>
      </c>
      <c r="BB625" s="8">
        <v>942302</v>
      </c>
      <c r="BH625" s="8">
        <v>0</v>
      </c>
      <c r="BJ625" s="8">
        <f t="shared" si="53"/>
        <v>111608436</v>
      </c>
      <c r="BL625" s="8">
        <f>+GenRev!AM625-GenExp!BJ625</f>
        <v>860151</v>
      </c>
      <c r="BN625" s="8">
        <v>45586455</v>
      </c>
      <c r="BP625" s="8">
        <v>0</v>
      </c>
      <c r="BS625" s="8">
        <f t="shared" si="54"/>
        <v>46446606</v>
      </c>
      <c r="BU625" s="9">
        <f>+BS625-'Gen Fd BS'!AA628+BQ625</f>
        <v>0</v>
      </c>
    </row>
    <row r="626" spans="1:73">
      <c r="A626" s="13" t="s">
        <v>295</v>
      </c>
      <c r="B626" s="13"/>
      <c r="C626" s="13" t="s">
        <v>113</v>
      </c>
      <c r="D626" s="13"/>
      <c r="E626" s="32">
        <v>45146</v>
      </c>
      <c r="G626" s="8">
        <v>4538982</v>
      </c>
      <c r="I626" s="8">
        <v>865546</v>
      </c>
      <c r="K626" s="8">
        <v>4573</v>
      </c>
      <c r="M626" s="8">
        <v>537876</v>
      </c>
      <c r="O626" s="8">
        <v>1066966</v>
      </c>
      <c r="Q626" s="8">
        <v>324703</v>
      </c>
      <c r="S626" s="8">
        <v>7147</v>
      </c>
      <c r="U626" s="8">
        <v>762342</v>
      </c>
      <c r="W626" s="8">
        <v>382141</v>
      </c>
      <c r="Y626" s="8">
        <v>13760</v>
      </c>
      <c r="AA626" s="8">
        <v>686983</v>
      </c>
      <c r="AC626" s="8">
        <v>653784</v>
      </c>
      <c r="AE626" s="8">
        <v>36726</v>
      </c>
      <c r="AG626" s="8">
        <v>0</v>
      </c>
      <c r="AI626" s="8">
        <v>600</v>
      </c>
      <c r="AJ626" s="13" t="s">
        <v>295</v>
      </c>
      <c r="AK626" s="13"/>
      <c r="AL626" s="13" t="s">
        <v>113</v>
      </c>
      <c r="AN626" s="8">
        <v>216103</v>
      </c>
      <c r="AP626" s="8">
        <v>0</v>
      </c>
      <c r="AT626" s="8">
        <v>9835</v>
      </c>
      <c r="AV626" s="8">
        <v>920</v>
      </c>
      <c r="AX626" s="8">
        <v>0</v>
      </c>
      <c r="AZ626" s="8">
        <f t="shared" si="55"/>
        <v>10108987</v>
      </c>
      <c r="BB626" s="8">
        <v>72478</v>
      </c>
      <c r="BH626" s="8">
        <v>0</v>
      </c>
      <c r="BJ626" s="8">
        <f t="shared" si="53"/>
        <v>10181465</v>
      </c>
      <c r="BL626" s="8">
        <f>+GenRev!AM626-GenExp!BJ626</f>
        <v>-403259</v>
      </c>
      <c r="BN626" s="8">
        <v>2203433</v>
      </c>
      <c r="BP626" s="8">
        <v>0</v>
      </c>
      <c r="BS626" s="8">
        <f t="shared" si="54"/>
        <v>1800174</v>
      </c>
      <c r="BU626" s="9">
        <f>+BS626-'Gen Fd BS'!AA629+BQ626</f>
        <v>0</v>
      </c>
    </row>
    <row r="627" spans="1:73">
      <c r="A627" s="13" t="s">
        <v>412</v>
      </c>
      <c r="B627" s="13"/>
      <c r="C627" s="13" t="s">
        <v>32</v>
      </c>
      <c r="D627" s="13"/>
      <c r="E627" s="32">
        <v>45153</v>
      </c>
      <c r="G627" s="8">
        <v>10567451</v>
      </c>
      <c r="I627" s="8">
        <v>1943581</v>
      </c>
      <c r="K627" s="8">
        <v>111788</v>
      </c>
      <c r="M627" s="8">
        <v>8126</v>
      </c>
      <c r="O627" s="8">
        <v>1396829</v>
      </c>
      <c r="Q627" s="8">
        <v>1063898</v>
      </c>
      <c r="S627" s="8">
        <v>243814</v>
      </c>
      <c r="U627" s="8">
        <v>1488144</v>
      </c>
      <c r="W627" s="8">
        <v>876657</v>
      </c>
      <c r="Y627" s="8">
        <v>1669</v>
      </c>
      <c r="AA627" s="8">
        <v>1973264</v>
      </c>
      <c r="AC627" s="8">
        <v>378125</v>
      </c>
      <c r="AE627" s="8">
        <v>126257</v>
      </c>
      <c r="AG627" s="8">
        <v>0</v>
      </c>
      <c r="AI627" s="8">
        <v>110638</v>
      </c>
      <c r="AJ627" s="13" t="s">
        <v>412</v>
      </c>
      <c r="AK627" s="13"/>
      <c r="AL627" s="13" t="s">
        <v>32</v>
      </c>
      <c r="AN627" s="8">
        <v>501528</v>
      </c>
      <c r="AP627" s="8">
        <v>44814</v>
      </c>
      <c r="AT627" s="8">
        <v>36800</v>
      </c>
      <c r="AV627" s="8">
        <v>88742</v>
      </c>
      <c r="AX627" s="8">
        <v>0</v>
      </c>
      <c r="AZ627" s="8">
        <f t="shared" si="55"/>
        <v>20962125</v>
      </c>
      <c r="BB627" s="8">
        <v>261020</v>
      </c>
      <c r="BH627" s="8">
        <v>0</v>
      </c>
      <c r="BJ627" s="8">
        <f t="shared" si="53"/>
        <v>21223145</v>
      </c>
      <c r="BL627" s="8">
        <f>+GenRev!AM627-GenExp!BJ627</f>
        <v>1548965</v>
      </c>
      <c r="BN627" s="8">
        <v>11356331</v>
      </c>
      <c r="BP627" s="8">
        <v>0</v>
      </c>
      <c r="BS627" s="8">
        <f t="shared" si="54"/>
        <v>12905296</v>
      </c>
      <c r="BU627" s="9">
        <f>+BS627-'Gen Fd BS'!AA630+BQ627</f>
        <v>0</v>
      </c>
    </row>
    <row r="628" spans="1:73">
      <c r="A628" s="13" t="s">
        <v>388</v>
      </c>
      <c r="B628" s="13"/>
      <c r="C628" s="13" t="s">
        <v>116</v>
      </c>
      <c r="D628" s="13"/>
      <c r="E628" s="32">
        <v>45674</v>
      </c>
      <c r="G628" s="8">
        <v>2292842</v>
      </c>
      <c r="I628" s="8">
        <v>585885</v>
      </c>
      <c r="K628" s="8">
        <v>0</v>
      </c>
      <c r="M628" s="8">
        <f>2970+10820+153073</f>
        <v>166863</v>
      </c>
      <c r="O628" s="8">
        <v>463576</v>
      </c>
      <c r="Q628" s="8">
        <v>461422</v>
      </c>
      <c r="S628" s="8">
        <v>28118</v>
      </c>
      <c r="U628" s="8">
        <v>778459</v>
      </c>
      <c r="W628" s="8">
        <v>335788</v>
      </c>
      <c r="Y628" s="8">
        <v>0</v>
      </c>
      <c r="AA628" s="8">
        <v>718834</v>
      </c>
      <c r="AC628" s="8">
        <v>237680</v>
      </c>
      <c r="AE628" s="8">
        <v>36</v>
      </c>
      <c r="AG628" s="8">
        <v>0</v>
      </c>
      <c r="AI628" s="8">
        <v>6141</v>
      </c>
      <c r="AJ628" s="13" t="s">
        <v>388</v>
      </c>
      <c r="AK628" s="13"/>
      <c r="AL628" s="13" t="s">
        <v>116</v>
      </c>
      <c r="AN628" s="8">
        <v>163130</v>
      </c>
      <c r="AP628" s="8">
        <v>81830</v>
      </c>
      <c r="AT628" s="8">
        <v>19000</v>
      </c>
      <c r="AV628" s="8">
        <v>2577</v>
      </c>
      <c r="AX628" s="8">
        <v>0</v>
      </c>
      <c r="AZ628" s="8">
        <f t="shared" si="55"/>
        <v>6342181</v>
      </c>
      <c r="BB628" s="8">
        <v>35086</v>
      </c>
      <c r="BH628" s="8">
        <v>0</v>
      </c>
      <c r="BJ628" s="8">
        <f t="shared" si="53"/>
        <v>6377267</v>
      </c>
      <c r="BL628" s="8">
        <f>+GenRev!AM628-GenExp!BJ628</f>
        <v>-69402</v>
      </c>
      <c r="BN628" s="8">
        <v>3193945</v>
      </c>
      <c r="BP628" s="8">
        <v>0</v>
      </c>
      <c r="BS628" s="8">
        <f t="shared" si="54"/>
        <v>3124543</v>
      </c>
      <c r="BU628" s="9">
        <f>+BS628-'Gen Fd BS'!AA631+BQ628</f>
        <v>0</v>
      </c>
    </row>
    <row r="629" spans="1:73">
      <c r="A629" s="13" t="s">
        <v>519</v>
      </c>
      <c r="B629" s="13"/>
      <c r="C629" s="13" t="s">
        <v>45</v>
      </c>
      <c r="D629" s="13"/>
      <c r="E629" s="32">
        <v>45161</v>
      </c>
      <c r="G629" s="8">
        <v>42305911</v>
      </c>
      <c r="I629" s="8">
        <v>10748026</v>
      </c>
      <c r="K629" s="8">
        <v>2460574</v>
      </c>
      <c r="M629" s="8">
        <v>7634384</v>
      </c>
      <c r="O629" s="8">
        <v>2040039</v>
      </c>
      <c r="Q629" s="8">
        <v>3903638</v>
      </c>
      <c r="S629" s="8">
        <v>432768</v>
      </c>
      <c r="U629" s="8">
        <v>5923873</v>
      </c>
      <c r="W629" s="8">
        <v>1180778</v>
      </c>
      <c r="Y629" s="8">
        <v>804919</v>
      </c>
      <c r="AA629" s="8">
        <v>9726607</v>
      </c>
      <c r="AC629" s="8">
        <v>3525541</v>
      </c>
      <c r="AE629" s="8">
        <v>908388</v>
      </c>
      <c r="AG629" s="8">
        <v>0</v>
      </c>
      <c r="AI629" s="8">
        <v>9434</v>
      </c>
      <c r="AJ629" s="13" t="s">
        <v>519</v>
      </c>
      <c r="AK629" s="13"/>
      <c r="AL629" s="13" t="s">
        <v>45</v>
      </c>
      <c r="AN629" s="8">
        <v>471293</v>
      </c>
      <c r="AP629" s="8">
        <v>242596</v>
      </c>
      <c r="AT629" s="8">
        <v>142719</v>
      </c>
      <c r="AV629" s="8">
        <v>37312</v>
      </c>
      <c r="AX629" s="8">
        <v>0</v>
      </c>
      <c r="AZ629" s="8">
        <f t="shared" si="55"/>
        <v>92498800</v>
      </c>
      <c r="BB629" s="8">
        <v>37196</v>
      </c>
      <c r="BH629" s="8">
        <v>0</v>
      </c>
      <c r="BJ629" s="8">
        <f t="shared" si="53"/>
        <v>92535996</v>
      </c>
      <c r="BL629" s="8">
        <f>+GenRev!AM629-GenExp!BJ629</f>
        <v>3000347</v>
      </c>
      <c r="BN629" s="8">
        <v>-23544372</v>
      </c>
      <c r="BP629" s="8">
        <v>0</v>
      </c>
      <c r="BS629" s="8">
        <f t="shared" si="54"/>
        <v>-20544025</v>
      </c>
      <c r="BU629" s="9">
        <f>+BS629-'Gen Fd BS'!AA632+BQ629</f>
        <v>0</v>
      </c>
    </row>
    <row r="630" spans="1:73">
      <c r="A630" s="13" t="s">
        <v>621</v>
      </c>
      <c r="B630" s="13"/>
      <c r="C630" s="13" t="s">
        <v>58</v>
      </c>
      <c r="D630" s="13"/>
      <c r="E630" s="32">
        <v>49544</v>
      </c>
      <c r="G630" s="8">
        <v>6314007</v>
      </c>
      <c r="I630" s="8">
        <v>837298</v>
      </c>
      <c r="K630" s="8">
        <v>9989</v>
      </c>
      <c r="M630" s="8">
        <v>140700</v>
      </c>
      <c r="O630" s="8">
        <v>474735</v>
      </c>
      <c r="Q630" s="8">
        <v>469134</v>
      </c>
      <c r="S630" s="8">
        <v>156752</v>
      </c>
      <c r="U630" s="8">
        <v>730313</v>
      </c>
      <c r="W630" s="8">
        <v>410199</v>
      </c>
      <c r="Y630" s="8">
        <v>0</v>
      </c>
      <c r="AA630" s="8">
        <v>1446444</v>
      </c>
      <c r="AC630" s="8">
        <v>922982</v>
      </c>
      <c r="AE630" s="8">
        <v>221871</v>
      </c>
      <c r="AG630" s="8">
        <v>0</v>
      </c>
      <c r="AI630" s="8">
        <v>0</v>
      </c>
      <c r="AJ630" s="13" t="s">
        <v>621</v>
      </c>
      <c r="AK630" s="13"/>
      <c r="AL630" s="13" t="s">
        <v>58</v>
      </c>
      <c r="AN630" s="8">
        <v>211688</v>
      </c>
      <c r="AP630" s="8">
        <v>0</v>
      </c>
      <c r="AT630" s="8">
        <v>146651</v>
      </c>
      <c r="AV630" s="8">
        <v>154172</v>
      </c>
      <c r="AX630" s="8">
        <v>0</v>
      </c>
      <c r="AZ630" s="8">
        <f t="shared" si="55"/>
        <v>12646935</v>
      </c>
      <c r="BB630" s="8">
        <v>94482</v>
      </c>
      <c r="BH630" s="8">
        <v>0</v>
      </c>
      <c r="BJ630" s="8">
        <f t="shared" si="53"/>
        <v>12741417</v>
      </c>
      <c r="BL630" s="8">
        <f>+GenRev!AM630-GenExp!BJ630</f>
        <v>-621484</v>
      </c>
      <c r="BN630" s="8">
        <v>5377686</v>
      </c>
      <c r="BP630" s="8">
        <v>0</v>
      </c>
      <c r="BS630" s="8">
        <f t="shared" si="54"/>
        <v>4756202</v>
      </c>
      <c r="BU630" s="9">
        <f>+BS630-'Gen Fd BS'!AA633+BQ630</f>
        <v>0</v>
      </c>
    </row>
    <row r="631" spans="1:73">
      <c r="A631" s="13" t="s">
        <v>568</v>
      </c>
      <c r="B631" s="13"/>
      <c r="C631" s="13" t="s">
        <v>51</v>
      </c>
      <c r="D631" s="13"/>
      <c r="E631" s="32">
        <v>45179</v>
      </c>
      <c r="G631" s="8">
        <v>12985609</v>
      </c>
      <c r="I631" s="8">
        <v>4083623</v>
      </c>
      <c r="K631" s="8">
        <v>340225</v>
      </c>
      <c r="M631" s="8">
        <v>442337</v>
      </c>
      <c r="O631" s="8">
        <v>1753931</v>
      </c>
      <c r="Q631" s="8">
        <v>1365196</v>
      </c>
      <c r="S631" s="8">
        <v>126473</v>
      </c>
      <c r="U631" s="8">
        <v>2062036</v>
      </c>
      <c r="W631" s="8">
        <v>603749</v>
      </c>
      <c r="Y631" s="8">
        <v>0</v>
      </c>
      <c r="AA631" s="8">
        <v>3199377</v>
      </c>
      <c r="AC631" s="8">
        <v>938139</v>
      </c>
      <c r="AE631" s="8">
        <v>645093</v>
      </c>
      <c r="AG631" s="8">
        <v>0</v>
      </c>
      <c r="AI631" s="8">
        <v>1171</v>
      </c>
      <c r="AJ631" s="13" t="s">
        <v>568</v>
      </c>
      <c r="AK631" s="13"/>
      <c r="AL631" s="13" t="s">
        <v>51</v>
      </c>
      <c r="AN631" s="8">
        <v>264448</v>
      </c>
      <c r="AP631" s="8">
        <v>0</v>
      </c>
      <c r="AT631" s="8">
        <v>29259</v>
      </c>
      <c r="AV631" s="8">
        <v>5629</v>
      </c>
      <c r="AX631" s="8">
        <v>0</v>
      </c>
      <c r="AZ631" s="8">
        <f t="shared" si="55"/>
        <v>28846295</v>
      </c>
      <c r="BB631" s="8">
        <v>33106</v>
      </c>
      <c r="BH631" s="8">
        <v>0</v>
      </c>
      <c r="BJ631" s="8">
        <f t="shared" si="53"/>
        <v>28879401</v>
      </c>
      <c r="BL631" s="8">
        <f>+GenRev!AM631-GenExp!BJ631</f>
        <v>2656658</v>
      </c>
      <c r="BN631" s="8">
        <v>-1862019</v>
      </c>
      <c r="BP631" s="8">
        <v>0</v>
      </c>
      <c r="BS631" s="8">
        <f t="shared" si="54"/>
        <v>794639</v>
      </c>
      <c r="BU631" s="9">
        <f>+BS631-'Gen Fd BS'!AA634+BQ631</f>
        <v>0</v>
      </c>
    </row>
    <row r="632" spans="1:73">
      <c r="A632" s="13"/>
      <c r="B632" s="13"/>
      <c r="C632" s="13"/>
      <c r="D632" s="13"/>
      <c r="BU632" s="8"/>
    </row>
    <row r="635" spans="1:73">
      <c r="E635" s="8"/>
    </row>
    <row r="636" spans="1:73">
      <c r="B636" s="10"/>
      <c r="C636" s="10"/>
      <c r="D636" s="10"/>
      <c r="F636" s="10"/>
    </row>
  </sheetData>
  <phoneticPr fontId="3" type="noConversion"/>
  <pageMargins left="0.75" right="0.75" top="0.5" bottom="0.5" header="0.25" footer="0.25"/>
  <pageSetup scale="72" firstPageNumber="114" fitToWidth="4" fitToHeight="18" pageOrder="overThenDown" orientation="portrait" useFirstPageNumber="1" r:id="rId1"/>
  <headerFooter alignWithMargins="0">
    <oddFooter>&amp;C&amp;"Times New Roman,Regular"&amp;12&amp;P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AE635"/>
  <sheetViews>
    <sheetView zoomScaleNormal="100" zoomScaleSheetLayoutView="100" workbookViewId="0">
      <pane xSplit="6" ySplit="9" topLeftCell="G10" activePane="bottomRight" state="frozen"/>
      <selection sqref="A1:IV65536"/>
      <selection pane="topRight" sqref="A1:IV65536"/>
      <selection pane="bottomLeft" sqref="A1:IV65536"/>
      <selection pane="bottomRight" activeCell="M31" sqref="M31"/>
    </sheetView>
  </sheetViews>
  <sheetFormatPr defaultColWidth="9.140625" defaultRowHeight="12"/>
  <cols>
    <col min="1" max="1" width="32" style="8" customWidth="1"/>
    <col min="2" max="2" width="1.7109375" style="8" customWidth="1"/>
    <col min="3" max="3" width="11.7109375" style="8" customWidth="1"/>
    <col min="4" max="4" width="1.7109375" style="8" hidden="1" customWidth="1"/>
    <col min="5" max="5" width="11.7109375" style="30" hidden="1" customWidth="1"/>
    <col min="6" max="6" width="1.7109375" style="8" customWidth="1"/>
    <col min="7" max="7" width="11.7109375" style="8" customWidth="1"/>
    <col min="8" max="8" width="1.7109375" style="8" customWidth="1"/>
    <col min="9" max="9" width="11.7109375" style="8" customWidth="1"/>
    <col min="10" max="10" width="1.7109375" style="8" customWidth="1"/>
    <col min="11" max="11" width="11.7109375" style="8" customWidth="1"/>
    <col min="12" max="12" width="1.7109375" style="8" customWidth="1"/>
    <col min="13" max="13" width="11.7109375" style="8" customWidth="1"/>
    <col min="14" max="14" width="1.7109375" style="8" customWidth="1"/>
    <col min="15" max="15" width="11.7109375" style="8" customWidth="1"/>
    <col min="16" max="16" width="1.7109375" style="8" customWidth="1"/>
    <col min="17" max="17" width="11.7109375" style="8" customWidth="1"/>
    <col min="18" max="18" width="1.7109375" style="8" customWidth="1"/>
    <col min="19" max="19" width="13.28515625" style="8" customWidth="1"/>
    <col min="20" max="20" width="1.7109375" style="8" customWidth="1"/>
    <col min="21" max="21" width="12.7109375" style="8" customWidth="1"/>
    <col min="22" max="22" width="1.7109375" style="8" customWidth="1"/>
    <col min="23" max="23" width="11.7109375" style="8" customWidth="1"/>
    <col min="24" max="24" width="1.7109375" style="8" customWidth="1"/>
    <col min="25" max="25" width="11.7109375" style="8" customWidth="1"/>
    <col min="26" max="26" width="1.7109375" style="8" customWidth="1"/>
    <col min="27" max="27" width="11.7109375" style="8" customWidth="1"/>
    <col min="28" max="28" width="1.7109375" style="8" customWidth="1"/>
    <col min="29" max="29" width="11.7109375" style="8" customWidth="1"/>
    <col min="30" max="30" width="1.7109375" style="8" customWidth="1"/>
    <col min="31" max="31" width="11.7109375" style="8" customWidth="1"/>
    <col min="32" max="16384" width="9.140625" style="8"/>
  </cols>
  <sheetData>
    <row r="1" spans="1:31">
      <c r="A1" s="27" t="s">
        <v>204</v>
      </c>
      <c r="B1" s="27"/>
      <c r="C1" s="27"/>
      <c r="D1" s="27"/>
      <c r="E1" s="54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</row>
    <row r="2" spans="1:31">
      <c r="A2" s="27" t="s">
        <v>894</v>
      </c>
      <c r="B2" s="27"/>
      <c r="C2" s="27"/>
      <c r="D2" s="27"/>
      <c r="E2" s="54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1:31">
      <c r="A3" s="15" t="s">
        <v>805</v>
      </c>
      <c r="B3" s="27"/>
      <c r="C3" s="27"/>
      <c r="D3" s="27"/>
      <c r="E3" s="54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</row>
    <row r="4" spans="1:31">
      <c r="A4" s="15" t="s">
        <v>175</v>
      </c>
      <c r="B4" s="15"/>
      <c r="C4" s="15"/>
      <c r="D4" s="15"/>
      <c r="E4" s="61"/>
      <c r="F4" s="5"/>
      <c r="G4" s="5"/>
      <c r="H4" s="5"/>
      <c r="I4" s="5"/>
      <c r="J4" s="5"/>
      <c r="K4" s="63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31">
      <c r="A5" s="15"/>
    </row>
    <row r="6" spans="1:31"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31">
      <c r="A7" s="15"/>
      <c r="B7" s="15"/>
      <c r="C7" s="15"/>
      <c r="D7" s="15"/>
      <c r="E7" s="6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 t="s">
        <v>809</v>
      </c>
      <c r="X7" s="5"/>
      <c r="Y7" s="5" t="s">
        <v>130</v>
      </c>
      <c r="Z7" s="5"/>
      <c r="AC7" s="16" t="s">
        <v>139</v>
      </c>
      <c r="AE7" s="5"/>
    </row>
    <row r="8" spans="1:31">
      <c r="A8" s="5"/>
      <c r="B8" s="5"/>
      <c r="C8" s="5"/>
      <c r="D8" s="5"/>
      <c r="E8" s="57"/>
      <c r="F8" s="5"/>
      <c r="G8" s="5" t="s">
        <v>89</v>
      </c>
      <c r="H8" s="5"/>
      <c r="I8" s="5" t="s">
        <v>104</v>
      </c>
      <c r="J8" s="5"/>
      <c r="K8" s="5" t="s">
        <v>82</v>
      </c>
      <c r="L8" s="5"/>
      <c r="M8" s="5" t="s">
        <v>3</v>
      </c>
      <c r="N8" s="5"/>
      <c r="O8" s="5"/>
      <c r="P8" s="5"/>
      <c r="Q8" s="5" t="s">
        <v>90</v>
      </c>
      <c r="R8" s="5"/>
      <c r="S8" s="5" t="s">
        <v>3</v>
      </c>
      <c r="T8" s="5"/>
      <c r="U8" s="5" t="s">
        <v>88</v>
      </c>
      <c r="V8" s="5"/>
      <c r="W8" s="5" t="s">
        <v>795</v>
      </c>
      <c r="X8" s="5"/>
      <c r="Y8" s="5" t="s">
        <v>808</v>
      </c>
      <c r="Z8" s="5"/>
      <c r="AA8" s="5" t="s">
        <v>3</v>
      </c>
      <c r="AC8" s="16" t="s">
        <v>140</v>
      </c>
    </row>
    <row r="9" spans="1:31" s="11" customFormat="1">
      <c r="A9" s="121" t="s">
        <v>206</v>
      </c>
      <c r="B9" s="16"/>
      <c r="C9" s="121" t="s">
        <v>4</v>
      </c>
      <c r="D9" s="16"/>
      <c r="E9" s="58" t="s">
        <v>205</v>
      </c>
      <c r="F9" s="5"/>
      <c r="G9" s="121" t="s">
        <v>92</v>
      </c>
      <c r="H9" s="5"/>
      <c r="I9" s="121" t="s">
        <v>87</v>
      </c>
      <c r="J9" s="5"/>
      <c r="K9" s="121" t="s">
        <v>87</v>
      </c>
      <c r="L9" s="5"/>
      <c r="M9" s="121" t="s">
        <v>87</v>
      </c>
      <c r="N9" s="5"/>
      <c r="O9" s="121" t="s">
        <v>93</v>
      </c>
      <c r="P9" s="5"/>
      <c r="Q9" s="121" t="s">
        <v>8</v>
      </c>
      <c r="R9" s="5"/>
      <c r="S9" s="121" t="s">
        <v>93</v>
      </c>
      <c r="T9" s="5"/>
      <c r="U9" s="121" t="s">
        <v>94</v>
      </c>
      <c r="V9" s="5"/>
      <c r="W9" s="121" t="s">
        <v>94</v>
      </c>
      <c r="X9" s="5"/>
      <c r="Y9" s="121" t="s">
        <v>94</v>
      </c>
      <c r="Z9" s="5"/>
      <c r="AA9" s="121" t="s">
        <v>94</v>
      </c>
      <c r="AC9" s="121" t="s">
        <v>141</v>
      </c>
    </row>
    <row r="10" spans="1:31">
      <c r="A10" s="13"/>
      <c r="B10" s="13"/>
      <c r="C10" s="13"/>
      <c r="D10" s="13"/>
      <c r="E10" s="32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31" s="35" customFormat="1">
      <c r="A11" s="34" t="s">
        <v>207</v>
      </c>
      <c r="B11" s="34"/>
      <c r="C11" s="34" t="s">
        <v>208</v>
      </c>
      <c r="D11" s="34"/>
      <c r="E11" s="34">
        <v>61903</v>
      </c>
      <c r="F11" s="47"/>
      <c r="G11" s="35">
        <v>35793508</v>
      </c>
      <c r="I11" s="35">
        <v>0</v>
      </c>
      <c r="K11" s="42">
        <f>M11-G11-I11</f>
        <v>16558979</v>
      </c>
      <c r="M11" s="35">
        <v>52352487</v>
      </c>
      <c r="O11" s="42">
        <f>S11-Q11</f>
        <v>10582126</v>
      </c>
      <c r="Q11" s="35">
        <v>13477186</v>
      </c>
      <c r="S11" s="35">
        <v>24059312</v>
      </c>
      <c r="U11" s="35">
        <f>17227654+39436+705775+13599</f>
        <v>17986464</v>
      </c>
      <c r="W11" s="35">
        <v>0</v>
      </c>
      <c r="Y11" s="35">
        <f>1928883+1629018+3678506+3070304</f>
        <v>10306711</v>
      </c>
      <c r="AA11" s="64">
        <f>U11+W11+Y11</f>
        <v>28293175</v>
      </c>
      <c r="AC11" s="35">
        <f>+G11+I11+K11-O11-Q11-Y11-W11-U11</f>
        <v>0</v>
      </c>
    </row>
    <row r="12" spans="1:31">
      <c r="A12" s="13" t="s">
        <v>616</v>
      </c>
      <c r="B12" s="13"/>
      <c r="C12" s="13" t="s">
        <v>58</v>
      </c>
      <c r="D12" s="13"/>
      <c r="E12" s="32">
        <v>49494</v>
      </c>
      <c r="G12" s="8">
        <v>3466676</v>
      </c>
      <c r="I12" s="8">
        <v>482075</v>
      </c>
      <c r="K12" s="42">
        <f t="shared" ref="K12:K17" si="0">M12-G12-I12</f>
        <v>2774580</v>
      </c>
      <c r="M12" s="8">
        <v>6723331</v>
      </c>
      <c r="O12" s="3">
        <f>S12-Q12</f>
        <v>1306463</v>
      </c>
      <c r="Q12" s="8">
        <v>1939843</v>
      </c>
      <c r="S12" s="8">
        <v>3246306</v>
      </c>
      <c r="U12" s="8">
        <f>99704+213888+441048+41027</f>
        <v>795667</v>
      </c>
      <c r="W12" s="8">
        <v>0</v>
      </c>
      <c r="Y12" s="8">
        <f>1890650+217831+197903+374974</f>
        <v>2681358</v>
      </c>
      <c r="AA12" s="14">
        <f>U12+W12+Y12</f>
        <v>3477025</v>
      </c>
      <c r="AC12" s="8">
        <f t="shared" ref="AC12:AC81" si="1">+G12+I12+K12-O12-Q12-Y12-W12-U12</f>
        <v>0</v>
      </c>
    </row>
    <row r="13" spans="1:31">
      <c r="A13" s="13" t="s">
        <v>662</v>
      </c>
      <c r="B13" s="13"/>
      <c r="C13" s="13" t="s">
        <v>63</v>
      </c>
      <c r="D13" s="13"/>
      <c r="E13" s="32">
        <v>43489</v>
      </c>
      <c r="G13" s="8">
        <v>49599507</v>
      </c>
      <c r="I13" s="8">
        <v>0</v>
      </c>
      <c r="K13" s="42">
        <f t="shared" si="0"/>
        <v>367031933</v>
      </c>
      <c r="M13" s="8">
        <v>416631440</v>
      </c>
      <c r="O13" s="3">
        <f t="shared" ref="O13:O32" si="2">S13-Q13</f>
        <v>158102874</v>
      </c>
      <c r="Q13" s="8">
        <v>152909013</v>
      </c>
      <c r="S13" s="8">
        <v>311011887</v>
      </c>
      <c r="U13" s="8">
        <f>61521323+10871223</f>
        <v>72392546</v>
      </c>
      <c r="W13" s="8">
        <v>0</v>
      </c>
      <c r="Y13" s="8">
        <f>16540883+7720477+13007+8952640</f>
        <v>33227007</v>
      </c>
      <c r="AA13" s="14">
        <f t="shared" ref="AA13:AA81" si="3">U13+W13+Y13</f>
        <v>105619553</v>
      </c>
      <c r="AC13" s="8">
        <f t="shared" si="1"/>
        <v>0</v>
      </c>
    </row>
    <row r="14" spans="1:31" hidden="1">
      <c r="A14" s="13" t="s">
        <v>837</v>
      </c>
      <c r="B14" s="13"/>
      <c r="C14" s="13" t="s">
        <v>13</v>
      </c>
      <c r="D14" s="13"/>
      <c r="E14" s="32">
        <v>45906</v>
      </c>
      <c r="G14" s="8">
        <v>5512409</v>
      </c>
      <c r="I14" s="8">
        <v>333270</v>
      </c>
      <c r="K14" s="42">
        <f t="shared" si="0"/>
        <v>0</v>
      </c>
      <c r="M14" s="8">
        <v>5845679</v>
      </c>
      <c r="O14" s="3">
        <f t="shared" si="2"/>
        <v>0</v>
      </c>
      <c r="U14" s="8">
        <f>199735+313414+19856</f>
        <v>533005</v>
      </c>
      <c r="W14" s="8">
        <v>0</v>
      </c>
      <c r="Y14" s="8">
        <f>2456390+1077931+1285969+492384</f>
        <v>5312674</v>
      </c>
      <c r="AA14" s="14">
        <f t="shared" si="3"/>
        <v>5845679</v>
      </c>
      <c r="AC14" s="8">
        <f t="shared" si="1"/>
        <v>0</v>
      </c>
      <c r="AE14" s="8" t="s">
        <v>956</v>
      </c>
    </row>
    <row r="15" spans="1:31">
      <c r="A15" s="13" t="s">
        <v>648</v>
      </c>
      <c r="B15" s="13"/>
      <c r="C15" s="13" t="s">
        <v>62</v>
      </c>
      <c r="D15" s="13"/>
      <c r="E15" s="32">
        <v>43497</v>
      </c>
      <c r="G15" s="8">
        <v>8447691</v>
      </c>
      <c r="I15" s="8">
        <v>204020</v>
      </c>
      <c r="K15" s="42">
        <f t="shared" si="0"/>
        <v>10167643</v>
      </c>
      <c r="M15" s="8">
        <v>18819354</v>
      </c>
      <c r="O15" s="3">
        <f t="shared" si="2"/>
        <v>5046326</v>
      </c>
      <c r="Q15" s="8">
        <v>9037248</v>
      </c>
      <c r="S15" s="8">
        <v>14083574</v>
      </c>
      <c r="U15" s="8">
        <f>497608+483051+202811+1209</f>
        <v>1184679</v>
      </c>
      <c r="W15" s="8">
        <v>0</v>
      </c>
      <c r="Y15" s="8">
        <f>416118+2584066+305393+245524</f>
        <v>3551101</v>
      </c>
      <c r="AA15" s="14">
        <f t="shared" si="3"/>
        <v>4735780</v>
      </c>
      <c r="AC15" s="8">
        <f t="shared" si="1"/>
        <v>0</v>
      </c>
    </row>
    <row r="16" spans="1:31">
      <c r="A16" s="13" t="s">
        <v>343</v>
      </c>
      <c r="B16" s="13"/>
      <c r="C16" s="13" t="s">
        <v>25</v>
      </c>
      <c r="D16" s="13"/>
      <c r="E16" s="32">
        <v>46847</v>
      </c>
      <c r="G16" s="8">
        <v>2561198</v>
      </c>
      <c r="I16" s="8">
        <v>0</v>
      </c>
      <c r="K16" s="42">
        <f t="shared" si="0"/>
        <v>3274013</v>
      </c>
      <c r="M16" s="8">
        <v>5835211</v>
      </c>
      <c r="O16" s="3">
        <f t="shared" si="2"/>
        <v>1889700</v>
      </c>
      <c r="Q16" s="8">
        <v>2790725</v>
      </c>
      <c r="S16" s="8">
        <v>4680425</v>
      </c>
      <c r="U16" s="8">
        <f>128979+418054</f>
        <v>547033</v>
      </c>
      <c r="W16" s="8">
        <v>0</v>
      </c>
      <c r="Y16" s="8">
        <f>-744813+449055+512386+391125</f>
        <v>607753</v>
      </c>
      <c r="AA16" s="14">
        <f t="shared" si="3"/>
        <v>1154786</v>
      </c>
      <c r="AC16" s="8">
        <f t="shared" si="1"/>
        <v>0</v>
      </c>
    </row>
    <row r="17" spans="1:31">
      <c r="A17" s="13" t="s">
        <v>775</v>
      </c>
      <c r="B17" s="13"/>
      <c r="C17" s="13" t="s">
        <v>44</v>
      </c>
      <c r="D17" s="13"/>
      <c r="E17" s="13">
        <v>45195</v>
      </c>
      <c r="F17" s="5"/>
      <c r="G17" s="8">
        <v>8006498</v>
      </c>
      <c r="I17" s="8">
        <v>0</v>
      </c>
      <c r="K17" s="42">
        <f t="shared" si="0"/>
        <v>17904631</v>
      </c>
      <c r="M17" s="8">
        <v>25911129</v>
      </c>
      <c r="O17" s="3">
        <f t="shared" si="2"/>
        <v>5905664</v>
      </c>
      <c r="Q17" s="8">
        <v>15535220</v>
      </c>
      <c r="S17" s="8">
        <v>21440884</v>
      </c>
      <c r="U17" s="8">
        <f>512508+1953793</f>
        <v>2466301</v>
      </c>
      <c r="W17" s="8">
        <v>0</v>
      </c>
      <c r="Y17" s="8">
        <f>26304+514401+1001039+462200</f>
        <v>2003944</v>
      </c>
      <c r="AA17" s="14">
        <f t="shared" si="3"/>
        <v>4470245</v>
      </c>
      <c r="AC17" s="8">
        <f t="shared" si="1"/>
        <v>0</v>
      </c>
    </row>
    <row r="18" spans="1:31">
      <c r="A18" s="13" t="s">
        <v>641</v>
      </c>
      <c r="B18" s="13"/>
      <c r="C18" s="13" t="s">
        <v>61</v>
      </c>
      <c r="D18" s="13"/>
      <c r="E18" s="32">
        <v>49759</v>
      </c>
      <c r="G18" s="8">
        <v>6381928</v>
      </c>
      <c r="I18" s="8">
        <v>0</v>
      </c>
      <c r="K18" s="3">
        <f t="shared" ref="K18:K32" si="4">M18-G18-I18</f>
        <v>2499439</v>
      </c>
      <c r="M18" s="8">
        <v>8881367</v>
      </c>
      <c r="O18" s="3">
        <f t="shared" si="2"/>
        <v>1214243</v>
      </c>
      <c r="Q18" s="8">
        <v>1989668</v>
      </c>
      <c r="S18" s="8">
        <v>3203911</v>
      </c>
      <c r="U18" s="8">
        <f>130367+178548+71229+70953</f>
        <v>451097</v>
      </c>
      <c r="W18" s="8">
        <v>0</v>
      </c>
      <c r="Y18" s="8">
        <f>2949699+179010+2091318+6332</f>
        <v>5226359</v>
      </c>
      <c r="AA18" s="14">
        <f t="shared" si="3"/>
        <v>5677456</v>
      </c>
      <c r="AC18" s="8">
        <f t="shared" si="1"/>
        <v>0</v>
      </c>
    </row>
    <row r="19" spans="1:31" hidden="1">
      <c r="A19" s="13" t="s">
        <v>1019</v>
      </c>
      <c r="B19" s="13"/>
      <c r="C19" s="13" t="s">
        <v>814</v>
      </c>
      <c r="D19" s="13"/>
      <c r="E19" s="32"/>
      <c r="G19" s="8">
        <v>1045191</v>
      </c>
      <c r="I19" s="8">
        <v>216453</v>
      </c>
      <c r="K19" s="3">
        <f t="shared" si="4"/>
        <v>0</v>
      </c>
      <c r="M19" s="8">
        <v>1261644</v>
      </c>
      <c r="O19" s="3"/>
      <c r="U19" s="8">
        <f>116455+42458+118497+55498</f>
        <v>332908</v>
      </c>
      <c r="Y19" s="8">
        <f>601644+61011+215468+50613</f>
        <v>928736</v>
      </c>
      <c r="AA19" s="14">
        <f t="shared" si="3"/>
        <v>1261644</v>
      </c>
      <c r="AC19" s="8">
        <f t="shared" si="1"/>
        <v>0</v>
      </c>
    </row>
    <row r="20" spans="1:31">
      <c r="A20" s="13" t="s">
        <v>496</v>
      </c>
      <c r="B20" s="13"/>
      <c r="C20" s="13" t="s">
        <v>117</v>
      </c>
      <c r="D20" s="13"/>
      <c r="E20" s="32">
        <v>48207</v>
      </c>
      <c r="G20" s="8">
        <v>8236970</v>
      </c>
      <c r="I20" s="8">
        <v>0</v>
      </c>
      <c r="K20" s="3">
        <f t="shared" si="4"/>
        <v>25754668</v>
      </c>
      <c r="M20" s="8">
        <v>33991638</v>
      </c>
      <c r="O20" s="3">
        <f t="shared" si="2"/>
        <v>26519759</v>
      </c>
      <c r="Q20" s="8">
        <v>1451003</v>
      </c>
      <c r="S20" s="8">
        <v>27970762</v>
      </c>
      <c r="U20" s="8">
        <f>914711+72879+126294+1585915+849264+34698</f>
        <v>3583761</v>
      </c>
      <c r="W20" s="8">
        <v>0</v>
      </c>
      <c r="Y20" s="8">
        <f>-431841+662200+2206756</f>
        <v>2437115</v>
      </c>
      <c r="AA20" s="14">
        <f t="shared" si="3"/>
        <v>6020876</v>
      </c>
      <c r="AC20" s="8">
        <f t="shared" si="1"/>
        <v>0</v>
      </c>
    </row>
    <row r="21" spans="1:31">
      <c r="A21" s="13" t="s">
        <v>413</v>
      </c>
      <c r="B21" s="13"/>
      <c r="C21" s="13" t="s">
        <v>33</v>
      </c>
      <c r="D21" s="13"/>
      <c r="E21" s="32">
        <v>47415</v>
      </c>
      <c r="G21" s="8">
        <v>3136244</v>
      </c>
      <c r="I21" s="8">
        <v>0</v>
      </c>
      <c r="K21" s="3">
        <f t="shared" si="4"/>
        <v>2157687</v>
      </c>
      <c r="M21" s="8">
        <v>5293931</v>
      </c>
      <c r="O21" s="3">
        <f t="shared" si="2"/>
        <v>719918</v>
      </c>
      <c r="Q21" s="8">
        <v>1715473</v>
      </c>
      <c r="S21" s="8">
        <v>2435391</v>
      </c>
      <c r="U21" s="8">
        <f>199824+3433+3565+47184</f>
        <v>254006</v>
      </c>
      <c r="W21" s="8">
        <v>0</v>
      </c>
      <c r="Y21" s="8">
        <f>2296675+74480+233379</f>
        <v>2604534</v>
      </c>
      <c r="AA21" s="14">
        <f t="shared" si="3"/>
        <v>2858540</v>
      </c>
      <c r="AC21" s="8">
        <f t="shared" si="1"/>
        <v>0</v>
      </c>
    </row>
    <row r="22" spans="1:31" hidden="1">
      <c r="A22" s="13" t="s">
        <v>958</v>
      </c>
      <c r="B22" s="13"/>
      <c r="C22" s="13" t="s">
        <v>21</v>
      </c>
      <c r="D22" s="13"/>
      <c r="E22" s="32">
        <v>46631</v>
      </c>
      <c r="G22" s="8">
        <v>23345008</v>
      </c>
      <c r="I22" s="8">
        <v>309888</v>
      </c>
      <c r="K22" s="3">
        <f t="shared" si="4"/>
        <v>10066</v>
      </c>
      <c r="M22" s="8">
        <v>23664962</v>
      </c>
      <c r="O22" s="3">
        <f t="shared" si="2"/>
        <v>0</v>
      </c>
      <c r="U22" s="8">
        <f>786767+289659+20229</f>
        <v>1096655</v>
      </c>
      <c r="W22" s="8">
        <v>0</v>
      </c>
      <c r="Y22" s="8">
        <f>1508936+298269+212657+20548445</f>
        <v>22568307</v>
      </c>
      <c r="AA22" s="14">
        <f t="shared" si="3"/>
        <v>23664962</v>
      </c>
      <c r="AC22" s="8">
        <f t="shared" si="1"/>
        <v>0</v>
      </c>
      <c r="AE22" s="8" t="s">
        <v>956</v>
      </c>
    </row>
    <row r="23" spans="1:31">
      <c r="A23" s="13" t="s">
        <v>368</v>
      </c>
      <c r="B23" s="13"/>
      <c r="C23" s="13" t="s">
        <v>28</v>
      </c>
      <c r="D23" s="13"/>
      <c r="E23" s="32">
        <v>47043</v>
      </c>
      <c r="G23" s="8">
        <v>8282065</v>
      </c>
      <c r="I23" s="8">
        <v>0</v>
      </c>
      <c r="K23" s="3">
        <f t="shared" si="4"/>
        <v>8260732</v>
      </c>
      <c r="M23" s="8">
        <v>16542797</v>
      </c>
      <c r="O23" s="3">
        <f t="shared" si="2"/>
        <v>1430331</v>
      </c>
      <c r="Q23" s="8">
        <v>7849953</v>
      </c>
      <c r="S23" s="8">
        <v>9280284</v>
      </c>
      <c r="U23" s="8">
        <f>37063+6465+296204</f>
        <v>339732</v>
      </c>
      <c r="W23" s="8">
        <v>0</v>
      </c>
      <c r="Y23" s="8">
        <f>3068365+171192+3558998+124226</f>
        <v>6922781</v>
      </c>
      <c r="AA23" s="14">
        <f t="shared" si="3"/>
        <v>7262513</v>
      </c>
      <c r="AC23" s="8">
        <f t="shared" si="1"/>
        <v>0</v>
      </c>
    </row>
    <row r="24" spans="1:31">
      <c r="A24" s="13" t="s">
        <v>414</v>
      </c>
      <c r="B24" s="13"/>
      <c r="C24" s="13" t="s">
        <v>33</v>
      </c>
      <c r="D24" s="13"/>
      <c r="E24" s="32">
        <v>47423</v>
      </c>
      <c r="G24" s="8">
        <v>3025346</v>
      </c>
      <c r="I24" s="8">
        <v>0</v>
      </c>
      <c r="K24" s="3">
        <f t="shared" si="4"/>
        <v>1992990</v>
      </c>
      <c r="M24" s="8">
        <v>5018336</v>
      </c>
      <c r="O24" s="3">
        <f t="shared" si="2"/>
        <v>692058</v>
      </c>
      <c r="Q24" s="8">
        <v>1213989</v>
      </c>
      <c r="S24" s="8">
        <v>1906047</v>
      </c>
      <c r="U24" s="8">
        <f>133000+284412+100570</f>
        <v>517982</v>
      </c>
      <c r="W24" s="8">
        <v>0</v>
      </c>
      <c r="Y24" s="8">
        <f>2347973+181491+64843</f>
        <v>2594307</v>
      </c>
      <c r="AA24" s="14">
        <f t="shared" si="3"/>
        <v>3112289</v>
      </c>
      <c r="AC24" s="8">
        <f t="shared" si="1"/>
        <v>0</v>
      </c>
    </row>
    <row r="25" spans="1:31">
      <c r="A25" s="13" t="s">
        <v>213</v>
      </c>
      <c r="B25" s="13"/>
      <c r="C25" s="13" t="s">
        <v>11</v>
      </c>
      <c r="D25" s="13"/>
      <c r="E25" s="32">
        <v>43505</v>
      </c>
      <c r="G25" s="8">
        <v>8609197</v>
      </c>
      <c r="I25" s="8">
        <v>0</v>
      </c>
      <c r="K25" s="3">
        <f t="shared" si="4"/>
        <v>15991713</v>
      </c>
      <c r="M25" s="8">
        <v>24600910</v>
      </c>
      <c r="O25" s="3">
        <f t="shared" si="2"/>
        <v>4063360</v>
      </c>
      <c r="Q25" s="8">
        <v>11382053</v>
      </c>
      <c r="S25" s="8">
        <v>15445413</v>
      </c>
      <c r="U25" s="8">
        <f>260337+202829+3716693</f>
        <v>4179859</v>
      </c>
      <c r="W25" s="8">
        <v>0</v>
      </c>
      <c r="Y25" s="8">
        <f>4073304+261642+520391+94752+25549</f>
        <v>4975638</v>
      </c>
      <c r="AA25" s="14">
        <f t="shared" si="3"/>
        <v>9155497</v>
      </c>
      <c r="AC25" s="8">
        <f t="shared" si="1"/>
        <v>0</v>
      </c>
    </row>
    <row r="26" spans="1:31">
      <c r="A26" s="13" t="s">
        <v>761</v>
      </c>
      <c r="B26" s="13"/>
      <c r="C26" s="13" t="s">
        <v>12</v>
      </c>
      <c r="D26" s="13"/>
      <c r="E26" s="32">
        <v>43513</v>
      </c>
      <c r="G26" s="8">
        <v>8162721</v>
      </c>
      <c r="I26" s="8">
        <v>18381552</v>
      </c>
      <c r="K26" s="3">
        <f t="shared" si="4"/>
        <v>15908678</v>
      </c>
      <c r="M26" s="8">
        <v>42452951</v>
      </c>
      <c r="O26" s="3">
        <f t="shared" si="2"/>
        <v>6274615</v>
      </c>
      <c r="Q26" s="8">
        <v>8445957</v>
      </c>
      <c r="S26" s="8">
        <v>14720572</v>
      </c>
      <c r="U26" s="8">
        <f>2972286+6148558</f>
        <v>9120844</v>
      </c>
      <c r="W26" s="8">
        <v>0</v>
      </c>
      <c r="Y26" s="8">
        <f>18096471+2049422+1020506-2554864</f>
        <v>18611535</v>
      </c>
      <c r="AA26" s="14">
        <f t="shared" si="3"/>
        <v>27732379</v>
      </c>
      <c r="AC26" s="8">
        <f t="shared" si="1"/>
        <v>0</v>
      </c>
      <c r="AE26" s="8" t="s">
        <v>956</v>
      </c>
    </row>
    <row r="27" spans="1:31">
      <c r="A27" s="13" t="s">
        <v>223</v>
      </c>
      <c r="B27" s="13"/>
      <c r="C27" s="13" t="s">
        <v>13</v>
      </c>
      <c r="D27" s="13"/>
      <c r="E27" s="32">
        <v>43521</v>
      </c>
      <c r="G27" s="8">
        <v>15557767</v>
      </c>
      <c r="I27" s="8">
        <v>16311</v>
      </c>
      <c r="K27" s="3">
        <f t="shared" si="4"/>
        <v>23729134</v>
      </c>
      <c r="M27" s="8">
        <v>39303212</v>
      </c>
      <c r="O27" s="3">
        <f t="shared" si="2"/>
        <v>4242256</v>
      </c>
      <c r="Q27" s="8">
        <v>21082330</v>
      </c>
      <c r="S27" s="8">
        <v>25324586</v>
      </c>
      <c r="U27" s="8">
        <f>145933+1191575+16311</f>
        <v>1353819</v>
      </c>
      <c r="W27" s="8">
        <v>0</v>
      </c>
      <c r="Y27" s="8">
        <f>6068060+670826+2821755+3064166</f>
        <v>12624807</v>
      </c>
      <c r="AA27" s="14">
        <f t="shared" si="3"/>
        <v>13978626</v>
      </c>
      <c r="AC27" s="8">
        <f t="shared" si="1"/>
        <v>0</v>
      </c>
      <c r="AE27" s="8" t="s">
        <v>956</v>
      </c>
    </row>
    <row r="28" spans="1:31">
      <c r="A28" s="13" t="s">
        <v>588</v>
      </c>
      <c r="B28" s="13"/>
      <c r="C28" s="13" t="s">
        <v>56</v>
      </c>
      <c r="D28" s="13"/>
      <c r="E28" s="32">
        <v>49171</v>
      </c>
      <c r="G28" s="8">
        <v>4932843</v>
      </c>
      <c r="I28" s="8">
        <v>0</v>
      </c>
      <c r="K28" s="3">
        <f t="shared" si="4"/>
        <v>23655819</v>
      </c>
      <c r="M28" s="8">
        <v>28588662</v>
      </c>
      <c r="O28" s="3">
        <f t="shared" si="2"/>
        <v>3806494</v>
      </c>
      <c r="Q28" s="8">
        <v>21291638</v>
      </c>
      <c r="S28" s="8">
        <v>25098132</v>
      </c>
      <c r="U28" s="8">
        <f>456867+401410</f>
        <v>858277</v>
      </c>
      <c r="W28" s="8">
        <v>0</v>
      </c>
      <c r="Y28" s="8">
        <f>2310644+111742+645485-435618</f>
        <v>2632253</v>
      </c>
      <c r="AA28" s="14">
        <f t="shared" si="3"/>
        <v>3490530</v>
      </c>
      <c r="AC28" s="8">
        <f t="shared" si="1"/>
        <v>0</v>
      </c>
    </row>
    <row r="29" spans="1:31">
      <c r="A29" s="13" t="s">
        <v>508</v>
      </c>
      <c r="B29" s="13"/>
      <c r="C29" s="13" t="s">
        <v>45</v>
      </c>
      <c r="D29" s="13"/>
      <c r="E29" s="32">
        <v>48298</v>
      </c>
      <c r="G29" s="8">
        <v>6926875</v>
      </c>
      <c r="I29" s="8">
        <v>71261</v>
      </c>
      <c r="K29" s="3">
        <f t="shared" si="4"/>
        <v>19746917</v>
      </c>
      <c r="M29" s="8">
        <v>26745053</v>
      </c>
      <c r="O29" s="3">
        <f t="shared" si="2"/>
        <v>23526320</v>
      </c>
      <c r="Q29" s="8">
        <v>2333367</v>
      </c>
      <c r="S29" s="8">
        <v>25859687</v>
      </c>
      <c r="U29" s="8">
        <f>810835+28390+34744+944762+71261</f>
        <v>1889992</v>
      </c>
      <c r="W29" s="8">
        <v>224000</v>
      </c>
      <c r="Y29" s="8">
        <f>802325+149834-2180785</f>
        <v>-1228626</v>
      </c>
      <c r="AA29" s="14">
        <f t="shared" si="3"/>
        <v>885366</v>
      </c>
      <c r="AC29" s="8">
        <f t="shared" si="1"/>
        <v>0</v>
      </c>
      <c r="AE29" s="8" t="s">
        <v>956</v>
      </c>
    </row>
    <row r="30" spans="1:31">
      <c r="A30" s="13" t="s">
        <v>483</v>
      </c>
      <c r="B30" s="13"/>
      <c r="C30" s="13" t="s">
        <v>44</v>
      </c>
      <c r="D30" s="13"/>
      <c r="E30" s="32">
        <v>48124</v>
      </c>
      <c r="G30" s="8">
        <v>21412585</v>
      </c>
      <c r="I30" s="8">
        <v>113990</v>
      </c>
      <c r="K30" s="3">
        <f t="shared" si="4"/>
        <v>35301988</v>
      </c>
      <c r="M30" s="8">
        <v>56828563</v>
      </c>
      <c r="O30" s="3">
        <f t="shared" si="2"/>
        <v>4420169</v>
      </c>
      <c r="Q30" s="8">
        <v>33361035</v>
      </c>
      <c r="S30" s="8">
        <v>37781204</v>
      </c>
      <c r="U30" s="8">
        <f>42876+1975427+1745038+113990</f>
        <v>3877331</v>
      </c>
      <c r="W30" s="8">
        <v>0</v>
      </c>
      <c r="Y30" s="8">
        <f>10818347+456708+3528921+366052</f>
        <v>15170028</v>
      </c>
      <c r="AA30" s="14">
        <f t="shared" si="3"/>
        <v>19047359</v>
      </c>
      <c r="AC30" s="8">
        <f t="shared" si="1"/>
        <v>0</v>
      </c>
      <c r="AE30" s="8" t="s">
        <v>956</v>
      </c>
    </row>
    <row r="31" spans="1:31">
      <c r="A31" s="13" t="s">
        <v>484</v>
      </c>
      <c r="B31" s="13"/>
      <c r="C31" s="13" t="s">
        <v>44</v>
      </c>
      <c r="D31" s="13"/>
      <c r="E31" s="32">
        <v>48116</v>
      </c>
      <c r="G31" s="8">
        <v>12498365</v>
      </c>
      <c r="I31" s="8">
        <v>0</v>
      </c>
      <c r="K31" s="3">
        <f t="shared" si="4"/>
        <v>25034581</v>
      </c>
      <c r="M31" s="8">
        <v>37532946</v>
      </c>
      <c r="O31" s="3">
        <f t="shared" si="2"/>
        <v>8801066</v>
      </c>
      <c r="Q31" s="8">
        <v>22289441</v>
      </c>
      <c r="S31" s="8">
        <v>31090507</v>
      </c>
      <c r="U31" s="8">
        <f>2446931+691321</f>
        <v>3138252</v>
      </c>
      <c r="W31" s="8">
        <v>0</v>
      </c>
      <c r="Y31" s="8">
        <f>2720298+329894+2188883-1934888</f>
        <v>3304187</v>
      </c>
      <c r="AA31" s="14">
        <f t="shared" si="3"/>
        <v>6442439</v>
      </c>
      <c r="AC31" s="8">
        <f t="shared" si="1"/>
        <v>0</v>
      </c>
      <c r="AE31" s="8" t="s">
        <v>956</v>
      </c>
    </row>
    <row r="32" spans="1:31">
      <c r="A32" s="13" t="s">
        <v>330</v>
      </c>
      <c r="B32" s="13"/>
      <c r="C32" s="13" t="s">
        <v>22</v>
      </c>
      <c r="D32" s="13"/>
      <c r="E32" s="32">
        <v>46706</v>
      </c>
      <c r="G32" s="8">
        <v>3281831</v>
      </c>
      <c r="I32" s="8">
        <v>1056</v>
      </c>
      <c r="K32" s="3">
        <f t="shared" si="4"/>
        <v>2991040</v>
      </c>
      <c r="M32" s="8">
        <v>6273927</v>
      </c>
      <c r="O32" s="3">
        <f t="shared" si="2"/>
        <v>1044387</v>
      </c>
      <c r="Q32" s="8">
        <v>2341330</v>
      </c>
      <c r="S32" s="8">
        <v>3385717</v>
      </c>
      <c r="U32" s="8">
        <f>132659+29575+19277+154875+1056</f>
        <v>337442</v>
      </c>
      <c r="W32" s="8">
        <v>0</v>
      </c>
      <c r="Y32" s="8">
        <f>2181466+313272+56030</f>
        <v>2550768</v>
      </c>
      <c r="AA32" s="14">
        <f t="shared" si="3"/>
        <v>2888210</v>
      </c>
      <c r="AC32" s="8">
        <f t="shared" si="1"/>
        <v>0</v>
      </c>
      <c r="AE32" s="8" t="s">
        <v>956</v>
      </c>
    </row>
    <row r="33" spans="1:31">
      <c r="A33" s="13" t="s">
        <v>663</v>
      </c>
      <c r="B33" s="13"/>
      <c r="C33" s="13" t="s">
        <v>63</v>
      </c>
      <c r="D33" s="13"/>
      <c r="E33" s="32">
        <v>43539</v>
      </c>
      <c r="G33" s="8">
        <v>15722818</v>
      </c>
      <c r="I33" s="8">
        <v>0</v>
      </c>
      <c r="K33" s="3">
        <f t="shared" ref="K33:K48" si="5">+M33-I33-G33</f>
        <v>87551753</v>
      </c>
      <c r="M33" s="8">
        <v>103274571</v>
      </c>
      <c r="O33" s="3">
        <f t="shared" ref="O33:O48" si="6">+S33-Q33</f>
        <v>19233731</v>
      </c>
      <c r="Q33" s="8">
        <v>39625572</v>
      </c>
      <c r="S33" s="8">
        <v>58859303</v>
      </c>
      <c r="U33" s="8">
        <f>1686219+104963+24365+1401048+1807840</f>
        <v>5024435</v>
      </c>
      <c r="W33" s="8">
        <v>0</v>
      </c>
      <c r="Y33" s="8">
        <f>5778574+173276+33438983</f>
        <v>39390833</v>
      </c>
      <c r="AA33" s="14">
        <f t="shared" si="3"/>
        <v>44415268</v>
      </c>
      <c r="AC33" s="8">
        <f t="shared" si="1"/>
        <v>0</v>
      </c>
    </row>
    <row r="34" spans="1:31">
      <c r="A34" s="13" t="s">
        <v>815</v>
      </c>
      <c r="B34" s="13"/>
      <c r="C34" s="13" t="s">
        <v>15</v>
      </c>
      <c r="D34" s="13"/>
      <c r="E34" s="32"/>
      <c r="G34" s="8">
        <v>3409117</v>
      </c>
      <c r="I34" s="8">
        <f>9036+25245</f>
        <v>34281</v>
      </c>
      <c r="K34" s="3">
        <f t="shared" si="5"/>
        <v>2503139</v>
      </c>
      <c r="M34" s="8">
        <v>5946537</v>
      </c>
      <c r="O34" s="3">
        <f t="shared" si="6"/>
        <v>1175436</v>
      </c>
      <c r="Q34" s="8">
        <v>2159220</v>
      </c>
      <c r="S34" s="8">
        <v>3334656</v>
      </c>
      <c r="U34" s="8">
        <f>150584+209906+9036</f>
        <v>369526</v>
      </c>
      <c r="W34" s="8">
        <v>0</v>
      </c>
      <c r="Y34" s="8">
        <f>1486619+250798+491103+13835</f>
        <v>2242355</v>
      </c>
      <c r="AA34" s="14">
        <f t="shared" si="3"/>
        <v>2611881</v>
      </c>
      <c r="AC34" s="8">
        <f t="shared" si="1"/>
        <v>0</v>
      </c>
    </row>
    <row r="35" spans="1:31">
      <c r="A35" s="13" t="s">
        <v>266</v>
      </c>
      <c r="B35" s="13"/>
      <c r="C35" s="13" t="s">
        <v>115</v>
      </c>
      <c r="D35" s="13"/>
      <c r="E35" s="32">
        <v>46300</v>
      </c>
      <c r="G35" s="8">
        <v>3956253</v>
      </c>
      <c r="I35" s="8">
        <v>78607</v>
      </c>
      <c r="K35" s="3">
        <f t="shared" si="5"/>
        <v>7320594</v>
      </c>
      <c r="M35" s="8">
        <v>11355454</v>
      </c>
      <c r="O35" s="3">
        <f t="shared" si="6"/>
        <v>1946358</v>
      </c>
      <c r="Q35" s="8">
        <v>6797784</v>
      </c>
      <c r="S35" s="8">
        <v>8744142</v>
      </c>
      <c r="U35" s="8">
        <f>434914+78607+522200</f>
        <v>1035721</v>
      </c>
      <c r="W35" s="8">
        <v>0</v>
      </c>
      <c r="Y35" s="8">
        <f>-1230718+2437565+273538+95206</f>
        <v>1575591</v>
      </c>
      <c r="AA35" s="14">
        <f t="shared" si="3"/>
        <v>2611312</v>
      </c>
      <c r="AC35" s="8">
        <f t="shared" si="1"/>
        <v>0</v>
      </c>
    </row>
    <row r="36" spans="1:31" hidden="1">
      <c r="A36" s="13" t="s">
        <v>960</v>
      </c>
      <c r="B36" s="13"/>
      <c r="C36" s="13" t="s">
        <v>10</v>
      </c>
      <c r="D36" s="13"/>
      <c r="E36" s="32">
        <v>45765</v>
      </c>
      <c r="G36" s="8">
        <v>1017821</v>
      </c>
      <c r="I36" s="8">
        <v>862209</v>
      </c>
      <c r="K36" s="3">
        <f t="shared" si="5"/>
        <v>12464888</v>
      </c>
      <c r="M36" s="8">
        <v>14344918</v>
      </c>
      <c r="O36" s="3">
        <f t="shared" si="6"/>
        <v>0</v>
      </c>
      <c r="U36" s="8">
        <f>800929+47142+711020+14138</f>
        <v>1573229</v>
      </c>
      <c r="W36" s="8">
        <v>888000</v>
      </c>
      <c r="Y36" s="8">
        <f>10299811+927824+3418+541151+111485</f>
        <v>11883689</v>
      </c>
      <c r="AA36" s="14">
        <f t="shared" si="3"/>
        <v>14344918</v>
      </c>
      <c r="AC36" s="8">
        <f t="shared" si="1"/>
        <v>0</v>
      </c>
      <c r="AE36" s="8" t="s">
        <v>956</v>
      </c>
    </row>
    <row r="37" spans="1:31">
      <c r="A37" s="13" t="s">
        <v>296</v>
      </c>
      <c r="B37" s="13"/>
      <c r="C37" s="13" t="s">
        <v>20</v>
      </c>
      <c r="D37" s="13"/>
      <c r="E37" s="32">
        <v>43547</v>
      </c>
      <c r="G37" s="8">
        <v>9720723</v>
      </c>
      <c r="I37" s="8">
        <v>0</v>
      </c>
      <c r="K37" s="3">
        <f t="shared" si="5"/>
        <v>22314650</v>
      </c>
      <c r="M37" s="8">
        <v>32035373</v>
      </c>
      <c r="O37" s="3">
        <f t="shared" si="6"/>
        <v>4428212</v>
      </c>
      <c r="Q37" s="8">
        <v>18443972</v>
      </c>
      <c r="S37" s="8">
        <v>22872184</v>
      </c>
      <c r="U37" s="8">
        <f>3432775+46213+326+290305</f>
        <v>3769619</v>
      </c>
      <c r="W37" s="8">
        <v>0</v>
      </c>
      <c r="Y37" s="8">
        <f>2198203+375810+3012856-193299</f>
        <v>5393570</v>
      </c>
      <c r="AA37" s="14">
        <f t="shared" si="3"/>
        <v>9163189</v>
      </c>
      <c r="AC37" s="8">
        <f t="shared" si="1"/>
        <v>0</v>
      </c>
    </row>
    <row r="38" spans="1:31">
      <c r="A38" s="13" t="s">
        <v>297</v>
      </c>
      <c r="B38" s="13"/>
      <c r="C38" s="13" t="s">
        <v>20</v>
      </c>
      <c r="D38" s="13"/>
      <c r="E38" s="32">
        <v>43554</v>
      </c>
      <c r="G38" s="8">
        <f>16932316+134873</f>
        <v>17067189</v>
      </c>
      <c r="I38" s="8">
        <v>0</v>
      </c>
      <c r="K38" s="3">
        <f t="shared" si="5"/>
        <v>29192239</v>
      </c>
      <c r="M38" s="8">
        <v>46259428</v>
      </c>
      <c r="O38" s="3">
        <f t="shared" si="6"/>
        <v>4904016</v>
      </c>
      <c r="Q38" s="8">
        <v>19634183</v>
      </c>
      <c r="S38" s="8">
        <v>24538199</v>
      </c>
      <c r="U38" s="8">
        <f>207201+79517+7665004+134873</f>
        <v>8086595</v>
      </c>
      <c r="W38" s="8">
        <v>0</v>
      </c>
      <c r="Y38" s="8">
        <f>11621225+614890+1412939+-14420</f>
        <v>13634634</v>
      </c>
      <c r="AA38" s="14">
        <f t="shared" si="3"/>
        <v>21721229</v>
      </c>
      <c r="AC38" s="8">
        <f t="shared" si="1"/>
        <v>0</v>
      </c>
    </row>
    <row r="39" spans="1:31">
      <c r="A39" s="13" t="s">
        <v>278</v>
      </c>
      <c r="B39" s="13"/>
      <c r="C39" s="13" t="s">
        <v>114</v>
      </c>
      <c r="D39" s="13"/>
      <c r="E39" s="32">
        <v>46425</v>
      </c>
      <c r="G39" s="8">
        <v>24931</v>
      </c>
      <c r="I39" s="8">
        <v>0</v>
      </c>
      <c r="K39" s="3">
        <f t="shared" si="5"/>
        <v>5893997</v>
      </c>
      <c r="M39" s="8">
        <v>5918928</v>
      </c>
      <c r="O39" s="3">
        <f t="shared" si="6"/>
        <v>2768727</v>
      </c>
      <c r="Q39" s="8">
        <v>5590703</v>
      </c>
      <c r="S39" s="8">
        <v>8359430</v>
      </c>
      <c r="U39" s="8">
        <f>2325+3473+163646</f>
        <v>169444</v>
      </c>
      <c r="W39" s="8">
        <v>0</v>
      </c>
      <c r="Y39" s="8">
        <f>-2484394-177722+52170</f>
        <v>-2609946</v>
      </c>
      <c r="AA39" s="14">
        <f t="shared" si="3"/>
        <v>-2440502</v>
      </c>
      <c r="AC39" s="8">
        <f t="shared" si="1"/>
        <v>0</v>
      </c>
    </row>
    <row r="40" spans="1:31">
      <c r="A40" s="13" t="s">
        <v>384</v>
      </c>
      <c r="B40" s="13"/>
      <c r="C40" s="13" t="s">
        <v>116</v>
      </c>
      <c r="D40" s="13"/>
      <c r="E40" s="32">
        <v>47241</v>
      </c>
      <c r="G40" s="8">
        <v>212539922</v>
      </c>
      <c r="I40" s="8">
        <v>0</v>
      </c>
      <c r="K40" s="3">
        <f t="shared" si="5"/>
        <v>47864705</v>
      </c>
      <c r="M40" s="8">
        <v>260404627</v>
      </c>
      <c r="O40" s="3">
        <f t="shared" si="6"/>
        <v>9214688</v>
      </c>
      <c r="Q40" s="8">
        <v>44421408</v>
      </c>
      <c r="S40" s="8">
        <v>53636096</v>
      </c>
      <c r="U40" s="8">
        <f>679536+19049+13419+5075410+10890030</f>
        <v>16677444</v>
      </c>
      <c r="W40" s="8">
        <v>0</v>
      </c>
      <c r="Y40" s="8">
        <f>24209278+1484943+88713714+75683152</f>
        <v>190091087</v>
      </c>
      <c r="AA40" s="14">
        <f t="shared" si="3"/>
        <v>206768531</v>
      </c>
      <c r="AC40" s="8">
        <f t="shared" si="1"/>
        <v>0</v>
      </c>
    </row>
    <row r="41" spans="1:31">
      <c r="A41" s="13" t="s">
        <v>298</v>
      </c>
      <c r="B41" s="13"/>
      <c r="C41" s="13" t="s">
        <v>20</v>
      </c>
      <c r="D41" s="13"/>
      <c r="E41" s="32">
        <v>43562</v>
      </c>
      <c r="G41" s="8">
        <v>15864462</v>
      </c>
      <c r="I41" s="8">
        <v>41998</v>
      </c>
      <c r="K41" s="3">
        <f t="shared" si="5"/>
        <v>32652209</v>
      </c>
      <c r="M41" s="8">
        <v>48558669</v>
      </c>
      <c r="O41" s="3">
        <f t="shared" si="6"/>
        <v>5628314</v>
      </c>
      <c r="Q41" s="8">
        <v>25958268</v>
      </c>
      <c r="S41" s="8">
        <v>31586582</v>
      </c>
      <c r="U41" s="8">
        <f>665052+4085513+41998</f>
        <v>4792563</v>
      </c>
      <c r="W41" s="8">
        <v>0</v>
      </c>
      <c r="Y41" s="8">
        <f>9287619+532528+1933159+426218</f>
        <v>12179524</v>
      </c>
      <c r="AA41" s="14">
        <f t="shared" si="3"/>
        <v>16972087</v>
      </c>
      <c r="AC41" s="8">
        <f t="shared" si="1"/>
        <v>0</v>
      </c>
    </row>
    <row r="42" spans="1:31">
      <c r="A42" s="13" t="s">
        <v>231</v>
      </c>
      <c r="B42" s="13"/>
      <c r="C42" s="13" t="s">
        <v>15</v>
      </c>
      <c r="D42" s="13"/>
      <c r="E42" s="32">
        <v>43570</v>
      </c>
      <c r="G42" s="8">
        <v>254034</v>
      </c>
      <c r="I42" s="8">
        <v>0</v>
      </c>
      <c r="K42" s="3">
        <f t="shared" si="5"/>
        <v>6045953</v>
      </c>
      <c r="M42" s="8">
        <v>6299987</v>
      </c>
      <c r="O42" s="3">
        <f t="shared" si="6"/>
        <v>4206824</v>
      </c>
      <c r="Q42" s="8">
        <v>3390473</v>
      </c>
      <c r="S42" s="8">
        <v>7597297</v>
      </c>
      <c r="U42" s="8">
        <f>431837+199592+55562</f>
        <v>686991</v>
      </c>
      <c r="W42" s="8">
        <v>0</v>
      </c>
      <c r="Y42" s="8">
        <f>-3368889+807312+486003+91273</f>
        <v>-1984301</v>
      </c>
      <c r="AA42" s="14">
        <f t="shared" si="3"/>
        <v>-1297310</v>
      </c>
      <c r="AC42" s="8">
        <f t="shared" si="1"/>
        <v>0</v>
      </c>
    </row>
    <row r="43" spans="1:31">
      <c r="A43" s="13" t="s">
        <v>443</v>
      </c>
      <c r="B43" s="13"/>
      <c r="C43" s="13" t="s">
        <v>37</v>
      </c>
      <c r="D43" s="13"/>
      <c r="E43" s="32">
        <v>43596</v>
      </c>
      <c r="G43" s="8">
        <v>3549305</v>
      </c>
      <c r="I43" s="8">
        <v>0</v>
      </c>
      <c r="K43" s="3">
        <f t="shared" si="5"/>
        <v>7972532</v>
      </c>
      <c r="M43" s="8">
        <v>11521837</v>
      </c>
      <c r="O43" s="3">
        <f t="shared" si="6"/>
        <v>8080658</v>
      </c>
      <c r="Q43" s="8">
        <v>534807</v>
      </c>
      <c r="S43" s="8">
        <v>8615465</v>
      </c>
      <c r="U43" s="8">
        <f>446562+120968+1267249+61308</f>
        <v>1896087</v>
      </c>
      <c r="W43" s="8">
        <v>0</v>
      </c>
      <c r="Y43" s="8">
        <f>799517+69758+141010</f>
        <v>1010285</v>
      </c>
      <c r="AA43" s="14">
        <f t="shared" si="3"/>
        <v>2906372</v>
      </c>
      <c r="AC43" s="8">
        <f t="shared" si="1"/>
        <v>0</v>
      </c>
    </row>
    <row r="44" spans="1:31">
      <c r="A44" s="13" t="s">
        <v>715</v>
      </c>
      <c r="B44" s="13"/>
      <c r="C44" s="13" t="s">
        <v>70</v>
      </c>
      <c r="D44" s="13"/>
      <c r="E44" s="32">
        <v>43604</v>
      </c>
      <c r="G44" s="8">
        <v>1522252</v>
      </c>
      <c r="I44" s="8">
        <v>0</v>
      </c>
      <c r="K44" s="3">
        <f t="shared" si="5"/>
        <v>4133156</v>
      </c>
      <c r="M44" s="8">
        <v>5655408</v>
      </c>
      <c r="O44" s="3">
        <f t="shared" si="6"/>
        <v>1491715</v>
      </c>
      <c r="Q44" s="8">
        <v>3722024</v>
      </c>
      <c r="S44" s="8">
        <v>5213739</v>
      </c>
      <c r="U44" s="8">
        <f>115979+2500+131848+5944+22171+154652+1790</f>
        <v>434884</v>
      </c>
      <c r="W44" s="8">
        <v>276911</v>
      </c>
      <c r="Y44" s="8">
        <f>-231916-43764+4019+1535</f>
        <v>-270126</v>
      </c>
      <c r="AA44" s="14">
        <f t="shared" si="3"/>
        <v>441669</v>
      </c>
      <c r="AC44" s="8">
        <f t="shared" si="1"/>
        <v>0</v>
      </c>
    </row>
    <row r="45" spans="1:31">
      <c r="A45" s="13" t="s">
        <v>571</v>
      </c>
      <c r="B45" s="13"/>
      <c r="C45" s="13" t="s">
        <v>53</v>
      </c>
      <c r="D45" s="13"/>
      <c r="E45" s="32">
        <v>48926</v>
      </c>
      <c r="G45" s="8">
        <v>7974798</v>
      </c>
      <c r="I45" s="8">
        <v>0</v>
      </c>
      <c r="K45" s="3">
        <f t="shared" si="5"/>
        <v>9270593</v>
      </c>
      <c r="M45" s="8">
        <v>17245391</v>
      </c>
      <c r="O45" s="3">
        <f t="shared" si="6"/>
        <v>10355067</v>
      </c>
      <c r="Q45" s="8">
        <v>500945</v>
      </c>
      <c r="S45" s="8">
        <v>10856012</v>
      </c>
      <c r="U45" s="8">
        <f>790144+12668+583040+48795+15616+386930</f>
        <v>1837193</v>
      </c>
      <c r="W45" s="8">
        <f>532695+500000</f>
        <v>1032695</v>
      </c>
      <c r="Y45" s="8">
        <f>2241158+300214+978119</f>
        <v>3519491</v>
      </c>
      <c r="AA45" s="14">
        <f t="shared" si="3"/>
        <v>6389379</v>
      </c>
      <c r="AC45" s="8">
        <f t="shared" si="1"/>
        <v>0</v>
      </c>
    </row>
    <row r="46" spans="1:31">
      <c r="A46" s="13" t="s">
        <v>299</v>
      </c>
      <c r="B46" s="13"/>
      <c r="C46" s="13" t="s">
        <v>20</v>
      </c>
      <c r="D46" s="13"/>
      <c r="E46" s="32">
        <v>43612</v>
      </c>
      <c r="G46" s="8">
        <v>35242933</v>
      </c>
      <c r="I46" s="8">
        <f>62000+389213</f>
        <v>451213</v>
      </c>
      <c r="K46" s="3">
        <f t="shared" si="5"/>
        <v>65241881</v>
      </c>
      <c r="M46" s="8">
        <v>100936027</v>
      </c>
      <c r="O46" s="3">
        <f t="shared" si="6"/>
        <v>13089547</v>
      </c>
      <c r="Q46" s="8">
        <v>52541120</v>
      </c>
      <c r="S46" s="8">
        <v>65630667</v>
      </c>
      <c r="U46" s="8">
        <f>1029872+389213+17898+5582579</f>
        <v>7019562</v>
      </c>
      <c r="W46" s="8">
        <v>0</v>
      </c>
      <c r="Y46" s="8">
        <f>25745798+907538+3081356-1448894</f>
        <v>28285798</v>
      </c>
      <c r="AA46" s="14">
        <f t="shared" si="3"/>
        <v>35305360</v>
      </c>
      <c r="AC46" s="8">
        <f t="shared" si="1"/>
        <v>0</v>
      </c>
    </row>
    <row r="47" spans="1:31">
      <c r="A47" s="13" t="s">
        <v>377</v>
      </c>
      <c r="B47" s="13"/>
      <c r="C47" s="13" t="s">
        <v>30</v>
      </c>
      <c r="D47" s="13"/>
      <c r="E47" s="32">
        <v>47167</v>
      </c>
      <c r="G47" s="8">
        <v>3710520</v>
      </c>
      <c r="I47" s="8">
        <v>39468</v>
      </c>
      <c r="K47" s="3">
        <f t="shared" si="5"/>
        <v>5040135</v>
      </c>
      <c r="M47" s="8">
        <v>8790123</v>
      </c>
      <c r="O47" s="3">
        <f t="shared" si="6"/>
        <v>1596844</v>
      </c>
      <c r="Q47" s="8">
        <v>3717198</v>
      </c>
      <c r="S47" s="8">
        <v>5314042</v>
      </c>
      <c r="U47" s="8">
        <f>462895+621800+39468</f>
        <v>1124163</v>
      </c>
      <c r="W47" s="8">
        <v>0</v>
      </c>
      <c r="Y47" s="8">
        <f>2074377+71375+206166</f>
        <v>2351918</v>
      </c>
      <c r="AA47" s="14">
        <f t="shared" si="3"/>
        <v>3476081</v>
      </c>
      <c r="AC47" s="8">
        <f t="shared" si="1"/>
        <v>0</v>
      </c>
    </row>
    <row r="48" spans="1:31">
      <c r="A48" s="13" t="s">
        <v>336</v>
      </c>
      <c r="B48" s="13"/>
      <c r="C48" s="13" t="s">
        <v>24</v>
      </c>
      <c r="D48" s="13"/>
      <c r="E48" s="32">
        <v>46789</v>
      </c>
      <c r="G48" s="8">
        <v>6235925</v>
      </c>
      <c r="I48" s="8">
        <v>18680</v>
      </c>
      <c r="K48" s="3">
        <f t="shared" si="5"/>
        <v>8132742</v>
      </c>
      <c r="M48" s="8">
        <v>14387347</v>
      </c>
      <c r="O48" s="3">
        <f t="shared" si="6"/>
        <v>8678495</v>
      </c>
      <c r="Q48" s="8">
        <v>511468</v>
      </c>
      <c r="S48" s="8">
        <v>9189963</v>
      </c>
      <c r="U48" s="8">
        <f>475106+46432+9162+756499+18680</f>
        <v>1305879</v>
      </c>
      <c r="W48" s="8">
        <v>0</v>
      </c>
      <c r="Y48" s="8">
        <f>2471172+342527+1077806</f>
        <v>3891505</v>
      </c>
      <c r="AA48" s="14">
        <f t="shared" si="3"/>
        <v>5197384</v>
      </c>
      <c r="AC48" s="8">
        <f t="shared" si="1"/>
        <v>0</v>
      </c>
    </row>
    <row r="49" spans="1:31">
      <c r="A49" s="13" t="s">
        <v>344</v>
      </c>
      <c r="B49" s="13"/>
      <c r="C49" s="13" t="s">
        <v>25</v>
      </c>
      <c r="D49" s="13"/>
      <c r="E49" s="32">
        <v>46854</v>
      </c>
      <c r="G49" s="8">
        <v>2980913</v>
      </c>
      <c r="I49" s="8">
        <v>124979</v>
      </c>
      <c r="K49" s="3">
        <f t="shared" ref="K49:K84" si="7">M49-G49-I49</f>
        <v>3437216</v>
      </c>
      <c r="M49" s="8">
        <v>6543108</v>
      </c>
      <c r="O49" s="3">
        <f t="shared" ref="O49:O84" si="8">S49-Q49</f>
        <v>1089249</v>
      </c>
      <c r="Q49" s="8">
        <v>2926928</v>
      </c>
      <c r="S49" s="8">
        <v>4016177</v>
      </c>
      <c r="U49" s="8">
        <f>105242+268601+2379+100000+22600</f>
        <v>498822</v>
      </c>
      <c r="W49" s="8">
        <v>0</v>
      </c>
      <c r="Y49" s="8">
        <f>1193902+39807+794400</f>
        <v>2028109</v>
      </c>
      <c r="AA49" s="14">
        <f t="shared" si="3"/>
        <v>2526931</v>
      </c>
      <c r="AC49" s="8">
        <f t="shared" si="1"/>
        <v>0</v>
      </c>
    </row>
    <row r="50" spans="1:31">
      <c r="A50" s="13" t="s">
        <v>536</v>
      </c>
      <c r="B50" s="13"/>
      <c r="C50" s="13" t="s">
        <v>48</v>
      </c>
      <c r="D50" s="13"/>
      <c r="E50" s="32">
        <v>48611</v>
      </c>
      <c r="G50" s="8">
        <v>2173981</v>
      </c>
      <c r="I50" s="8">
        <v>33271</v>
      </c>
      <c r="K50" s="3">
        <f t="shared" si="7"/>
        <v>3616013</v>
      </c>
      <c r="M50" s="8">
        <v>5823265</v>
      </c>
      <c r="O50" s="3">
        <f t="shared" si="8"/>
        <v>773836</v>
      </c>
      <c r="Q50" s="8">
        <v>3145842</v>
      </c>
      <c r="S50" s="8">
        <v>3919678</v>
      </c>
      <c r="U50" s="8">
        <f>320670+9256+413740+33271</f>
        <v>776937</v>
      </c>
      <c r="W50" s="8">
        <v>0</v>
      </c>
      <c r="Y50" s="8">
        <f>839140+87873+199021+616</f>
        <v>1126650</v>
      </c>
      <c r="AA50" s="14">
        <f t="shared" si="3"/>
        <v>1903587</v>
      </c>
      <c r="AC50" s="8">
        <f t="shared" si="1"/>
        <v>0</v>
      </c>
    </row>
    <row r="51" spans="1:31">
      <c r="A51" s="13" t="s">
        <v>267</v>
      </c>
      <c r="B51" s="13"/>
      <c r="C51" s="13" t="s">
        <v>115</v>
      </c>
      <c r="D51" s="13"/>
      <c r="E51" s="32">
        <v>46318</v>
      </c>
      <c r="G51" s="8">
        <v>3089186</v>
      </c>
      <c r="I51" s="8">
        <v>442975</v>
      </c>
      <c r="K51" s="3">
        <f t="shared" si="7"/>
        <v>4012342</v>
      </c>
      <c r="M51" s="8">
        <v>7544503</v>
      </c>
      <c r="O51" s="3">
        <f t="shared" si="8"/>
        <v>1844356</v>
      </c>
      <c r="Q51" s="8">
        <v>3682335</v>
      </c>
      <c r="S51" s="8">
        <v>5526691</v>
      </c>
      <c r="U51" s="8">
        <f>158069+266900+433310</f>
        <v>858279</v>
      </c>
      <c r="W51" s="8">
        <v>0</v>
      </c>
      <c r="Y51" s="8">
        <f>-748096+604747+1069162+233720</f>
        <v>1159533</v>
      </c>
      <c r="AA51" s="14">
        <f t="shared" si="3"/>
        <v>2017812</v>
      </c>
      <c r="AC51" s="8">
        <f t="shared" si="1"/>
        <v>0</v>
      </c>
    </row>
    <row r="52" spans="1:31" hidden="1">
      <c r="A52" s="13" t="s">
        <v>962</v>
      </c>
      <c r="B52" s="13"/>
      <c r="C52" s="13" t="s">
        <v>60</v>
      </c>
      <c r="D52" s="13"/>
      <c r="E52" s="32">
        <v>49692</v>
      </c>
      <c r="G52" s="8">
        <f>776906+115730</f>
        <v>892636</v>
      </c>
      <c r="I52" s="8">
        <v>66041</v>
      </c>
      <c r="K52" s="3">
        <f t="shared" si="7"/>
        <v>0</v>
      </c>
      <c r="M52" s="8">
        <v>958677</v>
      </c>
      <c r="O52" s="3">
        <f t="shared" si="8"/>
        <v>0</v>
      </c>
      <c r="U52" s="8">
        <f>24598+34883+31158</f>
        <v>90639</v>
      </c>
      <c r="W52" s="8">
        <v>0</v>
      </c>
      <c r="Y52" s="8">
        <f>118473+50555+137970+561040</f>
        <v>868038</v>
      </c>
      <c r="AA52" s="14">
        <f t="shared" si="3"/>
        <v>958677</v>
      </c>
      <c r="AC52" s="8">
        <f t="shared" si="1"/>
        <v>0</v>
      </c>
      <c r="AE52" s="8" t="s">
        <v>956</v>
      </c>
    </row>
    <row r="53" spans="1:31">
      <c r="A53" s="13" t="s">
        <v>352</v>
      </c>
      <c r="B53" s="13"/>
      <c r="C53" s="13" t="s">
        <v>27</v>
      </c>
      <c r="D53" s="13"/>
      <c r="E53" s="32">
        <v>43620</v>
      </c>
      <c r="G53" s="8">
        <v>20241391</v>
      </c>
      <c r="I53" s="8">
        <v>16811</v>
      </c>
      <c r="K53" s="3">
        <f t="shared" si="7"/>
        <v>22834821</v>
      </c>
      <c r="M53" s="8">
        <v>43093023</v>
      </c>
      <c r="O53" s="3">
        <f t="shared" si="8"/>
        <v>4275030</v>
      </c>
      <c r="Q53" s="8">
        <v>12840336</v>
      </c>
      <c r="S53" s="8">
        <v>17115366</v>
      </c>
      <c r="U53" s="8">
        <f>8029672+388622+24938</f>
        <v>8443232</v>
      </c>
      <c r="W53" s="8">
        <v>0</v>
      </c>
      <c r="Y53" s="8">
        <f>15015313+241596+1570983+706533</f>
        <v>17534425</v>
      </c>
      <c r="AA53" s="14">
        <f t="shared" si="3"/>
        <v>25977657</v>
      </c>
      <c r="AC53" s="8">
        <f t="shared" si="1"/>
        <v>0</v>
      </c>
    </row>
    <row r="54" spans="1:31">
      <c r="A54" s="13" t="s">
        <v>333</v>
      </c>
      <c r="B54" s="13"/>
      <c r="C54" s="13" t="s">
        <v>23</v>
      </c>
      <c r="D54" s="13"/>
      <c r="E54" s="32">
        <v>46748</v>
      </c>
      <c r="G54" s="8">
        <v>12649565</v>
      </c>
      <c r="I54" s="8">
        <v>27131</v>
      </c>
      <c r="K54" s="3">
        <f t="shared" si="7"/>
        <v>17649759</v>
      </c>
      <c r="M54" s="8">
        <v>30326455</v>
      </c>
      <c r="O54" s="3">
        <f t="shared" si="8"/>
        <v>3494632</v>
      </c>
      <c r="Q54" s="8">
        <v>15062291</v>
      </c>
      <c r="S54" s="8">
        <v>18556923</v>
      </c>
      <c r="U54" s="8">
        <f>802628+27131+2263356</f>
        <v>3093115</v>
      </c>
      <c r="W54" s="8">
        <v>0</v>
      </c>
      <c r="Y54" s="8">
        <f>-1166807+96747+1720489+8025988</f>
        <v>8676417</v>
      </c>
      <c r="AA54" s="14">
        <f t="shared" si="3"/>
        <v>11769532</v>
      </c>
      <c r="AC54" s="8">
        <f t="shared" si="1"/>
        <v>0</v>
      </c>
    </row>
    <row r="55" spans="1:31">
      <c r="A55" s="13" t="s">
        <v>525</v>
      </c>
      <c r="B55" s="13"/>
      <c r="C55" s="13" t="s">
        <v>47</v>
      </c>
      <c r="D55" s="13"/>
      <c r="E55" s="32">
        <v>48462</v>
      </c>
      <c r="G55" s="8">
        <v>1360721</v>
      </c>
      <c r="I55" s="8">
        <v>38225</v>
      </c>
      <c r="K55" s="3">
        <f t="shared" si="7"/>
        <v>5609288</v>
      </c>
      <c r="M55" s="8">
        <v>7008234</v>
      </c>
      <c r="O55" s="3">
        <f t="shared" si="8"/>
        <v>2727452</v>
      </c>
      <c r="Q55" s="8">
        <v>4140948</v>
      </c>
      <c r="S55" s="8">
        <v>6868400</v>
      </c>
      <c r="U55" s="8">
        <f>138534+737171+145345+38225</f>
        <v>1059275</v>
      </c>
      <c r="W55" s="8">
        <v>0</v>
      </c>
      <c r="Y55" s="8">
        <f>-1328721-416056+810350+14986</f>
        <v>-919441</v>
      </c>
      <c r="AA55" s="14">
        <f>U55+W55+Y55</f>
        <v>139834</v>
      </c>
      <c r="AC55" s="8">
        <f>+G55+I55+K55-O55-Q55-Y55-W55-U55</f>
        <v>0</v>
      </c>
      <c r="AE55" s="8" t="s">
        <v>956</v>
      </c>
    </row>
    <row r="56" spans="1:31">
      <c r="A56" s="13" t="s">
        <v>274</v>
      </c>
      <c r="B56" s="13"/>
      <c r="C56" s="13" t="s">
        <v>18</v>
      </c>
      <c r="D56" s="13"/>
      <c r="E56" s="32">
        <v>46383</v>
      </c>
      <c r="G56" s="8">
        <v>2422429</v>
      </c>
      <c r="I56" s="8">
        <v>547402</v>
      </c>
      <c r="K56" s="3">
        <f t="shared" si="7"/>
        <v>3663442</v>
      </c>
      <c r="M56" s="8">
        <v>6633273</v>
      </c>
      <c r="O56" s="3">
        <f t="shared" si="8"/>
        <v>1897160</v>
      </c>
      <c r="Q56" s="8">
        <v>3268556</v>
      </c>
      <c r="S56" s="8">
        <v>5165716</v>
      </c>
      <c r="U56" s="8">
        <f>143327+8932+216411+547402</f>
        <v>916072</v>
      </c>
      <c r="W56" s="8">
        <v>0</v>
      </c>
      <c r="Y56" s="8">
        <f>47362+34844+416621+52658</f>
        <v>551485</v>
      </c>
      <c r="AA56" s="14">
        <f t="shared" si="3"/>
        <v>1467557</v>
      </c>
      <c r="AC56" s="8">
        <f t="shared" si="1"/>
        <v>0</v>
      </c>
    </row>
    <row r="57" spans="1:31">
      <c r="A57" s="13" t="s">
        <v>345</v>
      </c>
      <c r="B57" s="13"/>
      <c r="C57" s="13" t="s">
        <v>25</v>
      </c>
      <c r="D57" s="13"/>
      <c r="E57" s="32">
        <v>46862</v>
      </c>
      <c r="G57" s="8">
        <v>2538662</v>
      </c>
      <c r="I57" s="8">
        <v>0</v>
      </c>
      <c r="K57" s="3">
        <f t="shared" si="7"/>
        <v>6665866</v>
      </c>
      <c r="M57" s="8">
        <v>9204528</v>
      </c>
      <c r="O57" s="3">
        <f t="shared" si="8"/>
        <v>1736122</v>
      </c>
      <c r="Q57" s="8">
        <v>4705330</v>
      </c>
      <c r="S57" s="8">
        <v>6441452</v>
      </c>
      <c r="U57" s="8">
        <f>36321+729871+4760+10000</f>
        <v>780952</v>
      </c>
      <c r="W57" s="8">
        <v>0</v>
      </c>
      <c r="Y57" s="8">
        <f>1908139+7735+50000+16250</f>
        <v>1982124</v>
      </c>
      <c r="AA57" s="14">
        <f t="shared" si="3"/>
        <v>2763076</v>
      </c>
      <c r="AC57" s="8">
        <f t="shared" si="1"/>
        <v>0</v>
      </c>
    </row>
    <row r="58" spans="1:31">
      <c r="A58" s="13" t="s">
        <v>675</v>
      </c>
      <c r="B58" s="13"/>
      <c r="C58" s="13" t="s">
        <v>64</v>
      </c>
      <c r="D58" s="13"/>
      <c r="E58" s="32">
        <v>50096</v>
      </c>
      <c r="G58" s="8">
        <v>927714</v>
      </c>
      <c r="I58" s="8">
        <v>39051</v>
      </c>
      <c r="K58" s="3">
        <f t="shared" si="7"/>
        <v>1832594</v>
      </c>
      <c r="M58" s="8">
        <v>2799359</v>
      </c>
      <c r="O58" s="3">
        <f t="shared" si="8"/>
        <v>1914552</v>
      </c>
      <c r="Q58" s="8">
        <v>229993</v>
      </c>
      <c r="S58" s="8">
        <v>2144545</v>
      </c>
      <c r="U58" s="8">
        <f>16673+1466+5121+7492+13233+25818</f>
        <v>69803</v>
      </c>
      <c r="W58" s="8">
        <v>0</v>
      </c>
      <c r="Y58" s="8">
        <f>303426+72645+208940</f>
        <v>585011</v>
      </c>
      <c r="AA58" s="14">
        <f t="shared" si="3"/>
        <v>654814</v>
      </c>
      <c r="AC58" s="8">
        <f t="shared" si="1"/>
        <v>0</v>
      </c>
    </row>
    <row r="59" spans="1:31">
      <c r="A59" s="13" t="s">
        <v>626</v>
      </c>
      <c r="B59" s="13"/>
      <c r="C59" s="13" t="s">
        <v>59</v>
      </c>
      <c r="D59" s="13"/>
      <c r="E59" s="32">
        <v>49593</v>
      </c>
      <c r="G59" s="8">
        <v>1418380</v>
      </c>
      <c r="I59" s="8">
        <v>176299</v>
      </c>
      <c r="K59" s="3">
        <f>M59-G59-I59</f>
        <v>1534299</v>
      </c>
      <c r="M59" s="8">
        <v>3128978</v>
      </c>
      <c r="O59" s="3">
        <f>S59-Q59</f>
        <v>1140667</v>
      </c>
      <c r="Q59" s="8">
        <v>1196760</v>
      </c>
      <c r="S59" s="8">
        <v>2337427</v>
      </c>
      <c r="U59" s="8">
        <f>103161+138194+57057+82942+33272+3028</f>
        <v>417654</v>
      </c>
      <c r="W59" s="8">
        <v>0</v>
      </c>
      <c r="Y59" s="8">
        <f>-276859+235526+226857+188373</f>
        <v>373897</v>
      </c>
      <c r="AA59" s="14">
        <f>U59+W59+Y59</f>
        <v>791551</v>
      </c>
      <c r="AC59" s="8">
        <f t="shared" si="1"/>
        <v>0</v>
      </c>
    </row>
    <row r="60" spans="1:31" hidden="1">
      <c r="A60" s="13" t="s">
        <v>898</v>
      </c>
      <c r="B60" s="13"/>
      <c r="C60" s="13" t="s">
        <v>10</v>
      </c>
      <c r="D60" s="13"/>
      <c r="E60" s="32">
        <v>49593</v>
      </c>
      <c r="G60" s="8">
        <v>3224675</v>
      </c>
      <c r="K60" s="3">
        <f t="shared" si="7"/>
        <v>0</v>
      </c>
      <c r="M60" s="8">
        <v>3224675</v>
      </c>
      <c r="O60" s="3">
        <f t="shared" si="8"/>
        <v>0</v>
      </c>
      <c r="U60" s="8">
        <f>154691+9458</f>
        <v>164149</v>
      </c>
      <c r="W60" s="8">
        <v>0</v>
      </c>
      <c r="Y60" s="8">
        <f>2117869+54641+8413+863150+16453</f>
        <v>3060526</v>
      </c>
      <c r="AA60" s="14">
        <f t="shared" si="3"/>
        <v>3224675</v>
      </c>
      <c r="AC60" s="8">
        <f t="shared" si="1"/>
        <v>0</v>
      </c>
      <c r="AE60" s="8" t="s">
        <v>956</v>
      </c>
    </row>
    <row r="61" spans="1:31">
      <c r="A61" s="13" t="s">
        <v>509</v>
      </c>
      <c r="B61" s="13"/>
      <c r="C61" s="13" t="s">
        <v>45</v>
      </c>
      <c r="D61" s="13"/>
      <c r="E61" s="32">
        <v>48306</v>
      </c>
      <c r="G61" s="8">
        <v>18320844</v>
      </c>
      <c r="I61" s="8">
        <v>717678</v>
      </c>
      <c r="K61" s="3">
        <f t="shared" si="7"/>
        <v>28048335</v>
      </c>
      <c r="M61" s="8">
        <v>47086857</v>
      </c>
      <c r="O61" s="3">
        <f t="shared" si="8"/>
        <v>6095128</v>
      </c>
      <c r="Q61" s="8">
        <v>27879916</v>
      </c>
      <c r="S61" s="8">
        <v>33975044</v>
      </c>
      <c r="U61" s="8">
        <f>658261+476763+240915</f>
        <v>1375939</v>
      </c>
      <c r="W61" s="8">
        <v>0</v>
      </c>
      <c r="Y61" s="8">
        <f>5333963+150548+6251363</f>
        <v>11735874</v>
      </c>
      <c r="AA61" s="14">
        <f t="shared" si="3"/>
        <v>13111813</v>
      </c>
      <c r="AC61" s="8">
        <f t="shared" si="1"/>
        <v>0</v>
      </c>
    </row>
    <row r="62" spans="1:31">
      <c r="A62" s="13" t="s">
        <v>642</v>
      </c>
      <c r="B62" s="13"/>
      <c r="C62" s="13" t="s">
        <v>61</v>
      </c>
      <c r="D62" s="13"/>
      <c r="E62" s="32">
        <v>49767</v>
      </c>
      <c r="G62" s="8">
        <v>1472785</v>
      </c>
      <c r="I62" s="8">
        <v>73850</v>
      </c>
      <c r="K62" s="3">
        <f t="shared" si="7"/>
        <v>1035039</v>
      </c>
      <c r="M62" s="8">
        <v>2581674</v>
      </c>
      <c r="O62" s="3">
        <f t="shared" si="8"/>
        <v>606022</v>
      </c>
      <c r="Q62" s="8">
        <v>845313</v>
      </c>
      <c r="S62" s="8">
        <v>1451335</v>
      </c>
      <c r="U62" s="8">
        <f>52508+76607+69817+4033</f>
        <v>202965</v>
      </c>
      <c r="W62" s="8">
        <v>0</v>
      </c>
      <c r="Y62" s="8">
        <f>141527+121190+604900+59757</f>
        <v>927374</v>
      </c>
      <c r="AA62" s="14">
        <f t="shared" si="3"/>
        <v>1130339</v>
      </c>
      <c r="AC62" s="8">
        <f t="shared" si="1"/>
        <v>0</v>
      </c>
    </row>
    <row r="63" spans="1:31">
      <c r="A63" s="13" t="s">
        <v>733</v>
      </c>
      <c r="B63" s="13"/>
      <c r="C63" s="13" t="s">
        <v>72</v>
      </c>
      <c r="D63" s="13"/>
      <c r="E63" s="32">
        <v>43638</v>
      </c>
      <c r="G63" s="8">
        <v>7877215</v>
      </c>
      <c r="I63" s="8">
        <v>0</v>
      </c>
      <c r="K63" s="3">
        <f t="shared" si="7"/>
        <v>31356106</v>
      </c>
      <c r="M63" s="8">
        <v>39233321</v>
      </c>
      <c r="O63" s="3">
        <f t="shared" si="8"/>
        <v>5048042</v>
      </c>
      <c r="Q63" s="8">
        <v>14976599</v>
      </c>
      <c r="S63" s="8">
        <v>20024641</v>
      </c>
      <c r="U63" s="8">
        <f>4174609+87229+94581+55972+2221274</f>
        <v>6633665</v>
      </c>
      <c r="W63" s="8">
        <v>0</v>
      </c>
      <c r="Y63" s="8">
        <f>5930296+1789742+3165699+1679903+9375</f>
        <v>12575015</v>
      </c>
      <c r="AA63" s="14">
        <f t="shared" si="3"/>
        <v>19208680</v>
      </c>
      <c r="AC63" s="8">
        <f t="shared" si="1"/>
        <v>0</v>
      </c>
    </row>
    <row r="64" spans="1:31" hidden="1">
      <c r="A64" s="88" t="s">
        <v>961</v>
      </c>
      <c r="B64" s="13"/>
      <c r="C64" s="13" t="s">
        <v>48</v>
      </c>
      <c r="D64" s="13"/>
      <c r="E64" s="32">
        <v>43646</v>
      </c>
      <c r="K64" s="3">
        <f>M64-G64-I64</f>
        <v>0</v>
      </c>
      <c r="O64" s="3">
        <f>S64-Q64</f>
        <v>0</v>
      </c>
      <c r="W64" s="8">
        <v>0</v>
      </c>
      <c r="AA64" s="14">
        <f>U64+W64+Y64</f>
        <v>0</v>
      </c>
      <c r="AC64" s="8">
        <f>+G64+I64+K64-O64-Q64-Y64-W64-U64</f>
        <v>0</v>
      </c>
    </row>
    <row r="65" spans="1:31">
      <c r="A65" s="13" t="s">
        <v>873</v>
      </c>
      <c r="B65" s="13"/>
      <c r="C65" s="13" t="s">
        <v>20</v>
      </c>
      <c r="D65" s="13"/>
      <c r="E65" s="32">
        <v>43646</v>
      </c>
      <c r="G65" s="8">
        <v>22099056</v>
      </c>
      <c r="I65" s="8">
        <v>0</v>
      </c>
      <c r="K65" s="3">
        <f t="shared" si="7"/>
        <v>37268734</v>
      </c>
      <c r="M65" s="8">
        <v>59367790</v>
      </c>
      <c r="O65" s="3">
        <f t="shared" si="8"/>
        <v>9302045</v>
      </c>
      <c r="Q65" s="8">
        <v>31233998</v>
      </c>
      <c r="S65" s="8">
        <v>40536043</v>
      </c>
      <c r="U65" s="8">
        <f>1990645+5515675+220000</f>
        <v>7726320</v>
      </c>
      <c r="W65" s="8">
        <v>0</v>
      </c>
      <c r="Y65" s="8">
        <f>7459210+800331+3314686-468800</f>
        <v>11105427</v>
      </c>
      <c r="AA65" s="14">
        <f t="shared" si="3"/>
        <v>18831747</v>
      </c>
      <c r="AC65" s="8">
        <f t="shared" si="1"/>
        <v>0</v>
      </c>
    </row>
    <row r="66" spans="1:31">
      <c r="A66" s="12" t="s">
        <v>232</v>
      </c>
      <c r="B66" s="13"/>
      <c r="C66" s="13" t="s">
        <v>15</v>
      </c>
      <c r="D66" s="13"/>
      <c r="E66" s="32">
        <v>45237</v>
      </c>
      <c r="G66" s="8">
        <v>1900213</v>
      </c>
      <c r="I66" s="8">
        <v>34439</v>
      </c>
      <c r="K66" s="3">
        <f t="shared" si="7"/>
        <v>2228220</v>
      </c>
      <c r="M66" s="8">
        <v>4162872</v>
      </c>
      <c r="O66" s="3">
        <f t="shared" si="8"/>
        <v>2753088</v>
      </c>
      <c r="Q66" s="8">
        <v>462225</v>
      </c>
      <c r="S66" s="8">
        <v>3215313</v>
      </c>
      <c r="U66" s="8">
        <f>81727+25012+2953+15473+90358+34439</f>
        <v>249962</v>
      </c>
      <c r="W66" s="8">
        <v>0</v>
      </c>
      <c r="Y66" s="8">
        <f>1093087+73408-468898</f>
        <v>697597</v>
      </c>
      <c r="AA66" s="14">
        <f t="shared" si="3"/>
        <v>947559</v>
      </c>
      <c r="AC66" s="8">
        <f t="shared" si="1"/>
        <v>0</v>
      </c>
      <c r="AE66" s="8" t="s">
        <v>956</v>
      </c>
    </row>
    <row r="67" spans="1:31">
      <c r="A67" s="13" t="s">
        <v>434</v>
      </c>
      <c r="B67" s="13"/>
      <c r="C67" s="13" t="s">
        <v>435</v>
      </c>
      <c r="D67" s="13"/>
      <c r="E67" s="32">
        <v>47613</v>
      </c>
      <c r="G67" s="8">
        <v>3019793</v>
      </c>
      <c r="I67" s="8">
        <v>0</v>
      </c>
      <c r="K67" s="3">
        <f t="shared" si="7"/>
        <v>1848942</v>
      </c>
      <c r="M67" s="8">
        <v>4868735</v>
      </c>
      <c r="O67" s="3">
        <f t="shared" si="8"/>
        <v>1331515</v>
      </c>
      <c r="Q67" s="8">
        <v>1533553</v>
      </c>
      <c r="S67" s="8">
        <v>2865068</v>
      </c>
      <c r="U67" s="8">
        <f>280328+72025+22449+25771</f>
        <v>400573</v>
      </c>
      <c r="W67" s="8">
        <v>0</v>
      </c>
      <c r="Y67" s="8">
        <f>610846+169089+617026+206133</f>
        <v>1603094</v>
      </c>
      <c r="AA67" s="14">
        <f t="shared" si="3"/>
        <v>2003667</v>
      </c>
      <c r="AC67" s="8">
        <f t="shared" si="1"/>
        <v>0</v>
      </c>
    </row>
    <row r="68" spans="1:31">
      <c r="A68" s="13" t="s">
        <v>676</v>
      </c>
      <c r="B68" s="13"/>
      <c r="C68" s="13" t="s">
        <v>64</v>
      </c>
      <c r="D68" s="13"/>
      <c r="E68" s="32">
        <v>50112</v>
      </c>
      <c r="G68" s="8">
        <v>2154343</v>
      </c>
      <c r="I68" s="8">
        <v>188474</v>
      </c>
      <c r="K68" s="3">
        <f t="shared" si="7"/>
        <v>2917458</v>
      </c>
      <c r="M68" s="8">
        <v>5260275</v>
      </c>
      <c r="O68" s="3">
        <f t="shared" si="8"/>
        <v>3210094</v>
      </c>
      <c r="Q68" s="8">
        <v>338997</v>
      </c>
      <c r="S68" s="8">
        <v>3549091</v>
      </c>
      <c r="U68" s="8">
        <f>27213+2164+12730+6738+682+187792+65187</f>
        <v>302506</v>
      </c>
      <c r="W68" s="8">
        <v>0</v>
      </c>
      <c r="Y68" s="8">
        <f>961271+345549+101858</f>
        <v>1408678</v>
      </c>
      <c r="AA68" s="14">
        <f t="shared" si="3"/>
        <v>1711184</v>
      </c>
      <c r="AC68" s="8">
        <f t="shared" si="1"/>
        <v>0</v>
      </c>
    </row>
    <row r="69" spans="1:31">
      <c r="A69" s="13" t="s">
        <v>677</v>
      </c>
      <c r="B69" s="13"/>
      <c r="C69" s="13" t="s">
        <v>64</v>
      </c>
      <c r="D69" s="13"/>
      <c r="E69" s="32">
        <v>50120</v>
      </c>
      <c r="G69" s="8">
        <v>11970206</v>
      </c>
      <c r="I69" s="8">
        <v>0</v>
      </c>
      <c r="K69" s="3">
        <f t="shared" si="7"/>
        <v>26248775</v>
      </c>
      <c r="M69" s="8">
        <v>38218981</v>
      </c>
      <c r="O69" s="3">
        <f t="shared" si="8"/>
        <v>5124036</v>
      </c>
      <c r="Q69" s="8">
        <v>8613930</v>
      </c>
      <c r="S69" s="8">
        <v>13737966</v>
      </c>
      <c r="U69" s="8">
        <f>63521+1450+10634+489610</f>
        <v>565215</v>
      </c>
      <c r="W69" s="8">
        <v>0</v>
      </c>
      <c r="Y69" s="8">
        <f>24767152+248588-1099940</f>
        <v>23915800</v>
      </c>
      <c r="AA69" s="14">
        <f t="shared" si="3"/>
        <v>24481015</v>
      </c>
      <c r="AC69" s="8">
        <f t="shared" si="1"/>
        <v>0</v>
      </c>
      <c r="AE69" s="8" t="s">
        <v>956</v>
      </c>
    </row>
    <row r="70" spans="1:31">
      <c r="A70" s="13" t="s">
        <v>301</v>
      </c>
      <c r="B70" s="13"/>
      <c r="C70" s="13" t="s">
        <v>20</v>
      </c>
      <c r="D70" s="13"/>
      <c r="E70" s="32">
        <v>43653</v>
      </c>
      <c r="G70" s="8">
        <v>1437182</v>
      </c>
      <c r="I70" s="8">
        <v>13341</v>
      </c>
      <c r="K70" s="3">
        <f t="shared" si="7"/>
        <v>12979774</v>
      </c>
      <c r="M70" s="8">
        <v>14430297</v>
      </c>
      <c r="O70" s="3">
        <f t="shared" si="8"/>
        <v>1550232</v>
      </c>
      <c r="Q70" s="8">
        <v>9722574</v>
      </c>
      <c r="S70" s="8">
        <v>11272806</v>
      </c>
      <c r="U70" s="8">
        <f>63920+2211626+13341</f>
        <v>2288887</v>
      </c>
      <c r="W70" s="8">
        <v>0</v>
      </c>
      <c r="Y70" s="8">
        <f>772548+215104-119048</f>
        <v>868604</v>
      </c>
      <c r="AA70" s="14">
        <f t="shared" si="3"/>
        <v>3157491</v>
      </c>
      <c r="AC70" s="8">
        <f t="shared" si="1"/>
        <v>0</v>
      </c>
    </row>
    <row r="71" spans="1:31">
      <c r="A71" s="13" t="s">
        <v>965</v>
      </c>
      <c r="B71" s="13"/>
      <c r="C71" s="13" t="s">
        <v>50</v>
      </c>
      <c r="D71" s="13"/>
      <c r="E71" s="32">
        <v>48678</v>
      </c>
      <c r="G71" s="8">
        <v>7662899</v>
      </c>
      <c r="I71" s="8">
        <v>421608</v>
      </c>
      <c r="K71" s="3">
        <f t="shared" si="7"/>
        <v>20422500</v>
      </c>
      <c r="M71" s="8">
        <v>28507007</v>
      </c>
      <c r="O71" s="3">
        <f t="shared" si="8"/>
        <v>1690270</v>
      </c>
      <c r="Q71" s="8">
        <v>15862200</v>
      </c>
      <c r="S71" s="8">
        <v>17552470</v>
      </c>
      <c r="U71" s="8">
        <f>652238+83926+415946+421608</f>
        <v>1573718</v>
      </c>
      <c r="W71" s="8">
        <v>0</v>
      </c>
      <c r="Y71" s="8">
        <f>2157482+340760+5699134+1183443</f>
        <v>9380819</v>
      </c>
      <c r="AA71" s="14">
        <f t="shared" si="3"/>
        <v>10954537</v>
      </c>
      <c r="AC71" s="8">
        <f t="shared" si="1"/>
        <v>0</v>
      </c>
      <c r="AE71" s="8" t="s">
        <v>956</v>
      </c>
    </row>
    <row r="72" spans="1:31">
      <c r="A72" s="13" t="s">
        <v>252</v>
      </c>
      <c r="B72" s="13"/>
      <c r="C72" s="13" t="s">
        <v>16</v>
      </c>
      <c r="D72" s="13"/>
      <c r="E72" s="32">
        <v>46177</v>
      </c>
      <c r="G72" s="8">
        <v>2786714</v>
      </c>
      <c r="I72" s="8">
        <v>0</v>
      </c>
      <c r="K72" s="3">
        <f t="shared" si="7"/>
        <v>2886408</v>
      </c>
      <c r="M72" s="8">
        <v>5673122</v>
      </c>
      <c r="O72" s="3">
        <f t="shared" si="8"/>
        <v>713521</v>
      </c>
      <c r="Q72" s="8">
        <v>1945008</v>
      </c>
      <c r="S72" s="8">
        <v>2658529</v>
      </c>
      <c r="U72" s="8">
        <f>80042+4183+921500</f>
        <v>1005725</v>
      </c>
      <c r="W72" s="8">
        <v>0</v>
      </c>
      <c r="Y72" s="8">
        <f>1120174+381248+507446</f>
        <v>2008868</v>
      </c>
      <c r="AA72" s="14">
        <f t="shared" si="3"/>
        <v>3014593</v>
      </c>
      <c r="AC72" s="8">
        <f t="shared" si="1"/>
        <v>0</v>
      </c>
    </row>
    <row r="73" spans="1:31">
      <c r="A73" s="13" t="s">
        <v>526</v>
      </c>
      <c r="B73" s="13"/>
      <c r="C73" s="13" t="s">
        <v>47</v>
      </c>
      <c r="D73" s="13"/>
      <c r="E73" s="32">
        <v>43661</v>
      </c>
      <c r="G73" s="8">
        <v>12221520</v>
      </c>
      <c r="I73" s="8">
        <f>105000+1496843</f>
        <v>1601843</v>
      </c>
      <c r="K73" s="3">
        <f t="shared" si="7"/>
        <v>40698524</v>
      </c>
      <c r="M73" s="8">
        <v>54521887</v>
      </c>
      <c r="O73" s="3">
        <f t="shared" si="8"/>
        <v>8503578</v>
      </c>
      <c r="Q73" s="8">
        <v>36168623</v>
      </c>
      <c r="S73" s="8">
        <v>44672201</v>
      </c>
      <c r="U73" s="8">
        <f>2023991+3324519+1496843</f>
        <v>6845353</v>
      </c>
      <c r="W73" s="8">
        <v>0</v>
      </c>
      <c r="Y73" s="8">
        <f>1273140+41495+651248+1038450</f>
        <v>3004333</v>
      </c>
      <c r="AA73" s="14">
        <f t="shared" si="3"/>
        <v>9849686</v>
      </c>
      <c r="AC73" s="8">
        <f t="shared" si="1"/>
        <v>0</v>
      </c>
    </row>
    <row r="74" spans="1:31" hidden="1">
      <c r="A74" s="13" t="s">
        <v>966</v>
      </c>
      <c r="B74" s="13"/>
      <c r="C74" s="13" t="s">
        <v>727</v>
      </c>
      <c r="D74" s="13"/>
      <c r="E74" s="32">
        <v>43679</v>
      </c>
      <c r="G74" s="8">
        <v>9792176</v>
      </c>
      <c r="K74" s="3">
        <f t="shared" si="7"/>
        <v>0</v>
      </c>
      <c r="M74" s="8">
        <v>9792176</v>
      </c>
      <c r="O74" s="3">
        <f t="shared" si="8"/>
        <v>0</v>
      </c>
      <c r="U74" s="8">
        <v>338284</v>
      </c>
      <c r="W74" s="8">
        <v>0</v>
      </c>
      <c r="Y74" s="8">
        <f>7051993+451786+1950113</f>
        <v>9453892</v>
      </c>
      <c r="AA74" s="14">
        <f t="shared" si="3"/>
        <v>9792176</v>
      </c>
      <c r="AC74" s="8">
        <f t="shared" si="1"/>
        <v>0</v>
      </c>
      <c r="AE74" s="8" t="s">
        <v>956</v>
      </c>
    </row>
    <row r="75" spans="1:31">
      <c r="A75" s="13" t="s">
        <v>290</v>
      </c>
      <c r="B75" s="13"/>
      <c r="C75" s="13" t="s">
        <v>113</v>
      </c>
      <c r="D75" s="13"/>
      <c r="E75" s="32">
        <v>46508</v>
      </c>
      <c r="G75" s="8">
        <v>6532891</v>
      </c>
      <c r="I75" s="8">
        <v>43646</v>
      </c>
      <c r="K75" s="3">
        <f t="shared" si="7"/>
        <v>8572096</v>
      </c>
      <c r="M75" s="8">
        <v>15148633</v>
      </c>
      <c r="O75" s="3">
        <f t="shared" si="8"/>
        <v>3876741</v>
      </c>
      <c r="Q75" s="8">
        <v>560039</v>
      </c>
      <c r="S75" s="8">
        <v>4436780</v>
      </c>
      <c r="U75" s="8">
        <f>3771445+7909+12300+190501+640294+43646</f>
        <v>4666095</v>
      </c>
      <c r="W75" s="8">
        <v>0</v>
      </c>
      <c r="Y75" s="8">
        <f>1566991+123606+4355161</f>
        <v>6045758</v>
      </c>
      <c r="AA75" s="14">
        <f t="shared" si="3"/>
        <v>10711853</v>
      </c>
      <c r="AC75" s="8">
        <f t="shared" si="1"/>
        <v>0</v>
      </c>
    </row>
    <row r="76" spans="1:31">
      <c r="A76" s="13" t="s">
        <v>217</v>
      </c>
      <c r="B76" s="13"/>
      <c r="C76" s="13" t="s">
        <v>12</v>
      </c>
      <c r="D76" s="13"/>
      <c r="E76" s="32">
        <v>45856</v>
      </c>
      <c r="G76" s="8">
        <v>5105198</v>
      </c>
      <c r="I76" s="8">
        <v>0</v>
      </c>
      <c r="K76" s="3">
        <f t="shared" si="7"/>
        <v>8022704</v>
      </c>
      <c r="M76" s="8">
        <v>13127902</v>
      </c>
      <c r="O76" s="3">
        <f t="shared" si="8"/>
        <v>2473035</v>
      </c>
      <c r="Q76" s="8">
        <v>4675978</v>
      </c>
      <c r="S76" s="8">
        <v>7149013</v>
      </c>
      <c r="U76" s="8">
        <f>85089+40320+3123690</f>
        <v>3249099</v>
      </c>
      <c r="W76" s="8">
        <v>0</v>
      </c>
      <c r="Y76" s="8">
        <f>2226912+152185+350693</f>
        <v>2729790</v>
      </c>
      <c r="AA76" s="14">
        <f t="shared" si="3"/>
        <v>5978889</v>
      </c>
      <c r="AC76" s="8">
        <f t="shared" si="1"/>
        <v>0</v>
      </c>
    </row>
    <row r="77" spans="1:31">
      <c r="A77" s="13"/>
      <c r="B77" s="13"/>
      <c r="C77" s="13"/>
      <c r="D77" s="13"/>
      <c r="E77" s="32"/>
      <c r="K77" s="3"/>
      <c r="O77" s="3"/>
      <c r="AA77" s="14"/>
    </row>
    <row r="78" spans="1:31">
      <c r="A78" s="13"/>
      <c r="B78" s="13"/>
      <c r="C78" s="13"/>
      <c r="D78" s="13"/>
      <c r="E78" s="32"/>
      <c r="K78" s="3"/>
      <c r="O78" s="3"/>
      <c r="AA78" s="134" t="s">
        <v>805</v>
      </c>
    </row>
    <row r="79" spans="1:31">
      <c r="A79" s="13"/>
      <c r="B79" s="13"/>
      <c r="C79" s="13"/>
      <c r="D79" s="13"/>
      <c r="E79" s="32"/>
      <c r="K79" s="3"/>
      <c r="O79" s="3"/>
      <c r="AA79" s="14"/>
    </row>
    <row r="80" spans="1:31">
      <c r="A80" s="13" t="s">
        <v>217</v>
      </c>
      <c r="B80" s="13"/>
      <c r="C80" s="13" t="s">
        <v>39</v>
      </c>
      <c r="D80" s="13"/>
      <c r="E80" s="32">
        <v>47787</v>
      </c>
      <c r="G80" s="35">
        <v>1774998</v>
      </c>
      <c r="H80" s="35"/>
      <c r="I80" s="35">
        <v>172687</v>
      </c>
      <c r="J80" s="35"/>
      <c r="K80" s="42">
        <f t="shared" si="7"/>
        <v>8460123</v>
      </c>
      <c r="L80" s="35"/>
      <c r="M80" s="35">
        <v>10407808</v>
      </c>
      <c r="N80" s="35"/>
      <c r="O80" s="42">
        <f t="shared" si="8"/>
        <v>2838562</v>
      </c>
      <c r="P80" s="35"/>
      <c r="Q80" s="35">
        <v>7321128</v>
      </c>
      <c r="R80" s="35"/>
      <c r="S80" s="35">
        <v>10159690</v>
      </c>
      <c r="T80" s="35"/>
      <c r="U80" s="35">
        <f>282028+115961+47688+9038</f>
        <v>454715</v>
      </c>
      <c r="V80" s="35"/>
      <c r="W80" s="35">
        <v>0</v>
      </c>
      <c r="X80" s="35"/>
      <c r="Y80" s="35">
        <f>-1545054-175651+1511711+2397</f>
        <v>-206597</v>
      </c>
      <c r="Z80" s="35"/>
      <c r="AA80" s="64">
        <f t="shared" si="3"/>
        <v>248118</v>
      </c>
      <c r="AC80" s="8">
        <f t="shared" si="1"/>
        <v>0</v>
      </c>
    </row>
    <row r="81" spans="1:31">
      <c r="A81" s="13" t="s">
        <v>217</v>
      </c>
      <c r="B81" s="13"/>
      <c r="C81" s="13" t="s">
        <v>47</v>
      </c>
      <c r="D81" s="13"/>
      <c r="E81" s="32">
        <v>48470</v>
      </c>
      <c r="G81" s="8">
        <v>3768010</v>
      </c>
      <c r="I81" s="8">
        <v>0</v>
      </c>
      <c r="K81" s="3">
        <f t="shared" si="7"/>
        <v>11232723</v>
      </c>
      <c r="M81" s="8">
        <v>15000733</v>
      </c>
      <c r="O81" s="3">
        <f t="shared" si="8"/>
        <v>3174259</v>
      </c>
      <c r="Q81" s="8">
        <v>9976366</v>
      </c>
      <c r="S81" s="8">
        <v>13150625</v>
      </c>
      <c r="U81" s="8">
        <f>933779+725930</f>
        <v>1659709</v>
      </c>
      <c r="W81" s="8">
        <v>0</v>
      </c>
      <c r="Y81" s="8">
        <f>7688+678249+530411-1025949</f>
        <v>190399</v>
      </c>
      <c r="AA81" s="14">
        <f t="shared" si="3"/>
        <v>1850108</v>
      </c>
      <c r="AC81" s="8">
        <f t="shared" si="1"/>
        <v>0</v>
      </c>
    </row>
    <row r="82" spans="1:31" hidden="1">
      <c r="A82" s="8" t="s">
        <v>901</v>
      </c>
      <c r="B82" s="13"/>
      <c r="C82" s="13" t="s">
        <v>114</v>
      </c>
      <c r="D82" s="13"/>
      <c r="E82" s="32">
        <v>46755</v>
      </c>
      <c r="K82" s="3">
        <f>M82-G82-I82</f>
        <v>0</v>
      </c>
      <c r="O82" s="3">
        <f>S82-Q82</f>
        <v>0</v>
      </c>
      <c r="W82" s="8">
        <v>0</v>
      </c>
      <c r="AA82" s="14">
        <f>U82+W82+Y82</f>
        <v>0</v>
      </c>
      <c r="AC82" s="8">
        <f t="shared" ref="AC82:AC85" si="9">+G82+I82+K82-O82-Q82-Y82-W82-U82</f>
        <v>0</v>
      </c>
      <c r="AE82" s="8" t="s">
        <v>967</v>
      </c>
    </row>
    <row r="83" spans="1:31">
      <c r="A83" s="13" t="s">
        <v>334</v>
      </c>
      <c r="B83" s="13"/>
      <c r="C83" s="13" t="s">
        <v>23</v>
      </c>
      <c r="D83" s="13"/>
      <c r="E83" s="32">
        <v>46755</v>
      </c>
      <c r="G83" s="8">
        <v>21467579</v>
      </c>
      <c r="I83" s="8">
        <v>0</v>
      </c>
      <c r="K83" s="3">
        <f t="shared" si="7"/>
        <v>13604623</v>
      </c>
      <c r="M83" s="8">
        <v>35072202</v>
      </c>
      <c r="O83" s="3">
        <f t="shared" si="8"/>
        <v>12437988</v>
      </c>
      <c r="Q83" s="8">
        <v>587686</v>
      </c>
      <c r="S83" s="8">
        <v>13025674</v>
      </c>
      <c r="U83" s="8">
        <f>863481+13782+1311187+2985</f>
        <v>2191435</v>
      </c>
      <c r="W83" s="8">
        <v>0</v>
      </c>
      <c r="Y83" s="8">
        <f>2700893+120172+900338+16133690</f>
        <v>19855093</v>
      </c>
      <c r="AA83" s="14">
        <f>U83+W83+Y83</f>
        <v>22046528</v>
      </c>
      <c r="AC83" s="8">
        <f t="shared" si="9"/>
        <v>0</v>
      </c>
    </row>
    <row r="84" spans="1:31">
      <c r="A84" s="13" t="s">
        <v>291</v>
      </c>
      <c r="B84" s="13"/>
      <c r="C84" s="13" t="s">
        <v>113</v>
      </c>
      <c r="D84" s="13"/>
      <c r="E84" s="32">
        <v>43687</v>
      </c>
      <c r="G84" s="8">
        <v>18707659</v>
      </c>
      <c r="I84" s="8">
        <f>73427+667293</f>
        <v>740720</v>
      </c>
      <c r="K84" s="3">
        <f t="shared" si="7"/>
        <v>7429721</v>
      </c>
      <c r="M84" s="8">
        <v>26878100</v>
      </c>
      <c r="O84" s="3">
        <f t="shared" si="8"/>
        <v>4489107</v>
      </c>
      <c r="Q84" s="8">
        <v>4918641</v>
      </c>
      <c r="S84" s="8">
        <v>9407748</v>
      </c>
      <c r="U84" s="8">
        <f>1920117+67822+5605+5467122</f>
        <v>7460666</v>
      </c>
      <c r="W84" s="8">
        <v>0</v>
      </c>
      <c r="Y84" s="8">
        <f>4526777+292619+397315+4792975</f>
        <v>10009686</v>
      </c>
      <c r="AA84" s="14">
        <f>U84+W84+Y84</f>
        <v>17470352</v>
      </c>
      <c r="AC84" s="8">
        <f t="shared" si="9"/>
        <v>0</v>
      </c>
    </row>
    <row r="85" spans="1:31">
      <c r="A85" s="13" t="s">
        <v>569</v>
      </c>
      <c r="B85" s="13"/>
      <c r="C85" s="13" t="s">
        <v>52</v>
      </c>
      <c r="D85" s="13"/>
      <c r="E85" s="32">
        <v>45252</v>
      </c>
      <c r="G85" s="8">
        <v>1962931</v>
      </c>
      <c r="I85" s="8">
        <v>54998</v>
      </c>
      <c r="K85" s="3">
        <f t="shared" ref="K85" si="10">M85-G85-I85</f>
        <v>2516411</v>
      </c>
      <c r="M85" s="8">
        <v>4534340</v>
      </c>
      <c r="O85" s="3">
        <f t="shared" ref="O85" si="11">S85-Q85</f>
        <v>1142692</v>
      </c>
      <c r="Q85" s="8">
        <v>2091298</v>
      </c>
      <c r="S85" s="8">
        <v>3233990</v>
      </c>
      <c r="U85" s="8">
        <f>116550+756+28284+25958+308120</f>
        <v>479668</v>
      </c>
      <c r="W85" s="8">
        <v>40000</v>
      </c>
      <c r="Y85" s="8">
        <f>123166+317324+55534+284658</f>
        <v>780682</v>
      </c>
      <c r="AA85" s="14">
        <f t="shared" ref="AA85" si="12">U85+W85+Y85</f>
        <v>1300350</v>
      </c>
      <c r="AC85" s="8">
        <f t="shared" si="9"/>
        <v>0</v>
      </c>
    </row>
    <row r="86" spans="1:31">
      <c r="A86" s="13" t="s">
        <v>389</v>
      </c>
      <c r="B86" s="13"/>
      <c r="C86" s="13" t="s">
        <v>31</v>
      </c>
      <c r="D86" s="13"/>
      <c r="E86" s="32">
        <v>43695</v>
      </c>
      <c r="G86" s="8">
        <v>5155049</v>
      </c>
      <c r="I86" s="8">
        <v>82185</v>
      </c>
      <c r="K86" s="3">
        <f t="shared" ref="K86:K154" si="13">M86-G86-I86</f>
        <v>7838255</v>
      </c>
      <c r="M86" s="8">
        <v>13075489</v>
      </c>
      <c r="O86" s="3">
        <f t="shared" ref="O86:O154" si="14">S86-Q86</f>
        <v>3025553</v>
      </c>
      <c r="Q86" s="8">
        <v>5062635</v>
      </c>
      <c r="S86" s="8">
        <v>8088188</v>
      </c>
      <c r="U86" s="8">
        <f>689464+2610423+82185+500</f>
        <v>3382572</v>
      </c>
      <c r="W86" s="8">
        <v>0</v>
      </c>
      <c r="Y86" s="8">
        <f>-1689837+72662+1501071+1718847+1986</f>
        <v>1604729</v>
      </c>
      <c r="AA86" s="14">
        <f t="shared" ref="AA86:AA154" si="15">U86+W86+Y86</f>
        <v>4987301</v>
      </c>
      <c r="AC86" s="8">
        <f t="shared" ref="AC86:AC154" si="16">+G86+I86+K86-O86-Q86-Y86-W86-U86</f>
        <v>0</v>
      </c>
    </row>
    <row r="87" spans="1:31">
      <c r="A87" s="13" t="s">
        <v>510</v>
      </c>
      <c r="B87" s="13"/>
      <c r="C87" s="13" t="s">
        <v>45</v>
      </c>
      <c r="D87" s="13"/>
      <c r="E87" s="32">
        <v>43703</v>
      </c>
      <c r="G87" s="8">
        <v>2424646</v>
      </c>
      <c r="I87" s="8">
        <v>80192</v>
      </c>
      <c r="K87" s="3">
        <f t="shared" si="13"/>
        <v>3156443</v>
      </c>
      <c r="M87" s="8">
        <v>5661281</v>
      </c>
      <c r="O87" s="3">
        <f t="shared" si="14"/>
        <v>2108330</v>
      </c>
      <c r="Q87" s="8">
        <v>2882228</v>
      </c>
      <c r="S87" s="8">
        <v>4990558</v>
      </c>
      <c r="U87" s="8">
        <f>457053+80192</f>
        <v>537245</v>
      </c>
      <c r="W87" s="8">
        <v>0</v>
      </c>
      <c r="Y87" s="8">
        <f>-413079+221183+245703+79671</f>
        <v>133478</v>
      </c>
      <c r="AA87" s="14">
        <f t="shared" si="15"/>
        <v>670723</v>
      </c>
      <c r="AC87" s="8">
        <f t="shared" si="16"/>
        <v>0</v>
      </c>
    </row>
    <row r="88" spans="1:31">
      <c r="A88" s="13" t="s">
        <v>353</v>
      </c>
      <c r="B88" s="13"/>
      <c r="C88" s="13" t="s">
        <v>27</v>
      </c>
      <c r="D88" s="13"/>
      <c r="E88" s="32">
        <v>46946</v>
      </c>
      <c r="G88" s="8">
        <v>6897622</v>
      </c>
      <c r="I88" s="8">
        <v>0</v>
      </c>
      <c r="K88" s="3">
        <f t="shared" si="13"/>
        <v>16902411</v>
      </c>
      <c r="M88" s="8">
        <v>23800033</v>
      </c>
      <c r="O88" s="3">
        <f t="shared" si="14"/>
        <v>14474118</v>
      </c>
      <c r="Q88" s="8">
        <v>1277025</v>
      </c>
      <c r="S88" s="8">
        <v>15751143</v>
      </c>
      <c r="U88" s="8">
        <f>442784+1205444+4457762</f>
        <v>6105990</v>
      </c>
      <c r="W88" s="8">
        <v>0</v>
      </c>
      <c r="Y88" s="8">
        <f>24651+671903+1246346</f>
        <v>1942900</v>
      </c>
      <c r="AA88" s="14">
        <f t="shared" si="15"/>
        <v>8048890</v>
      </c>
      <c r="AC88" s="8">
        <f t="shared" si="16"/>
        <v>0</v>
      </c>
    </row>
    <row r="89" spans="1:31">
      <c r="A89" s="13" t="s">
        <v>511</v>
      </c>
      <c r="B89" s="13"/>
      <c r="C89" s="13" t="s">
        <v>45</v>
      </c>
      <c r="D89" s="13"/>
      <c r="E89" s="32">
        <v>48314</v>
      </c>
      <c r="G89" s="8">
        <v>8007243</v>
      </c>
      <c r="I89" s="8">
        <v>761460</v>
      </c>
      <c r="K89" s="3">
        <f t="shared" si="13"/>
        <v>18524245</v>
      </c>
      <c r="M89" s="8">
        <v>27292948</v>
      </c>
      <c r="O89" s="3">
        <f t="shared" si="14"/>
        <v>2503295</v>
      </c>
      <c r="Q89" s="8">
        <v>17310506</v>
      </c>
      <c r="S89" s="8">
        <v>19813801</v>
      </c>
      <c r="U89" s="8">
        <f>203467+761460</f>
        <v>964927</v>
      </c>
      <c r="W89" s="8">
        <v>11000</v>
      </c>
      <c r="Y89" s="8">
        <f>4130428+516827+1559461+262341+34163</f>
        <v>6503220</v>
      </c>
      <c r="AA89" s="14">
        <f t="shared" si="15"/>
        <v>7479147</v>
      </c>
      <c r="AC89" s="8">
        <f t="shared" si="16"/>
        <v>0</v>
      </c>
    </row>
    <row r="90" spans="1:31">
      <c r="A90" s="13" t="s">
        <v>650</v>
      </c>
      <c r="B90" s="13"/>
      <c r="C90" s="13" t="s">
        <v>62</v>
      </c>
      <c r="D90" s="13"/>
      <c r="E90" s="32">
        <v>43711</v>
      </c>
      <c r="G90" s="8">
        <v>0</v>
      </c>
      <c r="I90" s="8">
        <v>0</v>
      </c>
      <c r="K90" s="3">
        <f t="shared" si="13"/>
        <v>11071675</v>
      </c>
      <c r="M90" s="8">
        <v>11071675</v>
      </c>
      <c r="O90" s="3">
        <f t="shared" si="14"/>
        <v>12488345</v>
      </c>
      <c r="Q90" s="8">
        <v>2008369</v>
      </c>
      <c r="S90" s="8">
        <v>14496714</v>
      </c>
      <c r="U90" s="8">
        <f>167698+17239+19150+346930</f>
        <v>551017</v>
      </c>
      <c r="W90" s="8">
        <v>0</v>
      </c>
      <c r="Y90" s="8">
        <f>-3332182-554528-89346</f>
        <v>-3976056</v>
      </c>
      <c r="AA90" s="14">
        <f t="shared" si="15"/>
        <v>-3425039</v>
      </c>
      <c r="AC90" s="8">
        <f t="shared" si="16"/>
        <v>0</v>
      </c>
    </row>
    <row r="91" spans="1:31">
      <c r="A91" s="13" t="s">
        <v>649</v>
      </c>
      <c r="B91" s="13"/>
      <c r="C91" s="13" t="s">
        <v>62</v>
      </c>
      <c r="D91" s="13"/>
      <c r="E91" s="32">
        <v>49833</v>
      </c>
      <c r="G91" s="8">
        <v>30652000</v>
      </c>
      <c r="I91" s="8">
        <v>10867000</v>
      </c>
      <c r="K91" s="3">
        <f t="shared" si="13"/>
        <v>36843000</v>
      </c>
      <c r="M91" s="8">
        <v>78362000</v>
      </c>
      <c r="O91" s="3">
        <f t="shared" si="14"/>
        <v>41784000</v>
      </c>
      <c r="Q91" s="8">
        <v>7789000</v>
      </c>
      <c r="S91" s="8">
        <v>49573000</v>
      </c>
      <c r="U91" s="8">
        <f>7987000+461000+169000+11961000+1534000+57000+155000</f>
        <v>22324000</v>
      </c>
      <c r="W91" s="8">
        <v>0</v>
      </c>
      <c r="Y91" s="8">
        <f>-1279000+3488000+4256000</f>
        <v>6465000</v>
      </c>
      <c r="AA91" s="14">
        <f t="shared" si="15"/>
        <v>28789000</v>
      </c>
      <c r="AC91" s="8">
        <f t="shared" si="16"/>
        <v>0</v>
      </c>
    </row>
    <row r="92" spans="1:31">
      <c r="A92" s="13" t="s">
        <v>378</v>
      </c>
      <c r="B92" s="13"/>
      <c r="C92" s="13" t="s">
        <v>30</v>
      </c>
      <c r="D92" s="13"/>
      <c r="E92" s="32">
        <v>47175</v>
      </c>
      <c r="G92" s="8">
        <v>3601495</v>
      </c>
      <c r="I92" s="8">
        <v>563531</v>
      </c>
      <c r="K92" s="3">
        <f t="shared" si="13"/>
        <v>7484506</v>
      </c>
      <c r="M92" s="8">
        <v>11649532</v>
      </c>
      <c r="O92" s="3">
        <f t="shared" si="14"/>
        <v>2124588</v>
      </c>
      <c r="Q92" s="8">
        <v>6615223</v>
      </c>
      <c r="S92" s="8">
        <v>8739811</v>
      </c>
      <c r="U92" s="8">
        <f>349155+802100+444691+118840</f>
        <v>1714786</v>
      </c>
      <c r="W92" s="8">
        <v>0</v>
      </c>
      <c r="Y92" s="8">
        <f>-587595+81283+1266730+434517</f>
        <v>1194935</v>
      </c>
      <c r="AA92" s="14">
        <f t="shared" si="15"/>
        <v>2909721</v>
      </c>
      <c r="AC92" s="8">
        <f t="shared" si="16"/>
        <v>0</v>
      </c>
    </row>
    <row r="93" spans="1:31">
      <c r="A93" s="13" t="s">
        <v>560</v>
      </c>
      <c r="B93" s="13"/>
      <c r="C93" s="13" t="s">
        <v>78</v>
      </c>
      <c r="D93" s="13"/>
      <c r="E93" s="13">
        <v>48793</v>
      </c>
      <c r="G93" s="8">
        <v>3967955</v>
      </c>
      <c r="I93" s="8">
        <f>1960+28476</f>
        <v>30436</v>
      </c>
      <c r="K93" s="3">
        <f t="shared" si="13"/>
        <v>2675396</v>
      </c>
      <c r="M93" s="8">
        <v>6673787</v>
      </c>
      <c r="O93" s="3">
        <f t="shared" si="14"/>
        <v>3250268</v>
      </c>
      <c r="Q93" s="8">
        <v>259693</v>
      </c>
      <c r="S93" s="8">
        <v>3509961</v>
      </c>
      <c r="U93" s="8">
        <f>78305+6072+15476+1318577+494234+28476</f>
        <v>1941140</v>
      </c>
      <c r="W93" s="8">
        <v>89029</v>
      </c>
      <c r="Y93" s="8">
        <f>8507+643436+481714</f>
        <v>1133657</v>
      </c>
      <c r="AA93" s="14">
        <f t="shared" si="15"/>
        <v>3163826</v>
      </c>
      <c r="AC93" s="8">
        <f t="shared" si="16"/>
        <v>0</v>
      </c>
    </row>
    <row r="94" spans="1:31" hidden="1">
      <c r="A94" s="13" t="s">
        <v>838</v>
      </c>
      <c r="B94" s="13"/>
      <c r="C94" s="13" t="s">
        <v>740</v>
      </c>
      <c r="D94" s="13"/>
      <c r="E94" s="32">
        <v>45260</v>
      </c>
      <c r="G94" s="8">
        <v>6110762</v>
      </c>
      <c r="I94" s="8">
        <v>28499</v>
      </c>
      <c r="K94" s="3">
        <f t="shared" si="13"/>
        <v>0</v>
      </c>
      <c r="M94" s="8">
        <v>6139261</v>
      </c>
      <c r="O94" s="3">
        <f t="shared" si="14"/>
        <v>0</v>
      </c>
      <c r="U94" s="8">
        <f>248011+923+27576</f>
        <v>276510</v>
      </c>
      <c r="W94" s="8">
        <v>0</v>
      </c>
      <c r="Y94" s="8">
        <f>5272610+343790+246351</f>
        <v>5862751</v>
      </c>
      <c r="AA94" s="14">
        <f t="shared" si="15"/>
        <v>6139261</v>
      </c>
      <c r="AC94" s="8">
        <f t="shared" si="16"/>
        <v>0</v>
      </c>
    </row>
    <row r="95" spans="1:31">
      <c r="A95" s="13" t="s">
        <v>708</v>
      </c>
      <c r="B95" s="13"/>
      <c r="C95" s="13" t="s">
        <v>69</v>
      </c>
      <c r="D95" s="13"/>
      <c r="E95" s="32">
        <v>50419</v>
      </c>
      <c r="G95" s="8">
        <v>994895</v>
      </c>
      <c r="I95" s="8">
        <v>0</v>
      </c>
      <c r="K95" s="3">
        <f t="shared" si="13"/>
        <v>5549895</v>
      </c>
      <c r="M95" s="8">
        <v>6544790</v>
      </c>
      <c r="O95" s="3">
        <f t="shared" si="14"/>
        <v>1951919</v>
      </c>
      <c r="Q95" s="8">
        <v>4509920</v>
      </c>
      <c r="S95" s="8">
        <v>6461839</v>
      </c>
      <c r="U95" s="8">
        <f>8625+313943</f>
        <v>322568</v>
      </c>
      <c r="W95" s="8">
        <v>0</v>
      </c>
      <c r="Y95" s="8">
        <f>-440044-47126+247553</f>
        <v>-239617</v>
      </c>
      <c r="AA95" s="14">
        <f t="shared" si="15"/>
        <v>82951</v>
      </c>
      <c r="AC95" s="8">
        <f t="shared" si="16"/>
        <v>0</v>
      </c>
    </row>
    <row r="96" spans="1:31">
      <c r="A96" s="13" t="s">
        <v>253</v>
      </c>
      <c r="B96" s="13"/>
      <c r="C96" s="13" t="s">
        <v>16</v>
      </c>
      <c r="D96" s="13"/>
      <c r="E96" s="32">
        <v>45278</v>
      </c>
      <c r="G96" s="8">
        <v>3782562</v>
      </c>
      <c r="I96" s="8">
        <v>1385</v>
      </c>
      <c r="K96" s="3">
        <f t="shared" si="13"/>
        <v>6350453</v>
      </c>
      <c r="M96" s="8">
        <v>10134400</v>
      </c>
      <c r="O96" s="3">
        <f t="shared" si="14"/>
        <v>2551368</v>
      </c>
      <c r="Q96" s="8">
        <v>5620024</v>
      </c>
      <c r="S96" s="8">
        <v>8171392</v>
      </c>
      <c r="U96" s="8">
        <f>471563+246800+1385</f>
        <v>719748</v>
      </c>
      <c r="W96" s="8">
        <v>0</v>
      </c>
      <c r="Y96" s="8">
        <f>1306672-63412</f>
        <v>1243260</v>
      </c>
      <c r="AA96" s="14">
        <f t="shared" si="15"/>
        <v>1963008</v>
      </c>
      <c r="AC96" s="8">
        <f t="shared" si="16"/>
        <v>0</v>
      </c>
    </row>
    <row r="97" spans="1:31">
      <c r="A97" s="13" t="s">
        <v>385</v>
      </c>
      <c r="B97" s="13"/>
      <c r="C97" s="13" t="s">
        <v>116</v>
      </c>
      <c r="D97" s="13"/>
      <c r="E97" s="32">
        <v>47258</v>
      </c>
      <c r="G97" s="8">
        <v>2300452</v>
      </c>
      <c r="I97" s="8">
        <v>0</v>
      </c>
      <c r="K97" s="3">
        <f t="shared" si="13"/>
        <v>2423238</v>
      </c>
      <c r="M97" s="8">
        <v>4723690</v>
      </c>
      <c r="O97" s="3">
        <f t="shared" si="14"/>
        <v>671056</v>
      </c>
      <c r="Q97" s="8">
        <v>1899795</v>
      </c>
      <c r="S97" s="8">
        <v>2570851</v>
      </c>
      <c r="U97" s="8">
        <f>217104+111213+59951</f>
        <v>388268</v>
      </c>
      <c r="W97" s="8">
        <v>0</v>
      </c>
      <c r="Y97" s="8">
        <f>1802712+14044-52185</f>
        <v>1764571</v>
      </c>
      <c r="AA97" s="14">
        <f t="shared" si="15"/>
        <v>2152839</v>
      </c>
      <c r="AC97" s="8">
        <f t="shared" si="16"/>
        <v>0</v>
      </c>
    </row>
    <row r="98" spans="1:31" hidden="1">
      <c r="A98" s="13" t="s">
        <v>839</v>
      </c>
      <c r="B98" s="13"/>
      <c r="C98" s="13" t="s">
        <v>534</v>
      </c>
      <c r="D98" s="13"/>
      <c r="E98" s="32">
        <v>43729</v>
      </c>
      <c r="G98" s="8">
        <v>13867785</v>
      </c>
      <c r="I98" s="8">
        <v>1457479</v>
      </c>
      <c r="K98" s="3">
        <f t="shared" si="13"/>
        <v>0</v>
      </c>
      <c r="M98" s="8">
        <v>15325264</v>
      </c>
      <c r="O98" s="3">
        <f t="shared" si="14"/>
        <v>0</v>
      </c>
      <c r="U98" s="8">
        <f>1413593+1450073+3253+4153</f>
        <v>2871072</v>
      </c>
      <c r="W98" s="8">
        <f>920152+9924456</f>
        <v>10844608</v>
      </c>
      <c r="Y98" s="8">
        <f>660683+742829+206072</f>
        <v>1609584</v>
      </c>
      <c r="AA98" s="14">
        <f t="shared" si="15"/>
        <v>15325264</v>
      </c>
      <c r="AC98" s="8">
        <f t="shared" si="16"/>
        <v>0</v>
      </c>
      <c r="AE98" s="8" t="s">
        <v>956</v>
      </c>
    </row>
    <row r="99" spans="1:31">
      <c r="A99" s="13" t="s">
        <v>454</v>
      </c>
      <c r="B99" s="13"/>
      <c r="C99" s="13" t="s">
        <v>40</v>
      </c>
      <c r="D99" s="13"/>
      <c r="E99" s="32">
        <v>47829</v>
      </c>
      <c r="G99" s="8">
        <v>4927276</v>
      </c>
      <c r="I99" s="8">
        <v>211935</v>
      </c>
      <c r="K99" s="3">
        <f t="shared" si="13"/>
        <v>3113074</v>
      </c>
      <c r="M99" s="8">
        <v>8252285</v>
      </c>
      <c r="O99" s="3">
        <f t="shared" si="14"/>
        <v>1165141</v>
      </c>
      <c r="Q99" s="8">
        <v>1663045</v>
      </c>
      <c r="S99" s="8">
        <v>2828186</v>
      </c>
      <c r="U99" s="8">
        <f>277300+1029420+37491+174444</f>
        <v>1518655</v>
      </c>
      <c r="W99" s="8">
        <v>0</v>
      </c>
      <c r="Y99" s="8">
        <f>2601750+382197+743579+177918</f>
        <v>3905444</v>
      </c>
      <c r="AA99" s="14">
        <f t="shared" si="15"/>
        <v>5424099</v>
      </c>
      <c r="AC99" s="8">
        <f t="shared" si="16"/>
        <v>0</v>
      </c>
    </row>
    <row r="100" spans="1:31">
      <c r="A100" s="34" t="s">
        <v>907</v>
      </c>
      <c r="B100" s="13"/>
      <c r="C100" s="13" t="s">
        <v>50</v>
      </c>
      <c r="D100" s="13"/>
      <c r="E100" s="32">
        <v>43737</v>
      </c>
      <c r="G100" s="8">
        <v>38964126</v>
      </c>
      <c r="I100" s="8">
        <v>141886</v>
      </c>
      <c r="K100" s="3">
        <f t="shared" si="13"/>
        <v>58074804</v>
      </c>
      <c r="M100" s="8">
        <v>97180816</v>
      </c>
      <c r="O100" s="3">
        <f t="shared" si="14"/>
        <v>11227637</v>
      </c>
      <c r="Q100" s="8">
        <v>53203194</v>
      </c>
      <c r="S100" s="8">
        <v>64430831</v>
      </c>
      <c r="U100" s="8">
        <f>1098411+42171+3916376+141886</f>
        <v>5198844</v>
      </c>
      <c r="W100" s="8">
        <v>0</v>
      </c>
      <c r="Y100" s="8">
        <f>8667764+713027+7802259+10368091</f>
        <v>27551141</v>
      </c>
      <c r="AA100" s="14">
        <f t="shared" si="15"/>
        <v>32749985</v>
      </c>
      <c r="AC100" s="8">
        <f t="shared" si="16"/>
        <v>0</v>
      </c>
    </row>
    <row r="101" spans="1:31">
      <c r="A101" s="13" t="s">
        <v>1052</v>
      </c>
      <c r="B101" s="13"/>
      <c r="C101" s="13" t="s">
        <v>22</v>
      </c>
      <c r="D101" s="13"/>
      <c r="E101" s="32">
        <v>46714</v>
      </c>
      <c r="G101" s="8">
        <v>2639018</v>
      </c>
      <c r="I101" s="8">
        <v>203014</v>
      </c>
      <c r="K101" s="3">
        <f t="shared" si="13"/>
        <v>2968735</v>
      </c>
      <c r="M101" s="8">
        <v>5810767</v>
      </c>
      <c r="O101" s="3">
        <f t="shared" si="14"/>
        <v>1250649</v>
      </c>
      <c r="Q101" s="8">
        <v>2348331</v>
      </c>
      <c r="S101" s="8">
        <v>3598980</v>
      </c>
      <c r="U101" s="8">
        <f>182111+49007+5199+291447+203014</f>
        <v>730778</v>
      </c>
      <c r="W101" s="8">
        <v>0</v>
      </c>
      <c r="Y101" s="8">
        <f>825937+535772+119295+5</f>
        <v>1481009</v>
      </c>
      <c r="AA101" s="14">
        <f t="shared" si="15"/>
        <v>2211787</v>
      </c>
      <c r="AC101" s="8">
        <f t="shared" si="16"/>
        <v>0</v>
      </c>
    </row>
    <row r="102" spans="1:31">
      <c r="A102" s="13" t="s">
        <v>302</v>
      </c>
      <c r="B102" s="13"/>
      <c r="C102" s="13" t="s">
        <v>20</v>
      </c>
      <c r="D102" s="13"/>
      <c r="E102" s="32">
        <v>45286</v>
      </c>
      <c r="G102" s="8">
        <v>7357054</v>
      </c>
      <c r="I102" s="8">
        <f>178204+39756</f>
        <v>217960</v>
      </c>
      <c r="K102" s="3">
        <f t="shared" si="13"/>
        <v>21217032</v>
      </c>
      <c r="M102" s="8">
        <v>28792046</v>
      </c>
      <c r="O102" s="3">
        <f t="shared" si="14"/>
        <v>2869895</v>
      </c>
      <c r="Q102" s="8">
        <v>17978713</v>
      </c>
      <c r="S102" s="8">
        <v>20848608</v>
      </c>
      <c r="U102" s="8">
        <f>311300+3238295+74313+103891</f>
        <v>3727799</v>
      </c>
      <c r="W102" s="8">
        <v>0</v>
      </c>
      <c r="Y102" s="8">
        <f>1424748+123372+2539420+128099</f>
        <v>4215639</v>
      </c>
      <c r="AA102" s="14">
        <f t="shared" si="15"/>
        <v>7943438</v>
      </c>
      <c r="AC102" s="8">
        <f t="shared" si="16"/>
        <v>0</v>
      </c>
    </row>
    <row r="103" spans="1:31">
      <c r="A103" s="13" t="s">
        <v>678</v>
      </c>
      <c r="B103" s="13"/>
      <c r="C103" s="13" t="s">
        <v>64</v>
      </c>
      <c r="D103" s="13"/>
      <c r="E103" s="32">
        <v>50138</v>
      </c>
      <c r="G103" s="8">
        <v>116011</v>
      </c>
      <c r="I103" s="8">
        <v>0</v>
      </c>
      <c r="K103" s="3">
        <f t="shared" si="13"/>
        <v>6279247</v>
      </c>
      <c r="M103" s="8">
        <v>6395258</v>
      </c>
      <c r="O103" s="3">
        <f t="shared" si="14"/>
        <v>6570741</v>
      </c>
      <c r="Q103" s="8">
        <v>1395813</v>
      </c>
      <c r="S103" s="8">
        <v>7966554</v>
      </c>
      <c r="U103" s="8">
        <f>3417+13825+23057+52098</f>
        <v>92397</v>
      </c>
      <c r="W103" s="8">
        <v>0</v>
      </c>
      <c r="Y103" s="8">
        <f>-1353555-315304+5166</f>
        <v>-1663693</v>
      </c>
      <c r="AA103" s="14">
        <f t="shared" si="15"/>
        <v>-1571296</v>
      </c>
      <c r="AC103" s="8">
        <f t="shared" si="16"/>
        <v>0</v>
      </c>
    </row>
    <row r="104" spans="1:31">
      <c r="A104" s="13" t="s">
        <v>379</v>
      </c>
      <c r="B104" s="13"/>
      <c r="C104" s="13" t="s">
        <v>30</v>
      </c>
      <c r="D104" s="13"/>
      <c r="E104" s="32">
        <v>47183</v>
      </c>
      <c r="G104" s="8">
        <v>3899556</v>
      </c>
      <c r="I104" s="8">
        <v>0</v>
      </c>
      <c r="K104" s="3">
        <f t="shared" si="13"/>
        <v>20534272</v>
      </c>
      <c r="M104" s="8">
        <v>24433828</v>
      </c>
      <c r="O104" s="3">
        <f t="shared" si="14"/>
        <v>4345551</v>
      </c>
      <c r="Q104" s="8">
        <v>15001274</v>
      </c>
      <c r="S104" s="8">
        <v>19346825</v>
      </c>
      <c r="U104" s="8">
        <f>1031293+5028300</f>
        <v>6059593</v>
      </c>
      <c r="W104" s="8">
        <v>0</v>
      </c>
      <c r="Y104" s="8">
        <f>-1168257+133058+62609</f>
        <v>-972590</v>
      </c>
      <c r="AA104" s="14">
        <f t="shared" si="15"/>
        <v>5087003</v>
      </c>
      <c r="AC104" s="8">
        <f t="shared" si="16"/>
        <v>0</v>
      </c>
    </row>
    <row r="105" spans="1:31">
      <c r="A105" s="13" t="s">
        <v>465</v>
      </c>
      <c r="B105" s="13"/>
      <c r="C105" s="13" t="s">
        <v>466</v>
      </c>
      <c r="D105" s="13"/>
      <c r="E105" s="32">
        <v>45294</v>
      </c>
      <c r="G105" s="8">
        <v>3084921</v>
      </c>
      <c r="I105" s="8">
        <v>610946</v>
      </c>
      <c r="K105" s="3">
        <f t="shared" si="13"/>
        <v>3311609</v>
      </c>
      <c r="M105" s="8">
        <v>7007476</v>
      </c>
      <c r="O105" s="3">
        <f t="shared" si="14"/>
        <v>1885390</v>
      </c>
      <c r="Q105" s="8">
        <v>2368650</v>
      </c>
      <c r="S105" s="8">
        <v>4254040</v>
      </c>
      <c r="U105" s="8">
        <f>224586+339505+439060+14512+157374</f>
        <v>1175037</v>
      </c>
      <c r="W105" s="8">
        <v>0</v>
      </c>
      <c r="Y105" s="8">
        <f>-589665+766583+1346326+55155</f>
        <v>1578399</v>
      </c>
      <c r="AA105" s="14">
        <f t="shared" si="15"/>
        <v>2753436</v>
      </c>
      <c r="AC105" s="8">
        <f t="shared" si="16"/>
        <v>0</v>
      </c>
    </row>
    <row r="106" spans="1:31">
      <c r="A106" s="13" t="s">
        <v>617</v>
      </c>
      <c r="B106" s="13"/>
      <c r="C106" s="13" t="s">
        <v>58</v>
      </c>
      <c r="D106" s="13"/>
      <c r="E106" s="13">
        <v>43745</v>
      </c>
      <c r="G106" s="8">
        <v>8157132</v>
      </c>
      <c r="I106" s="8">
        <v>492</v>
      </c>
      <c r="K106" s="3">
        <f t="shared" si="13"/>
        <v>13421023</v>
      </c>
      <c r="M106" s="8">
        <v>21578647</v>
      </c>
      <c r="O106" s="3">
        <f t="shared" si="14"/>
        <v>3558162</v>
      </c>
      <c r="Q106" s="8">
        <v>11648135</v>
      </c>
      <c r="S106" s="8">
        <v>15206297</v>
      </c>
      <c r="U106" s="8">
        <f>600979+1182951+492+450000</f>
        <v>2234422</v>
      </c>
      <c r="W106" s="8">
        <v>221204</v>
      </c>
      <c r="Y106" s="8">
        <f>1496328+230258+630745+1474967+84426</f>
        <v>3916724</v>
      </c>
      <c r="AA106" s="14">
        <f t="shared" si="15"/>
        <v>6372350</v>
      </c>
      <c r="AC106" s="8">
        <f t="shared" si="16"/>
        <v>0</v>
      </c>
    </row>
    <row r="107" spans="1:31">
      <c r="A107" s="13" t="s">
        <v>721</v>
      </c>
      <c r="B107" s="13"/>
      <c r="C107" s="13" t="s">
        <v>71</v>
      </c>
      <c r="D107" s="13"/>
      <c r="E107" s="32">
        <v>50534</v>
      </c>
      <c r="G107" s="8">
        <v>4160116</v>
      </c>
      <c r="I107" s="8">
        <v>192220</v>
      </c>
      <c r="K107" s="3">
        <f t="shared" si="13"/>
        <v>5463346</v>
      </c>
      <c r="M107" s="8">
        <v>9815682</v>
      </c>
      <c r="O107" s="3">
        <f t="shared" si="14"/>
        <v>5279025</v>
      </c>
      <c r="Q107" s="8">
        <v>399408</v>
      </c>
      <c r="S107" s="8">
        <v>5678433</v>
      </c>
      <c r="U107" s="8">
        <f>291010+6661+24740+51631+366686+43205+149015</f>
        <v>932948</v>
      </c>
      <c r="W107" s="8">
        <v>150386</v>
      </c>
      <c r="Y107" s="8">
        <f>2828683+65887+159345</f>
        <v>3053915</v>
      </c>
      <c r="AA107" s="14">
        <f t="shared" si="15"/>
        <v>4137249</v>
      </c>
      <c r="AC107" s="8">
        <f t="shared" si="16"/>
        <v>0</v>
      </c>
    </row>
    <row r="108" spans="1:31">
      <c r="A108" s="13" t="s">
        <v>910</v>
      </c>
      <c r="B108" s="13"/>
      <c r="C108" s="13" t="s">
        <v>32</v>
      </c>
      <c r="D108" s="13"/>
      <c r="E108" s="32">
        <v>43752</v>
      </c>
      <c r="G108" s="8">
        <v>486923038</v>
      </c>
      <c r="I108" s="8">
        <v>5833376</v>
      </c>
      <c r="K108" s="3">
        <f t="shared" si="13"/>
        <v>440649961</v>
      </c>
      <c r="M108" s="8">
        <v>933406375</v>
      </c>
      <c r="O108" s="3">
        <f t="shared" si="14"/>
        <v>378512550</v>
      </c>
      <c r="Q108" s="8">
        <v>89635802</v>
      </c>
      <c r="S108" s="8">
        <v>468148352</v>
      </c>
      <c r="U108" s="8">
        <f>146091226+4412276+57142433+1420826+768034+3574215</f>
        <v>213409010</v>
      </c>
      <c r="W108" s="8">
        <v>0</v>
      </c>
      <c r="Y108" s="8">
        <f>10296495-5327271+246422216+457573</f>
        <v>251849013</v>
      </c>
      <c r="AA108" s="14">
        <f t="shared" si="15"/>
        <v>465258023</v>
      </c>
      <c r="AC108" s="8">
        <f t="shared" si="16"/>
        <v>0</v>
      </c>
    </row>
    <row r="109" spans="1:31">
      <c r="A109" s="13" t="s">
        <v>581</v>
      </c>
      <c r="B109" s="13"/>
      <c r="C109" s="13" t="s">
        <v>54</v>
      </c>
      <c r="D109" s="13"/>
      <c r="E109" s="32">
        <v>43760</v>
      </c>
      <c r="G109" s="8">
        <v>15122727</v>
      </c>
      <c r="I109" s="8">
        <v>101161</v>
      </c>
      <c r="K109" s="3">
        <f t="shared" si="13"/>
        <v>9700515</v>
      </c>
      <c r="M109" s="8">
        <v>24924403</v>
      </c>
      <c r="O109" s="3">
        <f t="shared" si="14"/>
        <v>11385895</v>
      </c>
      <c r="Q109" s="8">
        <v>632791</v>
      </c>
      <c r="S109" s="8">
        <v>12018686</v>
      </c>
      <c r="U109" s="8">
        <f>240500+1981+24003+1245874+127+82071+19090</f>
        <v>1613646</v>
      </c>
      <c r="W109" s="8">
        <v>0</v>
      </c>
      <c r="Y109" s="8">
        <f>10733994-101863+659940</f>
        <v>11292071</v>
      </c>
      <c r="AA109" s="14">
        <f t="shared" si="15"/>
        <v>12905717</v>
      </c>
      <c r="AC109" s="8">
        <f t="shared" si="16"/>
        <v>0</v>
      </c>
    </row>
    <row r="110" spans="1:31">
      <c r="A110" s="13" t="s">
        <v>260</v>
      </c>
      <c r="B110" s="13"/>
      <c r="C110" s="13" t="s">
        <v>17</v>
      </c>
      <c r="D110" s="13"/>
      <c r="E110" s="32">
        <v>46284</v>
      </c>
      <c r="G110" s="8">
        <v>4114009</v>
      </c>
      <c r="I110" s="8">
        <v>27314</v>
      </c>
      <c r="K110" s="3">
        <f t="shared" si="13"/>
        <v>10237806</v>
      </c>
      <c r="M110" s="8">
        <v>14379129</v>
      </c>
      <c r="O110" s="3">
        <f t="shared" si="14"/>
        <v>2671350</v>
      </c>
      <c r="Q110" s="8">
        <v>8732342</v>
      </c>
      <c r="S110" s="8">
        <v>11403692</v>
      </c>
      <c r="U110" s="8">
        <f>574037+2017281+27314</f>
        <v>2618632</v>
      </c>
      <c r="W110" s="8">
        <v>0</v>
      </c>
      <c r="Y110" s="8">
        <f>110067-512866+759604</f>
        <v>356805</v>
      </c>
      <c r="AA110" s="14">
        <f t="shared" si="15"/>
        <v>2975437</v>
      </c>
      <c r="AC110" s="8">
        <f t="shared" si="16"/>
        <v>0</v>
      </c>
    </row>
    <row r="111" spans="1:31" s="35" customFormat="1">
      <c r="A111" s="34" t="s">
        <v>627</v>
      </c>
      <c r="B111" s="34"/>
      <c r="C111" s="34" t="s">
        <v>59</v>
      </c>
      <c r="D111" s="34"/>
      <c r="E111" s="34">
        <v>49601</v>
      </c>
      <c r="G111" s="8">
        <v>1081866</v>
      </c>
      <c r="H111" s="8"/>
      <c r="I111" s="8">
        <v>5256</v>
      </c>
      <c r="J111" s="8"/>
      <c r="K111" s="3">
        <f t="shared" si="13"/>
        <v>24420777</v>
      </c>
      <c r="L111" s="8"/>
      <c r="M111" s="8">
        <v>25507899</v>
      </c>
      <c r="N111" s="8"/>
      <c r="O111" s="3">
        <f t="shared" si="14"/>
        <v>743597</v>
      </c>
      <c r="P111" s="8"/>
      <c r="Q111" s="8">
        <v>17635475</v>
      </c>
      <c r="R111" s="8"/>
      <c r="S111" s="8">
        <v>18379072</v>
      </c>
      <c r="T111" s="8"/>
      <c r="U111" s="8">
        <f>697032+90262+5256</f>
        <v>792550</v>
      </c>
      <c r="V111" s="8"/>
      <c r="W111" s="8">
        <v>0</v>
      </c>
      <c r="X111" s="8"/>
      <c r="Y111" s="8">
        <f>247835+23856+45631+6018955</f>
        <v>6336277</v>
      </c>
      <c r="Z111" s="8"/>
      <c r="AA111" s="14">
        <f t="shared" si="15"/>
        <v>7128827</v>
      </c>
      <c r="AB111" s="8"/>
      <c r="AC111" s="8">
        <f t="shared" si="16"/>
        <v>0</v>
      </c>
    </row>
    <row r="112" spans="1:31">
      <c r="A112" s="13" t="s">
        <v>694</v>
      </c>
      <c r="B112" s="13"/>
      <c r="C112" s="13" t="s">
        <v>65</v>
      </c>
      <c r="D112" s="13"/>
      <c r="E112" s="32">
        <v>43778</v>
      </c>
      <c r="G112" s="8">
        <v>4923227</v>
      </c>
      <c r="I112" s="8">
        <v>172271</v>
      </c>
      <c r="K112" s="3">
        <f t="shared" si="13"/>
        <v>4175850</v>
      </c>
      <c r="M112" s="8">
        <v>9271348</v>
      </c>
      <c r="O112" s="3">
        <f t="shared" si="14"/>
        <v>5881080</v>
      </c>
      <c r="Q112" s="8">
        <v>582970</v>
      </c>
      <c r="S112" s="8">
        <v>6464050</v>
      </c>
      <c r="U112" s="8">
        <f>1134926+13335+30888+272125+453361+147016+25255</f>
        <v>2076906</v>
      </c>
      <c r="W112" s="8">
        <v>0</v>
      </c>
      <c r="Y112" s="8">
        <f>491075+128006+111311</f>
        <v>730392</v>
      </c>
      <c r="AA112" s="14">
        <f t="shared" si="15"/>
        <v>2807298</v>
      </c>
      <c r="AC112" s="8">
        <f t="shared" si="16"/>
        <v>0</v>
      </c>
    </row>
    <row r="113" spans="1:29">
      <c r="A113" s="13" t="s">
        <v>609</v>
      </c>
      <c r="B113" s="13"/>
      <c r="C113" s="13" t="s">
        <v>112</v>
      </c>
      <c r="D113" s="13"/>
      <c r="E113" s="32">
        <v>49411</v>
      </c>
      <c r="G113" s="8">
        <v>6864468</v>
      </c>
      <c r="I113" s="8">
        <v>0</v>
      </c>
      <c r="K113" s="3">
        <f t="shared" si="13"/>
        <v>5028456</v>
      </c>
      <c r="M113" s="8">
        <v>11892924</v>
      </c>
      <c r="O113" s="3">
        <f t="shared" si="14"/>
        <v>4855188</v>
      </c>
      <c r="Q113" s="8">
        <v>360163</v>
      </c>
      <c r="S113" s="8">
        <v>5215351</v>
      </c>
      <c r="U113" s="8">
        <f>126944+34090+203470+457831+1029425</f>
        <v>1851760</v>
      </c>
      <c r="W113" s="8">
        <v>0</v>
      </c>
      <c r="Y113" s="8">
        <f>4608200+186841+30772</f>
        <v>4825813</v>
      </c>
      <c r="AA113" s="14">
        <f t="shared" si="15"/>
        <v>6677573</v>
      </c>
      <c r="AC113" s="8">
        <f t="shared" si="16"/>
        <v>0</v>
      </c>
    </row>
    <row r="114" spans="1:29">
      <c r="A114" s="13" t="s">
        <v>485</v>
      </c>
      <c r="B114" s="13"/>
      <c r="C114" s="13" t="s">
        <v>44</v>
      </c>
      <c r="D114" s="13"/>
      <c r="E114" s="32">
        <v>48132</v>
      </c>
      <c r="G114" s="8">
        <v>1659127</v>
      </c>
      <c r="I114" s="8">
        <v>215447</v>
      </c>
      <c r="K114" s="3">
        <f t="shared" si="13"/>
        <v>3637545</v>
      </c>
      <c r="M114" s="8">
        <v>5512119</v>
      </c>
      <c r="O114" s="3">
        <f t="shared" si="14"/>
        <v>2001105</v>
      </c>
      <c r="Q114" s="8">
        <v>3420495</v>
      </c>
      <c r="S114" s="8">
        <v>5421600</v>
      </c>
      <c r="U114" s="8">
        <f>89303+126144+172644+273665</f>
        <v>661756</v>
      </c>
      <c r="W114" s="8">
        <v>0</v>
      </c>
      <c r="Y114" s="8">
        <f>43065+233586-847956+68</f>
        <v>-571237</v>
      </c>
      <c r="AA114" s="14">
        <f t="shared" si="15"/>
        <v>90519</v>
      </c>
      <c r="AC114" s="8">
        <f t="shared" si="16"/>
        <v>0</v>
      </c>
    </row>
    <row r="115" spans="1:29">
      <c r="A115" s="13" t="s">
        <v>911</v>
      </c>
      <c r="B115" s="13"/>
      <c r="C115" s="13" t="s">
        <v>115</v>
      </c>
      <c r="D115" s="13"/>
      <c r="E115" s="32"/>
      <c r="G115" s="8">
        <v>3815975</v>
      </c>
      <c r="I115" s="8">
        <v>0</v>
      </c>
      <c r="K115" s="3">
        <f t="shared" si="13"/>
        <v>7906502</v>
      </c>
      <c r="M115" s="8">
        <v>11722477</v>
      </c>
      <c r="O115" s="3">
        <f t="shared" si="14"/>
        <v>1708066</v>
      </c>
      <c r="Q115" s="8">
        <v>6423885</v>
      </c>
      <c r="S115" s="8">
        <v>8131951</v>
      </c>
      <c r="U115" s="8">
        <f>57923+444500+17724+1146189</f>
        <v>1666336</v>
      </c>
      <c r="W115" s="8">
        <v>0</v>
      </c>
      <c r="Y115" s="8">
        <f>398035+1526155</f>
        <v>1924190</v>
      </c>
      <c r="AA115" s="14">
        <f t="shared" si="15"/>
        <v>3590526</v>
      </c>
      <c r="AC115" s="8">
        <f t="shared" si="16"/>
        <v>0</v>
      </c>
    </row>
    <row r="116" spans="1:29" s="35" customFormat="1">
      <c r="A116" s="13" t="s">
        <v>908</v>
      </c>
      <c r="B116" s="13"/>
      <c r="C116" s="13" t="s">
        <v>20</v>
      </c>
      <c r="D116" s="13"/>
      <c r="E116" s="13">
        <v>43794</v>
      </c>
      <c r="F116" s="8"/>
      <c r="G116" s="8">
        <v>40570361</v>
      </c>
      <c r="H116" s="8"/>
      <c r="I116" s="8">
        <v>4558530</v>
      </c>
      <c r="J116" s="8"/>
      <c r="K116" s="3">
        <f t="shared" si="13"/>
        <v>79774843</v>
      </c>
      <c r="L116" s="8"/>
      <c r="M116" s="8">
        <v>124903734</v>
      </c>
      <c r="N116" s="8"/>
      <c r="O116" s="3">
        <f t="shared" si="14"/>
        <v>6790153</v>
      </c>
      <c r="P116" s="8"/>
      <c r="Q116" s="8">
        <v>44880629</v>
      </c>
      <c r="R116" s="8"/>
      <c r="S116" s="8">
        <v>51670782</v>
      </c>
      <c r="T116" s="8"/>
      <c r="U116" s="8">
        <f>3494923+327875+27485001+360919+966022</f>
        <v>32634740</v>
      </c>
      <c r="V116" s="8"/>
      <c r="W116" s="8">
        <v>0</v>
      </c>
      <c r="X116" s="8"/>
      <c r="Y116" s="8">
        <f>37282074-325719+3641857</f>
        <v>40598212</v>
      </c>
      <c r="Z116" s="8"/>
      <c r="AA116" s="14">
        <f t="shared" si="15"/>
        <v>73232952</v>
      </c>
      <c r="AB116" s="8"/>
      <c r="AC116" s="8">
        <f t="shared" si="16"/>
        <v>0</v>
      </c>
    </row>
    <row r="117" spans="1:29">
      <c r="A117" s="13" t="s">
        <v>303</v>
      </c>
      <c r="B117" s="13"/>
      <c r="C117" s="13" t="s">
        <v>20</v>
      </c>
      <c r="D117" s="13"/>
      <c r="E117" s="32">
        <v>43786</v>
      </c>
      <c r="G117" s="8">
        <v>215131095</v>
      </c>
      <c r="I117" s="8">
        <v>0</v>
      </c>
      <c r="K117" s="3">
        <f t="shared" si="13"/>
        <v>606956765</v>
      </c>
      <c r="M117" s="8">
        <v>822087860</v>
      </c>
      <c r="O117" s="3">
        <f t="shared" si="14"/>
        <v>111687471</v>
      </c>
      <c r="Q117" s="8">
        <v>485933974</v>
      </c>
      <c r="S117" s="8">
        <v>597621445</v>
      </c>
      <c r="U117" s="8">
        <f>102224986+1396697+27920790</f>
        <v>131542473</v>
      </c>
      <c r="W117" s="8">
        <v>0</v>
      </c>
      <c r="Y117" s="8">
        <f>19089437-6453783+19153121+61135167</f>
        <v>92923942</v>
      </c>
      <c r="AA117" s="14">
        <f t="shared" si="15"/>
        <v>224466415</v>
      </c>
      <c r="AC117" s="8">
        <f t="shared" si="16"/>
        <v>0</v>
      </c>
    </row>
    <row r="118" spans="1:29">
      <c r="A118" s="13" t="s">
        <v>275</v>
      </c>
      <c r="B118" s="13"/>
      <c r="C118" s="13" t="s">
        <v>18</v>
      </c>
      <c r="D118" s="13"/>
      <c r="E118" s="32">
        <v>46391</v>
      </c>
      <c r="G118" s="8">
        <v>15632609</v>
      </c>
      <c r="I118" s="8">
        <v>43584</v>
      </c>
      <c r="K118" s="3">
        <f t="shared" si="13"/>
        <v>9939992</v>
      </c>
      <c r="M118" s="8">
        <v>25616185</v>
      </c>
      <c r="O118" s="3">
        <f t="shared" si="14"/>
        <v>13914107</v>
      </c>
      <c r="Q118" s="8">
        <v>3986911</v>
      </c>
      <c r="S118" s="8">
        <v>17901018</v>
      </c>
      <c r="U118" s="8">
        <f>1277481+43584+19274+340687+1111201+57512</f>
        <v>2849739</v>
      </c>
      <c r="W118" s="8">
        <v>0</v>
      </c>
      <c r="Y118" s="8">
        <f>1835419+243381+2786628</f>
        <v>4865428</v>
      </c>
      <c r="AA118" s="14">
        <f t="shared" si="15"/>
        <v>7715167</v>
      </c>
      <c r="AC118" s="8">
        <f t="shared" si="16"/>
        <v>0</v>
      </c>
    </row>
    <row r="119" spans="1:29">
      <c r="A119" s="13" t="s">
        <v>527</v>
      </c>
      <c r="B119" s="13"/>
      <c r="C119" s="13" t="s">
        <v>47</v>
      </c>
      <c r="D119" s="13"/>
      <c r="E119" s="32">
        <v>48488</v>
      </c>
      <c r="G119" s="8">
        <v>3562927</v>
      </c>
      <c r="I119" s="8">
        <v>67090</v>
      </c>
      <c r="K119" s="3">
        <f t="shared" si="13"/>
        <v>14913455</v>
      </c>
      <c r="M119" s="8">
        <v>18543472</v>
      </c>
      <c r="O119" s="3">
        <f t="shared" si="14"/>
        <v>4479995</v>
      </c>
      <c r="Q119" s="8">
        <v>12387177</v>
      </c>
      <c r="S119" s="8">
        <v>16867172</v>
      </c>
      <c r="U119" s="8">
        <f>681274+1095599+67090</f>
        <v>1843963</v>
      </c>
      <c r="W119" s="8">
        <v>0</v>
      </c>
      <c r="Y119" s="8">
        <f>509645-2411040+1733732</f>
        <v>-167663</v>
      </c>
      <c r="AA119" s="14">
        <f t="shared" si="15"/>
        <v>1676300</v>
      </c>
      <c r="AC119" s="8">
        <f t="shared" si="16"/>
        <v>0</v>
      </c>
    </row>
    <row r="120" spans="1:29">
      <c r="A120" s="13" t="s">
        <v>622</v>
      </c>
      <c r="B120" s="13"/>
      <c r="C120" s="13" t="s">
        <v>79</v>
      </c>
      <c r="D120" s="13"/>
      <c r="E120" s="32">
        <v>45302</v>
      </c>
      <c r="G120" s="8">
        <v>19439729</v>
      </c>
      <c r="I120" s="8">
        <v>46349</v>
      </c>
      <c r="K120" s="3">
        <f t="shared" si="13"/>
        <v>47042622</v>
      </c>
      <c r="M120" s="8">
        <v>66528700</v>
      </c>
      <c r="O120" s="3">
        <f t="shared" si="14"/>
        <v>10686849</v>
      </c>
      <c r="Q120" s="8">
        <v>19915784</v>
      </c>
      <c r="S120" s="8">
        <v>30602633</v>
      </c>
      <c r="U120" s="8">
        <f>33675783+33351+916273+26452+46349</f>
        <v>34698208</v>
      </c>
      <c r="W120" s="8">
        <v>972375</v>
      </c>
      <c r="Y120" s="8">
        <f>44321+600219+1106905-1495961</f>
        <v>255484</v>
      </c>
      <c r="AA120" s="14">
        <f t="shared" si="15"/>
        <v>35926067</v>
      </c>
      <c r="AC120" s="8">
        <f t="shared" si="16"/>
        <v>0</v>
      </c>
    </row>
    <row r="121" spans="1:29" hidden="1">
      <c r="A121" s="13" t="s">
        <v>914</v>
      </c>
      <c r="B121" s="13"/>
      <c r="C121" s="13" t="s">
        <v>534</v>
      </c>
      <c r="D121" s="13"/>
      <c r="E121" s="32"/>
      <c r="G121" s="8">
        <v>5285791</v>
      </c>
      <c r="I121" s="8">
        <v>30977</v>
      </c>
      <c r="K121" s="3">
        <f t="shared" si="13"/>
        <v>0</v>
      </c>
      <c r="M121" s="8">
        <v>5316768</v>
      </c>
      <c r="O121" s="3">
        <f t="shared" si="14"/>
        <v>0</v>
      </c>
      <c r="U121" s="8">
        <f>274758+30977</f>
        <v>305735</v>
      </c>
      <c r="W121" s="8">
        <f>143000+360669</f>
        <v>503669</v>
      </c>
      <c r="Y121" s="8">
        <f>2018131+606004+825420+1057809</f>
        <v>4507364</v>
      </c>
      <c r="AA121" s="14">
        <f t="shared" si="15"/>
        <v>5316768</v>
      </c>
      <c r="AC121" s="8">
        <f t="shared" si="16"/>
        <v>0</v>
      </c>
    </row>
    <row r="122" spans="1:29" hidden="1">
      <c r="A122" s="12" t="s">
        <v>829</v>
      </c>
      <c r="B122" s="13"/>
      <c r="C122" s="13" t="s">
        <v>57</v>
      </c>
      <c r="D122" s="13"/>
      <c r="E122" s="32">
        <v>64964</v>
      </c>
      <c r="G122" s="8">
        <v>2229799</v>
      </c>
      <c r="I122" s="8">
        <v>95441</v>
      </c>
      <c r="K122" s="3">
        <f t="shared" si="13"/>
        <v>0</v>
      </c>
      <c r="M122" s="8">
        <v>2325240</v>
      </c>
      <c r="O122" s="3">
        <f t="shared" si="14"/>
        <v>0</v>
      </c>
      <c r="U122" s="8">
        <f>8500+14490+80951</f>
        <v>103941</v>
      </c>
      <c r="W122" s="8">
        <v>0</v>
      </c>
      <c r="Y122" s="8">
        <f>2033728+2143+185428</f>
        <v>2221299</v>
      </c>
      <c r="AA122" s="14">
        <f t="shared" si="15"/>
        <v>2325240</v>
      </c>
      <c r="AC122" s="8">
        <f t="shared" si="16"/>
        <v>0</v>
      </c>
    </row>
    <row r="123" spans="1:29">
      <c r="A123" s="13" t="s">
        <v>292</v>
      </c>
      <c r="B123" s="13"/>
      <c r="C123" s="13" t="s">
        <v>113</v>
      </c>
      <c r="D123" s="13"/>
      <c r="E123" s="13">
        <v>46516</v>
      </c>
      <c r="G123" s="8">
        <v>2004507</v>
      </c>
      <c r="I123" s="8">
        <v>25438</v>
      </c>
      <c r="K123" s="3">
        <f t="shared" si="13"/>
        <v>4118335</v>
      </c>
      <c r="M123" s="8">
        <v>6148280</v>
      </c>
      <c r="O123" s="3">
        <f t="shared" si="14"/>
        <v>3393579</v>
      </c>
      <c r="Q123" s="8">
        <v>151264</v>
      </c>
      <c r="S123" s="8">
        <v>3544843</v>
      </c>
      <c r="U123" s="8">
        <f>61322+14751+12618+1093653+618+25438+683612</f>
        <v>1892012</v>
      </c>
      <c r="W123" s="8">
        <v>42962</v>
      </c>
      <c r="Y123" s="8">
        <f>211992+7716+448755</f>
        <v>668463</v>
      </c>
      <c r="AA123" s="14">
        <f t="shared" si="15"/>
        <v>2603437</v>
      </c>
      <c r="AC123" s="8">
        <f t="shared" si="16"/>
        <v>0</v>
      </c>
    </row>
    <row r="124" spans="1:29">
      <c r="A124" s="13" t="s">
        <v>486</v>
      </c>
      <c r="B124" s="13"/>
      <c r="C124" s="13" t="s">
        <v>44</v>
      </c>
      <c r="D124" s="13"/>
      <c r="E124" s="32">
        <v>48140</v>
      </c>
      <c r="G124" s="8">
        <v>2609931</v>
      </c>
      <c r="I124" s="8">
        <v>0</v>
      </c>
      <c r="K124" s="3">
        <f t="shared" si="13"/>
        <v>5883967</v>
      </c>
      <c r="M124" s="8">
        <v>8493898</v>
      </c>
      <c r="O124" s="3">
        <f t="shared" si="14"/>
        <v>6939624</v>
      </c>
      <c r="Q124" s="8">
        <v>125921</v>
      </c>
      <c r="S124" s="8">
        <v>7065545</v>
      </c>
      <c r="U124" s="8">
        <f>351369+2609+373501</f>
        <v>727479</v>
      </c>
      <c r="W124" s="8">
        <v>0</v>
      </c>
      <c r="Y124" s="8">
        <f>525656+78986+96232</f>
        <v>700874</v>
      </c>
      <c r="AA124" s="14">
        <f t="shared" si="15"/>
        <v>1428353</v>
      </c>
      <c r="AC124" s="8">
        <f t="shared" si="16"/>
        <v>0</v>
      </c>
    </row>
    <row r="125" spans="1:29">
      <c r="A125" s="13" t="s">
        <v>279</v>
      </c>
      <c r="B125" s="13"/>
      <c r="C125" s="13" t="s">
        <v>114</v>
      </c>
      <c r="D125" s="13"/>
      <c r="E125" s="32">
        <v>45328</v>
      </c>
      <c r="G125" s="8">
        <v>3031876</v>
      </c>
      <c r="I125" s="8">
        <v>1050517</v>
      </c>
      <c r="K125" s="3">
        <f t="shared" si="13"/>
        <v>5316833</v>
      </c>
      <c r="M125" s="8">
        <v>9399226</v>
      </c>
      <c r="O125" s="3">
        <f t="shared" si="14"/>
        <v>1080526</v>
      </c>
      <c r="Q125" s="8">
        <v>4537447</v>
      </c>
      <c r="S125" s="8">
        <v>5617973</v>
      </c>
      <c r="U125" s="8">
        <f>14022+53774+1050311+206</f>
        <v>1118313</v>
      </c>
      <c r="W125" s="8">
        <v>0</v>
      </c>
      <c r="Y125" s="8">
        <f>1974019+87180+119513+482228</f>
        <v>2662940</v>
      </c>
      <c r="AA125" s="14">
        <f t="shared" si="15"/>
        <v>3781253</v>
      </c>
      <c r="AC125" s="8">
        <f t="shared" si="16"/>
        <v>0</v>
      </c>
    </row>
    <row r="126" spans="1:29">
      <c r="A126" s="13" t="s">
        <v>354</v>
      </c>
      <c r="B126" s="13"/>
      <c r="C126" s="13" t="s">
        <v>27</v>
      </c>
      <c r="D126" s="13"/>
      <c r="E126" s="32">
        <v>43802</v>
      </c>
      <c r="G126" s="8">
        <f>322881622+8908480</f>
        <v>331790102</v>
      </c>
      <c r="I126" s="8">
        <v>1273904</v>
      </c>
      <c r="K126" s="3">
        <f t="shared" si="13"/>
        <v>681758916</v>
      </c>
      <c r="M126" s="8">
        <v>1014822922</v>
      </c>
      <c r="O126" s="3">
        <f t="shared" si="14"/>
        <v>206773645</v>
      </c>
      <c r="Q126" s="8">
        <v>361643409</v>
      </c>
      <c r="S126" s="8">
        <v>568417054</v>
      </c>
      <c r="U126" s="8">
        <f>40348752+117345077+673401</f>
        <v>158367230</v>
      </c>
      <c r="W126" s="8">
        <v>0</v>
      </c>
      <c r="Y126" s="8">
        <f>44228181+20271986+99537005+123747815+253651</f>
        <v>288038638</v>
      </c>
      <c r="AA126" s="14">
        <f t="shared" si="15"/>
        <v>446405868</v>
      </c>
      <c r="AC126" s="8">
        <f t="shared" si="16"/>
        <v>0</v>
      </c>
    </row>
    <row r="127" spans="1:29" hidden="1">
      <c r="A127" s="13" t="s">
        <v>830</v>
      </c>
      <c r="B127" s="13"/>
      <c r="C127" s="13" t="s">
        <v>603</v>
      </c>
      <c r="D127" s="13"/>
      <c r="E127" s="32">
        <v>49312</v>
      </c>
      <c r="G127" s="8">
        <v>4247563</v>
      </c>
      <c r="I127" s="8">
        <v>186293</v>
      </c>
      <c r="K127" s="3">
        <f t="shared" si="13"/>
        <v>0</v>
      </c>
      <c r="M127" s="8">
        <v>4433856</v>
      </c>
      <c r="O127" s="3">
        <f t="shared" si="14"/>
        <v>0</v>
      </c>
      <c r="U127" s="8">
        <f>187941+29658+61743+94892</f>
        <v>374234</v>
      </c>
      <c r="W127" s="8">
        <v>0</v>
      </c>
      <c r="Y127" s="8">
        <f>3484614+260492+233497+81019</f>
        <v>4059622</v>
      </c>
      <c r="AA127" s="14">
        <f t="shared" si="15"/>
        <v>4433856</v>
      </c>
      <c r="AC127" s="8">
        <f t="shared" si="16"/>
        <v>0</v>
      </c>
    </row>
    <row r="128" spans="1:29">
      <c r="A128" s="13" t="s">
        <v>218</v>
      </c>
      <c r="B128" s="13"/>
      <c r="C128" s="13" t="s">
        <v>12</v>
      </c>
      <c r="D128" s="13"/>
      <c r="E128" s="32">
        <v>43810</v>
      </c>
      <c r="G128" s="8">
        <v>6601316</v>
      </c>
      <c r="I128" s="8">
        <v>616065</v>
      </c>
      <c r="K128" s="3">
        <f t="shared" si="13"/>
        <v>6135496</v>
      </c>
      <c r="M128" s="8">
        <v>13352877</v>
      </c>
      <c r="O128" s="3">
        <f t="shared" si="14"/>
        <v>1767483</v>
      </c>
      <c r="Q128" s="8">
        <v>3920337</v>
      </c>
      <c r="S128" s="8">
        <v>5687820</v>
      </c>
      <c r="U128" s="8">
        <f>95946+1812436+269+615796</f>
        <v>2524447</v>
      </c>
      <c r="W128" s="8">
        <v>0</v>
      </c>
      <c r="Y128" s="8">
        <f>1004909+551686+1113143+2470872</f>
        <v>5140610</v>
      </c>
      <c r="AA128" s="14">
        <f t="shared" si="15"/>
        <v>7665057</v>
      </c>
      <c r="AC128" s="8">
        <f t="shared" si="16"/>
        <v>0</v>
      </c>
    </row>
    <row r="129" spans="1:31">
      <c r="A129" s="13" t="s">
        <v>427</v>
      </c>
      <c r="B129" s="13"/>
      <c r="C129" s="13" t="s">
        <v>428</v>
      </c>
      <c r="D129" s="13"/>
      <c r="E129" s="32">
        <v>47548</v>
      </c>
      <c r="G129" s="8">
        <v>1278308</v>
      </c>
      <c r="I129" s="8">
        <v>177823</v>
      </c>
      <c r="K129" s="3">
        <f t="shared" si="13"/>
        <v>2064919</v>
      </c>
      <c r="M129" s="8">
        <v>3521050</v>
      </c>
      <c r="O129" s="3">
        <f t="shared" si="14"/>
        <v>2389937</v>
      </c>
      <c r="Q129" s="8">
        <v>127946</v>
      </c>
      <c r="S129" s="8">
        <v>2517883</v>
      </c>
      <c r="U129" s="8">
        <f>4778+2645+20463+122512+28459+149364</f>
        <v>328221</v>
      </c>
      <c r="W129" s="8">
        <v>0</v>
      </c>
      <c r="Y129" s="8">
        <f>668877-616+6685</f>
        <v>674946</v>
      </c>
      <c r="AA129" s="14">
        <f t="shared" si="15"/>
        <v>1003167</v>
      </c>
      <c r="AC129" s="8">
        <f t="shared" si="16"/>
        <v>0</v>
      </c>
    </row>
    <row r="130" spans="1:31" hidden="1">
      <c r="A130" s="88" t="s">
        <v>969</v>
      </c>
      <c r="B130" s="13"/>
      <c r="C130" s="13" t="s">
        <v>603</v>
      </c>
      <c r="D130" s="13"/>
      <c r="E130" s="32">
        <v>49320</v>
      </c>
      <c r="K130" s="3">
        <f t="shared" si="13"/>
        <v>0</v>
      </c>
      <c r="O130" s="3">
        <f t="shared" si="14"/>
        <v>0</v>
      </c>
      <c r="W130" s="8">
        <v>0</v>
      </c>
      <c r="AA130" s="14">
        <f t="shared" si="15"/>
        <v>0</v>
      </c>
      <c r="AC130" s="8">
        <f t="shared" si="16"/>
        <v>0</v>
      </c>
    </row>
    <row r="131" spans="1:31" ht="12" customHeight="1">
      <c r="A131" s="13" t="s">
        <v>664</v>
      </c>
      <c r="B131" s="13"/>
      <c r="C131" s="13" t="s">
        <v>63</v>
      </c>
      <c r="D131" s="13"/>
      <c r="E131" s="32">
        <v>49981</v>
      </c>
      <c r="G131" s="8">
        <v>9816951</v>
      </c>
      <c r="I131" s="8">
        <v>0</v>
      </c>
      <c r="K131" s="3">
        <f t="shared" si="13"/>
        <v>28565300</v>
      </c>
      <c r="M131" s="8">
        <v>38382251</v>
      </c>
      <c r="O131" s="3">
        <f t="shared" si="14"/>
        <v>4138705</v>
      </c>
      <c r="Q131" s="8">
        <v>25764538</v>
      </c>
      <c r="S131" s="8">
        <v>29903243</v>
      </c>
      <c r="U131" s="8">
        <v>718344</v>
      </c>
      <c r="W131" s="8">
        <v>0</v>
      </c>
      <c r="Y131" s="8">
        <f>6482945+133157+696756+447806</f>
        <v>7760664</v>
      </c>
      <c r="AA131" s="14">
        <f t="shared" si="15"/>
        <v>8479008</v>
      </c>
      <c r="AC131" s="8">
        <f t="shared" si="16"/>
        <v>0</v>
      </c>
    </row>
    <row r="132" spans="1:31" ht="12" customHeight="1">
      <c r="A132" s="13" t="s">
        <v>415</v>
      </c>
      <c r="B132" s="13"/>
      <c r="C132" s="13" t="s">
        <v>33</v>
      </c>
      <c r="D132" s="13"/>
      <c r="E132" s="32">
        <v>47431</v>
      </c>
      <c r="G132" s="8">
        <v>342938</v>
      </c>
      <c r="I132" s="8">
        <v>5370</v>
      </c>
      <c r="K132" s="3">
        <f t="shared" si="13"/>
        <v>2312561</v>
      </c>
      <c r="M132" s="8">
        <v>2660869</v>
      </c>
      <c r="O132" s="3">
        <f t="shared" si="14"/>
        <v>953192</v>
      </c>
      <c r="Q132" s="8">
        <v>1655230</v>
      </c>
      <c r="S132" s="8">
        <v>2608422</v>
      </c>
      <c r="U132" s="8">
        <f>185000+5370+109701</f>
        <v>300071</v>
      </c>
      <c r="W132" s="8">
        <v>0</v>
      </c>
      <c r="Y132" s="8">
        <f>1728+18729-230652-37429</f>
        <v>-247624</v>
      </c>
      <c r="AA132" s="14">
        <f t="shared" si="15"/>
        <v>52447</v>
      </c>
      <c r="AC132" s="8">
        <f t="shared" si="16"/>
        <v>0</v>
      </c>
    </row>
    <row r="133" spans="1:31" ht="12" customHeight="1">
      <c r="A133" s="13" t="s">
        <v>287</v>
      </c>
      <c r="B133" s="13"/>
      <c r="C133" s="13" t="s">
        <v>19</v>
      </c>
      <c r="D133" s="13"/>
      <c r="E133" s="32">
        <v>43828</v>
      </c>
      <c r="G133" s="8">
        <v>612868</v>
      </c>
      <c r="I133" s="8">
        <v>807745</v>
      </c>
      <c r="K133" s="3">
        <f t="shared" si="13"/>
        <v>5659626</v>
      </c>
      <c r="M133" s="8">
        <v>7080239</v>
      </c>
      <c r="O133" s="3">
        <f t="shared" si="14"/>
        <v>1751785</v>
      </c>
      <c r="Q133" s="8">
        <f>5199667+229836</f>
        <v>5429503</v>
      </c>
      <c r="S133" s="8">
        <v>7181288</v>
      </c>
      <c r="U133" s="8">
        <f>307823+34314+10465+5949+119684+575598+232147</f>
        <v>1285980</v>
      </c>
      <c r="W133" s="8">
        <v>0</v>
      </c>
      <c r="Y133" s="8">
        <f>94530-1435165-46394</f>
        <v>-1387029</v>
      </c>
      <c r="AA133" s="14">
        <f t="shared" si="15"/>
        <v>-101049</v>
      </c>
      <c r="AC133" s="8">
        <f t="shared" si="16"/>
        <v>0</v>
      </c>
    </row>
    <row r="134" spans="1:31" ht="12" customHeight="1">
      <c r="A134" s="13" t="s">
        <v>816</v>
      </c>
      <c r="B134" s="13"/>
      <c r="C134" s="13" t="s">
        <v>63</v>
      </c>
      <c r="D134" s="13"/>
      <c r="E134" s="32"/>
      <c r="G134" s="8">
        <v>213641</v>
      </c>
      <c r="I134" s="8">
        <v>6258</v>
      </c>
      <c r="K134" s="3">
        <f t="shared" si="13"/>
        <v>9684093</v>
      </c>
      <c r="M134" s="8">
        <v>9903992</v>
      </c>
      <c r="O134" s="3">
        <f t="shared" si="14"/>
        <v>3214163</v>
      </c>
      <c r="Q134" s="8">
        <v>8803472</v>
      </c>
      <c r="S134" s="8">
        <v>12017635</v>
      </c>
      <c r="U134" s="8">
        <f>41220+900157+735608+239720</f>
        <v>1916705</v>
      </c>
      <c r="W134" s="8">
        <v>0</v>
      </c>
      <c r="Y134" s="8">
        <f>95-3922618-107825</f>
        <v>-4030348</v>
      </c>
      <c r="AA134" s="14">
        <f t="shared" si="15"/>
        <v>-2113643</v>
      </c>
      <c r="AC134" s="8">
        <f t="shared" si="16"/>
        <v>0</v>
      </c>
    </row>
    <row r="135" spans="1:31" ht="12" customHeight="1">
      <c r="A135" s="13" t="s">
        <v>915</v>
      </c>
      <c r="B135" s="13"/>
      <c r="C135" s="13" t="s">
        <v>48</v>
      </c>
      <c r="D135" s="13"/>
      <c r="E135" s="32">
        <v>45336</v>
      </c>
      <c r="G135" s="8">
        <v>2085723</v>
      </c>
      <c r="I135" s="8">
        <v>82568</v>
      </c>
      <c r="K135" s="3">
        <f t="shared" si="13"/>
        <v>2480826</v>
      </c>
      <c r="M135" s="8">
        <v>4649117</v>
      </c>
      <c r="O135" s="3">
        <f t="shared" si="14"/>
        <v>2565994</v>
      </c>
      <c r="Q135" s="8">
        <v>38057</v>
      </c>
      <c r="S135" s="8">
        <v>2604051</v>
      </c>
      <c r="U135" s="8">
        <f>179265+18001+5495+91433+68578+13990</f>
        <v>376762</v>
      </c>
      <c r="W135" s="8">
        <v>0</v>
      </c>
      <c r="Y135" s="8">
        <f>1510395+155314+2595</f>
        <v>1668304</v>
      </c>
      <c r="AA135" s="14">
        <f t="shared" si="15"/>
        <v>2045066</v>
      </c>
      <c r="AC135" s="8">
        <f t="shared" si="16"/>
        <v>0</v>
      </c>
    </row>
    <row r="136" spans="1:31" ht="12" customHeight="1">
      <c r="A136" s="13" t="s">
        <v>916</v>
      </c>
      <c r="B136" s="13"/>
      <c r="C136" s="13" t="s">
        <v>113</v>
      </c>
      <c r="D136" s="13"/>
      <c r="E136" s="32">
        <v>45344</v>
      </c>
      <c r="G136" s="8">
        <v>2686450</v>
      </c>
      <c r="I136" s="8">
        <v>50211</v>
      </c>
      <c r="K136" s="3">
        <f t="shared" si="13"/>
        <v>2856228</v>
      </c>
      <c r="M136" s="8">
        <v>5592889</v>
      </c>
      <c r="O136" s="3">
        <f t="shared" si="14"/>
        <v>2649582</v>
      </c>
      <c r="Q136" s="8">
        <v>358396</v>
      </c>
      <c r="S136" s="8">
        <v>3007978</v>
      </c>
      <c r="U136" s="8">
        <f>55618+3780+30436+810751+35920+14291</f>
        <v>950796</v>
      </c>
      <c r="W136" s="8">
        <v>0</v>
      </c>
      <c r="Y136" s="8">
        <f>1378397+134881+120837</f>
        <v>1634115</v>
      </c>
      <c r="AA136" s="14">
        <f t="shared" si="15"/>
        <v>2584911</v>
      </c>
      <c r="AC136" s="8">
        <f t="shared" si="16"/>
        <v>0</v>
      </c>
    </row>
    <row r="137" spans="1:31" ht="12" customHeight="1">
      <c r="A137" s="13" t="s">
        <v>280</v>
      </c>
      <c r="B137" s="13"/>
      <c r="C137" s="13" t="s">
        <v>114</v>
      </c>
      <c r="D137" s="13"/>
      <c r="E137" s="32">
        <v>46433</v>
      </c>
      <c r="G137" s="8">
        <v>1798446</v>
      </c>
      <c r="I137" s="8">
        <v>92251</v>
      </c>
      <c r="K137" s="3">
        <f t="shared" si="13"/>
        <v>3108288</v>
      </c>
      <c r="M137" s="8">
        <v>4998985</v>
      </c>
      <c r="O137" s="3">
        <f t="shared" si="14"/>
        <v>1306852</v>
      </c>
      <c r="Q137" s="8">
        <v>2575216</v>
      </c>
      <c r="S137" s="8">
        <v>3882068</v>
      </c>
      <c r="U137" s="8">
        <f>63547+75777+16474+55078</f>
        <v>210876</v>
      </c>
      <c r="W137" s="8">
        <v>0</v>
      </c>
      <c r="Y137" s="8">
        <f>145455+62119+479840+218627</f>
        <v>906041</v>
      </c>
      <c r="AA137" s="14">
        <f t="shared" si="15"/>
        <v>1116917</v>
      </c>
      <c r="AC137" s="8">
        <f t="shared" si="16"/>
        <v>0</v>
      </c>
    </row>
    <row r="138" spans="1:31" ht="12" customHeight="1">
      <c r="A138" s="13" t="s">
        <v>280</v>
      </c>
      <c r="B138" s="13"/>
      <c r="C138" s="13" t="s">
        <v>112</v>
      </c>
      <c r="D138" s="13"/>
      <c r="E138" s="32">
        <v>49429</v>
      </c>
      <c r="G138" s="8">
        <v>6484204</v>
      </c>
      <c r="I138" s="8">
        <v>33996</v>
      </c>
      <c r="K138" s="3">
        <f t="shared" si="13"/>
        <v>3214342</v>
      </c>
      <c r="M138" s="8">
        <v>9732542</v>
      </c>
      <c r="O138" s="3">
        <f t="shared" si="14"/>
        <v>3346065</v>
      </c>
      <c r="Q138" s="8">
        <v>167306</v>
      </c>
      <c r="S138" s="8">
        <v>3513371</v>
      </c>
      <c r="U138" s="8">
        <f>128971+43317+37341+631415+733008+32798+1198</f>
        <v>1608048</v>
      </c>
      <c r="W138" s="8">
        <v>121033</v>
      </c>
      <c r="Y138" s="8">
        <f>4090784+381679+17627</f>
        <v>4490090</v>
      </c>
      <c r="AA138" s="14">
        <f t="shared" si="15"/>
        <v>6219171</v>
      </c>
      <c r="AC138" s="8">
        <f t="shared" si="16"/>
        <v>0</v>
      </c>
    </row>
    <row r="139" spans="1:31" s="90" customFormat="1" ht="12" hidden="1" customHeight="1">
      <c r="A139" s="88" t="s">
        <v>917</v>
      </c>
      <c r="B139" s="88"/>
      <c r="C139" s="88" t="s">
        <v>67</v>
      </c>
      <c r="D139" s="88"/>
      <c r="E139" s="89"/>
      <c r="G139" s="90">
        <v>12639061</v>
      </c>
      <c r="K139" s="92">
        <f t="shared" si="13"/>
        <v>0</v>
      </c>
      <c r="M139" s="90">
        <v>12639061</v>
      </c>
      <c r="O139" s="92">
        <f t="shared" si="14"/>
        <v>0</v>
      </c>
      <c r="U139" s="90">
        <v>776325</v>
      </c>
      <c r="Y139" s="90">
        <f>1359311+577751+921713+9003961</f>
        <v>11862736</v>
      </c>
      <c r="AA139" s="93">
        <f t="shared" si="15"/>
        <v>12639061</v>
      </c>
      <c r="AC139" s="90">
        <f t="shared" si="16"/>
        <v>0</v>
      </c>
      <c r="AE139" s="90" t="s">
        <v>918</v>
      </c>
    </row>
    <row r="140" spans="1:31" ht="12" customHeight="1">
      <c r="A140" s="13" t="s">
        <v>589</v>
      </c>
      <c r="B140" s="13"/>
      <c r="C140" s="13" t="s">
        <v>56</v>
      </c>
      <c r="D140" s="13"/>
      <c r="E140" s="32">
        <v>49189</v>
      </c>
      <c r="G140" s="8">
        <v>8733678</v>
      </c>
      <c r="I140" s="8">
        <v>281868</v>
      </c>
      <c r="K140" s="3">
        <f t="shared" si="13"/>
        <v>7266306</v>
      </c>
      <c r="M140" s="8">
        <v>16281852</v>
      </c>
      <c r="O140" s="3">
        <f t="shared" si="14"/>
        <v>9352708</v>
      </c>
      <c r="Q140" s="8">
        <v>346233</v>
      </c>
      <c r="S140" s="8">
        <v>9698941</v>
      </c>
      <c r="U140" s="8">
        <f>884049+48077+638485+26480+262573+19295</f>
        <v>1878959</v>
      </c>
      <c r="W140" s="8">
        <v>0</v>
      </c>
      <c r="Y140" s="8">
        <f>718486+9600+1004099+494840+2476927</f>
        <v>4703952</v>
      </c>
      <c r="AA140" s="14">
        <f t="shared" si="15"/>
        <v>6582911</v>
      </c>
      <c r="AC140" s="8">
        <f t="shared" si="16"/>
        <v>0</v>
      </c>
    </row>
    <row r="141" spans="1:31" ht="12" customHeight="1">
      <c r="A141" s="13" t="s">
        <v>817</v>
      </c>
      <c r="B141" s="13"/>
      <c r="C141" s="13" t="s">
        <v>579</v>
      </c>
      <c r="D141" s="13"/>
      <c r="E141" s="32"/>
      <c r="G141" s="8">
        <v>1872407</v>
      </c>
      <c r="I141" s="8">
        <v>21459</v>
      </c>
      <c r="K141" s="3">
        <f t="shared" si="13"/>
        <v>2358847</v>
      </c>
      <c r="M141" s="8">
        <v>4252713</v>
      </c>
      <c r="O141" s="3">
        <f t="shared" si="14"/>
        <v>1321374</v>
      </c>
      <c r="Q141" s="8">
        <f>1740567+29190</f>
        <v>1769757</v>
      </c>
      <c r="S141" s="8">
        <v>3091131</v>
      </c>
      <c r="U141" s="8">
        <f>184566+92808+12374+439962+186232</f>
        <v>915942</v>
      </c>
      <c r="W141" s="8">
        <v>0</v>
      </c>
      <c r="Y141" s="8">
        <f>171515+70963+3162</f>
        <v>245640</v>
      </c>
      <c r="AA141" s="14">
        <f t="shared" si="15"/>
        <v>1161582</v>
      </c>
      <c r="AC141" s="8">
        <f t="shared" si="16"/>
        <v>0</v>
      </c>
    </row>
    <row r="142" spans="1:31" ht="12" customHeight="1">
      <c r="A142" s="13" t="s">
        <v>665</v>
      </c>
      <c r="B142" s="13"/>
      <c r="C142" s="13" t="s">
        <v>63</v>
      </c>
      <c r="D142" s="13"/>
      <c r="E142" s="32">
        <v>43836</v>
      </c>
      <c r="G142" s="8">
        <v>7162766</v>
      </c>
      <c r="I142" s="8">
        <v>0</v>
      </c>
      <c r="K142" s="3">
        <f t="shared" si="13"/>
        <v>26381069</v>
      </c>
      <c r="M142" s="8">
        <v>33543835</v>
      </c>
      <c r="O142" s="3">
        <f t="shared" si="14"/>
        <v>29392133</v>
      </c>
      <c r="Q142" s="8">
        <v>704172</v>
      </c>
      <c r="S142" s="8">
        <v>30096305</v>
      </c>
      <c r="U142" s="8">
        <f>30154+103333+25802+2505932</f>
        <v>2665221</v>
      </c>
      <c r="W142" s="8">
        <v>0</v>
      </c>
      <c r="Y142" s="8">
        <f>319476-381774+267339+577268</f>
        <v>782309</v>
      </c>
      <c r="AA142" s="14">
        <f t="shared" si="15"/>
        <v>3447530</v>
      </c>
      <c r="AC142" s="8">
        <f t="shared" si="16"/>
        <v>0</v>
      </c>
    </row>
    <row r="143" spans="1:31">
      <c r="A143" s="13" t="s">
        <v>1067</v>
      </c>
      <c r="B143" s="13"/>
      <c r="C143" s="13" t="s">
        <v>20</v>
      </c>
      <c r="D143" s="13"/>
      <c r="E143" s="32">
        <v>46557</v>
      </c>
      <c r="G143" s="8">
        <v>8084433</v>
      </c>
      <c r="I143" s="8">
        <v>70259</v>
      </c>
      <c r="K143" s="3">
        <f t="shared" si="13"/>
        <v>10811508</v>
      </c>
      <c r="M143" s="8">
        <v>18966200</v>
      </c>
      <c r="O143" s="3">
        <f t="shared" si="14"/>
        <v>2567966</v>
      </c>
      <c r="Q143" s="8">
        <v>8483811</v>
      </c>
      <c r="S143" s="8">
        <v>11051777</v>
      </c>
      <c r="U143" s="8">
        <f>196821+33585+15115+55144+1211109</f>
        <v>1511774</v>
      </c>
      <c r="W143" s="8">
        <v>0</v>
      </c>
      <c r="Y143" s="8">
        <f>5380230+169983+939507-87071</f>
        <v>6402649</v>
      </c>
      <c r="AA143" s="14">
        <f t="shared" si="15"/>
        <v>7914423</v>
      </c>
      <c r="AC143" s="8">
        <f t="shared" si="16"/>
        <v>0</v>
      </c>
      <c r="AE143" s="15" t="s">
        <v>919</v>
      </c>
    </row>
    <row r="144" spans="1:31">
      <c r="A144" s="13" t="s">
        <v>828</v>
      </c>
      <c r="B144" s="13"/>
      <c r="C144" s="13" t="s">
        <v>71</v>
      </c>
      <c r="D144" s="13"/>
      <c r="E144" s="32">
        <v>48934</v>
      </c>
      <c r="G144" s="8">
        <v>807901</v>
      </c>
      <c r="I144" s="8">
        <v>190023</v>
      </c>
      <c r="K144" s="3">
        <f t="shared" si="13"/>
        <v>3375010</v>
      </c>
      <c r="M144" s="8">
        <v>4372934</v>
      </c>
      <c r="O144" s="3">
        <f t="shared" si="14"/>
        <v>3907927</v>
      </c>
      <c r="Q144" s="8">
        <v>51437</v>
      </c>
      <c r="S144" s="8">
        <v>3959364</v>
      </c>
      <c r="U144" s="8">
        <f>130538+9200+200000+190023</f>
        <v>529761</v>
      </c>
      <c r="W144" s="8">
        <v>0</v>
      </c>
      <c r="Y144" s="8">
        <f>241350-269151-88390</f>
        <v>-116191</v>
      </c>
      <c r="AA144" s="14">
        <f t="shared" si="15"/>
        <v>413570</v>
      </c>
      <c r="AC144" s="8">
        <f t="shared" si="16"/>
        <v>0</v>
      </c>
    </row>
    <row r="145" spans="1:31">
      <c r="A145" s="13" t="s">
        <v>572</v>
      </c>
      <c r="B145" s="13"/>
      <c r="C145" s="13" t="s">
        <v>53</v>
      </c>
      <c r="D145" s="13"/>
      <c r="E145" s="32">
        <v>48934</v>
      </c>
      <c r="G145" s="8">
        <v>3831712</v>
      </c>
      <c r="I145" s="8">
        <v>3423</v>
      </c>
      <c r="K145" s="3">
        <f t="shared" si="13"/>
        <v>6978001</v>
      </c>
      <c r="M145" s="8">
        <v>10813136</v>
      </c>
      <c r="O145" s="3">
        <f t="shared" si="14"/>
        <v>6553207</v>
      </c>
      <c r="Q145" s="8">
        <v>229184</v>
      </c>
      <c r="S145" s="8">
        <v>6782391</v>
      </c>
      <c r="U145" s="8">
        <f>662394+25301+1050698+3423</f>
        <v>1741816</v>
      </c>
      <c r="W145" s="8">
        <v>0</v>
      </c>
      <c r="Y145" s="8">
        <f>1863811+9167+415951</f>
        <v>2288929</v>
      </c>
      <c r="AA145" s="14">
        <f t="shared" si="15"/>
        <v>4030745</v>
      </c>
      <c r="AC145" s="8">
        <f t="shared" si="16"/>
        <v>0</v>
      </c>
    </row>
    <row r="146" spans="1:31" hidden="1">
      <c r="A146" s="13" t="s">
        <v>921</v>
      </c>
      <c r="B146" s="13"/>
      <c r="C146" s="13" t="s">
        <v>40</v>
      </c>
      <c r="D146" s="13"/>
      <c r="E146" s="32">
        <v>47837</v>
      </c>
      <c r="G146" s="8">
        <v>2729870</v>
      </c>
      <c r="K146" s="3">
        <f t="shared" si="13"/>
        <v>0</v>
      </c>
      <c r="M146" s="8">
        <v>2729870</v>
      </c>
      <c r="O146" s="3">
        <f t="shared" si="14"/>
        <v>0</v>
      </c>
      <c r="U146" s="8">
        <v>35017</v>
      </c>
      <c r="W146" s="8">
        <v>0</v>
      </c>
      <c r="Y146" s="8">
        <f>2251237+270467+173149</f>
        <v>2694853</v>
      </c>
      <c r="AA146" s="14">
        <f t="shared" si="15"/>
        <v>2729870</v>
      </c>
      <c r="AC146" s="8">
        <f t="shared" si="16"/>
        <v>0</v>
      </c>
    </row>
    <row r="147" spans="1:31">
      <c r="A147" s="13"/>
      <c r="B147" s="13"/>
      <c r="C147" s="13"/>
      <c r="D147" s="13"/>
      <c r="E147" s="32"/>
      <c r="K147" s="3"/>
      <c r="O147" s="3"/>
      <c r="AA147" s="14"/>
    </row>
    <row r="148" spans="1:31">
      <c r="A148" s="13"/>
      <c r="B148" s="13"/>
      <c r="C148" s="13"/>
      <c r="D148" s="13"/>
      <c r="E148" s="32"/>
      <c r="K148" s="3"/>
      <c r="O148" s="3"/>
      <c r="AA148" s="134" t="s">
        <v>805</v>
      </c>
    </row>
    <row r="149" spans="1:31">
      <c r="A149" s="13"/>
      <c r="B149" s="13"/>
      <c r="C149" s="13"/>
      <c r="D149" s="13"/>
      <c r="E149" s="32"/>
      <c r="K149" s="3"/>
      <c r="O149" s="3"/>
      <c r="AA149" s="14"/>
    </row>
    <row r="150" spans="1:31">
      <c r="A150" s="13" t="s">
        <v>467</v>
      </c>
      <c r="B150" s="13"/>
      <c r="C150" s="13" t="s">
        <v>466</v>
      </c>
      <c r="D150" s="13"/>
      <c r="E150" s="32">
        <v>47928</v>
      </c>
      <c r="G150" s="35">
        <v>5462314</v>
      </c>
      <c r="H150" s="35"/>
      <c r="I150" s="35">
        <v>0</v>
      </c>
      <c r="J150" s="35"/>
      <c r="K150" s="42">
        <f t="shared" si="13"/>
        <v>1835232</v>
      </c>
      <c r="L150" s="35"/>
      <c r="M150" s="35">
        <v>7297546</v>
      </c>
      <c r="N150" s="35"/>
      <c r="O150" s="42">
        <f t="shared" si="14"/>
        <v>1445003</v>
      </c>
      <c r="P150" s="35"/>
      <c r="Q150" s="35">
        <v>1350792</v>
      </c>
      <c r="R150" s="35"/>
      <c r="S150" s="35">
        <v>2795795</v>
      </c>
      <c r="T150" s="35"/>
      <c r="U150" s="35">
        <f>181481+222316</f>
        <v>403797</v>
      </c>
      <c r="V150" s="35"/>
      <c r="W150" s="35">
        <v>0</v>
      </c>
      <c r="X150" s="35"/>
      <c r="Y150" s="35">
        <f>2470045+160668+741813+725428</f>
        <v>4097954</v>
      </c>
      <c r="Z150" s="35"/>
      <c r="AA150" s="64">
        <f t="shared" si="15"/>
        <v>4501751</v>
      </c>
      <c r="AC150" s="8">
        <f t="shared" si="16"/>
        <v>0</v>
      </c>
    </row>
    <row r="151" spans="1:31">
      <c r="A151" s="13" t="s">
        <v>546</v>
      </c>
      <c r="B151" s="13"/>
      <c r="C151" s="13" t="s">
        <v>50</v>
      </c>
      <c r="D151" s="13"/>
      <c r="E151" s="32">
        <v>43844</v>
      </c>
      <c r="G151" s="8">
        <v>189339145</v>
      </c>
      <c r="I151" s="8">
        <v>581437</v>
      </c>
      <c r="K151" s="3">
        <f t="shared" si="13"/>
        <v>165096417</v>
      </c>
      <c r="M151" s="8">
        <v>355016999</v>
      </c>
      <c r="O151" s="3">
        <f t="shared" si="14"/>
        <v>24068979</v>
      </c>
      <c r="Q151" s="8">
        <v>143829078</v>
      </c>
      <c r="S151" s="8">
        <v>167898057</v>
      </c>
      <c r="U151" s="8">
        <f>61266895+845385+5235782+458577</f>
        <v>67806639</v>
      </c>
      <c r="W151" s="8">
        <v>0</v>
      </c>
      <c r="Y151" s="8">
        <f>279230+4716508+11899467+102417098</f>
        <v>119312303</v>
      </c>
      <c r="AA151" s="14">
        <f t="shared" si="15"/>
        <v>187118942</v>
      </c>
      <c r="AC151" s="8">
        <f>+G151+I151+K151-O151-Q151-Y151-W151-U151</f>
        <v>0</v>
      </c>
    </row>
    <row r="152" spans="1:31">
      <c r="A152" s="13" t="s">
        <v>924</v>
      </c>
      <c r="B152" s="13"/>
      <c r="C152" s="13" t="s">
        <v>32</v>
      </c>
      <c r="D152" s="13"/>
      <c r="E152" s="32">
        <v>43851</v>
      </c>
      <c r="G152" s="8">
        <v>3505703</v>
      </c>
      <c r="I152" s="8">
        <v>53055</v>
      </c>
      <c r="K152" s="3">
        <f t="shared" si="13"/>
        <v>9758314</v>
      </c>
      <c r="M152" s="8">
        <v>13317072</v>
      </c>
      <c r="O152" s="3">
        <f t="shared" si="14"/>
        <v>1820009</v>
      </c>
      <c r="Q152" s="8">
        <v>6116994</v>
      </c>
      <c r="S152" s="8">
        <v>7937003</v>
      </c>
      <c r="U152" s="8">
        <f>246376+2077+3011000+53055</f>
        <v>3312508</v>
      </c>
      <c r="W152" s="8">
        <v>0</v>
      </c>
      <c r="Y152" s="8">
        <f>1521440+281439+18190+246492</f>
        <v>2067561</v>
      </c>
      <c r="AA152" s="14">
        <f t="shared" si="15"/>
        <v>5380069</v>
      </c>
      <c r="AC152" s="8">
        <f t="shared" si="16"/>
        <v>0</v>
      </c>
    </row>
    <row r="153" spans="1:31" hidden="1">
      <c r="A153" s="13" t="s">
        <v>925</v>
      </c>
      <c r="B153" s="13"/>
      <c r="C153" s="13" t="s">
        <v>22</v>
      </c>
      <c r="D153" s="13"/>
      <c r="E153" s="32">
        <v>43869</v>
      </c>
      <c r="G153" s="8">
        <v>6130713</v>
      </c>
      <c r="K153" s="3">
        <f t="shared" si="13"/>
        <v>0</v>
      </c>
      <c r="M153" s="8">
        <v>6130713</v>
      </c>
      <c r="O153" s="3">
        <f t="shared" si="14"/>
        <v>0</v>
      </c>
      <c r="U153" s="8">
        <v>1176093</v>
      </c>
      <c r="W153" s="8">
        <v>0</v>
      </c>
      <c r="Y153" s="8">
        <f>1379496+876756+309308+2389060</f>
        <v>4954620</v>
      </c>
      <c r="AA153" s="14">
        <f t="shared" si="15"/>
        <v>6130713</v>
      </c>
      <c r="AC153" s="8">
        <f t="shared" si="16"/>
        <v>0</v>
      </c>
    </row>
    <row r="154" spans="1:31">
      <c r="A154" s="13" t="s">
        <v>926</v>
      </c>
      <c r="B154" s="13"/>
      <c r="C154" s="13" t="s">
        <v>23</v>
      </c>
      <c r="D154" s="13"/>
      <c r="E154" s="32"/>
      <c r="G154" s="8">
        <v>13119745</v>
      </c>
      <c r="I154" s="8">
        <v>0</v>
      </c>
      <c r="K154" s="3">
        <f t="shared" si="13"/>
        <v>30755557</v>
      </c>
      <c r="M154" s="8">
        <v>43875302</v>
      </c>
      <c r="O154" s="3">
        <f t="shared" si="14"/>
        <v>6076754</v>
      </c>
      <c r="Q154" s="8">
        <v>25923920</v>
      </c>
      <c r="S154" s="8">
        <v>32000674</v>
      </c>
      <c r="U154" s="8">
        <f>635784+4218677</f>
        <v>4854461</v>
      </c>
      <c r="W154" s="8">
        <v>367699</v>
      </c>
      <c r="Y154" s="8">
        <f>2112664+1081802+1485547+1967276+5179</f>
        <v>6652468</v>
      </c>
      <c r="AA154" s="14">
        <f t="shared" si="15"/>
        <v>11874628</v>
      </c>
      <c r="AC154" s="8">
        <f t="shared" si="16"/>
        <v>0</v>
      </c>
    </row>
    <row r="155" spans="1:31">
      <c r="A155" s="13" t="s">
        <v>210</v>
      </c>
      <c r="B155" s="13"/>
      <c r="C155" s="13" t="s">
        <v>10</v>
      </c>
      <c r="D155" s="13"/>
      <c r="E155" s="32">
        <v>43885</v>
      </c>
      <c r="G155" s="8">
        <v>867190</v>
      </c>
      <c r="I155" s="8">
        <v>11268</v>
      </c>
      <c r="K155" s="3">
        <f t="shared" ref="K155:K158" si="17">M155-G155-I155</f>
        <v>4618100</v>
      </c>
      <c r="M155" s="8">
        <v>5496558</v>
      </c>
      <c r="O155" s="3">
        <f t="shared" ref="O155:O157" si="18">S155-Q155</f>
        <v>1242989</v>
      </c>
      <c r="Q155" s="8">
        <v>4011277</v>
      </c>
      <c r="S155" s="8">
        <v>5254266</v>
      </c>
      <c r="U155" s="8">
        <f>460741+11268+71162</f>
        <v>543171</v>
      </c>
      <c r="W155" s="8">
        <v>0</v>
      </c>
      <c r="Y155" s="8">
        <f>173029+471471-945379</f>
        <v>-300879</v>
      </c>
      <c r="AA155" s="14">
        <f t="shared" ref="AA155:AA156" si="19">U155+W155+Y155</f>
        <v>242292</v>
      </c>
      <c r="AC155" s="8">
        <f t="shared" ref="AC155:AC156" si="20">+G155+I155+K155-O155-Q155-Y155-W155-U155</f>
        <v>0</v>
      </c>
    </row>
    <row r="156" spans="1:31">
      <c r="A156" s="13" t="s">
        <v>695</v>
      </c>
      <c r="B156" s="13"/>
      <c r="C156" s="13" t="s">
        <v>65</v>
      </c>
      <c r="D156" s="13"/>
      <c r="E156" s="32">
        <v>43893</v>
      </c>
      <c r="G156" s="8">
        <v>6358367</v>
      </c>
      <c r="I156" s="8">
        <v>0</v>
      </c>
      <c r="K156" s="3">
        <f t="shared" si="17"/>
        <v>12467143</v>
      </c>
      <c r="M156" s="8">
        <v>18825510</v>
      </c>
      <c r="O156" s="3">
        <f t="shared" si="18"/>
        <v>3284002</v>
      </c>
      <c r="Q156" s="8">
        <v>11277144</v>
      </c>
      <c r="S156" s="8">
        <v>14561146</v>
      </c>
      <c r="U156" s="8">
        <f>590752+1025952</f>
        <v>1616704</v>
      </c>
      <c r="W156" s="8">
        <v>0</v>
      </c>
      <c r="Y156" s="8">
        <f>1863819+110686+637342+35813</f>
        <v>2647660</v>
      </c>
      <c r="AA156" s="14">
        <f t="shared" si="19"/>
        <v>4264364</v>
      </c>
      <c r="AC156" s="8">
        <f t="shared" si="20"/>
        <v>0</v>
      </c>
    </row>
    <row r="157" spans="1:31">
      <c r="A157" s="13" t="s">
        <v>355</v>
      </c>
      <c r="B157" s="13"/>
      <c r="C157" s="13" t="s">
        <v>27</v>
      </c>
      <c r="D157" s="13"/>
      <c r="E157" s="32">
        <v>47027</v>
      </c>
      <c r="G157" s="8">
        <v>90861427</v>
      </c>
      <c r="I157" s="8">
        <v>0</v>
      </c>
      <c r="K157" s="3">
        <f t="shared" si="17"/>
        <v>223508855</v>
      </c>
      <c r="M157" s="8">
        <v>314370282</v>
      </c>
      <c r="O157" s="3">
        <f t="shared" si="18"/>
        <v>20885242</v>
      </c>
      <c r="Q157" s="8">
        <v>180805767</v>
      </c>
      <c r="S157" s="8">
        <v>201691009</v>
      </c>
      <c r="U157" s="8">
        <f>168508+159413+20251323+21118458+5342265+2620327+42233+128646+117785+22000+181595</f>
        <v>50152553</v>
      </c>
      <c r="W157" s="8">
        <f>717818+340563+1125772+1557386</f>
        <v>3741539</v>
      </c>
      <c r="Y157" s="8">
        <v>58785181</v>
      </c>
      <c r="AA157" s="14">
        <f t="shared" ref="AA157:AA227" si="21">U157+W157+Y157</f>
        <v>112679273</v>
      </c>
      <c r="AC157" s="8">
        <f t="shared" ref="AC157:AC227" si="22">+G157+I157+K157-O157-Q157-Y157-W157-U157</f>
        <v>0</v>
      </c>
    </row>
    <row r="158" spans="1:31">
      <c r="A158" s="13" t="s">
        <v>305</v>
      </c>
      <c r="B158" s="13"/>
      <c r="C158" s="13" t="s">
        <v>20</v>
      </c>
      <c r="D158" s="13"/>
      <c r="E158" s="32">
        <v>43901</v>
      </c>
      <c r="G158" s="8">
        <v>39489173</v>
      </c>
      <c r="I158" s="8">
        <v>0</v>
      </c>
      <c r="K158" s="3">
        <f t="shared" si="17"/>
        <v>22034926</v>
      </c>
      <c r="M158" s="8">
        <v>61524099</v>
      </c>
      <c r="O158" s="3">
        <f>S158-Q158</f>
        <v>5724236</v>
      </c>
      <c r="Q158" s="8">
        <v>18109693</v>
      </c>
      <c r="S158" s="8">
        <v>23833929</v>
      </c>
      <c r="U158" s="8">
        <f>4261043+1442733</f>
        <v>5703776</v>
      </c>
      <c r="W158" s="8">
        <v>0</v>
      </c>
      <c r="Y158" s="8">
        <f>26687664+2523482+1768387+1006861</f>
        <v>31986394</v>
      </c>
      <c r="AA158" s="14">
        <f t="shared" si="21"/>
        <v>37690170</v>
      </c>
      <c r="AC158" s="8">
        <f t="shared" si="22"/>
        <v>0</v>
      </c>
      <c r="AE158" s="8" t="s">
        <v>956</v>
      </c>
    </row>
    <row r="159" spans="1:31">
      <c r="A159" s="13" t="s">
        <v>276</v>
      </c>
      <c r="B159" s="13"/>
      <c r="C159" s="13" t="s">
        <v>18</v>
      </c>
      <c r="D159" s="13"/>
      <c r="E159" s="32">
        <v>46409</v>
      </c>
      <c r="G159" s="8">
        <v>2971303</v>
      </c>
      <c r="I159" s="8">
        <v>0</v>
      </c>
      <c r="K159" s="3">
        <f>M159-G159-I159</f>
        <v>3221839</v>
      </c>
      <c r="M159" s="8">
        <v>6193142</v>
      </c>
      <c r="O159" s="3">
        <f>S159-Q159</f>
        <v>1743547</v>
      </c>
      <c r="Q159" s="8">
        <v>2923315</v>
      </c>
      <c r="S159" s="8">
        <v>4666862</v>
      </c>
      <c r="U159" s="8">
        <f>157562+238246+300000</f>
        <v>695808</v>
      </c>
      <c r="W159" s="8">
        <v>0</v>
      </c>
      <c r="Y159" s="8">
        <f>502322+349900+432028+55262-509040</f>
        <v>830472</v>
      </c>
      <c r="AA159" s="14">
        <f t="shared" si="21"/>
        <v>1526280</v>
      </c>
      <c r="AC159" s="8">
        <f t="shared" si="22"/>
        <v>0</v>
      </c>
    </row>
    <row r="160" spans="1:31">
      <c r="A160" s="13" t="s">
        <v>390</v>
      </c>
      <c r="B160" s="13"/>
      <c r="C160" s="13" t="s">
        <v>31</v>
      </c>
      <c r="D160" s="13"/>
      <c r="E160" s="32">
        <v>69682</v>
      </c>
      <c r="G160" s="8">
        <v>3980238</v>
      </c>
      <c r="I160" s="8">
        <v>1038063</v>
      </c>
      <c r="K160" s="3">
        <f t="shared" ref="K160:K227" si="23">M160-G160-I160</f>
        <v>3567950</v>
      </c>
      <c r="M160" s="8">
        <v>8586251</v>
      </c>
      <c r="O160" s="3">
        <f t="shared" ref="O160:O227" si="24">S160-Q160</f>
        <v>2327938</v>
      </c>
      <c r="Q160" s="8">
        <v>2533062</v>
      </c>
      <c r="S160" s="8">
        <v>4861000</v>
      </c>
      <c r="U160" s="8">
        <f>307901+790400</f>
        <v>1098301</v>
      </c>
      <c r="W160" s="8">
        <v>0</v>
      </c>
      <c r="Y160" s="8">
        <f>516981+224740+1140698+744531</f>
        <v>2626950</v>
      </c>
      <c r="AA160" s="14">
        <f t="shared" si="21"/>
        <v>3725251</v>
      </c>
      <c r="AC160" s="8">
        <f t="shared" si="22"/>
        <v>0</v>
      </c>
    </row>
    <row r="161" spans="1:31">
      <c r="A161" s="13" t="s">
        <v>441</v>
      </c>
      <c r="B161" s="13"/>
      <c r="C161" s="13" t="s">
        <v>36</v>
      </c>
      <c r="D161" s="13"/>
      <c r="E161" s="32">
        <v>47688</v>
      </c>
      <c r="G161" s="8">
        <v>6671840</v>
      </c>
      <c r="I161" s="8">
        <v>0</v>
      </c>
      <c r="K161" s="3">
        <f t="shared" si="23"/>
        <v>8897681</v>
      </c>
      <c r="M161" s="8">
        <v>15569521</v>
      </c>
      <c r="O161" s="3">
        <f t="shared" si="24"/>
        <v>2345876</v>
      </c>
      <c r="Q161" s="8">
        <v>8228396</v>
      </c>
      <c r="S161" s="8">
        <v>10574272</v>
      </c>
      <c r="U161" s="8">
        <f>218076+239139+328659</f>
        <v>785874</v>
      </c>
      <c r="W161" s="8">
        <v>0</v>
      </c>
      <c r="Y161" s="8">
        <f>3584849+148673+475853</f>
        <v>4209375</v>
      </c>
      <c r="AA161" s="14">
        <f t="shared" si="21"/>
        <v>4995249</v>
      </c>
      <c r="AC161" s="8">
        <f t="shared" si="22"/>
        <v>0</v>
      </c>
    </row>
    <row r="162" spans="1:31" hidden="1">
      <c r="A162" s="13" t="s">
        <v>929</v>
      </c>
      <c r="B162" s="13"/>
      <c r="C162" s="13" t="s">
        <v>40</v>
      </c>
      <c r="D162" s="13"/>
      <c r="E162" s="32"/>
      <c r="G162" s="8">
        <v>3585888</v>
      </c>
      <c r="K162" s="3">
        <f t="shared" si="23"/>
        <v>0</v>
      </c>
      <c r="M162" s="8">
        <v>3585888</v>
      </c>
      <c r="O162" s="3">
        <f t="shared" si="24"/>
        <v>0</v>
      </c>
      <c r="U162" s="8">
        <v>416065</v>
      </c>
      <c r="Y162" s="8">
        <f>2418452+71752+545448+134171</f>
        <v>3169823</v>
      </c>
      <c r="AA162" s="14">
        <f t="shared" si="21"/>
        <v>3585888</v>
      </c>
      <c r="AC162" s="8">
        <f t="shared" si="22"/>
        <v>0</v>
      </c>
    </row>
    <row r="163" spans="1:31">
      <c r="A163" s="13" t="s">
        <v>281</v>
      </c>
      <c r="B163" s="13"/>
      <c r="C163" s="13" t="s">
        <v>114</v>
      </c>
      <c r="D163" s="13"/>
      <c r="E163" s="32">
        <v>43919</v>
      </c>
      <c r="G163" s="8">
        <v>26844536</v>
      </c>
      <c r="I163" s="8">
        <v>0</v>
      </c>
      <c r="K163" s="3">
        <f t="shared" si="23"/>
        <v>9554485</v>
      </c>
      <c r="M163" s="8">
        <v>36399021</v>
      </c>
      <c r="O163" s="3">
        <f t="shared" si="24"/>
        <v>3542260</v>
      </c>
      <c r="Q163" s="8">
        <v>6557313</v>
      </c>
      <c r="S163" s="8">
        <v>10099573</v>
      </c>
      <c r="U163" s="8">
        <f>15367057+29462+61727+143463</f>
        <v>15601709</v>
      </c>
      <c r="W163" s="8">
        <v>0</v>
      </c>
      <c r="Y163" s="8">
        <f>1405908+2352378+4200926+2738527</f>
        <v>10697739</v>
      </c>
      <c r="AA163" s="14">
        <f t="shared" si="21"/>
        <v>26299448</v>
      </c>
      <c r="AC163" s="8">
        <f t="shared" si="22"/>
        <v>0</v>
      </c>
    </row>
    <row r="164" spans="1:31">
      <c r="A164" s="13" t="s">
        <v>563</v>
      </c>
      <c r="B164" s="13"/>
      <c r="C164" s="13" t="s">
        <v>51</v>
      </c>
      <c r="D164" s="13"/>
      <c r="E164" s="32">
        <v>48835</v>
      </c>
      <c r="G164" s="8">
        <v>5609288</v>
      </c>
      <c r="I164" s="8">
        <v>3468</v>
      </c>
      <c r="K164" s="3">
        <f t="shared" si="23"/>
        <v>7104096</v>
      </c>
      <c r="M164" s="8">
        <v>12716852</v>
      </c>
      <c r="O164" s="3">
        <f t="shared" si="24"/>
        <v>2273331</v>
      </c>
      <c r="Q164" s="8">
        <v>6025187</v>
      </c>
      <c r="S164" s="8">
        <v>8298518</v>
      </c>
      <c r="U164" s="8">
        <f>217229+3468+783792</f>
        <v>1004489</v>
      </c>
      <c r="W164" s="8">
        <v>0</v>
      </c>
      <c r="Y164" s="8">
        <f>1252971+447613+292466+1420795</f>
        <v>3413845</v>
      </c>
      <c r="AA164" s="14">
        <f t="shared" si="21"/>
        <v>4418334</v>
      </c>
      <c r="AC164" s="8">
        <f t="shared" si="22"/>
        <v>0</v>
      </c>
    </row>
    <row r="165" spans="1:31">
      <c r="A165" s="13" t="s">
        <v>282</v>
      </c>
      <c r="B165" s="13"/>
      <c r="C165" s="13" t="s">
        <v>114</v>
      </c>
      <c r="D165" s="13"/>
      <c r="E165" s="32">
        <v>43927</v>
      </c>
      <c r="G165" s="8">
        <v>1010150</v>
      </c>
      <c r="I165" s="8">
        <v>94581</v>
      </c>
      <c r="K165" s="3">
        <f t="shared" si="23"/>
        <v>4309404</v>
      </c>
      <c r="M165" s="8">
        <v>5414135</v>
      </c>
      <c r="O165" s="3">
        <f t="shared" si="24"/>
        <v>1306488</v>
      </c>
      <c r="Q165" s="8">
        <v>3708200</v>
      </c>
      <c r="S165" s="8">
        <v>5014688</v>
      </c>
      <c r="U165" s="8">
        <f>176775+77811+94581</f>
        <v>349167</v>
      </c>
      <c r="W165" s="8">
        <v>0</v>
      </c>
      <c r="Y165" s="8">
        <f>497209+190182+334384-971495</f>
        <v>50280</v>
      </c>
      <c r="AA165" s="14">
        <f t="shared" si="21"/>
        <v>399447</v>
      </c>
      <c r="AC165" s="8">
        <f t="shared" si="22"/>
        <v>0</v>
      </c>
    </row>
    <row r="166" spans="1:31">
      <c r="A166" s="13" t="s">
        <v>237</v>
      </c>
      <c r="B166" s="13"/>
      <c r="C166" s="13" t="s">
        <v>77</v>
      </c>
      <c r="D166" s="13"/>
      <c r="E166" s="32">
        <v>46037</v>
      </c>
      <c r="G166" s="8">
        <v>9376050</v>
      </c>
      <c r="I166" s="8">
        <v>754366</v>
      </c>
      <c r="K166" s="3">
        <f t="shared" si="23"/>
        <v>5280130</v>
      </c>
      <c r="M166" s="8">
        <v>15410546</v>
      </c>
      <c r="O166" s="3">
        <f t="shared" si="24"/>
        <v>3097835</v>
      </c>
      <c r="Q166" s="8">
        <v>4425731</v>
      </c>
      <c r="S166" s="8">
        <v>7523566</v>
      </c>
      <c r="U166" s="8">
        <f>2262731+752758+51911+73504+36759</f>
        <v>3177663</v>
      </c>
      <c r="W166" s="8">
        <v>0</v>
      </c>
      <c r="Y166" s="8">
        <f>302765+841634+4626747-1061829</f>
        <v>4709317</v>
      </c>
      <c r="AA166" s="14">
        <f t="shared" si="21"/>
        <v>7886980</v>
      </c>
      <c r="AC166" s="8">
        <f t="shared" si="22"/>
        <v>0</v>
      </c>
    </row>
    <row r="167" spans="1:31">
      <c r="A167" s="12" t="s">
        <v>237</v>
      </c>
      <c r="B167" s="12"/>
      <c r="C167" s="12" t="s">
        <v>531</v>
      </c>
      <c r="D167" s="12"/>
      <c r="E167" s="32">
        <v>48512</v>
      </c>
      <c r="G167" s="8">
        <v>1567286</v>
      </c>
      <c r="I167" s="8">
        <v>60519</v>
      </c>
      <c r="K167" s="3">
        <f t="shared" si="23"/>
        <v>2158330</v>
      </c>
      <c r="M167" s="8">
        <v>3786135</v>
      </c>
      <c r="O167" s="3">
        <f t="shared" si="24"/>
        <v>1061681</v>
      </c>
      <c r="Q167" s="8">
        <v>1392622</v>
      </c>
      <c r="S167" s="8">
        <v>2454303</v>
      </c>
      <c r="U167" s="8">
        <f>74867+677805+7653+52866</f>
        <v>813191</v>
      </c>
      <c r="W167" s="8">
        <v>0</v>
      </c>
      <c r="Y167" s="8">
        <f>230764+332479+7538-52140</f>
        <v>518641</v>
      </c>
      <c r="AA167" s="14">
        <f t="shared" si="21"/>
        <v>1331832</v>
      </c>
      <c r="AC167" s="8">
        <f t="shared" si="22"/>
        <v>0</v>
      </c>
    </row>
    <row r="168" spans="1:31" hidden="1">
      <c r="A168" s="13" t="s">
        <v>931</v>
      </c>
      <c r="B168" s="13"/>
      <c r="C168" s="13" t="s">
        <v>55</v>
      </c>
      <c r="D168" s="13"/>
      <c r="E168" s="32">
        <v>49122</v>
      </c>
      <c r="G168" s="8">
        <v>1866786</v>
      </c>
      <c r="I168" s="8">
        <v>121672</v>
      </c>
      <c r="K168" s="3">
        <f t="shared" si="23"/>
        <v>0</v>
      </c>
      <c r="M168" s="8">
        <v>1988458</v>
      </c>
      <c r="O168" s="3">
        <f t="shared" si="24"/>
        <v>0</v>
      </c>
      <c r="U168" s="8">
        <f>124944+120176+1496</f>
        <v>246616</v>
      </c>
      <c r="W168" s="8">
        <v>10000</v>
      </c>
      <c r="Y168" s="8">
        <f>998676+163458+414180+155528</f>
        <v>1731842</v>
      </c>
      <c r="AA168" s="14">
        <f t="shared" si="21"/>
        <v>1988458</v>
      </c>
      <c r="AC168" s="8">
        <f t="shared" si="22"/>
        <v>0</v>
      </c>
    </row>
    <row r="169" spans="1:31">
      <c r="A169" s="13" t="s">
        <v>734</v>
      </c>
      <c r="B169" s="13"/>
      <c r="C169" s="13" t="s">
        <v>72</v>
      </c>
      <c r="D169" s="13"/>
      <c r="E169" s="32">
        <v>50674</v>
      </c>
      <c r="G169" s="8">
        <v>5971490</v>
      </c>
      <c r="I169" s="8">
        <v>0</v>
      </c>
      <c r="K169" s="3">
        <f t="shared" si="23"/>
        <v>6992088</v>
      </c>
      <c r="M169" s="8">
        <v>12963578</v>
      </c>
      <c r="O169" s="3">
        <f t="shared" si="24"/>
        <v>2450286</v>
      </c>
      <c r="Q169" s="8">
        <v>4987510</v>
      </c>
      <c r="S169" s="8">
        <v>7437796</v>
      </c>
      <c r="U169" s="8">
        <f>129313+136648+120614+677303</f>
        <v>1063878</v>
      </c>
      <c r="W169" s="8">
        <v>0</v>
      </c>
      <c r="Y169" s="8">
        <f>4058871+94152+114212+194669</f>
        <v>4461904</v>
      </c>
      <c r="AA169" s="14">
        <f t="shared" si="21"/>
        <v>5525782</v>
      </c>
      <c r="AC169" s="8">
        <f t="shared" si="22"/>
        <v>0</v>
      </c>
    </row>
    <row r="170" spans="1:31">
      <c r="A170" s="12" t="s">
        <v>974</v>
      </c>
      <c r="B170" s="13"/>
      <c r="C170" s="13" t="s">
        <v>57</v>
      </c>
      <c r="D170" s="13"/>
      <c r="E170" s="32">
        <v>43935</v>
      </c>
      <c r="G170" s="8">
        <v>9547756</v>
      </c>
      <c r="I170" s="8">
        <v>999189</v>
      </c>
      <c r="K170" s="3">
        <f t="shared" si="23"/>
        <v>10442234</v>
      </c>
      <c r="M170" s="8">
        <v>20989179</v>
      </c>
      <c r="O170" s="3">
        <f t="shared" si="24"/>
        <v>1986379</v>
      </c>
      <c r="Q170" s="8">
        <v>4960268</v>
      </c>
      <c r="S170" s="8">
        <v>6946647</v>
      </c>
      <c r="U170" s="8">
        <f>187459+149553+1194364+526221</f>
        <v>2057597</v>
      </c>
      <c r="W170" s="8">
        <v>999189</v>
      </c>
      <c r="Y170" s="8">
        <f>10143363+43581+798802</f>
        <v>10985746</v>
      </c>
      <c r="AA170" s="14">
        <f t="shared" si="21"/>
        <v>14042532</v>
      </c>
      <c r="AC170" s="8">
        <f t="shared" si="22"/>
        <v>0</v>
      </c>
      <c r="AE170" s="8" t="s">
        <v>956</v>
      </c>
    </row>
    <row r="171" spans="1:31" hidden="1">
      <c r="A171" s="12" t="s">
        <v>932</v>
      </c>
      <c r="B171" s="13"/>
      <c r="C171" s="13" t="s">
        <v>727</v>
      </c>
      <c r="D171" s="13"/>
      <c r="E171" s="32">
        <v>50617</v>
      </c>
      <c r="G171" s="8">
        <v>5256743</v>
      </c>
      <c r="K171" s="3">
        <f t="shared" si="23"/>
        <v>0</v>
      </c>
      <c r="M171" s="8">
        <v>5256743</v>
      </c>
      <c r="O171" s="3">
        <f t="shared" si="24"/>
        <v>0</v>
      </c>
      <c r="U171" s="8">
        <v>396874</v>
      </c>
      <c r="W171" s="8">
        <v>0</v>
      </c>
      <c r="Y171" s="8">
        <f>1480958+130564+376674+2871673</f>
        <v>4859869</v>
      </c>
      <c r="AA171" s="14">
        <f t="shared" si="21"/>
        <v>5256743</v>
      </c>
      <c r="AC171" s="8">
        <f t="shared" si="22"/>
        <v>0</v>
      </c>
    </row>
    <row r="172" spans="1:31">
      <c r="A172" s="13" t="s">
        <v>241</v>
      </c>
      <c r="B172" s="13"/>
      <c r="C172" s="13" t="s">
        <v>242</v>
      </c>
      <c r="D172" s="13"/>
      <c r="E172" s="32">
        <v>46094</v>
      </c>
      <c r="G172" s="8">
        <v>9400987</v>
      </c>
      <c r="I172" s="8">
        <v>123223</v>
      </c>
      <c r="K172" s="3">
        <f t="shared" si="23"/>
        <v>16492821</v>
      </c>
      <c r="M172" s="8">
        <v>26017031</v>
      </c>
      <c r="O172" s="3">
        <f t="shared" si="24"/>
        <v>20138029</v>
      </c>
      <c r="Q172" s="8">
        <v>229047</v>
      </c>
      <c r="S172" s="8">
        <v>20367076</v>
      </c>
      <c r="U172" s="8">
        <f>91751+123223+20576+440000+3245928+5535</f>
        <v>3927013</v>
      </c>
      <c r="W172" s="8">
        <v>0</v>
      </c>
      <c r="Y172" s="8">
        <f>653455+83925+985562</f>
        <v>1722942</v>
      </c>
      <c r="AA172" s="14">
        <f t="shared" si="21"/>
        <v>5649955</v>
      </c>
      <c r="AC172" s="8">
        <f t="shared" si="22"/>
        <v>0</v>
      </c>
    </row>
    <row r="173" spans="1:31">
      <c r="A173" s="13" t="s">
        <v>450</v>
      </c>
      <c r="B173" s="13"/>
      <c r="C173" s="13" t="s">
        <v>39</v>
      </c>
      <c r="D173" s="13"/>
      <c r="E173" s="32">
        <v>47795</v>
      </c>
      <c r="G173" s="8">
        <v>1409131</v>
      </c>
      <c r="I173" s="8">
        <v>147123</v>
      </c>
      <c r="K173" s="3">
        <f t="shared" si="23"/>
        <v>9295621</v>
      </c>
      <c r="M173" s="8">
        <v>10851875</v>
      </c>
      <c r="O173" s="3">
        <f t="shared" si="24"/>
        <v>10345627</v>
      </c>
      <c r="Q173" s="8">
        <v>613122</v>
      </c>
      <c r="S173" s="8">
        <v>10958749</v>
      </c>
      <c r="U173" s="8">
        <f>292918+15960+13175+346274+106154+40969</f>
        <v>815450</v>
      </c>
      <c r="W173" s="8">
        <v>0</v>
      </c>
      <c r="Y173" s="8">
        <f>115618+229+76825-1114996</f>
        <v>-922324</v>
      </c>
      <c r="AA173" s="14">
        <f t="shared" si="21"/>
        <v>-106874</v>
      </c>
      <c r="AC173" s="8">
        <f t="shared" si="22"/>
        <v>0</v>
      </c>
    </row>
    <row r="174" spans="1:31">
      <c r="A174" s="13" t="s">
        <v>729</v>
      </c>
      <c r="B174" s="13"/>
      <c r="C174" s="13" t="s">
        <v>727</v>
      </c>
      <c r="D174" s="13"/>
      <c r="E174" s="32">
        <v>50625</v>
      </c>
      <c r="G174" s="8">
        <v>3488049</v>
      </c>
      <c r="I174" s="8">
        <v>0</v>
      </c>
      <c r="K174" s="3">
        <f t="shared" si="23"/>
        <v>2140834</v>
      </c>
      <c r="M174" s="8">
        <v>5628883</v>
      </c>
      <c r="O174" s="3">
        <f t="shared" si="24"/>
        <v>685380</v>
      </c>
      <c r="Q174" s="8">
        <v>1914008</v>
      </c>
      <c r="S174" s="8">
        <v>2599388</v>
      </c>
      <c r="U174" s="8">
        <f>2741+23620+139965</f>
        <v>166326</v>
      </c>
      <c r="W174" s="8">
        <v>0</v>
      </c>
      <c r="Y174" s="8">
        <f>1863434+292959+633727+73049</f>
        <v>2863169</v>
      </c>
      <c r="AA174" s="14">
        <f t="shared" si="21"/>
        <v>3029495</v>
      </c>
      <c r="AC174" s="8">
        <f t="shared" si="22"/>
        <v>0</v>
      </c>
    </row>
    <row r="175" spans="1:31" hidden="1">
      <c r="A175" s="13" t="s">
        <v>934</v>
      </c>
      <c r="B175" s="13"/>
      <c r="C175" s="13" t="s">
        <v>10</v>
      </c>
      <c r="D175" s="13"/>
      <c r="E175" s="32"/>
      <c r="G175" s="8">
        <v>4900310</v>
      </c>
      <c r="I175" s="8">
        <v>289094</v>
      </c>
      <c r="K175" s="3">
        <f t="shared" si="23"/>
        <v>36227769</v>
      </c>
      <c r="M175" s="8">
        <v>41417173</v>
      </c>
      <c r="O175" s="3">
        <f t="shared" si="24"/>
        <v>0</v>
      </c>
      <c r="U175" s="8">
        <f>5408859+32334+1399+255361</f>
        <v>5697953</v>
      </c>
      <c r="Y175" s="8">
        <f>3662984+452678+378248+31225310</f>
        <v>35719220</v>
      </c>
      <c r="AA175" s="14">
        <f t="shared" si="21"/>
        <v>41417173</v>
      </c>
      <c r="AC175" s="8">
        <f t="shared" si="22"/>
        <v>0</v>
      </c>
    </row>
    <row r="176" spans="1:31" hidden="1">
      <c r="A176" s="12" t="s">
        <v>1020</v>
      </c>
      <c r="B176" s="12"/>
      <c r="C176" s="12" t="s">
        <v>72</v>
      </c>
      <c r="D176" s="13"/>
      <c r="E176" s="32"/>
      <c r="K176" s="3"/>
      <c r="O176" s="3"/>
      <c r="AA176" s="14"/>
      <c r="AE176" s="8" t="s">
        <v>967</v>
      </c>
    </row>
    <row r="177" spans="1:29">
      <c r="A177" s="12" t="s">
        <v>977</v>
      </c>
      <c r="B177" s="13"/>
      <c r="C177" s="13" t="s">
        <v>46</v>
      </c>
      <c r="D177" s="13"/>
      <c r="E177" s="32">
        <v>48413</v>
      </c>
      <c r="G177" s="8">
        <v>903055</v>
      </c>
      <c r="I177" s="8">
        <v>34423</v>
      </c>
      <c r="K177" s="3">
        <f t="shared" si="23"/>
        <v>4340324</v>
      </c>
      <c r="M177" s="8">
        <v>5277802</v>
      </c>
      <c r="O177" s="3">
        <f t="shared" si="24"/>
        <v>1589726</v>
      </c>
      <c r="Q177" s="8">
        <v>2968621</v>
      </c>
      <c r="S177" s="8">
        <v>4558347</v>
      </c>
      <c r="U177" s="8">
        <f>1045102+8731+25692+37955</f>
        <v>1117480</v>
      </c>
      <c r="W177" s="8">
        <f>76925+230</f>
        <v>77155</v>
      </c>
      <c r="Y177" s="8">
        <f>417372+41+8-892601</f>
        <v>-475180</v>
      </c>
      <c r="AA177" s="14">
        <f t="shared" si="21"/>
        <v>719455</v>
      </c>
      <c r="AC177" s="8">
        <f t="shared" si="22"/>
        <v>0</v>
      </c>
    </row>
    <row r="178" spans="1:29">
      <c r="A178" s="13" t="s">
        <v>487</v>
      </c>
      <c r="B178" s="13"/>
      <c r="C178" s="13" t="s">
        <v>44</v>
      </c>
      <c r="D178" s="13"/>
      <c r="E178" s="32">
        <v>43943</v>
      </c>
      <c r="G178" s="8">
        <v>63379290</v>
      </c>
      <c r="I178" s="8">
        <v>137471</v>
      </c>
      <c r="K178" s="3">
        <f t="shared" si="23"/>
        <v>36773405</v>
      </c>
      <c r="M178" s="8">
        <v>100290166</v>
      </c>
      <c r="O178" s="3">
        <f t="shared" si="24"/>
        <v>14083307</v>
      </c>
      <c r="Q178" s="8">
        <v>32805113</v>
      </c>
      <c r="S178" s="8">
        <v>46888420</v>
      </c>
      <c r="U178" s="8">
        <f>36966246+1675968+137471</f>
        <v>38779685</v>
      </c>
      <c r="W178" s="8">
        <v>0</v>
      </c>
      <c r="Y178" s="8">
        <f>16718713+829503+756444-3682599</f>
        <v>14622061</v>
      </c>
      <c r="AA178" s="14">
        <f t="shared" si="21"/>
        <v>53401746</v>
      </c>
      <c r="AC178" s="8">
        <f t="shared" si="22"/>
        <v>0</v>
      </c>
    </row>
    <row r="179" spans="1:29">
      <c r="A179" s="13" t="s">
        <v>306</v>
      </c>
      <c r="B179" s="13"/>
      <c r="C179" s="13" t="s">
        <v>20</v>
      </c>
      <c r="D179" s="13"/>
      <c r="E179" s="32">
        <v>43950</v>
      </c>
      <c r="G179" s="8">
        <v>8227684</v>
      </c>
      <c r="I179" s="8">
        <v>1276135</v>
      </c>
      <c r="K179" s="3">
        <f t="shared" si="23"/>
        <v>47890540</v>
      </c>
      <c r="M179" s="8">
        <v>57394359</v>
      </c>
      <c r="O179" s="3">
        <f t="shared" si="24"/>
        <v>8114694</v>
      </c>
      <c r="Q179" s="8">
        <v>35589971</v>
      </c>
      <c r="S179" s="8">
        <v>43704665</v>
      </c>
      <c r="U179" s="8">
        <f>744786+107828+83524+1276135+6320451</f>
        <v>8532724</v>
      </c>
      <c r="W179" s="8">
        <v>0</v>
      </c>
      <c r="Y179" s="8">
        <f>2007347+353347+2492528+303748</f>
        <v>5156970</v>
      </c>
      <c r="AA179" s="14">
        <f t="shared" si="21"/>
        <v>13689694</v>
      </c>
      <c r="AC179" s="8">
        <f t="shared" si="22"/>
        <v>0</v>
      </c>
    </row>
    <row r="180" spans="1:29" hidden="1">
      <c r="A180" s="13" t="s">
        <v>840</v>
      </c>
      <c r="B180" s="13"/>
      <c r="C180" s="13" t="s">
        <v>28</v>
      </c>
      <c r="D180" s="13"/>
      <c r="E180" s="32">
        <v>47050</v>
      </c>
      <c r="G180" s="8">
        <v>5971604</v>
      </c>
      <c r="K180" s="3">
        <f t="shared" si="23"/>
        <v>0</v>
      </c>
      <c r="M180" s="8">
        <v>5971604</v>
      </c>
      <c r="O180" s="3">
        <f t="shared" si="24"/>
        <v>0</v>
      </c>
      <c r="U180" s="8">
        <v>143483</v>
      </c>
      <c r="W180" s="8">
        <v>0</v>
      </c>
      <c r="Y180" s="8">
        <f>3846504+195423+1547767+238427</f>
        <v>5828121</v>
      </c>
      <c r="AA180" s="14">
        <f t="shared" si="21"/>
        <v>5971604</v>
      </c>
      <c r="AC180" s="8">
        <f t="shared" si="22"/>
        <v>0</v>
      </c>
    </row>
    <row r="181" spans="1:29">
      <c r="A181" s="13" t="s">
        <v>702</v>
      </c>
      <c r="B181" s="13"/>
      <c r="C181" s="13" t="s">
        <v>66</v>
      </c>
      <c r="D181" s="13"/>
      <c r="E181" s="32">
        <v>50328</v>
      </c>
      <c r="F181" s="35"/>
      <c r="G181" s="8">
        <v>3227136</v>
      </c>
      <c r="I181" s="8">
        <v>87102</v>
      </c>
      <c r="K181" s="3">
        <f t="shared" si="23"/>
        <v>6566779</v>
      </c>
      <c r="M181" s="8">
        <v>9881017</v>
      </c>
      <c r="O181" s="3">
        <f t="shared" si="24"/>
        <v>6176928</v>
      </c>
      <c r="Q181" s="8">
        <v>80475</v>
      </c>
      <c r="S181" s="8">
        <v>6257403</v>
      </c>
      <c r="U181" s="8">
        <f>780740+817+341414+707541+87102</f>
        <v>1917614</v>
      </c>
      <c r="W181" s="8">
        <v>0</v>
      </c>
      <c r="Y181" s="8">
        <f>1327440+44371+334189</f>
        <v>1706000</v>
      </c>
      <c r="AA181" s="14">
        <f t="shared" si="21"/>
        <v>3623614</v>
      </c>
      <c r="AC181" s="8">
        <f t="shared" si="22"/>
        <v>0</v>
      </c>
    </row>
    <row r="182" spans="1:29">
      <c r="A182" s="13" t="s">
        <v>853</v>
      </c>
      <c r="B182" s="13"/>
      <c r="C182" s="13" t="s">
        <v>116</v>
      </c>
      <c r="D182" s="13"/>
      <c r="E182" s="32">
        <v>50328</v>
      </c>
      <c r="F182" s="35"/>
      <c r="G182" s="8">
        <v>7024023</v>
      </c>
      <c r="I182" s="8">
        <v>974869</v>
      </c>
      <c r="K182" s="3">
        <f t="shared" si="23"/>
        <v>19436496</v>
      </c>
      <c r="M182" s="8">
        <v>27435388</v>
      </c>
      <c r="O182" s="3">
        <f t="shared" si="24"/>
        <v>5723534</v>
      </c>
      <c r="Q182" s="8">
        <v>16741010</v>
      </c>
      <c r="S182" s="8">
        <v>22464544</v>
      </c>
      <c r="U182" s="8">
        <f>343846+28379+1061421+911083</f>
        <v>2344729</v>
      </c>
      <c r="W182" s="8">
        <v>0</v>
      </c>
      <c r="Y182" s="8">
        <f>469062+868477+1025131+55666+207779</f>
        <v>2626115</v>
      </c>
      <c r="AA182" s="14">
        <f t="shared" si="21"/>
        <v>4970844</v>
      </c>
      <c r="AC182" s="8">
        <f t="shared" si="22"/>
        <v>0</v>
      </c>
    </row>
    <row r="183" spans="1:29">
      <c r="A183" s="13" t="s">
        <v>243</v>
      </c>
      <c r="B183" s="13"/>
      <c r="C183" s="13" t="s">
        <v>242</v>
      </c>
      <c r="D183" s="13"/>
      <c r="E183" s="13">
        <v>46102</v>
      </c>
      <c r="G183" s="8">
        <v>21164832</v>
      </c>
      <c r="I183" s="8">
        <v>203843</v>
      </c>
      <c r="K183" s="3">
        <f t="shared" si="23"/>
        <v>55134383</v>
      </c>
      <c r="M183" s="8">
        <v>76503058</v>
      </c>
      <c r="O183" s="3">
        <f t="shared" si="24"/>
        <v>11539205</v>
      </c>
      <c r="Q183" s="8">
        <v>51589026</v>
      </c>
      <c r="S183" s="8">
        <v>63128231</v>
      </c>
      <c r="U183" s="8">
        <f>1082335+19673+1379600+203843</f>
        <v>2685451</v>
      </c>
      <c r="W183" s="8">
        <v>0</v>
      </c>
      <c r="Y183" s="8">
        <f>7392854-96773+2115078+1278217</f>
        <v>10689376</v>
      </c>
      <c r="AA183" s="14">
        <f t="shared" si="21"/>
        <v>13374827</v>
      </c>
      <c r="AC183" s="8">
        <f t="shared" si="22"/>
        <v>0</v>
      </c>
    </row>
    <row r="184" spans="1:29">
      <c r="A184" s="13" t="s">
        <v>436</v>
      </c>
      <c r="B184" s="13"/>
      <c r="C184" s="13" t="s">
        <v>435</v>
      </c>
      <c r="D184" s="13"/>
      <c r="E184" s="32">
        <v>47621</v>
      </c>
      <c r="G184" s="8">
        <v>2207652</v>
      </c>
      <c r="I184" s="8">
        <v>0</v>
      </c>
      <c r="K184" s="3">
        <f t="shared" si="23"/>
        <v>1876405</v>
      </c>
      <c r="M184" s="8">
        <v>4084057</v>
      </c>
      <c r="O184" s="3">
        <f t="shared" si="24"/>
        <v>1346272</v>
      </c>
      <c r="Q184" s="8">
        <v>1744599</v>
      </c>
      <c r="S184" s="8">
        <v>3090871</v>
      </c>
      <c r="U184" s="8">
        <f>360157+47000+70752</f>
        <v>477909</v>
      </c>
      <c r="W184" s="8">
        <v>0</v>
      </c>
      <c r="Y184" s="8">
        <f>75669+576995+34810-172197</f>
        <v>515277</v>
      </c>
      <c r="AA184" s="14">
        <f t="shared" si="21"/>
        <v>993186</v>
      </c>
      <c r="AC184" s="8">
        <f t="shared" si="22"/>
        <v>0</v>
      </c>
    </row>
    <row r="185" spans="1:29">
      <c r="A185" s="13" t="s">
        <v>346</v>
      </c>
      <c r="B185" s="13"/>
      <c r="C185" s="13" t="s">
        <v>25</v>
      </c>
      <c r="D185" s="13"/>
      <c r="E185" s="32">
        <v>46870</v>
      </c>
      <c r="G185" s="8">
        <v>34084869</v>
      </c>
      <c r="I185" s="8">
        <v>0</v>
      </c>
      <c r="K185" s="3">
        <f t="shared" si="23"/>
        <v>6583583</v>
      </c>
      <c r="M185" s="8">
        <v>40668452</v>
      </c>
      <c r="O185" s="3">
        <f t="shared" si="24"/>
        <v>5112487</v>
      </c>
      <c r="Q185" s="8">
        <v>3931411</v>
      </c>
      <c r="S185" s="8">
        <v>9043898</v>
      </c>
      <c r="U185" s="8">
        <f>8798657+601900</f>
        <v>9400557</v>
      </c>
      <c r="W185" s="8">
        <v>0</v>
      </c>
      <c r="Y185" s="8">
        <f>2924006+753851+1475965+17070175</f>
        <v>22223997</v>
      </c>
      <c r="AA185" s="14">
        <f t="shared" si="21"/>
        <v>31624554</v>
      </c>
      <c r="AC185" s="8">
        <f t="shared" si="22"/>
        <v>0</v>
      </c>
    </row>
    <row r="186" spans="1:29">
      <c r="A186" s="13" t="s">
        <v>468</v>
      </c>
      <c r="B186" s="13"/>
      <c r="C186" s="13" t="s">
        <v>466</v>
      </c>
      <c r="D186" s="13"/>
      <c r="E186" s="32">
        <v>47936</v>
      </c>
      <c r="G186" s="8">
        <v>6281147</v>
      </c>
      <c r="I186" s="8">
        <v>0</v>
      </c>
      <c r="K186" s="3">
        <f t="shared" si="23"/>
        <v>3556302</v>
      </c>
      <c r="M186" s="8">
        <v>9837449</v>
      </c>
      <c r="O186" s="3">
        <f t="shared" si="24"/>
        <v>2162917</v>
      </c>
      <c r="Q186" s="8">
        <v>2761969</v>
      </c>
      <c r="S186" s="8">
        <v>4924886</v>
      </c>
      <c r="U186" s="8">
        <f>89403+521972+43460</f>
        <v>654835</v>
      </c>
      <c r="W186" s="8">
        <v>58859</v>
      </c>
      <c r="Y186" s="8">
        <f>2445675+594052+1077431+81711</f>
        <v>4198869</v>
      </c>
      <c r="AA186" s="14">
        <f t="shared" si="21"/>
        <v>4912563</v>
      </c>
      <c r="AC186" s="8">
        <f t="shared" si="22"/>
        <v>0</v>
      </c>
    </row>
    <row r="187" spans="1:29" hidden="1">
      <c r="A187" s="12" t="s">
        <v>841</v>
      </c>
      <c r="B187" s="13"/>
      <c r="C187" s="13" t="s">
        <v>61</v>
      </c>
      <c r="D187" s="13"/>
      <c r="E187" s="32">
        <v>49775</v>
      </c>
      <c r="G187" s="8">
        <v>10316903</v>
      </c>
      <c r="K187" s="3">
        <f t="shared" si="23"/>
        <v>0</v>
      </c>
      <c r="M187" s="8">
        <v>10316903</v>
      </c>
      <c r="O187" s="3">
        <f t="shared" si="24"/>
        <v>0</v>
      </c>
      <c r="U187" s="8">
        <v>4285016</v>
      </c>
      <c r="W187" s="8">
        <v>0</v>
      </c>
      <c r="Y187" s="8">
        <f>2106622+276484+174639+3474142</f>
        <v>6031887</v>
      </c>
      <c r="AA187" s="14">
        <f t="shared" si="21"/>
        <v>10316903</v>
      </c>
      <c r="AC187" s="8">
        <f t="shared" si="22"/>
        <v>0</v>
      </c>
    </row>
    <row r="188" spans="1:29">
      <c r="A188" s="13" t="s">
        <v>651</v>
      </c>
      <c r="B188" s="13"/>
      <c r="C188" s="13" t="s">
        <v>62</v>
      </c>
      <c r="D188" s="13"/>
      <c r="E188" s="32">
        <v>49841</v>
      </c>
      <c r="G188" s="8">
        <v>4924339</v>
      </c>
      <c r="I188" s="8">
        <v>8504</v>
      </c>
      <c r="K188" s="3">
        <f t="shared" si="23"/>
        <v>6941487</v>
      </c>
      <c r="M188" s="8">
        <v>11874330</v>
      </c>
      <c r="O188" s="3">
        <f t="shared" si="24"/>
        <v>8048523</v>
      </c>
      <c r="Q188" s="8">
        <v>1130680</v>
      </c>
      <c r="S188" s="8">
        <v>9179203</v>
      </c>
      <c r="U188" s="8">
        <f>321465+14970+413340+9747+8504+518961</f>
        <v>1286987</v>
      </c>
      <c r="W188" s="8">
        <v>0</v>
      </c>
      <c r="Y188" s="8">
        <f>352455+611003+444682</f>
        <v>1408140</v>
      </c>
      <c r="AA188" s="14">
        <f t="shared" si="21"/>
        <v>2695127</v>
      </c>
      <c r="AC188" s="8">
        <f t="shared" si="22"/>
        <v>0</v>
      </c>
    </row>
    <row r="189" spans="1:29" hidden="1">
      <c r="A189" s="91" t="s">
        <v>972</v>
      </c>
      <c r="B189" s="13"/>
      <c r="C189" s="13" t="s">
        <v>41</v>
      </c>
      <c r="D189" s="13"/>
      <c r="E189" s="32">
        <v>45369</v>
      </c>
      <c r="K189" s="3">
        <f t="shared" si="23"/>
        <v>0</v>
      </c>
      <c r="O189" s="3">
        <f t="shared" si="24"/>
        <v>0</v>
      </c>
      <c r="W189" s="8">
        <v>0</v>
      </c>
      <c r="AA189" s="14">
        <f t="shared" si="21"/>
        <v>0</v>
      </c>
      <c r="AC189" s="8">
        <f t="shared" si="22"/>
        <v>0</v>
      </c>
    </row>
    <row r="190" spans="1:29">
      <c r="A190" s="13" t="s">
        <v>307</v>
      </c>
      <c r="B190" s="13"/>
      <c r="C190" s="13" t="s">
        <v>20</v>
      </c>
      <c r="D190" s="13"/>
      <c r="E190" s="32">
        <v>43976</v>
      </c>
      <c r="G190" s="8">
        <v>16228038</v>
      </c>
      <c r="I190" s="8">
        <v>364682</v>
      </c>
      <c r="K190" s="3">
        <f t="shared" si="23"/>
        <v>19006338</v>
      </c>
      <c r="M190" s="8">
        <v>35599058</v>
      </c>
      <c r="O190" s="3">
        <f t="shared" si="24"/>
        <v>3752442</v>
      </c>
      <c r="Q190" s="8">
        <v>15851095</v>
      </c>
      <c r="S190" s="8">
        <v>19603537</v>
      </c>
      <c r="U190" s="8">
        <f>619957+5773+2760285+364682</f>
        <v>3750697</v>
      </c>
      <c r="W190" s="8">
        <v>0</v>
      </c>
      <c r="Y190" s="8">
        <f>9066925+166615+2045656+965628</f>
        <v>12244824</v>
      </c>
      <c r="AA190" s="14">
        <f t="shared" si="21"/>
        <v>15995521</v>
      </c>
      <c r="AC190" s="8">
        <f t="shared" si="22"/>
        <v>0</v>
      </c>
    </row>
    <row r="191" spans="1:29">
      <c r="A191" s="12" t="s">
        <v>936</v>
      </c>
      <c r="B191" s="12"/>
      <c r="C191" s="12" t="s">
        <v>28</v>
      </c>
      <c r="D191" s="13"/>
      <c r="E191" s="32"/>
      <c r="G191" s="8">
        <v>3651991</v>
      </c>
      <c r="I191" s="8">
        <v>0</v>
      </c>
      <c r="K191" s="3">
        <f t="shared" si="23"/>
        <v>2019592</v>
      </c>
      <c r="M191" s="8">
        <v>5671583</v>
      </c>
      <c r="O191" s="3">
        <f t="shared" si="24"/>
        <v>608246</v>
      </c>
      <c r="Q191" s="8">
        <v>1653643</v>
      </c>
      <c r="S191" s="8">
        <v>2261889</v>
      </c>
      <c r="U191" s="8">
        <f>100745+13344+135004</f>
        <v>249093</v>
      </c>
      <c r="W191" s="8">
        <f>1192822+141843+151287+1674649</f>
        <v>3160601</v>
      </c>
      <c r="Y191" s="8">
        <v>0</v>
      </c>
      <c r="AA191" s="14">
        <f t="shared" si="21"/>
        <v>3409694</v>
      </c>
      <c r="AC191" s="8">
        <f t="shared" si="22"/>
        <v>0</v>
      </c>
    </row>
    <row r="192" spans="1:29">
      <c r="A192" s="13" t="s">
        <v>238</v>
      </c>
      <c r="B192" s="13"/>
      <c r="C192" s="13" t="s">
        <v>77</v>
      </c>
      <c r="D192" s="13"/>
      <c r="E192" s="32">
        <v>46045</v>
      </c>
      <c r="G192" s="8">
        <v>7123647</v>
      </c>
      <c r="I192" s="8">
        <v>9257</v>
      </c>
      <c r="K192" s="3">
        <f t="shared" si="23"/>
        <v>2552355</v>
      </c>
      <c r="M192" s="8">
        <v>9685259</v>
      </c>
      <c r="O192" s="3">
        <f t="shared" si="24"/>
        <v>1807463</v>
      </c>
      <c r="Q192" s="8">
        <v>1869339</v>
      </c>
      <c r="S192" s="8">
        <v>3676802</v>
      </c>
      <c r="U192" s="8">
        <f>1363277+668550+9257</f>
        <v>2041084</v>
      </c>
      <c r="W192" s="8">
        <f>696609+226990+1018025+2025749</f>
        <v>3967373</v>
      </c>
      <c r="Y192" s="8">
        <v>0</v>
      </c>
      <c r="AA192" s="14">
        <f t="shared" si="21"/>
        <v>6008457</v>
      </c>
      <c r="AC192" s="8">
        <f t="shared" si="22"/>
        <v>0</v>
      </c>
    </row>
    <row r="193" spans="1:29">
      <c r="A193" s="13" t="s">
        <v>937</v>
      </c>
      <c r="B193" s="13"/>
      <c r="C193" s="13" t="s">
        <v>13</v>
      </c>
      <c r="D193" s="13"/>
      <c r="E193" s="32"/>
      <c r="G193" s="8">
        <v>2573244</v>
      </c>
      <c r="I193" s="8">
        <v>0</v>
      </c>
      <c r="K193" s="3">
        <f t="shared" si="23"/>
        <v>3726388</v>
      </c>
      <c r="M193" s="8">
        <v>6299632</v>
      </c>
      <c r="O193" s="3">
        <f t="shared" si="24"/>
        <v>1765072</v>
      </c>
      <c r="Q193" s="8">
        <v>2930076</v>
      </c>
      <c r="S193" s="8">
        <v>4695148</v>
      </c>
      <c r="U193" s="8">
        <f>305029+304127+26588</f>
        <v>635744</v>
      </c>
      <c r="W193" s="8">
        <v>0</v>
      </c>
      <c r="Y193" s="8">
        <f>92744+88498+555115+232383</f>
        <v>968740</v>
      </c>
      <c r="AA193" s="14">
        <f t="shared" si="21"/>
        <v>1604484</v>
      </c>
      <c r="AC193" s="8">
        <f t="shared" si="22"/>
        <v>0</v>
      </c>
    </row>
    <row r="194" spans="1:29">
      <c r="A194" s="13" t="s">
        <v>268</v>
      </c>
      <c r="B194" s="13"/>
      <c r="C194" s="13" t="s">
        <v>115</v>
      </c>
      <c r="D194" s="13"/>
      <c r="E194" s="32">
        <v>46334</v>
      </c>
      <c r="G194" s="8">
        <v>2112263</v>
      </c>
      <c r="I194" s="8">
        <v>0</v>
      </c>
      <c r="K194" s="3">
        <f t="shared" si="23"/>
        <v>2012805</v>
      </c>
      <c r="M194" s="8">
        <v>4125068</v>
      </c>
      <c r="O194" s="3">
        <f t="shared" si="24"/>
        <v>1133019</v>
      </c>
      <c r="Q194" s="8">
        <v>1863591</v>
      </c>
      <c r="S194" s="8">
        <v>2996610</v>
      </c>
      <c r="U194" s="8">
        <f>11254+28364+102800+82178+130898</f>
        <v>355494</v>
      </c>
      <c r="W194" s="8">
        <v>30437</v>
      </c>
      <c r="Y194" s="8">
        <f>161475-429913+897454+113511</f>
        <v>742527</v>
      </c>
      <c r="AA194" s="14">
        <f t="shared" si="21"/>
        <v>1128458</v>
      </c>
      <c r="AC194" s="8">
        <f t="shared" si="22"/>
        <v>0</v>
      </c>
    </row>
    <row r="195" spans="1:29">
      <c r="A195" s="12" t="s">
        <v>1068</v>
      </c>
      <c r="B195" s="13"/>
      <c r="C195" s="13" t="s">
        <v>56</v>
      </c>
      <c r="D195" s="13"/>
      <c r="E195" s="32">
        <v>49197</v>
      </c>
      <c r="G195" s="8">
        <v>1017256</v>
      </c>
      <c r="I195" s="8">
        <v>0</v>
      </c>
      <c r="K195" s="3">
        <f t="shared" si="23"/>
        <v>10613762</v>
      </c>
      <c r="M195" s="8">
        <v>11631018</v>
      </c>
      <c r="O195" s="3">
        <f t="shared" si="24"/>
        <v>1896352</v>
      </c>
      <c r="Q195" s="8">
        <v>8938540</v>
      </c>
      <c r="S195" s="8">
        <v>10834892</v>
      </c>
      <c r="U195" s="8">
        <f>92249+1014658+568401</f>
        <v>1675308</v>
      </c>
      <c r="W195" s="8">
        <v>0</v>
      </c>
      <c r="Y195" s="8">
        <f>287196-1692572+513982+12212</f>
        <v>-879182</v>
      </c>
      <c r="AA195" s="14">
        <f t="shared" si="21"/>
        <v>796126</v>
      </c>
      <c r="AC195" s="8">
        <f t="shared" si="22"/>
        <v>0</v>
      </c>
    </row>
    <row r="196" spans="1:29">
      <c r="A196" s="13" t="s">
        <v>416</v>
      </c>
      <c r="B196" s="13"/>
      <c r="C196" s="13" t="s">
        <v>33</v>
      </c>
      <c r="D196" s="13"/>
      <c r="E196" s="32">
        <v>43984</v>
      </c>
      <c r="G196" s="8">
        <v>14869968</v>
      </c>
      <c r="I196" s="8">
        <v>63923</v>
      </c>
      <c r="K196" s="3">
        <f t="shared" si="23"/>
        <v>36232981</v>
      </c>
      <c r="M196" s="8">
        <v>51166872</v>
      </c>
      <c r="O196" s="3">
        <f t="shared" si="24"/>
        <v>39108467</v>
      </c>
      <c r="Q196" s="8">
        <v>2674173</v>
      </c>
      <c r="S196" s="8">
        <v>41782640</v>
      </c>
      <c r="U196" s="8">
        <f>1909775+76225+1489786+94737+63923+618000</f>
        <v>4252446</v>
      </c>
      <c r="W196" s="8">
        <v>0</v>
      </c>
      <c r="Y196" s="8">
        <f>3252147+1033743+777456+68440</f>
        <v>5131786</v>
      </c>
      <c r="AA196" s="14">
        <f t="shared" si="21"/>
        <v>9384232</v>
      </c>
      <c r="AC196" s="8">
        <f t="shared" si="22"/>
        <v>0</v>
      </c>
    </row>
    <row r="197" spans="1:29">
      <c r="A197" s="13" t="s">
        <v>393</v>
      </c>
      <c r="B197" s="13"/>
      <c r="C197" s="13" t="s">
        <v>32</v>
      </c>
      <c r="D197" s="13"/>
      <c r="E197" s="32">
        <v>47332</v>
      </c>
      <c r="G197" s="8">
        <v>3422988</v>
      </c>
      <c r="I197" s="8">
        <v>0</v>
      </c>
      <c r="K197" s="3">
        <f t="shared" si="23"/>
        <v>10050729</v>
      </c>
      <c r="M197" s="8">
        <v>13473717</v>
      </c>
      <c r="O197" s="3">
        <f t="shared" si="24"/>
        <v>3171506</v>
      </c>
      <c r="Q197" s="8">
        <v>6397290</v>
      </c>
      <c r="S197" s="8">
        <v>9568796</v>
      </c>
      <c r="U197" s="8">
        <f>337462+3562471</f>
        <v>3899933</v>
      </c>
      <c r="W197" s="8">
        <v>0</v>
      </c>
      <c r="Y197" s="8">
        <f>204344+493009+116631-808996</f>
        <v>4988</v>
      </c>
      <c r="AA197" s="14">
        <f t="shared" si="21"/>
        <v>3904921</v>
      </c>
      <c r="AC197" s="8">
        <f t="shared" si="22"/>
        <v>0</v>
      </c>
    </row>
    <row r="198" spans="1:29">
      <c r="A198" s="13" t="s">
        <v>488</v>
      </c>
      <c r="B198" s="13"/>
      <c r="C198" s="13" t="s">
        <v>44</v>
      </c>
      <c r="D198" s="13"/>
      <c r="E198" s="32">
        <v>48157</v>
      </c>
      <c r="G198" s="8">
        <v>5132793</v>
      </c>
      <c r="I198" s="8">
        <v>782</v>
      </c>
      <c r="K198" s="3">
        <f t="shared" si="23"/>
        <v>6852390</v>
      </c>
      <c r="M198" s="8">
        <v>11985965</v>
      </c>
      <c r="O198" s="3">
        <f t="shared" si="24"/>
        <v>8199807</v>
      </c>
      <c r="Q198" s="8">
        <v>174996</v>
      </c>
      <c r="S198" s="8">
        <v>8374803</v>
      </c>
      <c r="U198" s="8">
        <f>159213+8280+483151+24143+7386+782</f>
        <v>682955</v>
      </c>
      <c r="W198" s="8">
        <v>0</v>
      </c>
      <c r="Y198" s="8">
        <f>1232817+373104+1322286</f>
        <v>2928207</v>
      </c>
      <c r="AA198" s="14">
        <f t="shared" si="21"/>
        <v>3611162</v>
      </c>
      <c r="AC198" s="8">
        <f t="shared" si="22"/>
        <v>0</v>
      </c>
    </row>
    <row r="199" spans="1:29">
      <c r="A199" s="13" t="s">
        <v>394</v>
      </c>
      <c r="B199" s="13"/>
      <c r="C199" s="13" t="s">
        <v>32</v>
      </c>
      <c r="D199" s="13"/>
      <c r="E199" s="32">
        <v>47340</v>
      </c>
      <c r="G199" s="8">
        <v>18291784</v>
      </c>
      <c r="I199" s="8">
        <v>250638</v>
      </c>
      <c r="K199" s="3">
        <f t="shared" si="23"/>
        <v>43980161</v>
      </c>
      <c r="M199" s="8">
        <v>62522583</v>
      </c>
      <c r="O199" s="3">
        <f t="shared" si="24"/>
        <v>9615105</v>
      </c>
      <c r="Q199" s="8">
        <v>25258391</v>
      </c>
      <c r="S199" s="8">
        <v>34873496</v>
      </c>
      <c r="U199" s="8">
        <f>552388+250638+15331638+348723+1904730+718291</f>
        <v>19106408</v>
      </c>
      <c r="W199" s="8">
        <v>0</v>
      </c>
      <c r="Y199" s="8">
        <f>5451324+1680458+1382901+27996</f>
        <v>8542679</v>
      </c>
      <c r="AA199" s="14">
        <f t="shared" si="21"/>
        <v>27649087</v>
      </c>
      <c r="AC199" s="8">
        <f t="shared" si="22"/>
        <v>0</v>
      </c>
    </row>
    <row r="200" spans="1:29" hidden="1">
      <c r="A200" s="13" t="s">
        <v>836</v>
      </c>
      <c r="B200" s="13"/>
      <c r="C200" s="13" t="s">
        <v>70</v>
      </c>
      <c r="D200" s="13"/>
      <c r="E200" s="32">
        <v>50484</v>
      </c>
      <c r="G200" s="8">
        <v>2957831</v>
      </c>
      <c r="I200" s="8">
        <v>36095</v>
      </c>
      <c r="K200" s="3">
        <f t="shared" si="23"/>
        <v>0</v>
      </c>
      <c r="M200" s="8">
        <v>2993926</v>
      </c>
      <c r="O200" s="3">
        <f t="shared" si="24"/>
        <v>0</v>
      </c>
      <c r="U200" s="8">
        <f>65453+36095</f>
        <v>101548</v>
      </c>
      <c r="W200" s="8">
        <v>0</v>
      </c>
      <c r="Y200" s="8">
        <f>276678+81090+2534610</f>
        <v>2892378</v>
      </c>
      <c r="AA200" s="14">
        <f t="shared" si="21"/>
        <v>2993926</v>
      </c>
      <c r="AC200" s="8">
        <f t="shared" si="22"/>
        <v>0</v>
      </c>
    </row>
    <row r="201" spans="1:29">
      <c r="A201" s="13" t="s">
        <v>644</v>
      </c>
      <c r="B201" s="13"/>
      <c r="C201" s="13" t="s">
        <v>61</v>
      </c>
      <c r="D201" s="13"/>
      <c r="E201" s="32">
        <v>49783</v>
      </c>
      <c r="G201" s="8">
        <v>6483703</v>
      </c>
      <c r="I201" s="8">
        <v>194</v>
      </c>
      <c r="K201" s="3">
        <f t="shared" si="23"/>
        <v>4832870</v>
      </c>
      <c r="M201" s="8">
        <v>11316767</v>
      </c>
      <c r="O201" s="3">
        <f t="shared" si="24"/>
        <v>1780156</v>
      </c>
      <c r="Q201" s="8">
        <v>2347791</v>
      </c>
      <c r="S201" s="8">
        <v>4127947</v>
      </c>
      <c r="U201" s="8">
        <f>169522+194+3369704</f>
        <v>3539420</v>
      </c>
      <c r="W201" s="8">
        <f>13973+12521</f>
        <v>26494</v>
      </c>
      <c r="Y201" s="8">
        <f>2137421+211766+791496+482223</f>
        <v>3622906</v>
      </c>
      <c r="AA201" s="14">
        <f t="shared" si="21"/>
        <v>7188820</v>
      </c>
      <c r="AC201" s="8">
        <f t="shared" si="22"/>
        <v>0</v>
      </c>
    </row>
    <row r="202" spans="1:29" hidden="1">
      <c r="A202" s="13" t="s">
        <v>938</v>
      </c>
      <c r="B202" s="13"/>
      <c r="C202" s="13" t="s">
        <v>534</v>
      </c>
      <c r="D202" s="13"/>
      <c r="E202" s="32"/>
      <c r="G202" s="8">
        <v>3153432</v>
      </c>
      <c r="K202" s="3">
        <f t="shared" si="23"/>
        <v>0</v>
      </c>
      <c r="M202" s="8">
        <v>3153432</v>
      </c>
      <c r="O202" s="3">
        <f t="shared" si="24"/>
        <v>0</v>
      </c>
      <c r="U202" s="8">
        <v>272866</v>
      </c>
      <c r="W202" s="8">
        <v>344197</v>
      </c>
      <c r="Y202" s="8">
        <f>2041238+181138+172358+141635</f>
        <v>2536369</v>
      </c>
      <c r="AA202" s="14">
        <f t="shared" si="21"/>
        <v>3153432</v>
      </c>
      <c r="AC202" s="8">
        <f t="shared" si="22"/>
        <v>0</v>
      </c>
    </row>
    <row r="203" spans="1:29">
      <c r="A203" s="13" t="s">
        <v>636</v>
      </c>
      <c r="B203" s="13"/>
      <c r="C203" s="13" t="s">
        <v>60</v>
      </c>
      <c r="D203" s="13"/>
      <c r="E203" s="32">
        <v>43992</v>
      </c>
      <c r="G203" s="8">
        <v>13234708</v>
      </c>
      <c r="I203" s="8">
        <f>348082+14198</f>
        <v>362280</v>
      </c>
      <c r="K203" s="3">
        <f t="shared" si="23"/>
        <v>9345809</v>
      </c>
      <c r="M203" s="8">
        <v>22942797</v>
      </c>
      <c r="O203" s="3">
        <f t="shared" si="24"/>
        <v>9876412</v>
      </c>
      <c r="Q203" s="8">
        <v>875438</v>
      </c>
      <c r="S203" s="8">
        <v>10751850</v>
      </c>
      <c r="U203" s="8">
        <f>353850+47216+7222+915389+14198</f>
        <v>1337875</v>
      </c>
      <c r="W203" s="8">
        <v>0</v>
      </c>
      <c r="Y203" s="8">
        <f>8143099+122636+1069330+1518007</f>
        <v>10853072</v>
      </c>
      <c r="AA203" s="14">
        <f t="shared" si="21"/>
        <v>12190947</v>
      </c>
      <c r="AC203" s="8">
        <f t="shared" si="22"/>
        <v>0</v>
      </c>
    </row>
    <row r="204" spans="1:29">
      <c r="A204" s="13" t="s">
        <v>709</v>
      </c>
      <c r="B204" s="13"/>
      <c r="C204" s="13" t="s">
        <v>69</v>
      </c>
      <c r="D204" s="13"/>
      <c r="E204" s="32">
        <v>44008</v>
      </c>
      <c r="G204" s="8">
        <v>9302293</v>
      </c>
      <c r="I204" s="8">
        <v>0</v>
      </c>
      <c r="K204" s="3">
        <f t="shared" si="23"/>
        <v>12612973</v>
      </c>
      <c r="M204" s="8">
        <v>21915266</v>
      </c>
      <c r="O204" s="3">
        <f t="shared" si="24"/>
        <v>3424898</v>
      </c>
      <c r="Q204" s="8">
        <v>11562281</v>
      </c>
      <c r="S204" s="8">
        <v>14987179</v>
      </c>
      <c r="U204" s="8">
        <f>308000+902510</f>
        <v>1210510</v>
      </c>
      <c r="W204" s="8">
        <v>0</v>
      </c>
      <c r="Y204" s="8">
        <f>4112203+209879+1145904+249591</f>
        <v>5717577</v>
      </c>
      <c r="AA204" s="14">
        <f t="shared" si="21"/>
        <v>6928087</v>
      </c>
      <c r="AC204" s="8">
        <f t="shared" si="22"/>
        <v>0</v>
      </c>
    </row>
    <row r="205" spans="1:29">
      <c r="A205" s="13" t="s">
        <v>564</v>
      </c>
      <c r="B205" s="13"/>
      <c r="C205" s="13" t="s">
        <v>51</v>
      </c>
      <c r="D205" s="13"/>
      <c r="E205" s="32">
        <v>48843</v>
      </c>
      <c r="G205" s="8">
        <v>8311069</v>
      </c>
      <c r="I205" s="8">
        <v>41756</v>
      </c>
      <c r="K205" s="3">
        <f t="shared" si="23"/>
        <v>6162376</v>
      </c>
      <c r="M205" s="8">
        <v>14515201</v>
      </c>
      <c r="O205" s="3">
        <f t="shared" si="24"/>
        <v>3170837</v>
      </c>
      <c r="Q205" s="8">
        <v>5449122</v>
      </c>
      <c r="S205" s="8">
        <v>8619959</v>
      </c>
      <c r="U205" s="8">
        <f>520362+159211+39012+2744</f>
        <v>721329</v>
      </c>
      <c r="W205" s="8">
        <v>0</v>
      </c>
      <c r="Y205" s="8">
        <f>2665196+424731+682255+1401731</f>
        <v>5173913</v>
      </c>
      <c r="AA205" s="14">
        <f t="shared" si="21"/>
        <v>5895242</v>
      </c>
      <c r="AC205" s="8">
        <f t="shared" si="22"/>
        <v>0</v>
      </c>
    </row>
    <row r="206" spans="1:29" hidden="1">
      <c r="A206" s="12" t="s">
        <v>835</v>
      </c>
      <c r="B206" s="13"/>
      <c r="C206" s="13" t="s">
        <v>21</v>
      </c>
      <c r="D206" s="13"/>
      <c r="E206" s="32">
        <v>46649</v>
      </c>
      <c r="G206" s="8">
        <v>16525448</v>
      </c>
      <c r="I206" s="8">
        <v>360</v>
      </c>
      <c r="K206" s="3">
        <f t="shared" si="23"/>
        <v>0</v>
      </c>
      <c r="M206" s="8">
        <v>16525808</v>
      </c>
      <c r="O206" s="3">
        <f t="shared" si="24"/>
        <v>0</v>
      </c>
      <c r="U206" s="8">
        <f>270065+360</f>
        <v>270425</v>
      </c>
      <c r="W206" s="8">
        <v>0</v>
      </c>
      <c r="Y206" s="8">
        <f>2300249+105905+6440587+7408642</f>
        <v>16255383</v>
      </c>
      <c r="AA206" s="14">
        <f t="shared" si="21"/>
        <v>16525808</v>
      </c>
      <c r="AC206" s="8">
        <f t="shared" si="22"/>
        <v>0</v>
      </c>
    </row>
    <row r="207" spans="1:29" hidden="1">
      <c r="A207" s="12" t="s">
        <v>939</v>
      </c>
      <c r="B207" s="13"/>
      <c r="C207" s="13" t="s">
        <v>40</v>
      </c>
      <c r="D207" s="13"/>
      <c r="E207" s="32">
        <v>47852</v>
      </c>
      <c r="G207" s="8">
        <v>3176507</v>
      </c>
      <c r="K207" s="3">
        <f t="shared" si="23"/>
        <v>0</v>
      </c>
      <c r="M207" s="8">
        <v>3176507</v>
      </c>
      <c r="O207" s="3">
        <f t="shared" si="24"/>
        <v>0</v>
      </c>
      <c r="U207" s="8">
        <v>773712</v>
      </c>
      <c r="W207" s="8">
        <v>0</v>
      </c>
      <c r="Y207" s="8">
        <f>1210703+214408+446307+531377</f>
        <v>2402795</v>
      </c>
      <c r="AA207" s="14">
        <f t="shared" si="21"/>
        <v>3176507</v>
      </c>
      <c r="AC207" s="8">
        <f t="shared" si="22"/>
        <v>0</v>
      </c>
    </row>
    <row r="208" spans="1:29">
      <c r="A208" s="13" t="s">
        <v>623</v>
      </c>
      <c r="B208" s="13"/>
      <c r="C208" s="13" t="s">
        <v>79</v>
      </c>
      <c r="D208" s="13"/>
      <c r="E208" s="32">
        <v>44016</v>
      </c>
      <c r="G208" s="8">
        <f>11802025+1070965</f>
        <v>12872990</v>
      </c>
      <c r="I208" s="8">
        <v>68003</v>
      </c>
      <c r="K208" s="3">
        <f t="shared" si="23"/>
        <v>33596593</v>
      </c>
      <c r="M208" s="8">
        <v>46537586</v>
      </c>
      <c r="O208" s="3">
        <f t="shared" si="24"/>
        <v>3591592</v>
      </c>
      <c r="Q208" s="8">
        <v>11529789</v>
      </c>
      <c r="S208" s="8">
        <v>15121381</v>
      </c>
      <c r="U208" s="8">
        <f>843225+33766+1841032+68003</f>
        <v>2786026</v>
      </c>
      <c r="W208" s="8">
        <v>0</v>
      </c>
      <c r="Y208" s="8">
        <f>3737838+4312910+807107+19772324</f>
        <v>28630179</v>
      </c>
      <c r="AA208" s="14">
        <f t="shared" si="21"/>
        <v>31416205</v>
      </c>
      <c r="AC208" s="8">
        <f t="shared" si="22"/>
        <v>0</v>
      </c>
    </row>
    <row r="209" spans="1:31">
      <c r="A209" s="13" t="s">
        <v>717</v>
      </c>
      <c r="B209" s="13"/>
      <c r="C209" s="13" t="s">
        <v>70</v>
      </c>
      <c r="D209" s="13"/>
      <c r="E209" s="32">
        <v>50492</v>
      </c>
      <c r="G209" s="8">
        <v>2586878</v>
      </c>
      <c r="I209" s="8">
        <v>0</v>
      </c>
      <c r="K209" s="3">
        <f t="shared" si="23"/>
        <v>2195928</v>
      </c>
      <c r="M209" s="8">
        <v>4782806</v>
      </c>
      <c r="O209" s="3">
        <f t="shared" si="24"/>
        <v>2497044</v>
      </c>
      <c r="Q209" s="8">
        <v>209531</v>
      </c>
      <c r="S209" s="8">
        <v>2706575</v>
      </c>
      <c r="U209" s="8">
        <f>94997+8221+194074+43039+26084+124363+57525+235814</f>
        <v>784117</v>
      </c>
      <c r="W209" s="8">
        <v>4345</v>
      </c>
      <c r="Y209" s="8">
        <f>425372-216243+1078640</f>
        <v>1287769</v>
      </c>
      <c r="AA209" s="14">
        <f t="shared" si="21"/>
        <v>2076231</v>
      </c>
      <c r="AC209" s="8">
        <f t="shared" si="22"/>
        <v>0</v>
      </c>
    </row>
    <row r="210" spans="1:31">
      <c r="A210" s="13" t="s">
        <v>356</v>
      </c>
      <c r="B210" s="13"/>
      <c r="C210" s="13" t="s">
        <v>27</v>
      </c>
      <c r="D210" s="13"/>
      <c r="E210" s="32">
        <v>46961</v>
      </c>
      <c r="G210" s="8">
        <f>22381458+1000303</f>
        <v>23381761</v>
      </c>
      <c r="I210" s="8">
        <v>0</v>
      </c>
      <c r="K210" s="3">
        <f t="shared" si="23"/>
        <v>82728562</v>
      </c>
      <c r="M210" s="8">
        <v>106110323</v>
      </c>
      <c r="O210" s="3">
        <f t="shared" si="24"/>
        <v>16298478</v>
      </c>
      <c r="Q210" s="8">
        <v>62895384</v>
      </c>
      <c r="S210" s="8">
        <v>79193862</v>
      </c>
      <c r="U210" s="8">
        <f>4277736+122956+19388595+1000303</f>
        <v>24789590</v>
      </c>
      <c r="W210" s="8">
        <v>0</v>
      </c>
      <c r="Y210" s="8">
        <f>5386442+52341+2234454-5546366</f>
        <v>2126871</v>
      </c>
      <c r="AA210" s="14">
        <f t="shared" si="21"/>
        <v>26916461</v>
      </c>
      <c r="AC210" s="8">
        <f t="shared" si="22"/>
        <v>0</v>
      </c>
    </row>
    <row r="211" spans="1:31">
      <c r="A211" s="13" t="s">
        <v>294</v>
      </c>
      <c r="B211" s="13"/>
      <c r="C211" s="13" t="s">
        <v>113</v>
      </c>
      <c r="D211" s="13"/>
      <c r="E211" s="32">
        <v>44024</v>
      </c>
      <c r="G211" s="8">
        <v>5519720</v>
      </c>
      <c r="I211" s="8">
        <v>3551</v>
      </c>
      <c r="K211" s="3">
        <f t="shared" si="23"/>
        <v>6429630</v>
      </c>
      <c r="M211" s="8">
        <v>11952901</v>
      </c>
      <c r="O211" s="3">
        <f t="shared" si="24"/>
        <v>2414785</v>
      </c>
      <c r="Q211" s="8">
        <v>4168128</v>
      </c>
      <c r="S211" s="8">
        <v>6582913</v>
      </c>
      <c r="U211" s="8">
        <f>2077994+1242361</f>
        <v>3320355</v>
      </c>
      <c r="W211" s="8">
        <v>0</v>
      </c>
      <c r="Y211" s="8">
        <f>516102-377578+311256+1599853</f>
        <v>2049633</v>
      </c>
      <c r="AA211" s="14">
        <f t="shared" si="21"/>
        <v>5369988</v>
      </c>
      <c r="AC211" s="8">
        <f t="shared" si="22"/>
        <v>0</v>
      </c>
    </row>
    <row r="212" spans="1:31">
      <c r="A212" s="13" t="s">
        <v>375</v>
      </c>
      <c r="B212" s="13"/>
      <c r="C212" s="13" t="s">
        <v>29</v>
      </c>
      <c r="D212" s="13"/>
      <c r="E212" s="32">
        <v>65680</v>
      </c>
      <c r="G212" s="8">
        <v>20532923</v>
      </c>
      <c r="I212" s="8">
        <f>843177+70142</f>
        <v>913319</v>
      </c>
      <c r="K212" s="3">
        <f t="shared" si="23"/>
        <v>12626890</v>
      </c>
      <c r="M212" s="8">
        <v>34073132</v>
      </c>
      <c r="O212" s="3">
        <f t="shared" si="24"/>
        <v>5698731</v>
      </c>
      <c r="Q212" s="8">
        <v>11910005</v>
      </c>
      <c r="S212" s="8">
        <v>17608736</v>
      </c>
      <c r="U212" s="8">
        <f>1300927+92000+102827+284744</f>
        <v>1780498</v>
      </c>
      <c r="W212" s="8">
        <v>0</v>
      </c>
      <c r="Y212" s="8">
        <f>1373455+720037+3511338+2593+9076475</f>
        <v>14683898</v>
      </c>
      <c r="AA212" s="14">
        <f t="shared" si="21"/>
        <v>16464396</v>
      </c>
      <c r="AC212" s="8">
        <f t="shared" si="22"/>
        <v>0</v>
      </c>
    </row>
    <row r="213" spans="1:31" s="35" customFormat="1">
      <c r="A213" s="34" t="s">
        <v>376</v>
      </c>
      <c r="B213" s="34"/>
      <c r="C213" s="34" t="s">
        <v>29</v>
      </c>
      <c r="D213" s="34"/>
      <c r="E213" s="34">
        <v>44032</v>
      </c>
      <c r="G213" s="8">
        <v>16912535</v>
      </c>
      <c r="H213" s="8"/>
      <c r="I213" s="8">
        <v>643453</v>
      </c>
      <c r="J213" s="8"/>
      <c r="K213" s="3">
        <f t="shared" si="23"/>
        <v>29964113</v>
      </c>
      <c r="L213" s="8"/>
      <c r="M213" s="8">
        <v>47520101</v>
      </c>
      <c r="N213" s="8"/>
      <c r="O213" s="3">
        <f t="shared" si="24"/>
        <v>9885319</v>
      </c>
      <c r="P213" s="8"/>
      <c r="Q213" s="8">
        <v>5470490</v>
      </c>
      <c r="R213" s="8"/>
      <c r="S213" s="8">
        <v>15355809</v>
      </c>
      <c r="T213" s="8"/>
      <c r="U213" s="8">
        <f>17346590+58994+126589+709820+127467+643453</f>
        <v>19012913</v>
      </c>
      <c r="V213" s="8"/>
      <c r="W213" s="8">
        <v>0</v>
      </c>
      <c r="X213" s="8"/>
      <c r="Y213" s="8">
        <f>-1310050+788797+13672632</f>
        <v>13151379</v>
      </c>
      <c r="Z213" s="8"/>
      <c r="AA213" s="14">
        <f t="shared" si="21"/>
        <v>32164292</v>
      </c>
      <c r="AB213" s="8"/>
      <c r="AC213" s="8">
        <f t="shared" si="22"/>
        <v>0</v>
      </c>
    </row>
    <row r="214" spans="1:31">
      <c r="A214" s="13" t="s">
        <v>696</v>
      </c>
      <c r="B214" s="13"/>
      <c r="C214" s="13" t="s">
        <v>65</v>
      </c>
      <c r="D214" s="13"/>
      <c r="E214" s="32">
        <v>50278</v>
      </c>
      <c r="G214" s="8">
        <v>4613084</v>
      </c>
      <c r="I214" s="8">
        <v>54953</v>
      </c>
      <c r="K214" s="3">
        <f t="shared" si="23"/>
        <v>5621087</v>
      </c>
      <c r="M214" s="8">
        <v>10289124</v>
      </c>
      <c r="O214" s="3">
        <f t="shared" si="24"/>
        <v>6486299</v>
      </c>
      <c r="Q214" s="8">
        <v>271045</v>
      </c>
      <c r="S214" s="8">
        <v>6757344</v>
      </c>
      <c r="U214" s="8">
        <f>83761+3983+397378+347078+54953</f>
        <v>887153</v>
      </c>
      <c r="W214" s="8">
        <v>0</v>
      </c>
      <c r="Y214" s="8">
        <f>2530159+128410-13942</f>
        <v>2644627</v>
      </c>
      <c r="AA214" s="14">
        <f t="shared" si="21"/>
        <v>3531780</v>
      </c>
      <c r="AC214" s="8">
        <f t="shared" si="22"/>
        <v>0</v>
      </c>
    </row>
    <row r="215" spans="1:31">
      <c r="A215" s="12" t="s">
        <v>980</v>
      </c>
      <c r="B215" s="13"/>
      <c r="C215" s="13" t="s">
        <v>20</v>
      </c>
      <c r="D215" s="13"/>
      <c r="E215" s="32">
        <v>44040</v>
      </c>
      <c r="G215" s="8">
        <v>4904045</v>
      </c>
      <c r="I215" s="8">
        <v>0</v>
      </c>
      <c r="K215" s="3">
        <f t="shared" si="23"/>
        <v>23684816</v>
      </c>
      <c r="M215" s="8">
        <v>28588861</v>
      </c>
      <c r="O215" s="3">
        <f t="shared" si="24"/>
        <v>6590243</v>
      </c>
      <c r="Q215" s="8">
        <v>14073025</v>
      </c>
      <c r="S215" s="8">
        <v>20663268</v>
      </c>
      <c r="U215" s="8">
        <f>1165007+3403981+418752+500000</f>
        <v>5487740</v>
      </c>
      <c r="W215" s="8">
        <v>0</v>
      </c>
      <c r="Y215" s="8">
        <f>3628827+964184+137452-2292610</f>
        <v>2437853</v>
      </c>
      <c r="AA215" s="14">
        <f t="shared" si="21"/>
        <v>7925593</v>
      </c>
      <c r="AC215" s="8">
        <f t="shared" si="22"/>
        <v>0</v>
      </c>
      <c r="AE215" s="8" t="s">
        <v>956</v>
      </c>
    </row>
    <row r="216" spans="1:31">
      <c r="A216" s="12" t="s">
        <v>888</v>
      </c>
      <c r="B216" s="13"/>
      <c r="C216" s="13" t="s">
        <v>12</v>
      </c>
      <c r="D216" s="13"/>
      <c r="E216" s="32">
        <v>44057</v>
      </c>
      <c r="G216" s="8">
        <v>6265547</v>
      </c>
      <c r="I216" s="8">
        <v>358077</v>
      </c>
      <c r="K216" s="3">
        <f t="shared" si="23"/>
        <v>21455537</v>
      </c>
      <c r="M216" s="8">
        <v>28079161</v>
      </c>
      <c r="O216" s="3">
        <f t="shared" si="24"/>
        <v>4124886</v>
      </c>
      <c r="Q216" s="8">
        <v>5065722</v>
      </c>
      <c r="S216" s="8">
        <v>9190608</v>
      </c>
      <c r="U216" s="8">
        <f>24970041+3633970+358077</f>
        <v>28962088</v>
      </c>
      <c r="W216" s="8">
        <v>0</v>
      </c>
      <c r="Y216" s="8">
        <f>442846+1807530-1062511-11261400</f>
        <v>-10073535</v>
      </c>
      <c r="AA216" s="14">
        <f t="shared" si="21"/>
        <v>18888553</v>
      </c>
      <c r="AC216" s="8">
        <f t="shared" si="22"/>
        <v>0</v>
      </c>
    </row>
    <row r="217" spans="1:31">
      <c r="A217" s="13" t="s">
        <v>573</v>
      </c>
      <c r="B217" s="13"/>
      <c r="C217" s="13" t="s">
        <v>53</v>
      </c>
      <c r="D217" s="13"/>
      <c r="E217" s="32">
        <v>48942</v>
      </c>
      <c r="G217" s="8">
        <v>8909804</v>
      </c>
      <c r="I217" s="8">
        <v>44853</v>
      </c>
      <c r="K217" s="3">
        <f t="shared" si="23"/>
        <v>16528289</v>
      </c>
      <c r="M217" s="8">
        <v>25482946</v>
      </c>
      <c r="O217" s="3">
        <f t="shared" si="24"/>
        <v>4958930</v>
      </c>
      <c r="Q217" s="8">
        <v>12239860</v>
      </c>
      <c r="S217" s="8">
        <v>17198790</v>
      </c>
      <c r="U217" s="8">
        <f>835851+23263+15021+638736+1425028+44853+13164</f>
        <v>2995916</v>
      </c>
      <c r="W217" s="8">
        <v>420290</v>
      </c>
      <c r="Y217" s="8">
        <f>117725+5141949-391724</f>
        <v>4867950</v>
      </c>
      <c r="AA217" s="14">
        <f t="shared" si="21"/>
        <v>8284156</v>
      </c>
      <c r="AC217" s="8">
        <f t="shared" si="22"/>
        <v>0</v>
      </c>
    </row>
    <row r="218" spans="1:31" hidden="1">
      <c r="A218" s="12" t="s">
        <v>940</v>
      </c>
      <c r="B218" s="13"/>
      <c r="C218" s="13" t="s">
        <v>77</v>
      </c>
      <c r="D218" s="13"/>
      <c r="E218" s="32">
        <v>45377</v>
      </c>
      <c r="G218" s="8">
        <v>1340818</v>
      </c>
      <c r="I218" s="8">
        <v>9608</v>
      </c>
      <c r="K218" s="3">
        <f t="shared" si="23"/>
        <v>0</v>
      </c>
      <c r="M218" s="8">
        <v>1350426</v>
      </c>
      <c r="O218" s="3">
        <f t="shared" si="24"/>
        <v>0</v>
      </c>
      <c r="U218" s="8">
        <f>107526+5814+3794</f>
        <v>117134</v>
      </c>
      <c r="W218" s="8">
        <v>0</v>
      </c>
      <c r="Y218" s="8">
        <f>726945+208218+145011+153118</f>
        <v>1233292</v>
      </c>
      <c r="AA218" s="14">
        <f t="shared" si="21"/>
        <v>1350426</v>
      </c>
      <c r="AC218" s="8">
        <f t="shared" si="22"/>
        <v>0</v>
      </c>
    </row>
    <row r="219" spans="1:31">
      <c r="A219" s="13" t="s">
        <v>624</v>
      </c>
      <c r="B219" s="13"/>
      <c r="C219" s="13" t="s">
        <v>79</v>
      </c>
      <c r="D219" s="13"/>
      <c r="E219" s="13">
        <v>45385</v>
      </c>
      <c r="G219" s="8">
        <v>4386653</v>
      </c>
      <c r="I219" s="8">
        <v>271944</v>
      </c>
      <c r="K219" s="3">
        <f t="shared" si="23"/>
        <v>2684540</v>
      </c>
      <c r="M219" s="8">
        <v>7343137</v>
      </c>
      <c r="O219" s="3">
        <f t="shared" si="24"/>
        <v>3253179</v>
      </c>
      <c r="Q219" s="8">
        <v>166033</v>
      </c>
      <c r="S219" s="8">
        <v>3419212</v>
      </c>
      <c r="U219" s="8">
        <f>77015+8086+11656+305078+190546+29274+52124</f>
        <v>673779</v>
      </c>
      <c r="W219" s="8">
        <v>0</v>
      </c>
      <c r="Y219" s="8">
        <f>1445835+236005+1097220+471086</f>
        <v>3250146</v>
      </c>
      <c r="AA219" s="14">
        <f t="shared" si="21"/>
        <v>3923925</v>
      </c>
      <c r="AC219" s="8">
        <f t="shared" si="22"/>
        <v>0</v>
      </c>
    </row>
    <row r="220" spans="1:31">
      <c r="A220" s="13" t="s">
        <v>679</v>
      </c>
      <c r="B220" s="13"/>
      <c r="C220" s="13" t="s">
        <v>64</v>
      </c>
      <c r="D220" s="13"/>
      <c r="E220" s="32">
        <v>44065</v>
      </c>
      <c r="G220" s="8">
        <v>26010814</v>
      </c>
      <c r="I220" s="8">
        <v>423105</v>
      </c>
      <c r="K220" s="3">
        <f t="shared" si="23"/>
        <v>13440893</v>
      </c>
      <c r="M220" s="8">
        <v>39874812</v>
      </c>
      <c r="O220" s="3">
        <f t="shared" si="24"/>
        <v>6864877</v>
      </c>
      <c r="Q220" s="8">
        <v>8255355</v>
      </c>
      <c r="S220" s="8">
        <v>15120232</v>
      </c>
      <c r="U220" s="8">
        <f>19151456+7555+22843+19309+225443+304173+23367+95565</f>
        <v>19849711</v>
      </c>
      <c r="W220" s="8">
        <v>0</v>
      </c>
      <c r="Y220" s="8">
        <f>3934650+304943+665276</f>
        <v>4904869</v>
      </c>
      <c r="AA220" s="14">
        <f t="shared" si="21"/>
        <v>24754580</v>
      </c>
      <c r="AC220" s="8">
        <f t="shared" si="22"/>
        <v>0</v>
      </c>
    </row>
    <row r="221" spans="1:31" hidden="1">
      <c r="A221" s="12" t="s">
        <v>1030</v>
      </c>
      <c r="B221" s="13"/>
      <c r="C221" s="13" t="s">
        <v>28</v>
      </c>
      <c r="D221" s="13"/>
      <c r="E221" s="32">
        <v>47068</v>
      </c>
      <c r="K221" s="3">
        <f t="shared" si="23"/>
        <v>0</v>
      </c>
      <c r="O221" s="3">
        <f t="shared" si="24"/>
        <v>0</v>
      </c>
      <c r="W221" s="8">
        <v>0</v>
      </c>
      <c r="AA221" s="14">
        <f t="shared" si="21"/>
        <v>0</v>
      </c>
      <c r="AC221" s="8">
        <f t="shared" si="22"/>
        <v>0</v>
      </c>
      <c r="AE221" s="15" t="s">
        <v>973</v>
      </c>
    </row>
    <row r="222" spans="1:31">
      <c r="A222" s="13" t="s">
        <v>269</v>
      </c>
      <c r="B222" s="13"/>
      <c r="C222" s="13" t="s">
        <v>115</v>
      </c>
      <c r="D222" s="13"/>
      <c r="E222" s="32">
        <v>46342</v>
      </c>
      <c r="G222" s="8">
        <v>5967688</v>
      </c>
      <c r="I222" s="8">
        <v>2132</v>
      </c>
      <c r="K222" s="3">
        <f t="shared" si="23"/>
        <v>9268003</v>
      </c>
      <c r="M222" s="8">
        <v>15237823</v>
      </c>
      <c r="O222" s="3">
        <f t="shared" si="24"/>
        <v>3230357</v>
      </c>
      <c r="Q222" s="8">
        <v>7288875</v>
      </c>
      <c r="S222" s="8">
        <v>10519232</v>
      </c>
      <c r="U222" s="8">
        <f>28009+449115+2132</f>
        <v>479256</v>
      </c>
      <c r="W222" s="8">
        <v>0</v>
      </c>
      <c r="Y222" s="8">
        <f>2075458+115379+1288377+760121</f>
        <v>4239335</v>
      </c>
      <c r="AA222" s="14">
        <f t="shared" si="21"/>
        <v>4718591</v>
      </c>
      <c r="AC222" s="8">
        <f t="shared" si="22"/>
        <v>0</v>
      </c>
    </row>
    <row r="223" spans="1:31">
      <c r="A223" s="13"/>
      <c r="B223" s="13"/>
      <c r="C223" s="13"/>
      <c r="D223" s="13"/>
      <c r="E223" s="32"/>
      <c r="K223" s="3"/>
      <c r="O223" s="3"/>
      <c r="AA223" s="14"/>
    </row>
    <row r="224" spans="1:31">
      <c r="A224" s="13"/>
      <c r="B224" s="13"/>
      <c r="C224" s="13"/>
      <c r="D224" s="13"/>
      <c r="E224" s="32"/>
      <c r="K224" s="3"/>
      <c r="O224" s="3"/>
      <c r="AA224" s="134" t="s">
        <v>805</v>
      </c>
    </row>
    <row r="225" spans="1:31">
      <c r="A225" s="13"/>
      <c r="B225" s="13"/>
      <c r="C225" s="13"/>
      <c r="D225" s="13"/>
      <c r="E225" s="32"/>
      <c r="K225" s="3"/>
      <c r="O225" s="3"/>
      <c r="AA225" s="14"/>
    </row>
    <row r="226" spans="1:31">
      <c r="A226" s="13" t="s">
        <v>254</v>
      </c>
      <c r="B226" s="13"/>
      <c r="C226" s="13" t="s">
        <v>255</v>
      </c>
      <c r="D226" s="13"/>
      <c r="E226" s="32">
        <v>46193</v>
      </c>
      <c r="G226" s="35">
        <f>986435+1014857+213945+7909586+93890</f>
        <v>10218713</v>
      </c>
      <c r="H226" s="35"/>
      <c r="I226" s="35">
        <v>0</v>
      </c>
      <c r="J226" s="35"/>
      <c r="K226" s="42">
        <f t="shared" si="23"/>
        <v>17081084</v>
      </c>
      <c r="L226" s="35"/>
      <c r="M226" s="35">
        <f>5196840+2107320+446133+18468616+1080888</f>
        <v>27299797</v>
      </c>
      <c r="N226" s="35"/>
      <c r="O226" s="42">
        <f t="shared" si="24"/>
        <v>18913915</v>
      </c>
      <c r="P226" s="35"/>
      <c r="Q226" s="35">
        <v>0</v>
      </c>
      <c r="R226" s="35"/>
      <c r="S226" s="35">
        <f>4860135+710463+152388+12965391+225538</f>
        <v>18913915</v>
      </c>
      <c r="T226" s="35"/>
      <c r="U226" s="35">
        <f>62076+1472200+382000+81800+11823435+37413+11428+29900</f>
        <v>13900252</v>
      </c>
      <c r="V226" s="35"/>
      <c r="W226" s="35">
        <v>0</v>
      </c>
      <c r="X226" s="35"/>
      <c r="Y226" s="35">
        <f>-1197571+1014857+211945-6320210+776609</f>
        <v>-5514370</v>
      </c>
      <c r="Z226" s="35"/>
      <c r="AA226" s="64">
        <f t="shared" si="21"/>
        <v>8385882</v>
      </c>
      <c r="AC226" s="8">
        <f t="shared" si="22"/>
        <v>0</v>
      </c>
    </row>
    <row r="227" spans="1:31">
      <c r="A227" s="13" t="s">
        <v>220</v>
      </c>
      <c r="B227" s="13"/>
      <c r="C227" s="13" t="s">
        <v>12</v>
      </c>
      <c r="D227" s="13"/>
      <c r="E227" s="13">
        <v>45864</v>
      </c>
      <c r="G227" s="8">
        <v>11217909</v>
      </c>
      <c r="I227" s="8">
        <v>0</v>
      </c>
      <c r="K227" s="3">
        <f t="shared" si="23"/>
        <v>5616174</v>
      </c>
      <c r="M227" s="8">
        <v>16834083</v>
      </c>
      <c r="O227" s="3">
        <f t="shared" si="24"/>
        <v>1663227</v>
      </c>
      <c r="Q227" s="8">
        <v>3553719</v>
      </c>
      <c r="S227" s="8">
        <v>5216946</v>
      </c>
      <c r="U227" s="8">
        <f>150989+1906706</f>
        <v>2057695</v>
      </c>
      <c r="W227" s="8">
        <v>0</v>
      </c>
      <c r="Y227" s="8">
        <f>570117+501647+1793409+6694269</f>
        <v>9559442</v>
      </c>
      <c r="AA227" s="14">
        <f t="shared" si="21"/>
        <v>11617137</v>
      </c>
      <c r="AC227" s="8">
        <f t="shared" si="22"/>
        <v>0</v>
      </c>
    </row>
    <row r="228" spans="1:31">
      <c r="A228" s="13" t="s">
        <v>357</v>
      </c>
      <c r="B228" s="13"/>
      <c r="C228" s="13" t="s">
        <v>27</v>
      </c>
      <c r="D228" s="13"/>
      <c r="E228" s="32">
        <v>44073</v>
      </c>
      <c r="G228" s="8">
        <v>7749162</v>
      </c>
      <c r="I228" s="8">
        <v>68902</v>
      </c>
      <c r="K228" s="3">
        <f t="shared" ref="K228:K296" si="25">M228-G228-I228</f>
        <v>10619662</v>
      </c>
      <c r="M228" s="8">
        <v>18437726</v>
      </c>
      <c r="O228" s="3">
        <f t="shared" ref="O228:O296" si="26">S228-Q228</f>
        <v>2351369</v>
      </c>
      <c r="Q228" s="8">
        <f>6926314+5843+10075</f>
        <v>6942232</v>
      </c>
      <c r="S228" s="8">
        <v>9293601</v>
      </c>
      <c r="U228" s="8">
        <f>68902+50885+433783+416343</f>
        <v>969913</v>
      </c>
      <c r="W228" s="8">
        <v>0</v>
      </c>
      <c r="Y228" s="8">
        <f>7116446+1233732+67685-243651</f>
        <v>8174212</v>
      </c>
      <c r="AA228" s="14">
        <f t="shared" ref="AA228:AA296" si="27">U228+W228+Y228</f>
        <v>9144125</v>
      </c>
      <c r="AC228" s="8">
        <f t="shared" ref="AC228:AC296" si="28">+G228+I228+K228-O228-Q228-Y228-W228-U228</f>
        <v>0</v>
      </c>
    </row>
    <row r="229" spans="1:31">
      <c r="A229" s="12" t="s">
        <v>942</v>
      </c>
      <c r="B229" s="13"/>
      <c r="C229" s="13" t="s">
        <v>42</v>
      </c>
      <c r="D229" s="13"/>
      <c r="E229" s="32">
        <v>45393</v>
      </c>
      <c r="G229" s="8">
        <v>9050708</v>
      </c>
      <c r="I229" s="8">
        <v>0</v>
      </c>
      <c r="K229" s="3">
        <f t="shared" si="25"/>
        <v>20564171</v>
      </c>
      <c r="M229" s="8">
        <v>29614879</v>
      </c>
      <c r="O229" s="3">
        <f t="shared" si="26"/>
        <v>4993704</v>
      </c>
      <c r="Q229" s="8">
        <v>16395566</v>
      </c>
      <c r="S229" s="8">
        <v>21389270</v>
      </c>
      <c r="U229" s="8">
        <f>1037699+27682+929000</f>
        <v>1994381</v>
      </c>
      <c r="W229" s="8">
        <v>0</v>
      </c>
      <c r="Y229" s="8">
        <f>4303983+305614+2924501-1302870</f>
        <v>6231228</v>
      </c>
      <c r="AA229" s="14">
        <f t="shared" si="27"/>
        <v>8225609</v>
      </c>
      <c r="AC229" s="8">
        <f t="shared" si="28"/>
        <v>0</v>
      </c>
    </row>
    <row r="230" spans="1:31">
      <c r="A230" s="13" t="s">
        <v>628</v>
      </c>
      <c r="B230" s="13"/>
      <c r="C230" s="13" t="s">
        <v>59</v>
      </c>
      <c r="D230" s="13"/>
      <c r="E230" s="32">
        <v>49619</v>
      </c>
      <c r="G230" s="8">
        <v>740221</v>
      </c>
      <c r="I230" s="8">
        <v>311721</v>
      </c>
      <c r="K230" s="3">
        <f t="shared" si="25"/>
        <v>1540669</v>
      </c>
      <c r="M230" s="8">
        <v>2592611</v>
      </c>
      <c r="O230" s="3">
        <f t="shared" si="26"/>
        <v>778650</v>
      </c>
      <c r="Q230" s="8">
        <v>1367761</v>
      </c>
      <c r="S230" s="8">
        <v>2146411</v>
      </c>
      <c r="U230" s="8">
        <f>313767+100665+139988+171733</f>
        <v>726153</v>
      </c>
      <c r="W230" s="8">
        <v>0</v>
      </c>
      <c r="Y230" s="8">
        <f>140549-420502</f>
        <v>-279953</v>
      </c>
      <c r="AA230" s="14">
        <f t="shared" si="27"/>
        <v>446200</v>
      </c>
      <c r="AC230" s="8">
        <f t="shared" si="28"/>
        <v>0</v>
      </c>
    </row>
    <row r="231" spans="1:31">
      <c r="A231" s="13" t="s">
        <v>628</v>
      </c>
      <c r="B231" s="13"/>
      <c r="C231" s="13" t="s">
        <v>63</v>
      </c>
      <c r="D231" s="13"/>
      <c r="E231" s="32">
        <v>50013</v>
      </c>
      <c r="G231" s="8">
        <v>2992249</v>
      </c>
      <c r="I231" s="8">
        <v>0</v>
      </c>
      <c r="K231" s="3">
        <f t="shared" si="25"/>
        <v>20312987</v>
      </c>
      <c r="M231" s="8">
        <v>23305236</v>
      </c>
      <c r="O231" s="3">
        <f t="shared" si="26"/>
        <v>5577800</v>
      </c>
      <c r="Q231" s="8">
        <v>17205491</v>
      </c>
      <c r="S231" s="8">
        <v>22783291</v>
      </c>
      <c r="U231" s="8">
        <f>303045+2403293+165711+283642</f>
        <v>3155691</v>
      </c>
      <c r="W231" s="8">
        <v>0</v>
      </c>
      <c r="Y231" s="8">
        <f>76527+548317+1197698-4456288</f>
        <v>-2633746</v>
      </c>
      <c r="AA231" s="14">
        <f t="shared" si="27"/>
        <v>521945</v>
      </c>
      <c r="AC231" s="8">
        <f t="shared" si="28"/>
        <v>0</v>
      </c>
    </row>
    <row r="232" spans="1:31">
      <c r="A232" s="13" t="s">
        <v>628</v>
      </c>
      <c r="B232" s="13"/>
      <c r="C232" s="13" t="s">
        <v>71</v>
      </c>
      <c r="D232" s="13"/>
      <c r="E232" s="32">
        <v>50559</v>
      </c>
      <c r="G232" s="8">
        <v>1549109</v>
      </c>
      <c r="I232" s="8">
        <v>0</v>
      </c>
      <c r="K232" s="3">
        <f t="shared" si="25"/>
        <v>5255984</v>
      </c>
      <c r="M232" s="8">
        <v>6805093</v>
      </c>
      <c r="O232" s="3">
        <f t="shared" si="26"/>
        <v>1360603</v>
      </c>
      <c r="Q232" s="8">
        <v>4917339</v>
      </c>
      <c r="S232" s="8">
        <v>6277942</v>
      </c>
      <c r="U232" s="8">
        <f>119444+308000</f>
        <v>427444</v>
      </c>
      <c r="W232" s="8">
        <v>0</v>
      </c>
      <c r="Y232" s="8">
        <f>129031+87938-117262</f>
        <v>99707</v>
      </c>
      <c r="AA232" s="14">
        <f t="shared" si="27"/>
        <v>527151</v>
      </c>
      <c r="AC232" s="8">
        <f t="shared" si="28"/>
        <v>0</v>
      </c>
    </row>
    <row r="233" spans="1:31">
      <c r="A233" s="13" t="s">
        <v>386</v>
      </c>
      <c r="B233" s="13"/>
      <c r="C233" s="13" t="s">
        <v>116</v>
      </c>
      <c r="D233" s="13"/>
      <c r="E233" s="32">
        <v>47266</v>
      </c>
      <c r="G233" s="8">
        <v>5203614</v>
      </c>
      <c r="I233" s="8">
        <v>76238</v>
      </c>
      <c r="K233" s="3">
        <f t="shared" si="25"/>
        <v>4692665</v>
      </c>
      <c r="M233" s="8">
        <v>9972517</v>
      </c>
      <c r="O233" s="3">
        <f t="shared" si="26"/>
        <v>1314069</v>
      </c>
      <c r="Q233" s="8">
        <v>3792374</v>
      </c>
      <c r="S233" s="8">
        <v>5106443</v>
      </c>
      <c r="U233" s="8">
        <f>141397+251826+76238</f>
        <v>469461</v>
      </c>
      <c r="W233" s="8">
        <v>134347</v>
      </c>
      <c r="Y233" s="8">
        <f>3585578+98353+375605+202730</f>
        <v>4262266</v>
      </c>
      <c r="AA233" s="14">
        <f t="shared" si="27"/>
        <v>4866074</v>
      </c>
      <c r="AC233" s="8">
        <f t="shared" si="28"/>
        <v>0</v>
      </c>
    </row>
    <row r="234" spans="1:31">
      <c r="A234" s="13" t="s">
        <v>437</v>
      </c>
      <c r="B234" s="13"/>
      <c r="C234" s="13" t="s">
        <v>435</v>
      </c>
      <c r="D234" s="13"/>
      <c r="E234" s="32">
        <v>45401</v>
      </c>
      <c r="G234" s="8">
        <v>6200186</v>
      </c>
      <c r="I234" s="8">
        <v>0</v>
      </c>
      <c r="K234" s="3">
        <f t="shared" si="25"/>
        <v>8219953</v>
      </c>
      <c r="M234" s="8">
        <v>14420139</v>
      </c>
      <c r="O234" s="3">
        <f t="shared" si="26"/>
        <v>3660974</v>
      </c>
      <c r="Q234" s="8">
        <v>5046191</v>
      </c>
      <c r="S234" s="8">
        <v>8707165</v>
      </c>
      <c r="U234" s="8">
        <f>1168979+235300</f>
        <v>1404279</v>
      </c>
      <c r="W234" s="8">
        <v>0</v>
      </c>
      <c r="Y234" s="8">
        <f>2834009+394710+733146+346830</f>
        <v>4308695</v>
      </c>
      <c r="AA234" s="14">
        <f t="shared" si="27"/>
        <v>5712974</v>
      </c>
      <c r="AC234" s="8">
        <f t="shared" si="28"/>
        <v>0</v>
      </c>
    </row>
    <row r="235" spans="1:31">
      <c r="A235" s="13" t="s">
        <v>261</v>
      </c>
      <c r="B235" s="13"/>
      <c r="C235" s="13" t="s">
        <v>17</v>
      </c>
      <c r="D235" s="13"/>
      <c r="E235" s="32">
        <v>46235</v>
      </c>
      <c r="G235" s="8">
        <v>2331387</v>
      </c>
      <c r="I235" s="8">
        <v>32397</v>
      </c>
      <c r="K235" s="3">
        <f t="shared" si="25"/>
        <v>6623335</v>
      </c>
      <c r="M235" s="8">
        <v>8987119</v>
      </c>
      <c r="O235" s="3">
        <f t="shared" si="26"/>
        <v>1905889</v>
      </c>
      <c r="Q235" s="8">
        <v>3871399</v>
      </c>
      <c r="S235" s="8">
        <v>5777288</v>
      </c>
      <c r="U235" s="8">
        <f>169821+1359803+32397</f>
        <v>1562021</v>
      </c>
      <c r="W235" s="8">
        <v>218555</v>
      </c>
      <c r="Y235" s="8">
        <f>564715+158200+706340</f>
        <v>1429255</v>
      </c>
      <c r="AA235" s="14">
        <f t="shared" si="27"/>
        <v>3209831</v>
      </c>
      <c r="AC235" s="8">
        <f t="shared" si="28"/>
        <v>0</v>
      </c>
    </row>
    <row r="236" spans="1:31">
      <c r="A236" s="13" t="s">
        <v>327</v>
      </c>
      <c r="B236" s="13"/>
      <c r="C236" s="13" t="s">
        <v>21</v>
      </c>
      <c r="D236" s="13"/>
      <c r="E236" s="32">
        <v>44099</v>
      </c>
      <c r="G236" s="8">
        <v>8285714</v>
      </c>
      <c r="I236" s="8">
        <v>109938</v>
      </c>
      <c r="K236" s="3">
        <f t="shared" si="25"/>
        <v>11102607</v>
      </c>
      <c r="M236" s="8">
        <v>19498259</v>
      </c>
      <c r="O236" s="3">
        <f t="shared" si="26"/>
        <v>4034662</v>
      </c>
      <c r="Q236" s="8">
        <v>9000996</v>
      </c>
      <c r="S236" s="8">
        <v>13035658</v>
      </c>
      <c r="U236" s="8">
        <f>249868+1024427+10328+99610</f>
        <v>1384233</v>
      </c>
      <c r="W236" s="8">
        <v>407469</v>
      </c>
      <c r="Y236" s="8">
        <f>2414004+832553+2076+1422266</f>
        <v>4670899</v>
      </c>
      <c r="AA236" s="14">
        <f t="shared" si="27"/>
        <v>6462601</v>
      </c>
      <c r="AC236" s="8">
        <f t="shared" si="28"/>
        <v>0</v>
      </c>
    </row>
    <row r="237" spans="1:31">
      <c r="A237" s="13" t="s">
        <v>358</v>
      </c>
      <c r="B237" s="13"/>
      <c r="C237" s="13" t="s">
        <v>27</v>
      </c>
      <c r="D237" s="13"/>
      <c r="E237" s="32">
        <v>46979</v>
      </c>
      <c r="G237" s="8">
        <v>2607683</v>
      </c>
      <c r="I237" s="8">
        <v>0</v>
      </c>
      <c r="K237" s="3">
        <f t="shared" si="25"/>
        <v>29685588</v>
      </c>
      <c r="M237" s="8">
        <v>32293271</v>
      </c>
      <c r="O237" s="3">
        <f t="shared" si="26"/>
        <v>8027221</v>
      </c>
      <c r="Q237" s="8">
        <v>18877179</v>
      </c>
      <c r="S237" s="8">
        <v>26904400</v>
      </c>
      <c r="U237" s="8">
        <f>539733+1862630+266956+9188758</f>
        <v>11858077</v>
      </c>
      <c r="W237" s="8">
        <v>0</v>
      </c>
      <c r="Y237" s="8">
        <f>1679619+1035784-9184609</f>
        <v>-6469206</v>
      </c>
      <c r="AA237" s="14">
        <f t="shared" si="27"/>
        <v>5388871</v>
      </c>
      <c r="AC237" s="8">
        <f t="shared" si="28"/>
        <v>0</v>
      </c>
      <c r="AE237" s="15" t="s">
        <v>905</v>
      </c>
    </row>
    <row r="238" spans="1:31">
      <c r="A238" s="13" t="s">
        <v>244</v>
      </c>
      <c r="B238" s="13"/>
      <c r="C238" s="13" t="s">
        <v>242</v>
      </c>
      <c r="D238" s="13"/>
      <c r="E238" s="32">
        <v>44107</v>
      </c>
      <c r="G238" s="8">
        <v>123888968</v>
      </c>
      <c r="I238" s="8">
        <v>0</v>
      </c>
      <c r="K238" s="3">
        <f t="shared" si="25"/>
        <v>68544373</v>
      </c>
      <c r="M238" s="8">
        <v>192433341</v>
      </c>
      <c r="O238" s="3">
        <f t="shared" si="26"/>
        <v>28531386</v>
      </c>
      <c r="Q238" s="8">
        <v>66187054</v>
      </c>
      <c r="S238" s="8">
        <v>94718440</v>
      </c>
      <c r="U238" s="8">
        <f>64049381+47144+2047+1361540</f>
        <v>65460112</v>
      </c>
      <c r="W238" s="8">
        <v>0</v>
      </c>
      <c r="Y238" s="8">
        <f>31263542+260560+6479839-5749152</f>
        <v>32254789</v>
      </c>
      <c r="AA238" s="14">
        <f t="shared" si="27"/>
        <v>97714901</v>
      </c>
      <c r="AC238" s="8">
        <f t="shared" si="28"/>
        <v>0</v>
      </c>
    </row>
    <row r="239" spans="1:31">
      <c r="A239" s="12" t="s">
        <v>359</v>
      </c>
      <c r="B239" s="13"/>
      <c r="C239" s="13" t="s">
        <v>27</v>
      </c>
      <c r="D239" s="13"/>
      <c r="E239" s="13">
        <v>46953</v>
      </c>
      <c r="G239" s="8">
        <v>14224505</v>
      </c>
      <c r="I239" s="8">
        <v>19878</v>
      </c>
      <c r="K239" s="3">
        <f t="shared" si="25"/>
        <v>9113808</v>
      </c>
      <c r="M239" s="8">
        <v>23358191</v>
      </c>
      <c r="O239" s="3">
        <f t="shared" si="26"/>
        <v>5899257</v>
      </c>
      <c r="Q239" s="8">
        <v>5797918</v>
      </c>
      <c r="S239" s="8">
        <v>11697175</v>
      </c>
      <c r="U239" s="8">
        <f>3504061+14418+19878+2740650</f>
        <v>6279007</v>
      </c>
      <c r="W239" s="8">
        <v>0</v>
      </c>
      <c r="Y239" s="8">
        <f>3112713-316556+803354+1782498</f>
        <v>5382009</v>
      </c>
      <c r="AA239" s="14">
        <f t="shared" si="27"/>
        <v>11661016</v>
      </c>
      <c r="AC239" s="8">
        <f t="shared" si="28"/>
        <v>0</v>
      </c>
    </row>
    <row r="240" spans="1:31">
      <c r="A240" s="13" t="s">
        <v>422</v>
      </c>
      <c r="B240" s="13"/>
      <c r="C240" s="13" t="s">
        <v>421</v>
      </c>
      <c r="D240" s="13"/>
      <c r="E240" s="32">
        <v>47498</v>
      </c>
      <c r="G240" s="8">
        <v>9757577</v>
      </c>
      <c r="I240" s="8">
        <v>191554</v>
      </c>
      <c r="K240" s="3">
        <f t="shared" si="25"/>
        <v>1638644</v>
      </c>
      <c r="M240" s="8">
        <v>11587775</v>
      </c>
      <c r="O240" s="3">
        <f t="shared" si="26"/>
        <v>486693</v>
      </c>
      <c r="Q240" s="8">
        <v>1204872</v>
      </c>
      <c r="S240" s="8">
        <v>1691565</v>
      </c>
      <c r="U240" s="8">
        <f>194146+128122+174238+17316</f>
        <v>513822</v>
      </c>
      <c r="W240" s="8">
        <v>0</v>
      </c>
      <c r="Y240" s="8">
        <f>1735217+51947+114787+7480437</f>
        <v>9382388</v>
      </c>
      <c r="AA240" s="14">
        <f t="shared" si="27"/>
        <v>9896210</v>
      </c>
      <c r="AC240" s="8">
        <f t="shared" si="28"/>
        <v>0</v>
      </c>
    </row>
    <row r="241" spans="1:29">
      <c r="A241" s="13" t="s">
        <v>645</v>
      </c>
      <c r="B241" s="13"/>
      <c r="C241" s="13" t="s">
        <v>61</v>
      </c>
      <c r="D241" s="13"/>
      <c r="E241" s="32">
        <v>49791</v>
      </c>
      <c r="G241" s="8">
        <v>15081746</v>
      </c>
      <c r="I241" s="8">
        <v>64358</v>
      </c>
      <c r="K241" s="3">
        <f t="shared" si="25"/>
        <v>2609867</v>
      </c>
      <c r="M241" s="8">
        <v>17755971</v>
      </c>
      <c r="O241" s="3">
        <f t="shared" si="26"/>
        <v>966061</v>
      </c>
      <c r="Q241" s="8">
        <v>2005539</v>
      </c>
      <c r="S241" s="8">
        <v>2971600</v>
      </c>
      <c r="U241" s="8">
        <f>1192252+194722+64358</f>
        <v>1451332</v>
      </c>
      <c r="W241" s="8">
        <v>38784</v>
      </c>
      <c r="Y241" s="8">
        <f>1056796+145641+308835+11782983</f>
        <v>13294255</v>
      </c>
      <c r="AA241" s="14">
        <f t="shared" si="27"/>
        <v>14784371</v>
      </c>
      <c r="AC241" s="8">
        <f t="shared" si="28"/>
        <v>0</v>
      </c>
    </row>
    <row r="242" spans="1:29">
      <c r="A242" s="13" t="s">
        <v>429</v>
      </c>
      <c r="B242" s="13"/>
      <c r="C242" s="13" t="s">
        <v>428</v>
      </c>
      <c r="D242" s="13"/>
      <c r="E242" s="32">
        <v>45245</v>
      </c>
      <c r="G242" s="8">
        <v>2718368</v>
      </c>
      <c r="I242" s="8">
        <v>742576</v>
      </c>
      <c r="K242" s="3">
        <f t="shared" si="25"/>
        <v>7053238</v>
      </c>
      <c r="M242" s="8">
        <v>10514182</v>
      </c>
      <c r="O242" s="3">
        <f t="shared" si="26"/>
        <v>6013341</v>
      </c>
      <c r="Q242" s="8">
        <v>1160284</v>
      </c>
      <c r="S242" s="8">
        <v>7173625</v>
      </c>
      <c r="U242" s="8">
        <f>611542+145527+53776+602515+73694+612902+55980+6363+289934</f>
        <v>2452233</v>
      </c>
      <c r="W242" s="8">
        <v>78109</v>
      </c>
      <c r="Y242" s="8">
        <f>364263+596878-215458+64532</f>
        <v>810215</v>
      </c>
      <c r="AA242" s="14">
        <f t="shared" si="27"/>
        <v>3340557</v>
      </c>
      <c r="AC242" s="8">
        <f t="shared" si="28"/>
        <v>0</v>
      </c>
    </row>
    <row r="243" spans="1:29">
      <c r="A243" s="13" t="s">
        <v>473</v>
      </c>
      <c r="B243" s="13"/>
      <c r="C243" s="13" t="s">
        <v>42</v>
      </c>
      <c r="D243" s="13"/>
      <c r="E243" s="32">
        <v>44115</v>
      </c>
      <c r="G243" s="8">
        <v>2620711</v>
      </c>
      <c r="I243" s="8">
        <v>1006293</v>
      </c>
      <c r="K243" s="3">
        <f t="shared" si="25"/>
        <v>11247463</v>
      </c>
      <c r="M243" s="8">
        <v>14874467</v>
      </c>
      <c r="O243" s="3">
        <f t="shared" si="26"/>
        <v>1391944</v>
      </c>
      <c r="Q243" s="8">
        <f>8399204+17468</f>
        <v>8416672</v>
      </c>
      <c r="S243" s="8">
        <v>9808616</v>
      </c>
      <c r="U243" s="8">
        <f>206288+32046+15729+797551+455000+1006293</f>
        <v>2512907</v>
      </c>
      <c r="W243" s="8">
        <v>10026</v>
      </c>
      <c r="Y243" s="8">
        <f>1536787+272882+733249</f>
        <v>2542918</v>
      </c>
      <c r="AA243" s="14">
        <f t="shared" si="27"/>
        <v>5065851</v>
      </c>
      <c r="AC243" s="8">
        <f t="shared" si="28"/>
        <v>0</v>
      </c>
    </row>
    <row r="244" spans="1:29" hidden="1">
      <c r="A244" s="12" t="s">
        <v>945</v>
      </c>
      <c r="B244" s="13"/>
      <c r="C244" s="13" t="s">
        <v>22</v>
      </c>
      <c r="D244" s="13"/>
      <c r="E244" s="32">
        <v>45419</v>
      </c>
      <c r="G244" s="8">
        <v>6207251</v>
      </c>
      <c r="K244" s="3">
        <f t="shared" si="25"/>
        <v>0</v>
      </c>
      <c r="M244" s="8">
        <v>6207251</v>
      </c>
      <c r="O244" s="3">
        <f t="shared" si="26"/>
        <v>0</v>
      </c>
      <c r="U244" s="8">
        <v>1189054</v>
      </c>
      <c r="W244" s="8">
        <v>0</v>
      </c>
      <c r="Y244" s="8">
        <f>3501055+139822+237100+1140220</f>
        <v>5018197</v>
      </c>
      <c r="AA244" s="14">
        <f t="shared" si="27"/>
        <v>6207251</v>
      </c>
      <c r="AC244" s="8">
        <f t="shared" si="28"/>
        <v>0</v>
      </c>
    </row>
    <row r="245" spans="1:29">
      <c r="A245" s="13" t="s">
        <v>528</v>
      </c>
      <c r="B245" s="13"/>
      <c r="C245" s="13" t="s">
        <v>47</v>
      </c>
      <c r="D245" s="13"/>
      <c r="E245" s="32">
        <v>48496</v>
      </c>
      <c r="G245" s="8">
        <v>13500545</v>
      </c>
      <c r="I245" s="8">
        <v>0</v>
      </c>
      <c r="K245" s="3">
        <f t="shared" si="25"/>
        <v>20719656</v>
      </c>
      <c r="M245" s="8">
        <v>34220201</v>
      </c>
      <c r="O245" s="3">
        <f t="shared" si="26"/>
        <v>3643759</v>
      </c>
      <c r="Q245" s="8">
        <v>18384101</v>
      </c>
      <c r="S245" s="8">
        <v>22027860</v>
      </c>
      <c r="U245" s="8">
        <f>529975+8000</f>
        <v>537975</v>
      </c>
      <c r="W245" s="8">
        <v>0</v>
      </c>
      <c r="Y245" s="8">
        <f>7304207+400804+3288081+661274</f>
        <v>11654366</v>
      </c>
      <c r="AA245" s="14">
        <f t="shared" si="27"/>
        <v>12192341</v>
      </c>
      <c r="AC245" s="8">
        <f t="shared" si="28"/>
        <v>0</v>
      </c>
    </row>
    <row r="246" spans="1:29">
      <c r="A246" s="13" t="s">
        <v>528</v>
      </c>
      <c r="B246" s="13"/>
      <c r="C246" s="13" t="s">
        <v>78</v>
      </c>
      <c r="D246" s="13"/>
      <c r="E246" s="32">
        <v>48801</v>
      </c>
      <c r="G246" s="8">
        <v>25483094</v>
      </c>
      <c r="I246" s="8">
        <v>701789</v>
      </c>
      <c r="K246" s="3">
        <f t="shared" si="25"/>
        <v>34401084</v>
      </c>
      <c r="M246" s="8">
        <v>60585967</v>
      </c>
      <c r="O246" s="3">
        <f t="shared" si="26"/>
        <v>2442338</v>
      </c>
      <c r="Q246" s="8">
        <v>32795966</v>
      </c>
      <c r="S246" s="8">
        <v>35238304</v>
      </c>
      <c r="U246" s="8">
        <f>889900+699619+2170+1540954</f>
        <v>3132643</v>
      </c>
      <c r="V246" s="8" t="s">
        <v>764</v>
      </c>
      <c r="W246" s="8">
        <v>350000</v>
      </c>
      <c r="Y246" s="8">
        <f>1077517+577492+287679+19922332</f>
        <v>21865020</v>
      </c>
      <c r="AA246" s="14">
        <f t="shared" si="27"/>
        <v>25347663</v>
      </c>
      <c r="AC246" s="8">
        <f t="shared" si="28"/>
        <v>0</v>
      </c>
    </row>
    <row r="247" spans="1:29">
      <c r="A247" s="13" t="s">
        <v>360</v>
      </c>
      <c r="B247" s="13"/>
      <c r="C247" s="13" t="s">
        <v>27</v>
      </c>
      <c r="D247" s="13"/>
      <c r="E247" s="32">
        <v>47019</v>
      </c>
      <c r="G247" s="8">
        <v>35693594</v>
      </c>
      <c r="I247" s="8">
        <v>0</v>
      </c>
      <c r="K247" s="3">
        <f t="shared" si="25"/>
        <v>120687753</v>
      </c>
      <c r="M247" s="8">
        <v>156381347</v>
      </c>
      <c r="O247" s="3">
        <f t="shared" si="26"/>
        <v>30684984</v>
      </c>
      <c r="Q247" s="8">
        <v>74151850</v>
      </c>
      <c r="S247" s="8">
        <v>104836834</v>
      </c>
      <c r="U247" s="8">
        <v>4859867</v>
      </c>
      <c r="W247" s="8">
        <v>45875038</v>
      </c>
      <c r="Y247" s="8">
        <f>2123150+6301952-2324017-5291477</f>
        <v>809608</v>
      </c>
      <c r="AA247" s="14">
        <f t="shared" si="27"/>
        <v>51544513</v>
      </c>
      <c r="AC247" s="8">
        <f t="shared" si="28"/>
        <v>0</v>
      </c>
    </row>
    <row r="248" spans="1:29">
      <c r="A248" s="13" t="s">
        <v>438</v>
      </c>
      <c r="B248" s="13"/>
      <c r="C248" s="13" t="s">
        <v>435</v>
      </c>
      <c r="D248" s="13"/>
      <c r="E248" s="32">
        <v>44123</v>
      </c>
      <c r="G248" s="8">
        <v>12669853</v>
      </c>
      <c r="I248" s="8">
        <v>0</v>
      </c>
      <c r="K248" s="3">
        <f t="shared" si="25"/>
        <v>18207662</v>
      </c>
      <c r="M248" s="8">
        <v>30877515</v>
      </c>
      <c r="O248" s="3">
        <f t="shared" si="26"/>
        <v>4963080</v>
      </c>
      <c r="Q248" s="8">
        <v>15819463</v>
      </c>
      <c r="S248" s="8">
        <v>20782543</v>
      </c>
      <c r="U248" s="8">
        <f>1919366+1108+354838+75952</f>
        <v>2351264</v>
      </c>
      <c r="W248" s="8">
        <v>0</v>
      </c>
      <c r="Y248" s="8">
        <f>2555558+711596+1065031+3411523</f>
        <v>7743708</v>
      </c>
      <c r="AA248" s="14">
        <f t="shared" si="27"/>
        <v>10094972</v>
      </c>
      <c r="AC248" s="8">
        <f t="shared" si="28"/>
        <v>0</v>
      </c>
    </row>
    <row r="249" spans="1:29">
      <c r="A249" s="13" t="s">
        <v>214</v>
      </c>
      <c r="B249" s="13"/>
      <c r="C249" s="13" t="s">
        <v>11</v>
      </c>
      <c r="D249" s="13"/>
      <c r="E249" s="32">
        <v>45823</v>
      </c>
      <c r="G249" s="8">
        <v>1707788</v>
      </c>
      <c r="I249" s="8">
        <v>0</v>
      </c>
      <c r="K249" s="3">
        <f t="shared" si="25"/>
        <v>4401611</v>
      </c>
      <c r="M249" s="8">
        <v>6109399</v>
      </c>
      <c r="O249" s="3">
        <f t="shared" si="26"/>
        <v>4014957</v>
      </c>
      <c r="Q249" s="8">
        <v>282787</v>
      </c>
      <c r="S249" s="8">
        <v>4297744</v>
      </c>
      <c r="U249" s="8">
        <f>175615+16183+1147296+108231</f>
        <v>1447325</v>
      </c>
      <c r="W249" s="8">
        <v>0</v>
      </c>
      <c r="Y249" s="8">
        <f>253669+42243+68418</f>
        <v>364330</v>
      </c>
      <c r="AA249" s="14">
        <f t="shared" si="27"/>
        <v>1811655</v>
      </c>
      <c r="AC249" s="8">
        <f t="shared" si="28"/>
        <v>0</v>
      </c>
    </row>
    <row r="250" spans="1:29">
      <c r="A250" s="13" t="s">
        <v>430</v>
      </c>
      <c r="B250" s="13"/>
      <c r="C250" s="13" t="s">
        <v>34</v>
      </c>
      <c r="D250" s="13"/>
      <c r="E250" s="32">
        <v>47571</v>
      </c>
      <c r="G250" s="8">
        <v>3026743</v>
      </c>
      <c r="I250" s="8">
        <v>37226</v>
      </c>
      <c r="K250" s="3">
        <f t="shared" si="25"/>
        <v>1735147</v>
      </c>
      <c r="M250" s="8">
        <v>4799116</v>
      </c>
      <c r="O250" s="3">
        <f t="shared" si="26"/>
        <v>502180</v>
      </c>
      <c r="Q250" s="8">
        <v>1417521</v>
      </c>
      <c r="S250" s="8">
        <v>1919701</v>
      </c>
      <c r="U250" s="8">
        <f>71562+32799+4427+27116</f>
        <v>135904</v>
      </c>
      <c r="W250" s="8">
        <v>0</v>
      </c>
      <c r="Y250" s="8">
        <f>1770436+245677+183566+543832</f>
        <v>2743511</v>
      </c>
      <c r="AA250" s="14">
        <f t="shared" si="27"/>
        <v>2879415</v>
      </c>
      <c r="AC250" s="8">
        <f t="shared" si="28"/>
        <v>0</v>
      </c>
    </row>
    <row r="251" spans="1:29">
      <c r="A251" s="13" t="s">
        <v>680</v>
      </c>
      <c r="B251" s="13"/>
      <c r="C251" s="13" t="s">
        <v>64</v>
      </c>
      <c r="D251" s="13"/>
      <c r="E251" s="32">
        <v>50161</v>
      </c>
      <c r="G251" s="8">
        <v>2324657</v>
      </c>
      <c r="I251" s="8">
        <v>4487</v>
      </c>
      <c r="K251" s="3">
        <f t="shared" si="25"/>
        <v>19738528</v>
      </c>
      <c r="M251" s="8">
        <v>22067672</v>
      </c>
      <c r="O251" s="3">
        <f t="shared" si="26"/>
        <v>20109288</v>
      </c>
      <c r="Q251" s="8">
        <v>3333060</v>
      </c>
      <c r="S251" s="8">
        <v>23442348</v>
      </c>
      <c r="U251" s="8">
        <f>154476+82525+35545+79929+373+4487</f>
        <v>357335</v>
      </c>
      <c r="W251" s="8">
        <v>0</v>
      </c>
      <c r="Y251" s="8">
        <f>-2343676+221773+389892</f>
        <v>-1732011</v>
      </c>
      <c r="AA251" s="14">
        <f t="shared" si="27"/>
        <v>-1374676</v>
      </c>
      <c r="AC251" s="8">
        <f t="shared" si="28"/>
        <v>0</v>
      </c>
    </row>
    <row r="252" spans="1:29">
      <c r="A252" s="13" t="s">
        <v>681</v>
      </c>
      <c r="B252" s="13"/>
      <c r="C252" s="13" t="s">
        <v>64</v>
      </c>
      <c r="D252" s="13"/>
      <c r="E252" s="32">
        <v>45427</v>
      </c>
      <c r="G252" s="8">
        <v>37741619</v>
      </c>
      <c r="I252" s="8">
        <v>384815</v>
      </c>
      <c r="K252" s="3">
        <f t="shared" si="25"/>
        <v>27957938</v>
      </c>
      <c r="M252" s="8">
        <v>66084372</v>
      </c>
      <c r="O252" s="3">
        <f t="shared" si="26"/>
        <v>2707728</v>
      </c>
      <c r="Q252" s="8">
        <v>27580767</v>
      </c>
      <c r="S252" s="8">
        <v>30288495</v>
      </c>
      <c r="U252" s="8">
        <f>22272144+317920+66895+24498+32803</f>
        <v>22714260</v>
      </c>
      <c r="W252" s="8">
        <v>0</v>
      </c>
      <c r="Y252" s="8">
        <f>4816697+596209+433466+7235245</f>
        <v>13081617</v>
      </c>
      <c r="AA252" s="14">
        <f t="shared" si="27"/>
        <v>35795877</v>
      </c>
      <c r="AC252" s="8">
        <f t="shared" si="28"/>
        <v>0</v>
      </c>
    </row>
    <row r="253" spans="1:29">
      <c r="A253" s="13" t="s">
        <v>547</v>
      </c>
      <c r="B253" s="13"/>
      <c r="C253" s="13" t="s">
        <v>50</v>
      </c>
      <c r="D253" s="13"/>
      <c r="E253" s="32">
        <v>48751</v>
      </c>
      <c r="G253" s="8">
        <v>24603095</v>
      </c>
      <c r="I253" s="8">
        <f>1601617+35058</f>
        <v>1636675</v>
      </c>
      <c r="K253" s="3">
        <f t="shared" si="25"/>
        <v>204190720</v>
      </c>
      <c r="M253" s="8">
        <v>230430490</v>
      </c>
      <c r="O253" s="3">
        <f t="shared" si="26"/>
        <v>91207688</v>
      </c>
      <c r="Q253" s="8">
        <f>29749790+80796842</f>
        <v>110546632</v>
      </c>
      <c r="S253" s="8">
        <v>201754320</v>
      </c>
      <c r="U253" s="8">
        <f>2299193+518236+1730605+1601617+21405+13653</f>
        <v>6184709</v>
      </c>
      <c r="W253" s="8">
        <v>0</v>
      </c>
      <c r="Y253" s="8">
        <f>18627578-475674+1507289+2832268</f>
        <v>22491461</v>
      </c>
      <c r="AA253" s="14">
        <f t="shared" si="27"/>
        <v>28676170</v>
      </c>
      <c r="AC253" s="8">
        <f t="shared" si="28"/>
        <v>0</v>
      </c>
    </row>
    <row r="254" spans="1:29">
      <c r="A254" s="13" t="s">
        <v>666</v>
      </c>
      <c r="B254" s="13"/>
      <c r="C254" s="13" t="s">
        <v>63</v>
      </c>
      <c r="D254" s="13"/>
      <c r="E254" s="32">
        <v>50021</v>
      </c>
      <c r="G254" s="8">
        <v>20845855</v>
      </c>
      <c r="I254" s="8">
        <v>141643</v>
      </c>
      <c r="K254" s="3">
        <f t="shared" si="25"/>
        <v>41166437</v>
      </c>
      <c r="M254" s="8">
        <v>62153935</v>
      </c>
      <c r="O254" s="3">
        <f t="shared" si="26"/>
        <v>43325035</v>
      </c>
      <c r="Q254" s="8">
        <v>1856202</v>
      </c>
      <c r="S254" s="8">
        <v>45181237</v>
      </c>
      <c r="U254" s="8">
        <f>1953296+58961+3437968+3905234+141643</f>
        <v>9497102</v>
      </c>
      <c r="W254" s="8">
        <v>0</v>
      </c>
      <c r="Y254" s="8">
        <f>7467190+643950-635544</f>
        <v>7475596</v>
      </c>
      <c r="AA254" s="14">
        <f t="shared" si="27"/>
        <v>16972698</v>
      </c>
      <c r="AC254" s="8">
        <f t="shared" si="28"/>
        <v>0</v>
      </c>
    </row>
    <row r="255" spans="1:29">
      <c r="A255" s="13" t="s">
        <v>618</v>
      </c>
      <c r="B255" s="13"/>
      <c r="C255" s="13" t="s">
        <v>58</v>
      </c>
      <c r="D255" s="13"/>
      <c r="E255" s="32">
        <v>49502</v>
      </c>
      <c r="G255" s="8">
        <v>5541617</v>
      </c>
      <c r="I255" s="8">
        <v>577983</v>
      </c>
      <c r="K255" s="3">
        <f t="shared" si="25"/>
        <v>1563700</v>
      </c>
      <c r="M255" s="8">
        <v>7683300</v>
      </c>
      <c r="O255" s="3">
        <f t="shared" si="26"/>
        <v>1426195</v>
      </c>
      <c r="Q255" s="8">
        <v>1304501</v>
      </c>
      <c r="S255" s="8">
        <v>2730696</v>
      </c>
      <c r="U255" s="8">
        <f>54183+123858+9827+393993+185302+688</f>
        <v>767851</v>
      </c>
      <c r="W255" s="8">
        <v>0</v>
      </c>
      <c r="Y255" s="8">
        <f>3699618+348865+136238+32</f>
        <v>4184753</v>
      </c>
      <c r="AA255" s="14">
        <f t="shared" si="27"/>
        <v>4952604</v>
      </c>
      <c r="AC255" s="8">
        <f t="shared" si="28"/>
        <v>0</v>
      </c>
    </row>
    <row r="256" spans="1:29">
      <c r="A256" s="13" t="s">
        <v>337</v>
      </c>
      <c r="B256" s="13"/>
      <c r="C256" s="13" t="s">
        <v>24</v>
      </c>
      <c r="D256" s="13"/>
      <c r="E256" s="32">
        <v>44131</v>
      </c>
      <c r="G256" s="8">
        <v>7533357</v>
      </c>
      <c r="I256" s="8">
        <v>26629</v>
      </c>
      <c r="K256" s="3">
        <f t="shared" si="25"/>
        <v>10874518</v>
      </c>
      <c r="M256" s="8">
        <v>18434504</v>
      </c>
      <c r="O256" s="3">
        <f t="shared" si="26"/>
        <v>10567624</v>
      </c>
      <c r="Q256" s="8">
        <v>624684</v>
      </c>
      <c r="S256" s="8">
        <v>11192308</v>
      </c>
      <c r="U256" s="8">
        <f>626334+9079+2060+1417517+310145+26629</f>
        <v>2391764</v>
      </c>
      <c r="W256" s="8">
        <v>0</v>
      </c>
      <c r="Y256" s="8">
        <f>4584017+177026+89389</f>
        <v>4850432</v>
      </c>
      <c r="AA256" s="14">
        <f t="shared" si="27"/>
        <v>7242196</v>
      </c>
      <c r="AC256" s="8">
        <f t="shared" si="28"/>
        <v>0</v>
      </c>
    </row>
    <row r="257" spans="1:31">
      <c r="A257" s="13" t="s">
        <v>309</v>
      </c>
      <c r="B257" s="13"/>
      <c r="C257" s="13" t="s">
        <v>20</v>
      </c>
      <c r="D257" s="13"/>
      <c r="E257" s="32">
        <v>46565</v>
      </c>
      <c r="G257" s="8">
        <v>2163290</v>
      </c>
      <c r="I257" s="8">
        <v>0</v>
      </c>
      <c r="K257" s="3">
        <f t="shared" si="25"/>
        <v>17352266</v>
      </c>
      <c r="M257" s="8">
        <v>19515556</v>
      </c>
      <c r="O257" s="3">
        <f t="shared" si="26"/>
        <v>3251294</v>
      </c>
      <c r="Q257" s="8">
        <v>14060831</v>
      </c>
      <c r="S257" s="8">
        <v>17312125</v>
      </c>
      <c r="U257" s="8">
        <f>62891+2030840</f>
        <v>2093731</v>
      </c>
      <c r="W257" s="8">
        <v>0</v>
      </c>
      <c r="Y257" s="8">
        <f>1486133-356992-15085-1004356</f>
        <v>109700</v>
      </c>
      <c r="AA257" s="14">
        <f t="shared" si="27"/>
        <v>2203431</v>
      </c>
      <c r="AC257" s="8">
        <f t="shared" si="28"/>
        <v>0</v>
      </c>
    </row>
    <row r="258" spans="1:31">
      <c r="A258" s="13" t="s">
        <v>451</v>
      </c>
      <c r="B258" s="13"/>
      <c r="C258" s="13" t="s">
        <v>39</v>
      </c>
      <c r="D258" s="13"/>
      <c r="E258" s="32">
        <v>47803</v>
      </c>
      <c r="G258" s="8">
        <v>13980809</v>
      </c>
      <c r="I258" s="8">
        <v>69324</v>
      </c>
      <c r="K258" s="3">
        <f t="shared" si="25"/>
        <v>9799721</v>
      </c>
      <c r="M258" s="8">
        <v>23849854</v>
      </c>
      <c r="O258" s="3">
        <f t="shared" si="26"/>
        <v>3520979</v>
      </c>
      <c r="Q258" s="8">
        <v>8884246</v>
      </c>
      <c r="S258" s="8">
        <v>12405225</v>
      </c>
      <c r="U258" s="8">
        <f>602789+648909+69324</f>
        <v>1321022</v>
      </c>
      <c r="W258" s="8">
        <v>0</v>
      </c>
      <c r="Y258" s="8">
        <f>-1759702+344661+368776+11169872</f>
        <v>10123607</v>
      </c>
      <c r="AA258" s="14">
        <f t="shared" si="27"/>
        <v>11444629</v>
      </c>
      <c r="AC258" s="8">
        <f t="shared" si="28"/>
        <v>0</v>
      </c>
    </row>
    <row r="259" spans="1:31">
      <c r="A259" s="13" t="s">
        <v>395</v>
      </c>
      <c r="B259" s="13"/>
      <c r="C259" s="13" t="s">
        <v>32</v>
      </c>
      <c r="D259" s="13"/>
      <c r="E259" s="32">
        <v>45435</v>
      </c>
      <c r="G259" s="8">
        <v>23387857</v>
      </c>
      <c r="I259" s="8">
        <v>27576</v>
      </c>
      <c r="K259" s="3">
        <f t="shared" si="25"/>
        <v>31040160</v>
      </c>
      <c r="M259" s="8">
        <v>54455593</v>
      </c>
      <c r="O259" s="3">
        <f t="shared" si="26"/>
        <v>20815154</v>
      </c>
      <c r="Q259" s="8">
        <v>576953</v>
      </c>
      <c r="S259" s="8">
        <v>21392107</v>
      </c>
      <c r="U259" s="8">
        <f>206452+9836+11193000+1588+1216716+27576</f>
        <v>12655168</v>
      </c>
      <c r="W259" s="8">
        <v>0</v>
      </c>
      <c r="Y259" s="8">
        <f>20123808+258556+25954</f>
        <v>20408318</v>
      </c>
      <c r="AA259" s="14">
        <f t="shared" si="27"/>
        <v>33063486</v>
      </c>
      <c r="AC259" s="8">
        <f t="shared" si="28"/>
        <v>0</v>
      </c>
    </row>
    <row r="260" spans="1:31" hidden="1">
      <c r="A260" s="12" t="s">
        <v>947</v>
      </c>
      <c r="B260" s="12"/>
      <c r="C260" s="12" t="s">
        <v>43</v>
      </c>
      <c r="D260" s="13"/>
      <c r="E260" s="32"/>
      <c r="G260" s="8">
        <v>12145396</v>
      </c>
      <c r="K260" s="3">
        <f t="shared" si="25"/>
        <v>982470</v>
      </c>
      <c r="M260" s="8">
        <v>13127866</v>
      </c>
      <c r="O260" s="3">
        <f t="shared" si="26"/>
        <v>0</v>
      </c>
      <c r="U260" s="8">
        <f>4468851+1060089</f>
        <v>5528940</v>
      </c>
      <c r="W260" s="8">
        <f>594665+1400041</f>
        <v>1994706</v>
      </c>
      <c r="Y260" s="8">
        <f>3121745+237277+2245198</f>
        <v>5604220</v>
      </c>
      <c r="AA260" s="14">
        <f t="shared" si="27"/>
        <v>13127866</v>
      </c>
      <c r="AC260" s="8">
        <f t="shared" si="28"/>
        <v>0</v>
      </c>
    </row>
    <row r="261" spans="1:31">
      <c r="A261" s="13" t="s">
        <v>697</v>
      </c>
      <c r="B261" s="13"/>
      <c r="C261" s="13" t="s">
        <v>65</v>
      </c>
      <c r="D261" s="13"/>
      <c r="E261" s="32">
        <v>50286</v>
      </c>
      <c r="G261" s="8">
        <v>4499349</v>
      </c>
      <c r="I261" s="8">
        <v>0</v>
      </c>
      <c r="K261" s="3">
        <f t="shared" si="25"/>
        <v>5310630</v>
      </c>
      <c r="M261" s="8">
        <v>9809979</v>
      </c>
      <c r="O261" s="3">
        <f t="shared" si="26"/>
        <v>2843173</v>
      </c>
      <c r="Q261" s="8">
        <v>4797836</v>
      </c>
      <c r="S261" s="8">
        <v>7641009</v>
      </c>
      <c r="U261" s="8">
        <f>77519+46456+338712</f>
        <v>462687</v>
      </c>
      <c r="W261" s="8">
        <v>0</v>
      </c>
      <c r="Y261" s="8">
        <f>168538+330613+1066365+140767</f>
        <v>1706283</v>
      </c>
      <c r="AA261" s="14">
        <f t="shared" si="27"/>
        <v>2168970</v>
      </c>
      <c r="AC261" s="8">
        <f t="shared" si="28"/>
        <v>0</v>
      </c>
    </row>
    <row r="262" spans="1:31">
      <c r="A262" s="13" t="s">
        <v>469</v>
      </c>
      <c r="B262" s="13"/>
      <c r="C262" s="13" t="s">
        <v>466</v>
      </c>
      <c r="D262" s="13"/>
      <c r="E262" s="32">
        <v>44149</v>
      </c>
      <c r="G262" s="8">
        <v>3678493</v>
      </c>
      <c r="I262" s="8">
        <f>1004997+1057918+804406</f>
        <v>2867321</v>
      </c>
      <c r="K262" s="3">
        <f t="shared" si="25"/>
        <v>19531654</v>
      </c>
      <c r="M262" s="8">
        <v>26077468</v>
      </c>
      <c r="O262" s="3">
        <f t="shared" si="26"/>
        <v>8593299</v>
      </c>
      <c r="Q262" s="8">
        <v>7236295</v>
      </c>
      <c r="S262" s="8">
        <v>15829594</v>
      </c>
      <c r="U262" s="8">
        <f>1004050+577584+965209+35379+4409</f>
        <v>2586631</v>
      </c>
      <c r="W262" s="8">
        <v>0</v>
      </c>
      <c r="Y262" s="8">
        <f>27292-439839+397486+7676304</f>
        <v>7661243</v>
      </c>
      <c r="AA262" s="14">
        <f t="shared" si="27"/>
        <v>10247874</v>
      </c>
      <c r="AC262" s="8">
        <f t="shared" si="28"/>
        <v>0</v>
      </c>
    </row>
    <row r="263" spans="1:31" hidden="1">
      <c r="A263" s="12" t="s">
        <v>948</v>
      </c>
      <c r="B263" s="13"/>
      <c r="C263" s="13" t="s">
        <v>61</v>
      </c>
      <c r="D263" s="13"/>
      <c r="E263" s="32">
        <v>49809</v>
      </c>
      <c r="G263" s="8">
        <v>915516</v>
      </c>
      <c r="K263" s="3">
        <f t="shared" si="25"/>
        <v>0</v>
      </c>
      <c r="M263" s="8">
        <v>915516</v>
      </c>
      <c r="O263" s="3">
        <f t="shared" si="26"/>
        <v>0</v>
      </c>
      <c r="U263" s="8">
        <f>63335+119125</f>
        <v>182460</v>
      </c>
      <c r="W263" s="8">
        <v>0</v>
      </c>
      <c r="Y263" s="8">
        <f>689594+41452+2010</f>
        <v>733056</v>
      </c>
      <c r="AA263" s="14">
        <f t="shared" si="27"/>
        <v>915516</v>
      </c>
      <c r="AC263" s="8">
        <f t="shared" si="28"/>
        <v>0</v>
      </c>
    </row>
    <row r="264" spans="1:31" hidden="1">
      <c r="A264" s="12" t="s">
        <v>982</v>
      </c>
      <c r="B264" s="13"/>
      <c r="C264" s="13" t="s">
        <v>38</v>
      </c>
      <c r="D264" s="13"/>
      <c r="E264" s="32"/>
      <c r="G264" s="8">
        <v>12285246</v>
      </c>
      <c r="K264" s="3">
        <f t="shared" si="25"/>
        <v>0</v>
      </c>
      <c r="M264" s="8">
        <v>12285246</v>
      </c>
      <c r="O264" s="3">
        <f t="shared" si="26"/>
        <v>0</v>
      </c>
      <c r="U264" s="8">
        <v>643860</v>
      </c>
      <c r="W264" s="8">
        <v>0</v>
      </c>
      <c r="Y264" s="8">
        <f>1797146+3371933+320696+2458369+3693242</f>
        <v>11641386</v>
      </c>
      <c r="AA264" s="14">
        <f t="shared" si="27"/>
        <v>12285246</v>
      </c>
      <c r="AC264" s="8">
        <f t="shared" si="28"/>
        <v>0</v>
      </c>
      <c r="AE264" s="8" t="s">
        <v>956</v>
      </c>
    </row>
    <row r="265" spans="1:31">
      <c r="A265" s="13" t="s">
        <v>652</v>
      </c>
      <c r="B265" s="13"/>
      <c r="C265" s="13" t="s">
        <v>62</v>
      </c>
      <c r="D265" s="13"/>
      <c r="E265" s="32">
        <v>49858</v>
      </c>
      <c r="G265" s="8">
        <v>16773677</v>
      </c>
      <c r="I265" s="8">
        <v>0</v>
      </c>
      <c r="K265" s="3">
        <f t="shared" si="25"/>
        <v>43452891</v>
      </c>
      <c r="M265" s="8">
        <v>60226568</v>
      </c>
      <c r="O265" s="3">
        <f t="shared" si="26"/>
        <v>46403590</v>
      </c>
      <c r="Q265" s="8">
        <v>1782581</v>
      </c>
      <c r="S265" s="8">
        <v>48186171</v>
      </c>
      <c r="U265" s="8">
        <f>1055028+136373+35650+2050756+5705333</f>
        <v>8983140</v>
      </c>
      <c r="W265" s="8">
        <v>0</v>
      </c>
      <c r="Y265" s="8">
        <f>1420076+508362+1128819</f>
        <v>3057257</v>
      </c>
      <c r="AA265" s="14">
        <f t="shared" si="27"/>
        <v>12040397</v>
      </c>
      <c r="AC265" s="8">
        <f t="shared" si="28"/>
        <v>0</v>
      </c>
    </row>
    <row r="266" spans="1:31">
      <c r="A266" s="13" t="s">
        <v>512</v>
      </c>
      <c r="B266" s="13"/>
      <c r="C266" s="13" t="s">
        <v>45</v>
      </c>
      <c r="D266" s="13"/>
      <c r="E266" s="32">
        <v>48322</v>
      </c>
      <c r="G266" s="8">
        <v>4917952</v>
      </c>
      <c r="I266" s="8">
        <v>32441</v>
      </c>
      <c r="K266" s="3">
        <f t="shared" si="25"/>
        <v>6837896</v>
      </c>
      <c r="M266" s="8">
        <v>11788289</v>
      </c>
      <c r="O266" s="3">
        <f t="shared" si="26"/>
        <v>6557621</v>
      </c>
      <c r="Q266" s="8">
        <v>343702</v>
      </c>
      <c r="S266" s="8">
        <v>6901323</v>
      </c>
      <c r="U266" s="8">
        <f>1011342+5870+12535+32441</f>
        <v>1062188</v>
      </c>
      <c r="W266" s="8">
        <v>0</v>
      </c>
      <c r="Y266" s="8">
        <f>1798545+318846+1707387</f>
        <v>3824778</v>
      </c>
      <c r="AA266" s="14">
        <f t="shared" si="27"/>
        <v>4886966</v>
      </c>
      <c r="AC266" s="8">
        <f t="shared" si="28"/>
        <v>0</v>
      </c>
    </row>
    <row r="267" spans="1:31">
      <c r="A267" s="13" t="s">
        <v>591</v>
      </c>
      <c r="B267" s="13"/>
      <c r="C267" s="13" t="s">
        <v>56</v>
      </c>
      <c r="D267" s="13"/>
      <c r="E267" s="13">
        <v>49205</v>
      </c>
      <c r="G267" s="8">
        <v>2808738</v>
      </c>
      <c r="I267" s="8">
        <v>118832</v>
      </c>
      <c r="K267" s="3">
        <f t="shared" si="25"/>
        <v>5010651</v>
      </c>
      <c r="M267" s="8">
        <v>7938221</v>
      </c>
      <c r="O267" s="3">
        <f t="shared" si="26"/>
        <v>5699455</v>
      </c>
      <c r="Q267" s="8">
        <v>442183</v>
      </c>
      <c r="S267" s="8">
        <v>6141638</v>
      </c>
      <c r="U267" s="8">
        <f>114513+18573+38628+410095+50662+68170</f>
        <v>700641</v>
      </c>
      <c r="W267" s="8">
        <v>0</v>
      </c>
      <c r="Y267" s="8">
        <f>891882-30604+234664</f>
        <v>1095942</v>
      </c>
      <c r="AA267" s="14">
        <f t="shared" si="27"/>
        <v>1796583</v>
      </c>
      <c r="AC267" s="8">
        <f t="shared" si="28"/>
        <v>0</v>
      </c>
    </row>
    <row r="268" spans="1:31">
      <c r="A268" s="12" t="s">
        <v>984</v>
      </c>
      <c r="B268" s="13"/>
      <c r="C268" s="13" t="s">
        <v>12</v>
      </c>
      <c r="D268" s="13"/>
      <c r="E268" s="32">
        <v>45872</v>
      </c>
      <c r="G268" s="8">
        <v>19334627</v>
      </c>
      <c r="I268" s="8">
        <v>1180388</v>
      </c>
      <c r="K268" s="3">
        <f t="shared" si="25"/>
        <v>8421410</v>
      </c>
      <c r="M268" s="8">
        <v>28936425</v>
      </c>
      <c r="O268" s="3">
        <f t="shared" si="26"/>
        <v>4022893</v>
      </c>
      <c r="Q268" s="8">
        <v>4644180</v>
      </c>
      <c r="S268" s="8">
        <v>8667073</v>
      </c>
      <c r="U268" s="8">
        <f>11478466+1178466+1922+3629020</f>
        <v>16287874</v>
      </c>
      <c r="W268" s="8">
        <v>1043</v>
      </c>
      <c r="Y268" s="8">
        <f>648881+750348+2614458+196-33448</f>
        <v>3980435</v>
      </c>
      <c r="AA268" s="14">
        <f t="shared" si="27"/>
        <v>20269352</v>
      </c>
      <c r="AC268" s="8">
        <f t="shared" si="28"/>
        <v>0</v>
      </c>
      <c r="AE268" s="8" t="s">
        <v>956</v>
      </c>
    </row>
    <row r="269" spans="1:31">
      <c r="A269" s="13" t="s">
        <v>504</v>
      </c>
      <c r="B269" s="13"/>
      <c r="C269" s="13" t="s">
        <v>505</v>
      </c>
      <c r="D269" s="13"/>
      <c r="E269" s="32">
        <v>48256</v>
      </c>
      <c r="G269" s="8">
        <v>7569591</v>
      </c>
      <c r="I269" s="8">
        <v>3880</v>
      </c>
      <c r="K269" s="3">
        <f t="shared" si="25"/>
        <v>5953715</v>
      </c>
      <c r="M269" s="8">
        <v>13527186</v>
      </c>
      <c r="O269" s="3">
        <f t="shared" si="26"/>
        <v>4194767</v>
      </c>
      <c r="Q269" s="8">
        <v>155632</v>
      </c>
      <c r="S269" s="8">
        <v>4350399</v>
      </c>
      <c r="U269" s="8">
        <f>207208+4745+44390+2492441+654701+3880</f>
        <v>3407365</v>
      </c>
      <c r="W269" s="8">
        <v>0</v>
      </c>
      <c r="Y269" s="8">
        <f>5145392+367097+256933</f>
        <v>5769422</v>
      </c>
      <c r="AA269" s="14">
        <f t="shared" si="27"/>
        <v>9176787</v>
      </c>
      <c r="AC269" s="8">
        <f t="shared" si="28"/>
        <v>0</v>
      </c>
    </row>
    <row r="270" spans="1:31">
      <c r="A270" s="12" t="s">
        <v>985</v>
      </c>
      <c r="B270" s="13"/>
      <c r="C270" s="13" t="s">
        <v>50</v>
      </c>
      <c r="D270" s="13"/>
      <c r="E270" s="32">
        <v>48686</v>
      </c>
      <c r="G270" s="8">
        <v>1738823</v>
      </c>
      <c r="I270" s="8">
        <v>9948</v>
      </c>
      <c r="K270" s="3">
        <f t="shared" si="25"/>
        <v>3999365</v>
      </c>
      <c r="M270" s="8">
        <v>5748136</v>
      </c>
      <c r="O270" s="3">
        <f t="shared" si="26"/>
        <v>3803054</v>
      </c>
      <c r="Q270" s="8">
        <v>506122</v>
      </c>
      <c r="S270" s="8">
        <v>4309176</v>
      </c>
      <c r="U270" s="8">
        <f>146708+20777+10801+221694+5450+4498+36854</f>
        <v>446782</v>
      </c>
      <c r="W270" s="8">
        <v>0</v>
      </c>
      <c r="Y270" s="8">
        <f>797404+180031+14743</f>
        <v>992178</v>
      </c>
      <c r="AA270" s="14">
        <f t="shared" si="27"/>
        <v>1438960</v>
      </c>
      <c r="AC270" s="8">
        <f t="shared" si="28"/>
        <v>0</v>
      </c>
      <c r="AE270" s="8" t="s">
        <v>956</v>
      </c>
    </row>
    <row r="271" spans="1:31" hidden="1">
      <c r="A271" s="12" t="s">
        <v>949</v>
      </c>
      <c r="B271" s="12"/>
      <c r="C271" s="12" t="s">
        <v>603</v>
      </c>
      <c r="D271" s="13"/>
      <c r="E271" s="32"/>
      <c r="G271" s="8">
        <v>719892</v>
      </c>
      <c r="I271" s="8">
        <v>43003</v>
      </c>
      <c r="K271" s="3">
        <f t="shared" si="25"/>
        <v>0</v>
      </c>
      <c r="M271" s="8">
        <v>762895</v>
      </c>
      <c r="O271" s="3">
        <f t="shared" si="26"/>
        <v>0</v>
      </c>
      <c r="U271" s="8">
        <f>60642+153+41601</f>
        <v>102396</v>
      </c>
      <c r="W271" s="8">
        <v>0</v>
      </c>
      <c r="Y271" s="8">
        <f>254637+104450+16380+285032</f>
        <v>660499</v>
      </c>
      <c r="AA271" s="14">
        <f t="shared" si="27"/>
        <v>762895</v>
      </c>
      <c r="AC271" s="8">
        <f t="shared" si="28"/>
        <v>0</v>
      </c>
    </row>
    <row r="272" spans="1:31">
      <c r="A272" s="13" t="s">
        <v>474</v>
      </c>
      <c r="B272" s="13"/>
      <c r="C272" s="13" t="s">
        <v>42</v>
      </c>
      <c r="D272" s="13"/>
      <c r="E272" s="32">
        <v>47985</v>
      </c>
      <c r="G272" s="8">
        <v>3986544</v>
      </c>
      <c r="I272" s="8">
        <v>150375</v>
      </c>
      <c r="K272" s="3">
        <f t="shared" si="25"/>
        <v>5692601</v>
      </c>
      <c r="M272" s="8">
        <v>9829520</v>
      </c>
      <c r="O272" s="3">
        <f t="shared" si="26"/>
        <v>5416751</v>
      </c>
      <c r="Q272" s="8">
        <v>210838</v>
      </c>
      <c r="S272" s="8">
        <v>5627589</v>
      </c>
      <c r="U272" s="8">
        <f>154689+22212+8269+237900+3162+146420+3955</f>
        <v>576607</v>
      </c>
      <c r="W272" s="8">
        <v>629497</v>
      </c>
      <c r="Y272" s="8">
        <f>2984532+11295</f>
        <v>2995827</v>
      </c>
      <c r="AA272" s="14">
        <f t="shared" si="27"/>
        <v>4201931</v>
      </c>
      <c r="AC272" s="8">
        <f t="shared" si="28"/>
        <v>0</v>
      </c>
    </row>
    <row r="273" spans="1:31">
      <c r="A273" s="13" t="s">
        <v>506</v>
      </c>
      <c r="B273" s="13"/>
      <c r="C273" s="13" t="s">
        <v>505</v>
      </c>
      <c r="D273" s="13"/>
      <c r="E273" s="32">
        <v>48264</v>
      </c>
      <c r="G273" s="8">
        <v>7411446</v>
      </c>
      <c r="I273" s="8">
        <v>44799</v>
      </c>
      <c r="K273" s="3">
        <f t="shared" si="25"/>
        <v>32197511</v>
      </c>
      <c r="M273" s="8">
        <v>39653756</v>
      </c>
      <c r="O273" s="3">
        <f t="shared" si="26"/>
        <v>6846946</v>
      </c>
      <c r="Q273" s="8">
        <v>24974239</v>
      </c>
      <c r="S273" s="8">
        <v>31821185</v>
      </c>
      <c r="U273" s="8">
        <f>1620540+8778+1728747+44799+1555755</f>
        <v>4958619</v>
      </c>
      <c r="W273" s="8">
        <v>0</v>
      </c>
      <c r="Y273" s="8">
        <f>1006386+349266+1518300</f>
        <v>2873952</v>
      </c>
      <c r="AA273" s="14">
        <f t="shared" si="27"/>
        <v>7832571</v>
      </c>
      <c r="AC273" s="8">
        <f t="shared" si="28"/>
        <v>0</v>
      </c>
    </row>
    <row r="274" spans="1:31">
      <c r="A274" s="13" t="s">
        <v>682</v>
      </c>
      <c r="B274" s="13"/>
      <c r="C274" s="13" t="s">
        <v>64</v>
      </c>
      <c r="D274" s="13"/>
      <c r="E274" s="32">
        <v>50179</v>
      </c>
      <c r="G274" s="8">
        <v>2944559</v>
      </c>
      <c r="I274" s="8">
        <v>82175</v>
      </c>
      <c r="K274" s="3">
        <f t="shared" si="25"/>
        <v>3974607</v>
      </c>
      <c r="M274" s="8">
        <v>7001341</v>
      </c>
      <c r="O274" s="3">
        <f t="shared" si="26"/>
        <v>877792</v>
      </c>
      <c r="Q274" s="8">
        <v>3919127</v>
      </c>
      <c r="S274" s="8">
        <v>4796919</v>
      </c>
      <c r="U274" s="8">
        <f>29893+18915+46350+33356+2469</f>
        <v>130983</v>
      </c>
      <c r="W274" s="8">
        <v>0</v>
      </c>
      <c r="Y274" s="8">
        <f>1156822+14946+195180+706491</f>
        <v>2073439</v>
      </c>
      <c r="AA274" s="14">
        <f t="shared" si="27"/>
        <v>2204422</v>
      </c>
      <c r="AC274" s="8">
        <f t="shared" si="28"/>
        <v>0</v>
      </c>
    </row>
    <row r="275" spans="1:31">
      <c r="A275" s="13" t="s">
        <v>338</v>
      </c>
      <c r="B275" s="13"/>
      <c r="C275" s="13" t="s">
        <v>24</v>
      </c>
      <c r="D275" s="13"/>
      <c r="E275" s="32">
        <v>46797</v>
      </c>
      <c r="G275" s="8">
        <v>440929</v>
      </c>
      <c r="I275" s="8">
        <v>0</v>
      </c>
      <c r="K275" s="3">
        <f t="shared" si="25"/>
        <v>1034136</v>
      </c>
      <c r="M275" s="8">
        <v>1475065</v>
      </c>
      <c r="O275" s="3">
        <f t="shared" si="26"/>
        <v>916358</v>
      </c>
      <c r="Q275" s="8">
        <v>33799</v>
      </c>
      <c r="S275" s="8">
        <v>950157</v>
      </c>
      <c r="U275" s="8">
        <f>19190+5071+165603</f>
        <v>189864</v>
      </c>
      <c r="W275" s="8">
        <v>0</v>
      </c>
      <c r="Y275" s="8">
        <f>302773-2+6572+25701</f>
        <v>335044</v>
      </c>
      <c r="AA275" s="14">
        <f t="shared" si="27"/>
        <v>524908</v>
      </c>
      <c r="AC275" s="8">
        <f t="shared" si="28"/>
        <v>0</v>
      </c>
    </row>
    <row r="276" spans="1:31">
      <c r="A276" s="13" t="s">
        <v>380</v>
      </c>
      <c r="B276" s="13"/>
      <c r="C276" s="13" t="s">
        <v>30</v>
      </c>
      <c r="D276" s="13"/>
      <c r="E276" s="32">
        <v>47191</v>
      </c>
      <c r="G276" s="8">
        <v>14405225</v>
      </c>
      <c r="I276" s="8">
        <v>1005</v>
      </c>
      <c r="K276" s="3">
        <f t="shared" si="25"/>
        <v>27398462</v>
      </c>
      <c r="M276" s="8">
        <v>41804692</v>
      </c>
      <c r="O276" s="3">
        <f t="shared" si="26"/>
        <v>4633919</v>
      </c>
      <c r="Q276" s="8">
        <v>22561649</v>
      </c>
      <c r="S276" s="8">
        <v>27195568</v>
      </c>
      <c r="U276" s="8">
        <f>2701909+1005+3841400</f>
        <v>6544314</v>
      </c>
      <c r="W276" s="8">
        <v>0</v>
      </c>
      <c r="Y276" s="8">
        <f>3268386+403011+4491186-97773</f>
        <v>8064810</v>
      </c>
      <c r="AA276" s="14">
        <f t="shared" si="27"/>
        <v>14609124</v>
      </c>
      <c r="AC276" s="8">
        <f t="shared" si="28"/>
        <v>0</v>
      </c>
    </row>
    <row r="277" spans="1:31">
      <c r="A277" s="13" t="s">
        <v>592</v>
      </c>
      <c r="B277" s="13"/>
      <c r="C277" s="13" t="s">
        <v>56</v>
      </c>
      <c r="D277" s="13"/>
      <c r="E277" s="13">
        <v>44164</v>
      </c>
      <c r="G277" s="8">
        <v>18078628</v>
      </c>
      <c r="I277" s="8">
        <v>0</v>
      </c>
      <c r="K277" s="3">
        <f t="shared" si="25"/>
        <v>23800961</v>
      </c>
      <c r="M277" s="8">
        <v>41879589</v>
      </c>
      <c r="O277" s="3">
        <f t="shared" si="26"/>
        <v>5644283</v>
      </c>
      <c r="Q277" s="8">
        <v>21234572</v>
      </c>
      <c r="S277" s="8">
        <v>26878855</v>
      </c>
      <c r="U277" s="8">
        <f>683913+129781+2221258</f>
        <v>3034952</v>
      </c>
      <c r="W277" s="8">
        <v>0</v>
      </c>
      <c r="Y277" s="8">
        <f>10369495+575610+666975+353702</f>
        <v>11965782</v>
      </c>
      <c r="AA277" s="14">
        <f t="shared" si="27"/>
        <v>15000734</v>
      </c>
      <c r="AC277" s="8">
        <f t="shared" si="28"/>
        <v>0</v>
      </c>
    </row>
    <row r="278" spans="1:31">
      <c r="A278" s="13" t="s">
        <v>423</v>
      </c>
      <c r="B278" s="13"/>
      <c r="C278" s="13" t="s">
        <v>421</v>
      </c>
      <c r="D278" s="13"/>
      <c r="E278" s="32">
        <v>44172</v>
      </c>
      <c r="G278" s="8">
        <v>3654659</v>
      </c>
      <c r="I278" s="8">
        <v>84678</v>
      </c>
      <c r="K278" s="3">
        <f t="shared" si="25"/>
        <v>4659151</v>
      </c>
      <c r="M278" s="8">
        <v>8398488</v>
      </c>
      <c r="O278" s="3">
        <f t="shared" si="26"/>
        <v>2435130</v>
      </c>
      <c r="Q278" s="8">
        <v>3314751</v>
      </c>
      <c r="S278" s="8">
        <v>5749881</v>
      </c>
      <c r="U278" s="8">
        <f>386025+68364+16314+253350</f>
        <v>724053</v>
      </c>
      <c r="W278" s="8">
        <v>0</v>
      </c>
      <c r="Y278" s="8">
        <f>1789810+134744</f>
        <v>1924554</v>
      </c>
      <c r="AA278" s="14">
        <f t="shared" si="27"/>
        <v>2648607</v>
      </c>
      <c r="AC278" s="8">
        <f t="shared" si="28"/>
        <v>0</v>
      </c>
    </row>
    <row r="279" spans="1:31">
      <c r="A279" s="13" t="s">
        <v>549</v>
      </c>
      <c r="B279" s="13"/>
      <c r="C279" s="13" t="s">
        <v>50</v>
      </c>
      <c r="D279" s="13"/>
      <c r="E279" s="32">
        <v>44180</v>
      </c>
      <c r="G279" s="8">
        <v>11205425</v>
      </c>
      <c r="I279" s="8">
        <v>12801</v>
      </c>
      <c r="K279" s="3">
        <f t="shared" si="25"/>
        <v>66670608</v>
      </c>
      <c r="M279" s="8">
        <v>77888834</v>
      </c>
      <c r="O279" s="3">
        <f t="shared" si="26"/>
        <v>11570705</v>
      </c>
      <c r="Q279" s="8">
        <v>52243384</v>
      </c>
      <c r="S279" s="8">
        <v>63814089</v>
      </c>
      <c r="U279" s="8">
        <f>862645+320079+3444890+12801</f>
        <v>4640415</v>
      </c>
      <c r="W279" s="8">
        <v>0</v>
      </c>
      <c r="Y279" s="8">
        <f>5797826+2309582+1070848+253203+2871</f>
        <v>9434330</v>
      </c>
      <c r="AA279" s="14">
        <f t="shared" si="27"/>
        <v>14074745</v>
      </c>
      <c r="AC279" s="8">
        <f t="shared" si="28"/>
        <v>0</v>
      </c>
    </row>
    <row r="280" spans="1:31">
      <c r="A280" s="13" t="s">
        <v>489</v>
      </c>
      <c r="B280" s="13"/>
      <c r="C280" s="13" t="s">
        <v>44</v>
      </c>
      <c r="D280" s="13"/>
      <c r="E280" s="32">
        <v>48165</v>
      </c>
      <c r="G280" s="8">
        <v>8422889</v>
      </c>
      <c r="I280" s="8">
        <v>0</v>
      </c>
      <c r="K280" s="3">
        <f t="shared" si="25"/>
        <v>6946887</v>
      </c>
      <c r="M280" s="8">
        <v>15369776</v>
      </c>
      <c r="O280" s="3">
        <f t="shared" si="26"/>
        <v>7696589</v>
      </c>
      <c r="Q280" s="8">
        <v>462364</v>
      </c>
      <c r="S280" s="8">
        <v>8158953</v>
      </c>
      <c r="U280" s="8">
        <f>380726+7459+384155+10784+1119239</f>
        <v>1902363</v>
      </c>
      <c r="W280" s="8">
        <v>0</v>
      </c>
      <c r="Y280" s="8">
        <f>4111347+335012+862101</f>
        <v>5308460</v>
      </c>
      <c r="AA280" s="14">
        <f t="shared" si="27"/>
        <v>7210823</v>
      </c>
      <c r="AC280" s="8">
        <f t="shared" si="28"/>
        <v>0</v>
      </c>
    </row>
    <row r="281" spans="1:31">
      <c r="A281" s="13" t="s">
        <v>710</v>
      </c>
      <c r="B281" s="13"/>
      <c r="C281" s="13" t="s">
        <v>69</v>
      </c>
      <c r="D281" s="13"/>
      <c r="E281" s="32">
        <v>50435</v>
      </c>
      <c r="G281" s="8">
        <v>22388715</v>
      </c>
      <c r="I281" s="8">
        <v>0</v>
      </c>
      <c r="K281" s="3">
        <f t="shared" si="25"/>
        <v>26746500</v>
      </c>
      <c r="M281" s="8">
        <v>49135215</v>
      </c>
      <c r="O281" s="3">
        <f t="shared" si="26"/>
        <v>5862755</v>
      </c>
      <c r="Q281" s="8">
        <v>23851260</v>
      </c>
      <c r="S281" s="8">
        <v>29714015</v>
      </c>
      <c r="U281" s="8">
        <f>2331780+2105830</f>
        <v>4437610</v>
      </c>
      <c r="W281" s="8">
        <v>0</v>
      </c>
      <c r="Y281" s="8">
        <f>6076401+254518+3771317+4881354</f>
        <v>14983590</v>
      </c>
      <c r="AA281" s="14">
        <f t="shared" si="27"/>
        <v>19421200</v>
      </c>
      <c r="AC281" s="8">
        <f t="shared" si="28"/>
        <v>0</v>
      </c>
    </row>
    <row r="282" spans="1:31" hidden="1">
      <c r="A282" s="12" t="s">
        <v>1021</v>
      </c>
      <c r="B282" s="13"/>
      <c r="C282" s="13" t="s">
        <v>41</v>
      </c>
      <c r="D282" s="13"/>
      <c r="E282" s="32">
        <v>47878</v>
      </c>
      <c r="G282" s="8">
        <v>11324094</v>
      </c>
      <c r="I282" s="8">
        <v>273364</v>
      </c>
      <c r="K282" s="3">
        <f t="shared" si="25"/>
        <v>0</v>
      </c>
      <c r="M282" s="8">
        <v>11597458</v>
      </c>
      <c r="O282" s="3">
        <f t="shared" si="26"/>
        <v>0</v>
      </c>
      <c r="U282" s="8">
        <f>1490540+218248+55116</f>
        <v>1763904</v>
      </c>
      <c r="W282" s="8">
        <v>0</v>
      </c>
      <c r="Y282" s="8">
        <f>8286212+152644+374308+1020390</f>
        <v>9833554</v>
      </c>
      <c r="AA282" s="14">
        <f t="shared" si="27"/>
        <v>11597458</v>
      </c>
      <c r="AC282" s="8">
        <f t="shared" si="28"/>
        <v>0</v>
      </c>
      <c r="AE282" s="15"/>
    </row>
    <row r="283" spans="1:31">
      <c r="A283" s="13" t="s">
        <v>683</v>
      </c>
      <c r="B283" s="13"/>
      <c r="C283" s="13" t="s">
        <v>64</v>
      </c>
      <c r="D283" s="13"/>
      <c r="E283" s="32">
        <v>50245</v>
      </c>
      <c r="G283" s="8">
        <v>3607426</v>
      </c>
      <c r="I283" s="8">
        <v>46436</v>
      </c>
      <c r="K283" s="3">
        <f t="shared" si="25"/>
        <v>7765872</v>
      </c>
      <c r="M283" s="8">
        <v>11419734</v>
      </c>
      <c r="O283" s="3">
        <f t="shared" si="26"/>
        <v>5208468</v>
      </c>
      <c r="Q283" s="8">
        <v>1418593</v>
      </c>
      <c r="S283" s="8">
        <v>6627061</v>
      </c>
      <c r="U283" s="8">
        <f>181888+46436+14200+57394+244326+34961</f>
        <v>579205</v>
      </c>
      <c r="W283" s="8">
        <v>0</v>
      </c>
      <c r="Y283" s="8">
        <f>597719+447515+3168234</f>
        <v>4213468</v>
      </c>
      <c r="AA283" s="14">
        <f t="shared" si="27"/>
        <v>4792673</v>
      </c>
      <c r="AC283" s="8">
        <f t="shared" si="28"/>
        <v>0</v>
      </c>
    </row>
    <row r="284" spans="1:31">
      <c r="A284" s="13" t="s">
        <v>653</v>
      </c>
      <c r="B284" s="13"/>
      <c r="C284" s="13" t="s">
        <v>62</v>
      </c>
      <c r="D284" s="13"/>
      <c r="E284" s="32">
        <v>49866</v>
      </c>
      <c r="G284" s="8">
        <v>9518425</v>
      </c>
      <c r="I284" s="8">
        <v>0</v>
      </c>
      <c r="K284" s="3">
        <f t="shared" si="25"/>
        <v>14749699</v>
      </c>
      <c r="M284" s="8">
        <v>24268124</v>
      </c>
      <c r="O284" s="3">
        <f t="shared" si="26"/>
        <v>4495645</v>
      </c>
      <c r="Q284" s="8">
        <v>13773974</v>
      </c>
      <c r="S284" s="8">
        <v>18269619</v>
      </c>
      <c r="U284" s="8">
        <f>716559+756480+95898</f>
        <v>1568937</v>
      </c>
      <c r="W284" s="8">
        <v>0</v>
      </c>
      <c r="Y284" s="8">
        <f>3014435+255200+1055202+104731</f>
        <v>4429568</v>
      </c>
      <c r="AA284" s="14">
        <f t="shared" si="27"/>
        <v>5998505</v>
      </c>
      <c r="AC284" s="8">
        <f t="shared" si="28"/>
        <v>0</v>
      </c>
    </row>
    <row r="285" spans="1:31">
      <c r="A285" s="13" t="s">
        <v>653</v>
      </c>
      <c r="B285" s="13"/>
      <c r="C285" s="13" t="s">
        <v>72</v>
      </c>
      <c r="D285" s="13"/>
      <c r="E285" s="32">
        <v>50690</v>
      </c>
      <c r="G285" s="8">
        <v>3819033</v>
      </c>
      <c r="I285" s="8">
        <v>160891</v>
      </c>
      <c r="K285" s="3">
        <f t="shared" si="25"/>
        <v>9879217</v>
      </c>
      <c r="M285" s="8">
        <v>13859141</v>
      </c>
      <c r="O285" s="3">
        <f t="shared" si="26"/>
        <v>1457322</v>
      </c>
      <c r="Q285" s="8">
        <v>8246583</v>
      </c>
      <c r="S285" s="8">
        <v>9703905</v>
      </c>
      <c r="U285" s="8">
        <f>254249+280+32653+950844+137972+22919</f>
        <v>1398917</v>
      </c>
      <c r="W285" s="8">
        <v>0</v>
      </c>
      <c r="Y285" s="8">
        <f>1744732+188740+743623+77224+2000</f>
        <v>2756319</v>
      </c>
      <c r="AA285" s="14">
        <f t="shared" si="27"/>
        <v>4155236</v>
      </c>
      <c r="AC285" s="8">
        <f t="shared" si="28"/>
        <v>0</v>
      </c>
    </row>
    <row r="286" spans="1:31">
      <c r="A286" s="13" t="s">
        <v>684</v>
      </c>
      <c r="B286" s="13"/>
      <c r="C286" s="13" t="s">
        <v>64</v>
      </c>
      <c r="D286" s="13"/>
      <c r="E286" s="32">
        <v>50187</v>
      </c>
      <c r="G286" s="8">
        <v>776333</v>
      </c>
      <c r="I286" s="8">
        <v>325527</v>
      </c>
      <c r="K286" s="3">
        <f t="shared" si="25"/>
        <v>8261331</v>
      </c>
      <c r="M286" s="8">
        <v>9363191</v>
      </c>
      <c r="O286" s="3">
        <f t="shared" si="26"/>
        <v>2008018</v>
      </c>
      <c r="Q286" s="8">
        <v>7920387</v>
      </c>
      <c r="S286" s="8">
        <v>9928405</v>
      </c>
      <c r="U286" s="8">
        <f>56688+142053+225000+183474</f>
        <v>607215</v>
      </c>
      <c r="W286" s="8">
        <v>0</v>
      </c>
      <c r="Y286" s="8">
        <f>163730+282438+36705-1655302</f>
        <v>-1172429</v>
      </c>
      <c r="AA286" s="14">
        <f t="shared" si="27"/>
        <v>-565214</v>
      </c>
      <c r="AC286" s="8">
        <f t="shared" si="28"/>
        <v>0</v>
      </c>
    </row>
    <row r="287" spans="1:31">
      <c r="A287" s="13" t="s">
        <v>310</v>
      </c>
      <c r="B287" s="13"/>
      <c r="C287" s="13" t="s">
        <v>20</v>
      </c>
      <c r="D287" s="13"/>
      <c r="E287" s="32">
        <v>44198</v>
      </c>
      <c r="G287" s="8">
        <v>31156326</v>
      </c>
      <c r="I287" s="8">
        <v>0</v>
      </c>
      <c r="K287" s="3">
        <f t="shared" si="25"/>
        <v>46788647</v>
      </c>
      <c r="M287" s="8">
        <v>77944973</v>
      </c>
      <c r="O287" s="3">
        <f t="shared" si="26"/>
        <v>46693189</v>
      </c>
      <c r="Q287" s="8">
        <v>4393057</v>
      </c>
      <c r="S287" s="8">
        <v>51086246</v>
      </c>
      <c r="U287" s="8">
        <f>5645374+6534177+3952623+11295</f>
        <v>16143469</v>
      </c>
      <c r="W287" s="8">
        <v>0</v>
      </c>
      <c r="Y287" s="8">
        <f>8252625+536081+1926552</f>
        <v>10715258</v>
      </c>
      <c r="AA287" s="14">
        <f t="shared" si="27"/>
        <v>26858727</v>
      </c>
      <c r="AC287" s="8">
        <f t="shared" si="28"/>
        <v>0</v>
      </c>
    </row>
    <row r="288" spans="1:31">
      <c r="A288" s="13" t="s">
        <v>863</v>
      </c>
      <c r="B288" s="13"/>
      <c r="C288" s="13" t="s">
        <v>42</v>
      </c>
      <c r="D288" s="13"/>
      <c r="E288" s="32">
        <v>47993</v>
      </c>
      <c r="G288" s="8">
        <v>2616596</v>
      </c>
      <c r="I288" s="8">
        <v>6140</v>
      </c>
      <c r="K288" s="3">
        <f t="shared" si="25"/>
        <v>15506786</v>
      </c>
      <c r="M288" s="8">
        <v>18129522</v>
      </c>
      <c r="O288" s="3">
        <f t="shared" si="26"/>
        <v>12202180</v>
      </c>
      <c r="Q288" s="8">
        <v>10610</v>
      </c>
      <c r="S288" s="8">
        <v>12212790</v>
      </c>
      <c r="U288" s="8">
        <f>230619+183230+38806+747349+548300+6140</f>
        <v>1754444</v>
      </c>
      <c r="W288" s="8">
        <v>204164</v>
      </c>
      <c r="Y288" s="8">
        <f>3827217+130907</f>
        <v>3958124</v>
      </c>
      <c r="AA288" s="14">
        <f t="shared" si="27"/>
        <v>5916732</v>
      </c>
      <c r="AC288" s="8">
        <f t="shared" si="28"/>
        <v>0</v>
      </c>
    </row>
    <row r="289" spans="1:31">
      <c r="A289" s="13" t="s">
        <v>245</v>
      </c>
      <c r="B289" s="13"/>
      <c r="C289" s="13" t="s">
        <v>242</v>
      </c>
      <c r="D289" s="13"/>
      <c r="E289" s="32">
        <v>46110</v>
      </c>
      <c r="G289" s="8">
        <v>60845749</v>
      </c>
      <c r="I289" s="8">
        <v>0</v>
      </c>
      <c r="K289" s="3">
        <f t="shared" si="25"/>
        <v>96697003</v>
      </c>
      <c r="M289" s="8">
        <v>157542752</v>
      </c>
      <c r="O289" s="3">
        <f t="shared" si="26"/>
        <v>24758392</v>
      </c>
      <c r="Q289" s="8">
        <v>91014799</v>
      </c>
      <c r="S289" s="8">
        <v>115773191</v>
      </c>
      <c r="U289" s="8">
        <f>5217690+2656875+668315</f>
        <v>8542880</v>
      </c>
      <c r="W289" s="8">
        <v>0</v>
      </c>
      <c r="Y289" s="8">
        <f>26163562+631697+5220175+1211247</f>
        <v>33226681</v>
      </c>
      <c r="AA289" s="14">
        <f t="shared" si="27"/>
        <v>41769561</v>
      </c>
      <c r="AC289" s="8">
        <f t="shared" si="28"/>
        <v>0</v>
      </c>
    </row>
    <row r="290" spans="1:31">
      <c r="A290" s="13"/>
      <c r="B290" s="13"/>
      <c r="C290" s="13"/>
      <c r="D290" s="13"/>
      <c r="E290" s="32"/>
      <c r="K290" s="3"/>
      <c r="O290" s="3"/>
      <c r="AA290" s="14"/>
    </row>
    <row r="291" spans="1:31">
      <c r="A291" s="13"/>
      <c r="B291" s="13"/>
      <c r="C291" s="13"/>
      <c r="D291" s="13"/>
      <c r="E291" s="32"/>
      <c r="K291" s="3"/>
      <c r="O291" s="3"/>
      <c r="AA291" s="134" t="s">
        <v>805</v>
      </c>
    </row>
    <row r="292" spans="1:31">
      <c r="A292" s="13"/>
      <c r="B292" s="13"/>
      <c r="C292" s="13"/>
      <c r="D292" s="13"/>
      <c r="E292" s="32"/>
      <c r="K292" s="3"/>
      <c r="O292" s="3"/>
      <c r="AA292" s="14"/>
    </row>
    <row r="293" spans="1:31">
      <c r="A293" s="12" t="s">
        <v>986</v>
      </c>
      <c r="B293" s="13"/>
      <c r="C293" s="13" t="s">
        <v>79</v>
      </c>
      <c r="D293" s="13"/>
      <c r="E293" s="32">
        <v>49569</v>
      </c>
      <c r="G293" s="35">
        <v>16823571</v>
      </c>
      <c r="H293" s="35"/>
      <c r="I293" s="35">
        <v>59918</v>
      </c>
      <c r="J293" s="35"/>
      <c r="K293" s="42">
        <f t="shared" si="25"/>
        <v>23628561</v>
      </c>
      <c r="L293" s="35"/>
      <c r="M293" s="35">
        <v>40512050</v>
      </c>
      <c r="N293" s="35"/>
      <c r="O293" s="42">
        <f t="shared" si="26"/>
        <v>4158812</v>
      </c>
      <c r="P293" s="35"/>
      <c r="Q293" s="35">
        <v>11219016</v>
      </c>
      <c r="R293" s="35"/>
      <c r="S293" s="35">
        <v>15377828</v>
      </c>
      <c r="T293" s="35"/>
      <c r="U293" s="35">
        <f>124656+2304+406925+27170+32748+5000</f>
        <v>598803</v>
      </c>
      <c r="V293" s="35"/>
      <c r="W293" s="35">
        <v>0</v>
      </c>
      <c r="X293" s="35"/>
      <c r="Y293" s="35">
        <f>24279472+337616+142983-224652</f>
        <v>24535419</v>
      </c>
      <c r="Z293" s="35"/>
      <c r="AA293" s="64">
        <f t="shared" si="27"/>
        <v>25134222</v>
      </c>
      <c r="AC293" s="8">
        <f t="shared" si="28"/>
        <v>0</v>
      </c>
      <c r="AE293" s="8" t="s">
        <v>956</v>
      </c>
    </row>
    <row r="294" spans="1:31">
      <c r="A294" s="13" t="s">
        <v>347</v>
      </c>
      <c r="B294" s="13"/>
      <c r="C294" s="13" t="s">
        <v>25</v>
      </c>
      <c r="D294" s="13"/>
      <c r="E294" s="32">
        <v>44206</v>
      </c>
      <c r="G294" s="8">
        <v>26679994</v>
      </c>
      <c r="I294" s="8">
        <v>40693</v>
      </c>
      <c r="K294" s="3">
        <f t="shared" si="25"/>
        <v>26824229</v>
      </c>
      <c r="M294" s="8">
        <v>53544916</v>
      </c>
      <c r="O294" s="3">
        <f t="shared" si="26"/>
        <v>9379918</v>
      </c>
      <c r="Q294" s="8">
        <v>20694438</v>
      </c>
      <c r="S294" s="8">
        <v>30074356</v>
      </c>
      <c r="U294" s="8">
        <f>2841779+1374248+40693</f>
        <v>4256720</v>
      </c>
      <c r="W294" s="8">
        <v>1003879</v>
      </c>
      <c r="Y294" s="8">
        <f>9747000+492285+7970676</f>
        <v>18209961</v>
      </c>
      <c r="AA294" s="14">
        <f t="shared" si="27"/>
        <v>23470560</v>
      </c>
      <c r="AC294" s="8">
        <f t="shared" si="28"/>
        <v>0</v>
      </c>
    </row>
    <row r="295" spans="1:31" hidden="1">
      <c r="A295" s="12" t="s">
        <v>831</v>
      </c>
      <c r="B295" s="13"/>
      <c r="C295" s="13" t="s">
        <v>69</v>
      </c>
      <c r="D295" s="13"/>
      <c r="E295" s="32">
        <v>44214</v>
      </c>
      <c r="G295" s="8">
        <v>11655508</v>
      </c>
      <c r="I295" s="8">
        <v>237041</v>
      </c>
      <c r="K295" s="3">
        <f t="shared" si="25"/>
        <v>0</v>
      </c>
      <c r="M295" s="8">
        <v>11892549</v>
      </c>
      <c r="O295" s="3">
        <f t="shared" si="26"/>
        <v>0</v>
      </c>
      <c r="U295" s="8">
        <f>891022+237041</f>
        <v>1128063</v>
      </c>
      <c r="W295" s="8">
        <v>0</v>
      </c>
      <c r="Y295" s="8">
        <f>7599960+928611+1702430+533485</f>
        <v>10764486</v>
      </c>
      <c r="AA295" s="14">
        <f t="shared" si="27"/>
        <v>11892549</v>
      </c>
      <c r="AC295" s="8">
        <f t="shared" si="28"/>
        <v>0</v>
      </c>
    </row>
    <row r="296" spans="1:31">
      <c r="A296" s="13" t="s">
        <v>381</v>
      </c>
      <c r="B296" s="13"/>
      <c r="C296" s="13" t="s">
        <v>30</v>
      </c>
      <c r="D296" s="13"/>
      <c r="E296" s="32">
        <v>47209</v>
      </c>
      <c r="G296" s="8">
        <v>432445</v>
      </c>
      <c r="I296" s="8">
        <v>248789</v>
      </c>
      <c r="K296" s="3">
        <f t="shared" si="25"/>
        <v>2211591</v>
      </c>
      <c r="M296" s="8">
        <v>2892825</v>
      </c>
      <c r="O296" s="3">
        <f t="shared" si="26"/>
        <v>702081</v>
      </c>
      <c r="Q296" s="8">
        <v>1711326</v>
      </c>
      <c r="S296" s="8">
        <v>2413407</v>
      </c>
      <c r="U296" s="8">
        <f>335950+255100+476241+16022+514420+23784+10268</f>
        <v>1631785</v>
      </c>
      <c r="W296" s="8">
        <v>0</v>
      </c>
      <c r="Y296" s="8">
        <f>290312+63670+13800-1520149</f>
        <v>-1152367</v>
      </c>
      <c r="AA296" s="14">
        <f t="shared" si="27"/>
        <v>479418</v>
      </c>
      <c r="AC296" s="8">
        <f t="shared" si="28"/>
        <v>0</v>
      </c>
    </row>
    <row r="297" spans="1:31" hidden="1">
      <c r="A297" s="12" t="s">
        <v>987</v>
      </c>
      <c r="B297" s="13"/>
      <c r="C297" s="13" t="s">
        <v>603</v>
      </c>
      <c r="D297" s="13"/>
      <c r="E297" s="32">
        <v>49353</v>
      </c>
      <c r="G297" s="8">
        <v>8166280</v>
      </c>
      <c r="I297" s="8">
        <v>17563</v>
      </c>
      <c r="K297" s="3">
        <f t="shared" ref="K297:K367" si="29">M297-G297-I297</f>
        <v>0</v>
      </c>
      <c r="M297" s="8">
        <v>8183843</v>
      </c>
      <c r="O297" s="3">
        <f t="shared" ref="O297:O367" si="30">S297-Q297</f>
        <v>0</v>
      </c>
      <c r="U297" s="8">
        <f>1364087+4328+17563</f>
        <v>1385978</v>
      </c>
      <c r="W297" s="8">
        <f>105085+76075+269437</f>
        <v>450597</v>
      </c>
      <c r="Y297" s="8">
        <f>1592354+398243+216746+4139925</f>
        <v>6347268</v>
      </c>
      <c r="AA297" s="14">
        <f t="shared" ref="AA297:AA367" si="31">U297+W297+Y297</f>
        <v>8183843</v>
      </c>
      <c r="AC297" s="8">
        <f t="shared" ref="AC297:AC367" si="32">+G297+I297+K297-O297-Q297-Y297-W297-U297</f>
        <v>0</v>
      </c>
    </row>
    <row r="298" spans="1:31">
      <c r="A298" s="13" t="s">
        <v>610</v>
      </c>
      <c r="B298" s="13"/>
      <c r="C298" s="13" t="s">
        <v>112</v>
      </c>
      <c r="D298" s="13"/>
      <c r="E298" s="32">
        <v>49437</v>
      </c>
      <c r="G298" s="8">
        <v>3283216</v>
      </c>
      <c r="I298" s="8">
        <v>82043</v>
      </c>
      <c r="K298" s="3">
        <f t="shared" si="29"/>
        <v>9801236</v>
      </c>
      <c r="M298" s="8">
        <v>13166495</v>
      </c>
      <c r="O298" s="3">
        <f t="shared" si="30"/>
        <v>10586617</v>
      </c>
      <c r="Q298" s="8">
        <v>514199</v>
      </c>
      <c r="S298" s="8">
        <v>11100816</v>
      </c>
      <c r="U298" s="8">
        <f>92701+78647+1953161+81351+692</f>
        <v>2206552</v>
      </c>
      <c r="W298" s="8">
        <v>0</v>
      </c>
      <c r="Y298" s="8">
        <f>301512-30239-412146</f>
        <v>-140873</v>
      </c>
      <c r="AA298" s="14">
        <f t="shared" si="31"/>
        <v>2065679</v>
      </c>
      <c r="AC298" s="8">
        <f t="shared" si="32"/>
        <v>0</v>
      </c>
    </row>
    <row r="299" spans="1:31">
      <c r="A299" s="13" t="s">
        <v>431</v>
      </c>
      <c r="B299" s="13"/>
      <c r="C299" s="13" t="s">
        <v>34</v>
      </c>
      <c r="D299" s="13"/>
      <c r="E299" s="32">
        <v>47589</v>
      </c>
      <c r="G299" s="8">
        <v>4490829</v>
      </c>
      <c r="I299" s="8">
        <v>0</v>
      </c>
      <c r="K299" s="3">
        <f t="shared" si="29"/>
        <v>5680809</v>
      </c>
      <c r="M299" s="8">
        <v>10171638</v>
      </c>
      <c r="O299" s="3">
        <f t="shared" si="30"/>
        <v>1233225</v>
      </c>
      <c r="Q299" s="8">
        <v>4644232</v>
      </c>
      <c r="S299" s="8">
        <v>5877457</v>
      </c>
      <c r="U299" s="8">
        <f>240235+208771</f>
        <v>449006</v>
      </c>
      <c r="W299" s="8">
        <v>0</v>
      </c>
      <c r="Y299" s="8">
        <f>3254812+91716+294208+204439</f>
        <v>3845175</v>
      </c>
      <c r="AA299" s="14">
        <f t="shared" si="31"/>
        <v>4294181</v>
      </c>
      <c r="AC299" s="8">
        <f t="shared" si="32"/>
        <v>0</v>
      </c>
    </row>
    <row r="300" spans="1:31">
      <c r="A300" s="12" t="s">
        <v>685</v>
      </c>
      <c r="B300" s="13"/>
      <c r="C300" s="13" t="s">
        <v>64</v>
      </c>
      <c r="D300" s="13"/>
      <c r="E300" s="32">
        <v>50195</v>
      </c>
      <c r="G300" s="8">
        <v>1677387</v>
      </c>
      <c r="I300" s="8">
        <v>315350</v>
      </c>
      <c r="K300" s="3">
        <f t="shared" si="29"/>
        <v>11125867</v>
      </c>
      <c r="M300" s="8">
        <v>13118604</v>
      </c>
      <c r="O300" s="3">
        <f t="shared" si="30"/>
        <v>13374398</v>
      </c>
      <c r="Q300" s="8">
        <v>1372016</v>
      </c>
      <c r="S300" s="8">
        <v>14746414</v>
      </c>
      <c r="U300" s="8">
        <f>564170+21869+30469+10960+39581+275769+302619+4269</f>
        <v>1249706</v>
      </c>
      <c r="W300" s="8">
        <v>0</v>
      </c>
      <c r="Y300" s="8">
        <f>205515+205419-3288450</f>
        <v>-2877516</v>
      </c>
      <c r="AA300" s="14">
        <f t="shared" si="31"/>
        <v>-1627810</v>
      </c>
      <c r="AC300" s="8">
        <f t="shared" si="32"/>
        <v>0</v>
      </c>
    </row>
    <row r="301" spans="1:31">
      <c r="A301" s="13" t="s">
        <v>869</v>
      </c>
      <c r="B301" s="13"/>
      <c r="C301" s="13" t="s">
        <v>25</v>
      </c>
      <c r="D301" s="13"/>
      <c r="E301" s="32">
        <v>46888</v>
      </c>
      <c r="G301" s="8">
        <v>19567624</v>
      </c>
      <c r="I301" s="8">
        <v>0</v>
      </c>
      <c r="K301" s="3">
        <f t="shared" si="29"/>
        <v>16000711</v>
      </c>
      <c r="M301" s="8">
        <v>35568335</v>
      </c>
      <c r="O301" s="3">
        <f t="shared" si="30"/>
        <v>1515947</v>
      </c>
      <c r="Q301" s="8">
        <v>14550012</v>
      </c>
      <c r="S301" s="8">
        <v>16065959</v>
      </c>
      <c r="U301" s="8">
        <f>853185+493557</f>
        <v>1346742</v>
      </c>
      <c r="W301" s="8">
        <v>0</v>
      </c>
      <c r="Y301" s="8">
        <f>3671291+461592+907294+13115457</f>
        <v>18155634</v>
      </c>
      <c r="AA301" s="14">
        <f t="shared" si="31"/>
        <v>19502376</v>
      </c>
      <c r="AC301" s="8">
        <f t="shared" si="32"/>
        <v>0</v>
      </c>
    </row>
    <row r="302" spans="1:31">
      <c r="A302" s="13" t="s">
        <v>417</v>
      </c>
      <c r="B302" s="13"/>
      <c r="C302" s="13" t="s">
        <v>33</v>
      </c>
      <c r="D302" s="13"/>
      <c r="E302" s="32">
        <v>47449</v>
      </c>
      <c r="G302" s="8">
        <v>4982594</v>
      </c>
      <c r="I302" s="8">
        <v>0</v>
      </c>
      <c r="K302" s="3">
        <f t="shared" si="29"/>
        <v>5419439</v>
      </c>
      <c r="M302" s="8">
        <v>10402033</v>
      </c>
      <c r="O302" s="3">
        <f t="shared" si="30"/>
        <v>1407719</v>
      </c>
      <c r="Q302" s="8">
        <v>4437342</v>
      </c>
      <c r="S302" s="8">
        <v>5845061</v>
      </c>
      <c r="U302" s="8">
        <f>460000+370652</f>
        <v>830652</v>
      </c>
      <c r="W302" s="8">
        <v>156697</v>
      </c>
      <c r="Y302" s="8">
        <f>2899219+182363+403626+84415</f>
        <v>3569623</v>
      </c>
      <c r="AA302" s="14">
        <f t="shared" si="31"/>
        <v>4556972</v>
      </c>
      <c r="AC302" s="8">
        <f t="shared" si="32"/>
        <v>0</v>
      </c>
    </row>
    <row r="303" spans="1:31">
      <c r="A303" s="13" t="s">
        <v>476</v>
      </c>
      <c r="B303" s="13"/>
      <c r="C303" s="13" t="s">
        <v>42</v>
      </c>
      <c r="D303" s="13"/>
      <c r="E303" s="32">
        <v>48009</v>
      </c>
      <c r="G303" s="8">
        <v>7640773</v>
      </c>
      <c r="I303" s="8">
        <v>12538</v>
      </c>
      <c r="K303" s="3">
        <f t="shared" si="29"/>
        <v>34565109</v>
      </c>
      <c r="M303" s="8">
        <v>42218420</v>
      </c>
      <c r="O303" s="3">
        <f t="shared" si="30"/>
        <v>3042381</v>
      </c>
      <c r="Q303" s="8">
        <v>29793258</v>
      </c>
      <c r="S303" s="8">
        <v>32835639</v>
      </c>
      <c r="U303" s="8">
        <f>187026+4662811+12538</f>
        <v>4862375</v>
      </c>
      <c r="W303" s="8">
        <v>0</v>
      </c>
      <c r="Y303" s="8">
        <f>2317589+2522962+48013-368158</f>
        <v>4520406</v>
      </c>
      <c r="AA303" s="14">
        <f t="shared" si="31"/>
        <v>9382781</v>
      </c>
      <c r="AC303" s="8">
        <f t="shared" si="32"/>
        <v>0</v>
      </c>
    </row>
    <row r="304" spans="1:31">
      <c r="A304" s="13" t="s">
        <v>477</v>
      </c>
      <c r="B304" s="13"/>
      <c r="C304" s="13" t="s">
        <v>42</v>
      </c>
      <c r="D304" s="13"/>
      <c r="E304" s="32">
        <v>48017</v>
      </c>
      <c r="G304" s="8">
        <v>5549060</v>
      </c>
      <c r="I304" s="8">
        <v>34148</v>
      </c>
      <c r="K304" s="3">
        <f t="shared" si="29"/>
        <v>7320553</v>
      </c>
      <c r="M304" s="8">
        <v>12903761</v>
      </c>
      <c r="O304" s="3">
        <f t="shared" si="30"/>
        <v>2109371</v>
      </c>
      <c r="Q304" s="8">
        <v>5332599</v>
      </c>
      <c r="S304" s="8">
        <v>7441970</v>
      </c>
      <c r="U304" s="8">
        <f>518959+224213+12550+719713+240435+34148+1025</f>
        <v>1751043</v>
      </c>
      <c r="W304" s="8">
        <v>0</v>
      </c>
      <c r="Y304" s="8">
        <f>2911026+440020+359702</f>
        <v>3710748</v>
      </c>
      <c r="AA304" s="14">
        <f t="shared" si="31"/>
        <v>5461791</v>
      </c>
      <c r="AC304" s="8">
        <f t="shared" si="32"/>
        <v>0</v>
      </c>
    </row>
    <row r="305" spans="1:31" hidden="1">
      <c r="A305" s="13" t="s">
        <v>989</v>
      </c>
      <c r="B305" s="13"/>
      <c r="C305" s="13" t="s">
        <v>10</v>
      </c>
      <c r="D305" s="13"/>
      <c r="E305" s="32"/>
      <c r="G305" s="8">
        <v>8684515</v>
      </c>
      <c r="I305" s="8">
        <v>3398425</v>
      </c>
      <c r="K305" s="3">
        <f t="shared" si="29"/>
        <v>0</v>
      </c>
      <c r="M305" s="8">
        <v>12082940</v>
      </c>
      <c r="O305" s="3"/>
      <c r="U305" s="8">
        <f>1564631+2715</f>
        <v>1567346</v>
      </c>
      <c r="Y305" s="8">
        <f>2440611+4282107+967278+2825598</f>
        <v>10515594</v>
      </c>
      <c r="AA305" s="14">
        <f t="shared" si="31"/>
        <v>12082940</v>
      </c>
      <c r="AC305" s="8">
        <f t="shared" si="32"/>
        <v>0</v>
      </c>
    </row>
    <row r="306" spans="1:31">
      <c r="A306" s="13" t="s">
        <v>705</v>
      </c>
      <c r="B306" s="13"/>
      <c r="C306" s="13" t="s">
        <v>67</v>
      </c>
      <c r="D306" s="13"/>
      <c r="E306" s="32">
        <v>50369</v>
      </c>
      <c r="G306" s="8">
        <v>10538481</v>
      </c>
      <c r="I306" s="8">
        <v>8324</v>
      </c>
      <c r="K306" s="3">
        <f t="shared" si="29"/>
        <v>4427070</v>
      </c>
      <c r="M306" s="8">
        <v>14973875</v>
      </c>
      <c r="O306" s="3">
        <f t="shared" si="30"/>
        <v>3704223</v>
      </c>
      <c r="Q306" s="8">
        <v>1235829</v>
      </c>
      <c r="S306" s="8">
        <v>4940052</v>
      </c>
      <c r="U306" s="8">
        <f>1759+12820+259399+336903+10671+8324</f>
        <v>629876</v>
      </c>
      <c r="W306" s="8">
        <v>0</v>
      </c>
      <c r="Y306" s="8">
        <f>7662567+421511+1319869</f>
        <v>9403947</v>
      </c>
      <c r="AA306" s="14">
        <f t="shared" si="31"/>
        <v>10033823</v>
      </c>
      <c r="AC306" s="8">
        <f t="shared" si="32"/>
        <v>0</v>
      </c>
    </row>
    <row r="307" spans="1:31">
      <c r="A307" s="13" t="s">
        <v>283</v>
      </c>
      <c r="B307" s="13"/>
      <c r="C307" s="13" t="s">
        <v>114</v>
      </c>
      <c r="D307" s="13"/>
      <c r="E307" s="32">
        <v>45450</v>
      </c>
      <c r="G307" s="8">
        <v>4407780</v>
      </c>
      <c r="I307" s="8">
        <v>0</v>
      </c>
      <c r="K307" s="3">
        <f t="shared" si="29"/>
        <v>2306092</v>
      </c>
      <c r="M307" s="8">
        <v>6713872</v>
      </c>
      <c r="O307" s="3">
        <f t="shared" si="30"/>
        <v>1018584</v>
      </c>
      <c r="Q307" s="8">
        <v>2215510</v>
      </c>
      <c r="S307" s="8">
        <v>3234094</v>
      </c>
      <c r="U307" s="8">
        <f>190423+49499</f>
        <v>239922</v>
      </c>
      <c r="W307" s="8">
        <v>0</v>
      </c>
      <c r="Y307" s="8">
        <f>2556880+265345+262609+155022</f>
        <v>3239856</v>
      </c>
      <c r="AA307" s="14">
        <f t="shared" si="31"/>
        <v>3479778</v>
      </c>
      <c r="AC307" s="8">
        <f t="shared" si="32"/>
        <v>0</v>
      </c>
    </row>
    <row r="308" spans="1:31">
      <c r="A308" s="13" t="s">
        <v>711</v>
      </c>
      <c r="B308" s="13"/>
      <c r="C308" s="13" t="s">
        <v>69</v>
      </c>
      <c r="D308" s="13"/>
      <c r="E308" s="32">
        <v>50443</v>
      </c>
      <c r="G308" s="8">
        <v>10007017</v>
      </c>
      <c r="I308" s="8">
        <v>600352</v>
      </c>
      <c r="K308" s="3">
        <f t="shared" si="29"/>
        <v>25022313</v>
      </c>
      <c r="M308" s="8">
        <v>35629682</v>
      </c>
      <c r="O308" s="3">
        <f t="shared" si="30"/>
        <v>13003147</v>
      </c>
      <c r="Q308" s="8">
        <v>22749790</v>
      </c>
      <c r="S308" s="8">
        <v>35752937</v>
      </c>
      <c r="U308" s="8">
        <f>4104708+4746+1940030+45155+18000</f>
        <v>6112639</v>
      </c>
      <c r="W308" s="8">
        <v>0</v>
      </c>
      <c r="Y308" s="8">
        <f>451700+4180-2283851-3544335-863588</f>
        <v>-6235894</v>
      </c>
      <c r="AA308" s="14">
        <f t="shared" si="31"/>
        <v>-123255</v>
      </c>
      <c r="AC308" s="8">
        <f t="shared" si="32"/>
        <v>0</v>
      </c>
    </row>
    <row r="309" spans="1:31" hidden="1">
      <c r="A309" s="77" t="s">
        <v>995</v>
      </c>
      <c r="B309" s="13"/>
      <c r="C309" s="13" t="s">
        <v>32</v>
      </c>
      <c r="D309" s="13"/>
      <c r="E309" s="32">
        <v>44230</v>
      </c>
      <c r="G309" s="8">
        <v>3494974</v>
      </c>
      <c r="I309" s="8">
        <v>871429</v>
      </c>
      <c r="K309" s="3">
        <f t="shared" si="29"/>
        <v>0</v>
      </c>
      <c r="M309" s="8">
        <v>4366403</v>
      </c>
      <c r="O309" s="3">
        <f t="shared" si="30"/>
        <v>0</v>
      </c>
      <c r="U309" s="8">
        <f>219836+624323+247106</f>
        <v>1091265</v>
      </c>
      <c r="W309" s="8">
        <v>120509</v>
      </c>
      <c r="Y309" s="8">
        <f>2060113+336863+756790+863</f>
        <v>3154629</v>
      </c>
      <c r="AA309" s="14">
        <f t="shared" si="31"/>
        <v>4366403</v>
      </c>
      <c r="AC309" s="8">
        <f t="shared" si="32"/>
        <v>0</v>
      </c>
      <c r="AE309" s="15" t="s">
        <v>905</v>
      </c>
    </row>
    <row r="310" spans="1:31">
      <c r="A310" s="13" t="s">
        <v>582</v>
      </c>
      <c r="B310" s="13"/>
      <c r="C310" s="13" t="s">
        <v>54</v>
      </c>
      <c r="D310" s="13"/>
      <c r="E310" s="32">
        <v>49080</v>
      </c>
      <c r="G310" s="8">
        <v>3422266</v>
      </c>
      <c r="I310" s="8">
        <v>170623</v>
      </c>
      <c r="K310" s="3">
        <f t="shared" si="29"/>
        <v>11264994</v>
      </c>
      <c r="M310" s="8">
        <v>14857883</v>
      </c>
      <c r="O310" s="3">
        <f t="shared" si="30"/>
        <v>7754894</v>
      </c>
      <c r="Q310" s="8">
        <v>423041</v>
      </c>
      <c r="S310" s="8">
        <v>8177935</v>
      </c>
      <c r="U310" s="8">
        <f>83594+17524+1450255+170623+104300</f>
        <v>1826296</v>
      </c>
      <c r="W310" s="8">
        <v>0</v>
      </c>
      <c r="Y310" s="8">
        <f>4764692+78945+2446+7569</f>
        <v>4853652</v>
      </c>
      <c r="AA310" s="14">
        <f t="shared" si="31"/>
        <v>6679948</v>
      </c>
      <c r="AC310" s="8">
        <f t="shared" si="32"/>
        <v>0</v>
      </c>
    </row>
    <row r="311" spans="1:31">
      <c r="A311" s="13" t="s">
        <v>440</v>
      </c>
      <c r="B311" s="13"/>
      <c r="C311" s="13" t="s">
        <v>35</v>
      </c>
      <c r="D311" s="13"/>
      <c r="E311" s="32">
        <v>44248</v>
      </c>
      <c r="G311" s="8">
        <v>2787378</v>
      </c>
      <c r="I311" s="8">
        <v>0</v>
      </c>
      <c r="K311" s="3">
        <f t="shared" si="29"/>
        <v>38179326</v>
      </c>
      <c r="M311" s="8">
        <v>40966704</v>
      </c>
      <c r="O311" s="3">
        <f t="shared" si="30"/>
        <v>19692974</v>
      </c>
      <c r="Q311" s="8">
        <v>487693</v>
      </c>
      <c r="S311" s="8">
        <v>20180667</v>
      </c>
      <c r="U311" s="8">
        <f>8602532+17981+143353+3298894+1277783+437334</f>
        <v>13777877</v>
      </c>
      <c r="W311" s="8">
        <v>0</v>
      </c>
      <c r="Y311" s="8">
        <f>1181060+1249321+4577779</f>
        <v>7008160</v>
      </c>
      <c r="AA311" s="14">
        <f t="shared" si="31"/>
        <v>20786037</v>
      </c>
      <c r="AC311" s="8">
        <f t="shared" si="32"/>
        <v>0</v>
      </c>
    </row>
    <row r="312" spans="1:31">
      <c r="A312" s="13" t="s">
        <v>507</v>
      </c>
      <c r="B312" s="13"/>
      <c r="C312" s="13" t="s">
        <v>505</v>
      </c>
      <c r="D312" s="13"/>
      <c r="E312" s="32">
        <v>44255</v>
      </c>
      <c r="G312" s="8">
        <v>6968504</v>
      </c>
      <c r="I312" s="8">
        <v>0</v>
      </c>
      <c r="K312" s="3">
        <f t="shared" si="29"/>
        <v>32320586</v>
      </c>
      <c r="M312" s="8">
        <v>39289090</v>
      </c>
      <c r="O312" s="3">
        <f t="shared" si="30"/>
        <v>4430277</v>
      </c>
      <c r="Q312" s="8">
        <v>30705919</v>
      </c>
      <c r="S312" s="8">
        <v>35136196</v>
      </c>
      <c r="U312" s="8">
        <v>361827</v>
      </c>
      <c r="W312" s="8">
        <v>0</v>
      </c>
      <c r="Y312" s="8">
        <f>1543279+1876747+701791-330750</f>
        <v>3791067</v>
      </c>
      <c r="AA312" s="14">
        <f t="shared" si="31"/>
        <v>4152894</v>
      </c>
      <c r="AC312" s="8">
        <f t="shared" si="32"/>
        <v>0</v>
      </c>
    </row>
    <row r="313" spans="1:31" s="49" customFormat="1">
      <c r="A313" s="48" t="s">
        <v>490</v>
      </c>
      <c r="B313" s="48"/>
      <c r="C313" s="48" t="s">
        <v>44</v>
      </c>
      <c r="D313" s="48"/>
      <c r="E313" s="48">
        <v>44263</v>
      </c>
      <c r="G313" s="8">
        <v>64646422</v>
      </c>
      <c r="H313" s="8"/>
      <c r="I313" s="8">
        <v>0</v>
      </c>
      <c r="J313" s="8"/>
      <c r="K313" s="3">
        <f t="shared" si="29"/>
        <v>119495786</v>
      </c>
      <c r="L313" s="8"/>
      <c r="M313" s="8">
        <v>184142208</v>
      </c>
      <c r="N313" s="8"/>
      <c r="O313" s="3">
        <f t="shared" si="30"/>
        <v>16325043</v>
      </c>
      <c r="P313" s="8"/>
      <c r="Q313" s="8">
        <v>107649050</v>
      </c>
      <c r="R313" s="8"/>
      <c r="S313" s="8">
        <v>123974093</v>
      </c>
      <c r="T313" s="8"/>
      <c r="U313" s="8">
        <f>18770636+1325825+1555359</f>
        <v>21651820</v>
      </c>
      <c r="V313" s="8"/>
      <c r="W313" s="8">
        <v>0</v>
      </c>
      <c r="X313" s="8"/>
      <c r="Y313" s="8">
        <f>285322+664412+2211330+35355231</f>
        <v>38516295</v>
      </c>
      <c r="Z313" s="8"/>
      <c r="AA313" s="14">
        <f t="shared" si="31"/>
        <v>60168115</v>
      </c>
      <c r="AB313" s="8"/>
      <c r="AC313" s="8">
        <f t="shared" si="32"/>
        <v>0</v>
      </c>
    </row>
    <row r="314" spans="1:31">
      <c r="A314" s="13" t="s">
        <v>686</v>
      </c>
      <c r="B314" s="13"/>
      <c r="C314" s="13" t="s">
        <v>64</v>
      </c>
      <c r="D314" s="13"/>
      <c r="E314" s="32">
        <v>50203</v>
      </c>
      <c r="G314" s="8">
        <v>3037616</v>
      </c>
      <c r="I314" s="8">
        <v>18543</v>
      </c>
      <c r="K314" s="3">
        <f t="shared" si="29"/>
        <v>5961095</v>
      </c>
      <c r="M314" s="8">
        <v>9017254</v>
      </c>
      <c r="O314" s="3">
        <f t="shared" si="30"/>
        <v>6600708</v>
      </c>
      <c r="Q314" s="8">
        <v>194157</v>
      </c>
      <c r="S314" s="8">
        <v>6794865</v>
      </c>
      <c r="U314" s="8">
        <f>830547+6062+2221+29429+120504+18543</f>
        <v>1007306</v>
      </c>
      <c r="W314" s="8">
        <v>0</v>
      </c>
      <c r="Y314" s="8">
        <f>1160878+26175+28030</f>
        <v>1215083</v>
      </c>
      <c r="AA314" s="14">
        <f t="shared" si="31"/>
        <v>2222389</v>
      </c>
      <c r="AC314" s="8">
        <f t="shared" si="32"/>
        <v>0</v>
      </c>
    </row>
    <row r="315" spans="1:31">
      <c r="A315" s="12" t="s">
        <v>991</v>
      </c>
      <c r="B315" s="13"/>
      <c r="C315" s="13" t="s">
        <v>11</v>
      </c>
      <c r="D315" s="13"/>
      <c r="E315" s="32">
        <v>45468</v>
      </c>
      <c r="G315" s="8">
        <v>3484417</v>
      </c>
      <c r="I315" s="8">
        <v>12035</v>
      </c>
      <c r="K315" s="3">
        <f t="shared" si="29"/>
        <v>5510155</v>
      </c>
      <c r="M315" s="8">
        <v>9006607</v>
      </c>
      <c r="O315" s="3">
        <f t="shared" si="30"/>
        <v>4871238</v>
      </c>
      <c r="Q315" s="8">
        <v>307501</v>
      </c>
      <c r="S315" s="8">
        <v>5178739</v>
      </c>
      <c r="U315" s="8">
        <f>334137+17519+36764+1250305+12035</f>
        <v>1650760</v>
      </c>
      <c r="W315" s="8">
        <v>0</v>
      </c>
      <c r="Y315" s="8">
        <f>2336991+21208-181091</f>
        <v>2177108</v>
      </c>
      <c r="AA315" s="14">
        <f t="shared" si="31"/>
        <v>3827868</v>
      </c>
      <c r="AC315" s="8">
        <f t="shared" si="32"/>
        <v>0</v>
      </c>
      <c r="AE315" s="8" t="s">
        <v>956</v>
      </c>
    </row>
    <row r="316" spans="1:31">
      <c r="A316" s="13" t="s">
        <v>654</v>
      </c>
      <c r="B316" s="13"/>
      <c r="C316" s="13" t="s">
        <v>62</v>
      </c>
      <c r="D316" s="13"/>
      <c r="E316" s="32">
        <v>49874</v>
      </c>
      <c r="G316" s="8">
        <v>17941759</v>
      </c>
      <c r="I316" s="8">
        <v>219348</v>
      </c>
      <c r="K316" s="3">
        <f t="shared" si="29"/>
        <v>43733808</v>
      </c>
      <c r="M316" s="8">
        <v>61894915</v>
      </c>
      <c r="O316" s="3">
        <f t="shared" si="30"/>
        <v>3048505</v>
      </c>
      <c r="Q316" s="8">
        <v>43114466</v>
      </c>
      <c r="S316" s="8">
        <v>46162971</v>
      </c>
      <c r="U316" s="8">
        <f>808636+453000+216007+3341</f>
        <v>1480984</v>
      </c>
      <c r="W316" s="8">
        <v>0</v>
      </c>
      <c r="Y316" s="8">
        <f>1065750+613218+1704520+10867472</f>
        <v>14250960</v>
      </c>
      <c r="AA316" s="14">
        <f t="shared" si="31"/>
        <v>15731944</v>
      </c>
      <c r="AC316" s="8">
        <f t="shared" si="32"/>
        <v>0</v>
      </c>
    </row>
    <row r="317" spans="1:31">
      <c r="A317" s="13" t="s">
        <v>397</v>
      </c>
      <c r="B317" s="13"/>
      <c r="C317" s="13" t="s">
        <v>32</v>
      </c>
      <c r="D317" s="13"/>
      <c r="E317" s="13">
        <v>44271</v>
      </c>
      <c r="G317" s="8">
        <v>13430833</v>
      </c>
      <c r="I317" s="8">
        <v>336785</v>
      </c>
      <c r="K317" s="3">
        <f t="shared" si="29"/>
        <v>29278755</v>
      </c>
      <c r="M317" s="8">
        <v>43046373</v>
      </c>
      <c r="O317" s="3">
        <f t="shared" si="30"/>
        <v>14608565</v>
      </c>
      <c r="Q317" s="8">
        <v>22084575</v>
      </c>
      <c r="S317" s="8">
        <v>36693140</v>
      </c>
      <c r="U317" s="8">
        <f>505464+17582+6168310+336785</f>
        <v>7028141</v>
      </c>
      <c r="W317" s="8">
        <v>0</v>
      </c>
      <c r="Y317" s="8">
        <f>504607+542341+3145152-4867008</f>
        <v>-674908</v>
      </c>
      <c r="AA317" s="14">
        <f t="shared" si="31"/>
        <v>6353233</v>
      </c>
      <c r="AC317" s="8">
        <f t="shared" si="32"/>
        <v>0</v>
      </c>
    </row>
    <row r="318" spans="1:31">
      <c r="A318" s="13" t="s">
        <v>513</v>
      </c>
      <c r="B318" s="13"/>
      <c r="C318" s="13" t="s">
        <v>45</v>
      </c>
      <c r="D318" s="13"/>
      <c r="E318" s="32">
        <v>48330</v>
      </c>
      <c r="G318" s="8">
        <v>3397364</v>
      </c>
      <c r="I318" s="8">
        <v>223813</v>
      </c>
      <c r="K318" s="3">
        <f t="shared" si="29"/>
        <v>1818146</v>
      </c>
      <c r="M318" s="8">
        <v>5439323</v>
      </c>
      <c r="O318" s="3">
        <f t="shared" si="30"/>
        <v>2454672</v>
      </c>
      <c r="Q318" s="8">
        <v>79316</v>
      </c>
      <c r="S318" s="8">
        <v>2533988</v>
      </c>
      <c r="U318" s="8">
        <f>4473+4672+716957+127705+96108+120631</f>
        <v>1070546</v>
      </c>
      <c r="W318" s="8">
        <v>0</v>
      </c>
      <c r="Y318" s="8">
        <f>388765+970202+475822</f>
        <v>1834789</v>
      </c>
      <c r="AA318" s="14">
        <f t="shared" si="31"/>
        <v>2905335</v>
      </c>
      <c r="AC318" s="8">
        <f t="shared" si="32"/>
        <v>0</v>
      </c>
    </row>
    <row r="319" spans="1:31">
      <c r="A319" s="13" t="s">
        <v>611</v>
      </c>
      <c r="B319" s="13"/>
      <c r="C319" s="13" t="s">
        <v>112</v>
      </c>
      <c r="D319" s="13"/>
      <c r="E319" s="32">
        <v>49445</v>
      </c>
      <c r="G319" s="8">
        <v>2699035</v>
      </c>
      <c r="I319" s="8">
        <v>282657</v>
      </c>
      <c r="K319" s="3">
        <f t="shared" si="29"/>
        <v>2992304</v>
      </c>
      <c r="M319" s="8">
        <v>5973996</v>
      </c>
      <c r="O319" s="3">
        <f t="shared" si="30"/>
        <v>2762122</v>
      </c>
      <c r="Q319" s="8">
        <v>127266</v>
      </c>
      <c r="S319" s="8">
        <v>2889388</v>
      </c>
      <c r="U319" s="8">
        <f>339134+2899+2010+390435+282657</f>
        <v>1017135</v>
      </c>
      <c r="W319" s="8">
        <v>0</v>
      </c>
      <c r="Y319" s="8">
        <f>1712527+345814+9132</f>
        <v>2067473</v>
      </c>
      <c r="AA319" s="14">
        <f t="shared" si="31"/>
        <v>3084608</v>
      </c>
      <c r="AC319" s="8">
        <f t="shared" si="32"/>
        <v>0</v>
      </c>
    </row>
    <row r="320" spans="1:31">
      <c r="A320" s="13" t="s">
        <v>439</v>
      </c>
      <c r="B320" s="13"/>
      <c r="C320" s="13" t="s">
        <v>435</v>
      </c>
      <c r="D320" s="13"/>
      <c r="E320" s="32">
        <v>47639</v>
      </c>
      <c r="G320" s="8">
        <v>9088234</v>
      </c>
      <c r="I320" s="8">
        <v>31371</v>
      </c>
      <c r="K320" s="3">
        <f t="shared" si="29"/>
        <v>2257079</v>
      </c>
      <c r="M320" s="8">
        <v>11376684</v>
      </c>
      <c r="O320" s="3">
        <f t="shared" si="30"/>
        <v>1445386</v>
      </c>
      <c r="Q320" s="8">
        <v>2046207</v>
      </c>
      <c r="S320" s="8">
        <v>3491593</v>
      </c>
      <c r="U320" s="8">
        <f>122129+31938+87358+30409+962</f>
        <v>272796</v>
      </c>
      <c r="W320" s="8">
        <v>0</v>
      </c>
      <c r="Y320" s="8">
        <f>6359835+519845+725472+7143</f>
        <v>7612295</v>
      </c>
      <c r="AA320" s="14">
        <f t="shared" si="31"/>
        <v>7885091</v>
      </c>
      <c r="AC320" s="8">
        <f t="shared" si="32"/>
        <v>0</v>
      </c>
    </row>
    <row r="321" spans="1:31">
      <c r="A321" s="13" t="s">
        <v>550</v>
      </c>
      <c r="B321" s="13"/>
      <c r="C321" s="13" t="s">
        <v>50</v>
      </c>
      <c r="D321" s="13"/>
      <c r="E321" s="32">
        <v>48702</v>
      </c>
      <c r="G321" s="8">
        <v>20872613</v>
      </c>
      <c r="I321" s="8">
        <v>0</v>
      </c>
      <c r="K321" s="3">
        <f t="shared" si="29"/>
        <v>10987920</v>
      </c>
      <c r="M321" s="8">
        <v>31860533</v>
      </c>
      <c r="O321" s="3">
        <f t="shared" si="30"/>
        <v>5437223</v>
      </c>
      <c r="Q321" s="8">
        <v>9787672</v>
      </c>
      <c r="S321" s="8">
        <v>15224895</v>
      </c>
      <c r="U321" s="8">
        <f>619016+618611</f>
        <v>1237627</v>
      </c>
      <c r="W321" s="8">
        <v>0</v>
      </c>
      <c r="Y321" s="8">
        <f>9866643+2075714+996754+2458900</f>
        <v>15398011</v>
      </c>
      <c r="AA321" s="14">
        <f t="shared" si="31"/>
        <v>16635638</v>
      </c>
      <c r="AC321" s="8">
        <f t="shared" si="32"/>
        <v>0</v>
      </c>
      <c r="AE321" s="15" t="s">
        <v>905</v>
      </c>
    </row>
    <row r="322" spans="1:31">
      <c r="A322" s="13" t="s">
        <v>398</v>
      </c>
      <c r="B322" s="13"/>
      <c r="C322" s="13" t="s">
        <v>32</v>
      </c>
      <c r="D322" s="13"/>
      <c r="E322" s="32">
        <v>44289</v>
      </c>
      <c r="G322" s="8">
        <v>6527221</v>
      </c>
      <c r="I322" s="8">
        <v>0</v>
      </c>
      <c r="K322" s="3">
        <f t="shared" si="29"/>
        <v>14583410</v>
      </c>
      <c r="M322" s="8">
        <v>21110631</v>
      </c>
      <c r="O322" s="3">
        <f t="shared" si="30"/>
        <v>2463473</v>
      </c>
      <c r="Q322" s="8">
        <v>8739134</v>
      </c>
      <c r="S322" s="8">
        <v>11202607</v>
      </c>
      <c r="U322" s="8">
        <f>452873+4744000+167929</f>
        <v>5364802</v>
      </c>
      <c r="W322" s="8">
        <v>0</v>
      </c>
      <c r="Y322" s="8">
        <f>2515533+356558+1626146+44985</f>
        <v>4543222</v>
      </c>
      <c r="AA322" s="14">
        <f t="shared" si="31"/>
        <v>9908024</v>
      </c>
      <c r="AC322" s="8">
        <f t="shared" si="32"/>
        <v>0</v>
      </c>
    </row>
    <row r="323" spans="1:31">
      <c r="A323" s="13" t="s">
        <v>246</v>
      </c>
      <c r="B323" s="13"/>
      <c r="C323" s="13" t="s">
        <v>242</v>
      </c>
      <c r="D323" s="13"/>
      <c r="E323" s="32">
        <v>46128</v>
      </c>
      <c r="G323" s="8">
        <v>11527940</v>
      </c>
      <c r="I323" s="8">
        <v>0</v>
      </c>
      <c r="K323" s="3">
        <f t="shared" si="29"/>
        <v>15503221</v>
      </c>
      <c r="M323" s="8">
        <v>27031161</v>
      </c>
      <c r="O323" s="3">
        <f t="shared" si="30"/>
        <v>1209514</v>
      </c>
      <c r="Q323" s="8">
        <v>13788818</v>
      </c>
      <c r="S323" s="8">
        <v>14998332</v>
      </c>
      <c r="U323" s="8">
        <f>269732+1744+335353+1335000</f>
        <v>1941829</v>
      </c>
      <c r="W323" s="8">
        <v>0</v>
      </c>
      <c r="Y323" s="8">
        <f>1263772+412350+8414878</f>
        <v>10091000</v>
      </c>
      <c r="AA323" s="14">
        <f t="shared" si="31"/>
        <v>12032829</v>
      </c>
      <c r="AC323" s="8">
        <f t="shared" si="32"/>
        <v>0</v>
      </c>
    </row>
    <row r="324" spans="1:31" hidden="1">
      <c r="A324" s="12" t="s">
        <v>993</v>
      </c>
      <c r="B324" s="12"/>
      <c r="C324" s="12" t="s">
        <v>41</v>
      </c>
      <c r="D324" s="13"/>
      <c r="E324" s="32"/>
      <c r="G324" s="8">
        <v>3941879</v>
      </c>
      <c r="I324" s="8">
        <v>725465</v>
      </c>
      <c r="K324" s="3">
        <f t="shared" si="29"/>
        <v>0</v>
      </c>
      <c r="M324" s="8">
        <v>4667344</v>
      </c>
      <c r="O324" s="3"/>
      <c r="U324" s="8">
        <f>269029+574994+120163+30308</f>
        <v>994494</v>
      </c>
      <c r="Y324" s="8">
        <f>2266587+400313+547113+458837</f>
        <v>3672850</v>
      </c>
      <c r="AA324" s="14">
        <f t="shared" si="31"/>
        <v>4667344</v>
      </c>
      <c r="AC324" s="8">
        <f t="shared" si="32"/>
        <v>0</v>
      </c>
    </row>
    <row r="325" spans="1:31">
      <c r="A325" s="13" t="s">
        <v>246</v>
      </c>
      <c r="B325" s="13"/>
      <c r="C325" s="13" t="s">
        <v>112</v>
      </c>
      <c r="D325" s="13"/>
      <c r="E325" s="32">
        <v>49452</v>
      </c>
      <c r="G325" s="8">
        <v>10156474</v>
      </c>
      <c r="I325" s="8">
        <v>561521</v>
      </c>
      <c r="K325" s="3">
        <f t="shared" si="29"/>
        <v>13228286</v>
      </c>
      <c r="M325" s="8">
        <v>23946281</v>
      </c>
      <c r="O325" s="3">
        <f t="shared" si="30"/>
        <v>13662408</v>
      </c>
      <c r="Q325" s="8">
        <v>1785316</v>
      </c>
      <c r="S325" s="8">
        <v>15447724</v>
      </c>
      <c r="U325" s="8">
        <f>67855+14160+1951927+504329+57192</f>
        <v>2595463</v>
      </c>
      <c r="W325" s="8">
        <v>0</v>
      </c>
      <c r="Y325" s="8">
        <f>5844938+58156</f>
        <v>5903094</v>
      </c>
      <c r="AA325" s="14">
        <f t="shared" si="31"/>
        <v>8498557</v>
      </c>
      <c r="AC325" s="8">
        <f t="shared" si="32"/>
        <v>0</v>
      </c>
    </row>
    <row r="326" spans="1:31">
      <c r="A326" s="12" t="s">
        <v>1023</v>
      </c>
      <c r="B326" s="12"/>
      <c r="C326" s="12" t="s">
        <v>505</v>
      </c>
      <c r="D326" s="13"/>
      <c r="E326" s="32"/>
      <c r="G326" s="8">
        <v>8297839</v>
      </c>
      <c r="I326" s="8">
        <v>109928</v>
      </c>
      <c r="K326" s="3">
        <f t="shared" si="29"/>
        <v>5680187</v>
      </c>
      <c r="M326" s="8">
        <v>14087954</v>
      </c>
      <c r="O326" s="3">
        <f t="shared" si="30"/>
        <v>1546810</v>
      </c>
      <c r="Q326" s="8">
        <v>4283403</v>
      </c>
      <c r="S326" s="8">
        <v>5830213</v>
      </c>
      <c r="U326" s="8">
        <f>115381+1394623+109928</f>
        <v>1619932</v>
      </c>
      <c r="W326" s="8">
        <v>540000</v>
      </c>
      <c r="Y326" s="8">
        <f>5193516+40942+35645+827706</f>
        <v>6097809</v>
      </c>
      <c r="AA326" s="14">
        <f t="shared" si="31"/>
        <v>8257741</v>
      </c>
      <c r="AC326" s="8">
        <f t="shared" si="32"/>
        <v>0</v>
      </c>
    </row>
    <row r="327" spans="1:31">
      <c r="A327" s="13" t="s">
        <v>819</v>
      </c>
      <c r="B327" s="13"/>
      <c r="C327" s="13" t="s">
        <v>208</v>
      </c>
      <c r="D327" s="13"/>
      <c r="E327" s="32"/>
      <c r="G327" s="8">
        <v>5732366</v>
      </c>
      <c r="I327" s="8">
        <v>39134</v>
      </c>
      <c r="K327" s="3">
        <f t="shared" si="29"/>
        <v>7526302</v>
      </c>
      <c r="M327" s="8">
        <v>13297802</v>
      </c>
      <c r="O327" s="3">
        <f t="shared" si="30"/>
        <v>1131975</v>
      </c>
      <c r="Q327" s="8">
        <v>7190775</v>
      </c>
      <c r="S327" s="8">
        <v>8322750</v>
      </c>
      <c r="U327" s="8">
        <v>109044</v>
      </c>
      <c r="W327" s="8">
        <v>0</v>
      </c>
      <c r="Y327" s="8">
        <f>2078571+119146+2495219+173072</f>
        <v>4866008</v>
      </c>
      <c r="AA327" s="14">
        <f t="shared" si="31"/>
        <v>4975052</v>
      </c>
      <c r="AC327" s="8">
        <f t="shared" si="32"/>
        <v>0</v>
      </c>
    </row>
    <row r="328" spans="1:31">
      <c r="A328" s="13" t="s">
        <v>612</v>
      </c>
      <c r="B328" s="13"/>
      <c r="C328" s="13" t="s">
        <v>112</v>
      </c>
      <c r="D328" s="13"/>
      <c r="E328" s="32">
        <v>44297</v>
      </c>
      <c r="G328" s="8">
        <v>20021633</v>
      </c>
      <c r="I328" s="8">
        <v>148824</v>
      </c>
      <c r="K328" s="3">
        <f t="shared" si="29"/>
        <v>25567916</v>
      </c>
      <c r="M328" s="8">
        <v>45738373</v>
      </c>
      <c r="O328" s="3">
        <f t="shared" si="30"/>
        <v>21956147</v>
      </c>
      <c r="Q328" s="8">
        <v>6026485</v>
      </c>
      <c r="S328" s="8">
        <v>27982632</v>
      </c>
      <c r="U328" s="8">
        <f>901504+150122+24871+3556552+9810765+148824</f>
        <v>14592638</v>
      </c>
      <c r="W328" s="8">
        <v>0</v>
      </c>
      <c r="Y328" s="8">
        <f>2000965+5540346-4378208</f>
        <v>3163103</v>
      </c>
      <c r="AA328" s="14">
        <f t="shared" si="31"/>
        <v>17755741</v>
      </c>
      <c r="AC328" s="8">
        <f t="shared" si="32"/>
        <v>0</v>
      </c>
    </row>
    <row r="329" spans="1:31">
      <c r="A329" s="12" t="s">
        <v>311</v>
      </c>
      <c r="B329" s="13"/>
      <c r="C329" s="13" t="s">
        <v>20</v>
      </c>
      <c r="D329" s="13"/>
      <c r="E329" s="13">
        <v>44305</v>
      </c>
      <c r="G329" s="8">
        <v>67199686</v>
      </c>
      <c r="I329" s="8">
        <v>338718</v>
      </c>
      <c r="K329" s="3">
        <f t="shared" si="29"/>
        <v>64044074</v>
      </c>
      <c r="M329" s="8">
        <v>131582478</v>
      </c>
      <c r="O329" s="3">
        <f t="shared" si="30"/>
        <v>7625242</v>
      </c>
      <c r="Q329" s="8">
        <v>60931341</v>
      </c>
      <c r="S329" s="8">
        <v>68556583</v>
      </c>
      <c r="U329" s="8">
        <f>452719+2867945+338718</f>
        <v>3659382</v>
      </c>
      <c r="W329" s="8">
        <v>0</v>
      </c>
      <c r="Y329" s="8">
        <f>58887447+9111+483539-13584</f>
        <v>59366513</v>
      </c>
      <c r="AA329" s="14">
        <f t="shared" si="31"/>
        <v>63025895</v>
      </c>
      <c r="AC329" s="8">
        <f t="shared" si="32"/>
        <v>0</v>
      </c>
      <c r="AE329" s="15" t="s">
        <v>905</v>
      </c>
    </row>
    <row r="330" spans="1:31">
      <c r="A330" s="13" t="s">
        <v>216</v>
      </c>
      <c r="B330" s="13"/>
      <c r="C330" s="13" t="s">
        <v>11</v>
      </c>
      <c r="D330" s="13"/>
      <c r="E330" s="32">
        <v>45831</v>
      </c>
      <c r="G330" s="8">
        <v>2669565</v>
      </c>
      <c r="I330" s="8">
        <v>32439</v>
      </c>
      <c r="K330" s="3">
        <f t="shared" si="29"/>
        <v>2914657</v>
      </c>
      <c r="M330" s="8">
        <v>5616661</v>
      </c>
      <c r="O330" s="3">
        <f t="shared" si="30"/>
        <v>2705045</v>
      </c>
      <c r="Q330" s="8">
        <v>195180</v>
      </c>
      <c r="S330" s="8">
        <v>2900225</v>
      </c>
      <c r="U330" s="8">
        <f>133773+6043+63545+775314+400014+32439</f>
        <v>1411128</v>
      </c>
      <c r="W330" s="8">
        <v>0</v>
      </c>
      <c r="Y330" s="8">
        <f>488421+834034-17147</f>
        <v>1305308</v>
      </c>
      <c r="AA330" s="14">
        <f t="shared" si="31"/>
        <v>2716436</v>
      </c>
      <c r="AC330" s="8">
        <f t="shared" si="32"/>
        <v>0</v>
      </c>
    </row>
    <row r="331" spans="1:31">
      <c r="A331" s="13" t="s">
        <v>687</v>
      </c>
      <c r="B331" s="13"/>
      <c r="C331" s="13" t="s">
        <v>64</v>
      </c>
      <c r="D331" s="13"/>
      <c r="E331" s="32">
        <v>50211</v>
      </c>
      <c r="G331" s="8">
        <v>2766124</v>
      </c>
      <c r="I331" s="8">
        <v>482494</v>
      </c>
      <c r="K331" s="3">
        <f t="shared" si="29"/>
        <v>2940320</v>
      </c>
      <c r="M331" s="8">
        <v>6188938</v>
      </c>
      <c r="O331" s="3">
        <f t="shared" si="30"/>
        <v>3752002</v>
      </c>
      <c r="Q331" s="8">
        <v>215759</v>
      </c>
      <c r="S331" s="8">
        <v>3967761</v>
      </c>
      <c r="U331" s="8">
        <f>6048+5460+1184+11395+84664+482494</f>
        <v>591245</v>
      </c>
      <c r="W331" s="8">
        <v>0</v>
      </c>
      <c r="Y331" s="8">
        <f>1003750+125503+500679</f>
        <v>1629932</v>
      </c>
      <c r="AA331" s="14">
        <f t="shared" si="31"/>
        <v>2221177</v>
      </c>
      <c r="AC331" s="8">
        <f t="shared" si="32"/>
        <v>0</v>
      </c>
    </row>
    <row r="332" spans="1:31">
      <c r="A332" s="13" t="s">
        <v>339</v>
      </c>
      <c r="B332" s="13"/>
      <c r="C332" s="13" t="s">
        <v>24</v>
      </c>
      <c r="D332" s="13"/>
      <c r="E332" s="32">
        <v>46805</v>
      </c>
      <c r="G332" s="8">
        <v>1026447</v>
      </c>
      <c r="I332" s="8">
        <v>0</v>
      </c>
      <c r="K332" s="3">
        <f t="shared" si="29"/>
        <v>6651046</v>
      </c>
      <c r="M332" s="8">
        <v>7677493</v>
      </c>
      <c r="O332" s="3">
        <f t="shared" si="30"/>
        <v>5891144</v>
      </c>
      <c r="Q332" s="8">
        <v>1701350</v>
      </c>
      <c r="S332" s="8">
        <v>7592494</v>
      </c>
      <c r="U332" s="8">
        <f>328511+4646+50000+583989</f>
        <v>967146</v>
      </c>
      <c r="W332" s="8">
        <v>0</v>
      </c>
      <c r="Y332" s="8">
        <f>-819531-26851-35765</f>
        <v>-882147</v>
      </c>
      <c r="AA332" s="14">
        <f t="shared" si="31"/>
        <v>84999</v>
      </c>
      <c r="AC332" s="8">
        <f t="shared" si="32"/>
        <v>0</v>
      </c>
    </row>
    <row r="333" spans="1:31">
      <c r="A333" s="13" t="s">
        <v>399</v>
      </c>
      <c r="B333" s="13"/>
      <c r="C333" s="13" t="s">
        <v>32</v>
      </c>
      <c r="D333" s="13"/>
      <c r="E333" s="32">
        <v>44313</v>
      </c>
      <c r="G333" s="8">
        <v>6105029</v>
      </c>
      <c r="I333" s="8">
        <v>140000</v>
      </c>
      <c r="K333" s="3">
        <f t="shared" si="29"/>
        <v>14616701</v>
      </c>
      <c r="M333" s="8">
        <v>20861730</v>
      </c>
      <c r="O333" s="3">
        <f t="shared" si="30"/>
        <v>2383117</v>
      </c>
      <c r="Q333" s="8">
        <v>9157584</v>
      </c>
      <c r="S333" s="8">
        <v>11540701</v>
      </c>
      <c r="U333" s="8">
        <f>5435700+21840+4716+140000</f>
        <v>5602256</v>
      </c>
      <c r="W333" s="8">
        <v>0</v>
      </c>
      <c r="Y333" s="8">
        <f>2976077+110501+525581+106614</f>
        <v>3718773</v>
      </c>
      <c r="AA333" s="14">
        <f t="shared" si="31"/>
        <v>9321029</v>
      </c>
      <c r="AC333" s="8">
        <f t="shared" si="32"/>
        <v>0</v>
      </c>
    </row>
    <row r="334" spans="1:31" hidden="1">
      <c r="A334" s="12" t="s">
        <v>832</v>
      </c>
      <c r="B334" s="13"/>
      <c r="C334" s="13" t="s">
        <v>70</v>
      </c>
      <c r="D334" s="13"/>
      <c r="E334" s="32">
        <v>44321</v>
      </c>
      <c r="G334" s="8">
        <v>4676457</v>
      </c>
      <c r="I334" s="8">
        <v>138543</v>
      </c>
      <c r="K334" s="3">
        <f t="shared" si="29"/>
        <v>0</v>
      </c>
      <c r="M334" s="8">
        <v>4815000</v>
      </c>
      <c r="O334" s="3">
        <f t="shared" si="30"/>
        <v>0</v>
      </c>
      <c r="U334" s="8">
        <f>282308+48801+64324+19752+5666</f>
        <v>420851</v>
      </c>
      <c r="W334" s="8">
        <v>0</v>
      </c>
      <c r="Y334" s="8">
        <f>2801045+737015+856089</f>
        <v>4394149</v>
      </c>
      <c r="AA334" s="14">
        <f t="shared" si="31"/>
        <v>4815000</v>
      </c>
      <c r="AC334" s="8">
        <f t="shared" si="32"/>
        <v>0</v>
      </c>
      <c r="AE334" s="8" t="s">
        <v>956</v>
      </c>
    </row>
    <row r="335" spans="1:31">
      <c r="A335" s="13" t="s">
        <v>521</v>
      </c>
      <c r="B335" s="13"/>
      <c r="C335" s="13" t="s">
        <v>46</v>
      </c>
      <c r="D335" s="13"/>
      <c r="E335" s="32">
        <v>44339</v>
      </c>
      <c r="G335" s="8">
        <v>15479483</v>
      </c>
      <c r="I335" s="8">
        <v>1815570</v>
      </c>
      <c r="K335" s="3">
        <f t="shared" si="29"/>
        <v>13172812</v>
      </c>
      <c r="M335" s="8">
        <v>30467865</v>
      </c>
      <c r="O335" s="3">
        <f t="shared" si="30"/>
        <v>6749337</v>
      </c>
      <c r="Q335" s="8">
        <v>8494005</v>
      </c>
      <c r="S335" s="8">
        <v>15243342</v>
      </c>
      <c r="U335" s="8">
        <f>3280124+1815570+986099+2708</f>
        <v>6084501</v>
      </c>
      <c r="W335" s="8">
        <v>0</v>
      </c>
      <c r="Y335" s="8">
        <f>8018132+348703+562239+210948</f>
        <v>9140022</v>
      </c>
      <c r="AA335" s="14">
        <f t="shared" si="31"/>
        <v>15224523</v>
      </c>
      <c r="AC335" s="8">
        <f t="shared" si="32"/>
        <v>0</v>
      </c>
    </row>
    <row r="336" spans="1:31" hidden="1">
      <c r="A336" s="12" t="s">
        <v>998</v>
      </c>
      <c r="B336" s="12"/>
      <c r="C336" s="12" t="s">
        <v>534</v>
      </c>
      <c r="D336" s="13"/>
      <c r="E336" s="32"/>
      <c r="G336" s="8">
        <v>2628680</v>
      </c>
      <c r="I336" s="8">
        <v>255653</v>
      </c>
      <c r="K336" s="3">
        <f t="shared" si="29"/>
        <v>0</v>
      </c>
      <c r="M336" s="8">
        <v>2884333</v>
      </c>
      <c r="O336" s="3"/>
      <c r="U336" s="8">
        <f>472006+248502+7151</f>
        <v>727659</v>
      </c>
      <c r="W336" s="8">
        <v>66601</v>
      </c>
      <c r="Y336" s="8">
        <f>947424+567635+280966+294048</f>
        <v>2090073</v>
      </c>
      <c r="AA336" s="14">
        <f t="shared" si="31"/>
        <v>2884333</v>
      </c>
      <c r="AC336" s="8">
        <f t="shared" si="32"/>
        <v>0</v>
      </c>
    </row>
    <row r="337" spans="1:31">
      <c r="A337" s="13" t="s">
        <v>655</v>
      </c>
      <c r="B337" s="13"/>
      <c r="C337" s="13" t="s">
        <v>62</v>
      </c>
      <c r="D337" s="13"/>
      <c r="E337" s="32">
        <v>49882</v>
      </c>
      <c r="G337" s="8">
        <v>7731774</v>
      </c>
      <c r="I337" s="8">
        <v>120441</v>
      </c>
      <c r="K337" s="3">
        <f t="shared" si="29"/>
        <v>9814656</v>
      </c>
      <c r="M337" s="8">
        <v>17666871</v>
      </c>
      <c r="O337" s="3">
        <f t="shared" si="30"/>
        <v>11307999</v>
      </c>
      <c r="Q337" s="8">
        <v>743933</v>
      </c>
      <c r="S337" s="8">
        <v>12051932</v>
      </c>
      <c r="U337" s="8">
        <f>350062+143713+20989+561380+120441</f>
        <v>1196585</v>
      </c>
      <c r="W337" s="8">
        <v>476349</v>
      </c>
      <c r="Y337" s="8">
        <f>3175854+488648+277503</f>
        <v>3942005</v>
      </c>
      <c r="AA337" s="14">
        <f t="shared" si="31"/>
        <v>5614939</v>
      </c>
      <c r="AC337" s="8">
        <f t="shared" si="32"/>
        <v>0</v>
      </c>
    </row>
    <row r="338" spans="1:31">
      <c r="A338" s="13" t="s">
        <v>233</v>
      </c>
      <c r="B338" s="13"/>
      <c r="C338" s="13" t="s">
        <v>15</v>
      </c>
      <c r="D338" s="13"/>
      <c r="E338" s="32">
        <v>44347</v>
      </c>
      <c r="G338" s="8">
        <v>976422</v>
      </c>
      <c r="I338" s="8">
        <v>28137</v>
      </c>
      <c r="K338" s="3">
        <f t="shared" si="29"/>
        <v>3666915</v>
      </c>
      <c r="M338" s="8">
        <v>4671474</v>
      </c>
      <c r="O338" s="3">
        <f t="shared" si="30"/>
        <v>2619765</v>
      </c>
      <c r="Q338" s="8">
        <v>2954047</v>
      </c>
      <c r="S338" s="8">
        <v>5573812</v>
      </c>
      <c r="U338" s="8">
        <f>272530+192218+23778</f>
        <v>488526</v>
      </c>
      <c r="W338" s="8">
        <v>0</v>
      </c>
      <c r="Y338" s="8">
        <f>128435+667379+149256-2335934</f>
        <v>-1390864</v>
      </c>
      <c r="AA338" s="14">
        <f t="shared" si="31"/>
        <v>-902338</v>
      </c>
      <c r="AC338" s="8">
        <f t="shared" si="32"/>
        <v>0</v>
      </c>
    </row>
    <row r="339" spans="1:31">
      <c r="A339" s="13" t="s">
        <v>703</v>
      </c>
      <c r="B339" s="13"/>
      <c r="C339" s="13" t="s">
        <v>66</v>
      </c>
      <c r="D339" s="13"/>
      <c r="E339" s="32">
        <v>45476</v>
      </c>
      <c r="G339" s="8">
        <v>8633215</v>
      </c>
      <c r="I339" s="8">
        <v>0</v>
      </c>
      <c r="K339" s="3">
        <f t="shared" si="29"/>
        <v>36305491</v>
      </c>
      <c r="M339" s="8">
        <v>44938706</v>
      </c>
      <c r="O339" s="3">
        <f t="shared" si="30"/>
        <v>7687973</v>
      </c>
      <c r="Q339" s="8">
        <f>30912059+21265</f>
        <v>30933324</v>
      </c>
      <c r="S339" s="8">
        <v>38621297</v>
      </c>
      <c r="U339" s="8">
        <f>1518527+74578+1309307+2254591</f>
        <v>5157003</v>
      </c>
      <c r="W339" s="8">
        <v>0</v>
      </c>
      <c r="Y339" s="8">
        <f>4484233+411028-3734855</f>
        <v>1160406</v>
      </c>
      <c r="AA339" s="14">
        <f t="shared" si="31"/>
        <v>6317409</v>
      </c>
      <c r="AC339" s="8">
        <f t="shared" si="32"/>
        <v>0</v>
      </c>
    </row>
    <row r="340" spans="1:31">
      <c r="A340" s="13" t="s">
        <v>712</v>
      </c>
      <c r="B340" s="13"/>
      <c r="C340" s="13" t="s">
        <v>69</v>
      </c>
      <c r="D340" s="13"/>
      <c r="E340" s="32">
        <v>50450</v>
      </c>
      <c r="G340" s="8">
        <v>76713699</v>
      </c>
      <c r="I340" s="8">
        <v>85593</v>
      </c>
      <c r="K340" s="3">
        <f t="shared" si="29"/>
        <v>73882478</v>
      </c>
      <c r="M340" s="8">
        <v>150681770</v>
      </c>
      <c r="O340" s="3">
        <f t="shared" si="30"/>
        <v>25284049</v>
      </c>
      <c r="Q340" s="8">
        <v>64177492</v>
      </c>
      <c r="S340" s="8">
        <v>89461541</v>
      </c>
      <c r="U340" s="8">
        <f>6333278+28610+5571780+85593</f>
        <v>12019261</v>
      </c>
      <c r="W340" s="8">
        <v>0</v>
      </c>
      <c r="Y340" s="8">
        <f>39626965+3322528+8888165-2636690</f>
        <v>49200968</v>
      </c>
      <c r="AA340" s="14">
        <f t="shared" si="31"/>
        <v>61220229</v>
      </c>
      <c r="AC340" s="8">
        <f t="shared" si="32"/>
        <v>0</v>
      </c>
    </row>
    <row r="341" spans="1:31">
      <c r="A341" s="13" t="s">
        <v>656</v>
      </c>
      <c r="B341" s="13"/>
      <c r="C341" s="13" t="s">
        <v>62</v>
      </c>
      <c r="D341" s="13"/>
      <c r="E341" s="32">
        <v>44354</v>
      </c>
      <c r="G341" s="8">
        <v>16310206</v>
      </c>
      <c r="I341" s="8">
        <v>245262</v>
      </c>
      <c r="K341" s="3">
        <f t="shared" si="29"/>
        <v>17892447</v>
      </c>
      <c r="M341" s="8">
        <v>34447915</v>
      </c>
      <c r="O341" s="3">
        <f t="shared" si="30"/>
        <v>6097649</v>
      </c>
      <c r="Q341" s="8">
        <v>16120924</v>
      </c>
      <c r="S341" s="8">
        <v>22218573</v>
      </c>
      <c r="U341" s="8">
        <f>1023428+34901+909590+210361</f>
        <v>2178280</v>
      </c>
      <c r="W341" s="8">
        <v>0</v>
      </c>
      <c r="Y341" s="8">
        <f>4164796+1597873+1672607+2615786</f>
        <v>10051062</v>
      </c>
      <c r="AA341" s="14">
        <f t="shared" si="31"/>
        <v>12229342</v>
      </c>
      <c r="AC341" s="8">
        <f t="shared" si="32"/>
        <v>0</v>
      </c>
    </row>
    <row r="342" spans="1:31">
      <c r="A342" s="13" t="s">
        <v>688</v>
      </c>
      <c r="B342" s="13"/>
      <c r="C342" s="13" t="s">
        <v>64</v>
      </c>
      <c r="D342" s="13"/>
      <c r="E342" s="32">
        <v>50153</v>
      </c>
      <c r="G342" s="8">
        <v>1892776</v>
      </c>
      <c r="I342" s="8">
        <v>8740</v>
      </c>
      <c r="K342" s="3">
        <f t="shared" si="29"/>
        <v>4858035</v>
      </c>
      <c r="M342" s="8">
        <v>6759551</v>
      </c>
      <c r="O342" s="3">
        <f t="shared" si="30"/>
        <v>5378458</v>
      </c>
      <c r="Q342" s="8">
        <v>528619</v>
      </c>
      <c r="S342" s="8">
        <v>5907077</v>
      </c>
      <c r="U342" s="8">
        <f>80731+36692+31898+29389+8740</f>
        <v>187450</v>
      </c>
      <c r="W342" s="8">
        <v>0</v>
      </c>
      <c r="Y342" s="8">
        <f>477618+111425+75981</f>
        <v>665024</v>
      </c>
      <c r="AA342" s="14">
        <f t="shared" si="31"/>
        <v>852474</v>
      </c>
      <c r="AC342" s="8">
        <f t="shared" si="32"/>
        <v>0</v>
      </c>
    </row>
    <row r="343" spans="1:31">
      <c r="A343" s="13" t="s">
        <v>497</v>
      </c>
      <c r="B343" s="13"/>
      <c r="C343" s="13" t="s">
        <v>117</v>
      </c>
      <c r="D343" s="13"/>
      <c r="E343" s="32">
        <v>44362</v>
      </c>
      <c r="G343" s="8">
        <v>4077303</v>
      </c>
      <c r="I343" s="8">
        <v>134017</v>
      </c>
      <c r="K343" s="3">
        <f t="shared" si="29"/>
        <v>21344755</v>
      </c>
      <c r="M343" s="8">
        <v>25556075</v>
      </c>
      <c r="O343" s="3">
        <f t="shared" si="30"/>
        <v>23273719</v>
      </c>
      <c r="Q343" s="8">
        <v>1506102</v>
      </c>
      <c r="S343" s="8">
        <v>24779821</v>
      </c>
      <c r="U343" s="8">
        <f>183901+121957+12060+30471+769870+31385+1164043</f>
        <v>2313687</v>
      </c>
      <c r="W343" s="8">
        <v>0</v>
      </c>
      <c r="Y343" s="8">
        <f>629363+270279-2437075</f>
        <v>-1537433</v>
      </c>
      <c r="AA343" s="14">
        <f t="shared" si="31"/>
        <v>776254</v>
      </c>
      <c r="AC343" s="8">
        <f t="shared" si="32"/>
        <v>0</v>
      </c>
    </row>
    <row r="344" spans="1:31">
      <c r="A344" s="12" t="s">
        <v>1071</v>
      </c>
      <c r="B344" s="13"/>
      <c r="C344" s="13" t="s">
        <v>20</v>
      </c>
      <c r="D344" s="13"/>
      <c r="E344" s="32">
        <v>44370</v>
      </c>
      <c r="G344" s="8">
        <v>25641986</v>
      </c>
      <c r="I344" s="8">
        <v>0</v>
      </c>
      <c r="K344" s="3">
        <f t="shared" si="29"/>
        <v>53451524</v>
      </c>
      <c r="M344" s="8">
        <v>79093510</v>
      </c>
      <c r="O344" s="3">
        <f t="shared" si="30"/>
        <v>9004800</v>
      </c>
      <c r="Q344" s="8">
        <v>44098429</v>
      </c>
      <c r="S344" s="8">
        <v>53103229</v>
      </c>
      <c r="U344" s="8">
        <f>2740976+7531242</f>
        <v>10272218</v>
      </c>
      <c r="W344" s="8">
        <v>0</v>
      </c>
      <c r="Y344" s="8">
        <f>8790554+2492277+2238604+2196628</f>
        <v>15718063</v>
      </c>
      <c r="AA344" s="14">
        <f t="shared" si="31"/>
        <v>25990281</v>
      </c>
      <c r="AC344" s="8">
        <f t="shared" si="32"/>
        <v>0</v>
      </c>
      <c r="AE344" s="15" t="s">
        <v>905</v>
      </c>
    </row>
    <row r="345" spans="1:31">
      <c r="A345" s="13" t="s">
        <v>565</v>
      </c>
      <c r="B345" s="13"/>
      <c r="C345" s="13" t="s">
        <v>51</v>
      </c>
      <c r="D345" s="13"/>
      <c r="E345" s="32">
        <v>48850</v>
      </c>
      <c r="G345" s="8">
        <v>6744815</v>
      </c>
      <c r="I345" s="8">
        <v>43753</v>
      </c>
      <c r="K345" s="3">
        <f t="shared" si="29"/>
        <v>4573251</v>
      </c>
      <c r="M345" s="8">
        <v>11361819</v>
      </c>
      <c r="O345" s="3">
        <f t="shared" si="30"/>
        <v>3197835</v>
      </c>
      <c r="Q345" s="8">
        <v>4082761</v>
      </c>
      <c r="S345" s="8">
        <v>7280596</v>
      </c>
      <c r="U345" s="8">
        <f>122749+43753+120768</f>
        <v>287270</v>
      </c>
      <c r="W345" s="8">
        <v>0</v>
      </c>
      <c r="Y345" s="8">
        <f>406872+1226717+380656+1779708</f>
        <v>3793953</v>
      </c>
      <c r="AA345" s="14">
        <f t="shared" si="31"/>
        <v>4081223</v>
      </c>
      <c r="AC345" s="8">
        <f t="shared" si="32"/>
        <v>0</v>
      </c>
    </row>
    <row r="346" spans="1:31" hidden="1">
      <c r="A346" s="12" t="s">
        <v>885</v>
      </c>
      <c r="B346" s="13"/>
      <c r="C346" s="13" t="s">
        <v>33</v>
      </c>
      <c r="D346" s="13"/>
      <c r="E346" s="32">
        <v>47456</v>
      </c>
      <c r="G346" s="8">
        <v>2405033</v>
      </c>
      <c r="K346" s="3">
        <f t="shared" si="29"/>
        <v>0</v>
      </c>
      <c r="M346" s="8">
        <v>2405033</v>
      </c>
      <c r="O346" s="3">
        <f t="shared" si="30"/>
        <v>0</v>
      </c>
      <c r="U346" s="8">
        <v>62054</v>
      </c>
      <c r="W346" s="8">
        <v>259626</v>
      </c>
      <c r="Y346" s="8">
        <f>1796679+20692+144082+121900</f>
        <v>2083353</v>
      </c>
      <c r="AA346" s="14">
        <f t="shared" si="31"/>
        <v>2405033</v>
      </c>
      <c r="AC346" s="8">
        <f t="shared" si="32"/>
        <v>0</v>
      </c>
    </row>
    <row r="347" spans="1:31">
      <c r="A347" s="13" t="s">
        <v>882</v>
      </c>
      <c r="B347" s="13"/>
      <c r="C347" s="13" t="s">
        <v>64</v>
      </c>
      <c r="D347" s="13"/>
      <c r="E347" s="32">
        <v>50229</v>
      </c>
      <c r="G347" s="8">
        <v>0</v>
      </c>
      <c r="I347" s="8">
        <v>0</v>
      </c>
      <c r="K347" s="3">
        <f t="shared" si="29"/>
        <v>1455183</v>
      </c>
      <c r="M347" s="8">
        <v>1455183</v>
      </c>
      <c r="O347" s="3">
        <f t="shared" si="30"/>
        <v>3771612</v>
      </c>
      <c r="Q347" s="8">
        <v>155221</v>
      </c>
      <c r="S347" s="8">
        <v>3926833</v>
      </c>
      <c r="U347" s="8">
        <f>72508+1561+43902+3866+991+9745</f>
        <v>132573</v>
      </c>
      <c r="W347" s="8">
        <v>0</v>
      </c>
      <c r="Y347" s="8">
        <f>-2216294-245939-141990</f>
        <v>-2604223</v>
      </c>
      <c r="AA347" s="14">
        <f t="shared" si="31"/>
        <v>-2471650</v>
      </c>
      <c r="AC347" s="8">
        <f t="shared" si="32"/>
        <v>0</v>
      </c>
    </row>
    <row r="348" spans="1:31">
      <c r="A348" s="13" t="s">
        <v>256</v>
      </c>
      <c r="B348" s="13"/>
      <c r="C348" s="13" t="s">
        <v>255</v>
      </c>
      <c r="D348" s="13"/>
      <c r="E348" s="32">
        <v>45484</v>
      </c>
      <c r="G348" s="8">
        <v>2755838</v>
      </c>
      <c r="I348" s="8">
        <v>41520</v>
      </c>
      <c r="K348" s="3">
        <f t="shared" si="29"/>
        <v>3074994</v>
      </c>
      <c r="M348" s="8">
        <v>5872352</v>
      </c>
      <c r="O348" s="3">
        <f t="shared" si="30"/>
        <v>3177709</v>
      </c>
      <c r="Q348" s="8">
        <v>135056</v>
      </c>
      <c r="S348" s="8">
        <v>3312765</v>
      </c>
      <c r="U348" s="8">
        <f>197654+4374+4287+135970+24392+17128+2000+196988</f>
        <v>582793</v>
      </c>
      <c r="W348" s="8">
        <v>0</v>
      </c>
      <c r="Y348" s="8">
        <f>1629439+113708+233647</f>
        <v>1976794</v>
      </c>
      <c r="AA348" s="14">
        <f t="shared" si="31"/>
        <v>2559587</v>
      </c>
      <c r="AC348" s="8">
        <f t="shared" si="32"/>
        <v>0</v>
      </c>
    </row>
    <row r="349" spans="1:31">
      <c r="A349" s="13" t="s">
        <v>529</v>
      </c>
      <c r="B349" s="13"/>
      <c r="C349" s="13" t="s">
        <v>47</v>
      </c>
      <c r="D349" s="13"/>
      <c r="E349" s="32">
        <v>44388</v>
      </c>
      <c r="G349" s="8">
        <v>34053790</v>
      </c>
      <c r="I349" s="8">
        <v>0</v>
      </c>
      <c r="K349" s="3">
        <f t="shared" si="29"/>
        <v>57061505</v>
      </c>
      <c r="M349" s="8">
        <v>91115295</v>
      </c>
      <c r="O349" s="3">
        <f t="shared" si="30"/>
        <v>12544488</v>
      </c>
      <c r="Q349" s="8">
        <v>51671391</v>
      </c>
      <c r="S349" s="8">
        <v>64215879</v>
      </c>
      <c r="U349" s="8">
        <f>4980156+4043375</f>
        <v>9023531</v>
      </c>
      <c r="W349" s="8">
        <v>0</v>
      </c>
      <c r="Y349" s="8">
        <f>6396755+1521634+5848813+4108683</f>
        <v>17875885</v>
      </c>
      <c r="AA349" s="14">
        <f t="shared" si="31"/>
        <v>26899416</v>
      </c>
      <c r="AC349" s="8">
        <f t="shared" si="32"/>
        <v>0</v>
      </c>
    </row>
    <row r="350" spans="1:31">
      <c r="A350" s="13" t="s">
        <v>532</v>
      </c>
      <c r="B350" s="13"/>
      <c r="C350" s="13" t="s">
        <v>531</v>
      </c>
      <c r="D350" s="13"/>
      <c r="E350" s="13">
        <v>48520</v>
      </c>
      <c r="G350" s="8">
        <v>1845590</v>
      </c>
      <c r="I350" s="8">
        <v>68154</v>
      </c>
      <c r="K350" s="3">
        <f t="shared" si="29"/>
        <v>4803317</v>
      </c>
      <c r="M350" s="8">
        <v>6717061</v>
      </c>
      <c r="O350" s="3">
        <f t="shared" si="30"/>
        <v>2551814</v>
      </c>
      <c r="Q350" s="8">
        <v>4164846</v>
      </c>
      <c r="S350" s="8">
        <v>6716660</v>
      </c>
      <c r="U350" s="8">
        <f>145906+55374+68154+64390+15880</f>
        <v>349704</v>
      </c>
      <c r="W350" s="8">
        <v>0</v>
      </c>
      <c r="Y350" s="8">
        <f>224760+526531+859518-1960112</f>
        <v>-349303</v>
      </c>
      <c r="AA350" s="14">
        <f t="shared" si="31"/>
        <v>401</v>
      </c>
      <c r="AC350" s="8">
        <f t="shared" si="32"/>
        <v>0</v>
      </c>
    </row>
    <row r="351" spans="1:31">
      <c r="A351" s="13" t="s">
        <v>460</v>
      </c>
      <c r="B351" s="13"/>
      <c r="C351" s="13" t="s">
        <v>41</v>
      </c>
      <c r="D351" s="13"/>
      <c r="E351" s="32">
        <v>45492</v>
      </c>
      <c r="G351" s="8">
        <v>56773220</v>
      </c>
      <c r="I351" s="8">
        <v>0</v>
      </c>
      <c r="K351" s="3">
        <f t="shared" si="29"/>
        <v>68021295</v>
      </c>
      <c r="M351" s="8">
        <v>124794515</v>
      </c>
      <c r="O351" s="3">
        <f t="shared" si="30"/>
        <v>17678576</v>
      </c>
      <c r="Q351" s="8">
        <v>62636330</v>
      </c>
      <c r="S351" s="8">
        <v>80314906</v>
      </c>
      <c r="U351" s="8">
        <f>3189540+4108395</f>
        <v>7297935</v>
      </c>
      <c r="W351" s="8">
        <v>0</v>
      </c>
      <c r="Y351" s="8">
        <f>36191024+924769+1033268-967387</f>
        <v>37181674</v>
      </c>
      <c r="AA351" s="14">
        <f t="shared" si="31"/>
        <v>44479609</v>
      </c>
      <c r="AC351" s="8">
        <f t="shared" si="32"/>
        <v>0</v>
      </c>
    </row>
    <row r="352" spans="1:31">
      <c r="A352" s="13" t="s">
        <v>537</v>
      </c>
      <c r="B352" s="13"/>
      <c r="C352" s="13" t="s">
        <v>48</v>
      </c>
      <c r="D352" s="13"/>
      <c r="E352" s="32">
        <v>48629</v>
      </c>
      <c r="G352" s="8">
        <v>16287286</v>
      </c>
      <c r="I352" s="8">
        <v>222818</v>
      </c>
      <c r="K352" s="3">
        <f t="shared" si="29"/>
        <v>16083940</v>
      </c>
      <c r="M352" s="8">
        <v>32594044</v>
      </c>
      <c r="O352" s="3">
        <f t="shared" si="30"/>
        <v>8160902</v>
      </c>
      <c r="Q352" s="8">
        <v>15203833</v>
      </c>
      <c r="S352" s="8">
        <v>23364735</v>
      </c>
      <c r="U352" s="8">
        <f>8630244+197360+209688+13130</f>
        <v>9050422</v>
      </c>
      <c r="W352" s="8">
        <v>0</v>
      </c>
      <c r="Y352" s="8">
        <f>243235+451560-207093-308815</f>
        <v>178887</v>
      </c>
      <c r="AA352" s="14">
        <f t="shared" si="31"/>
        <v>9229309</v>
      </c>
      <c r="AC352" s="8">
        <f t="shared" si="32"/>
        <v>0</v>
      </c>
    </row>
    <row r="353" spans="1:31">
      <c r="A353" s="13" t="s">
        <v>350</v>
      </c>
      <c r="B353" s="13"/>
      <c r="C353" s="13" t="s">
        <v>26</v>
      </c>
      <c r="D353" s="13"/>
      <c r="E353" s="32">
        <v>46920</v>
      </c>
      <c r="G353" s="8">
        <v>29744068</v>
      </c>
      <c r="I353" s="8">
        <v>473821</v>
      </c>
      <c r="K353" s="3">
        <f t="shared" si="29"/>
        <v>12910143</v>
      </c>
      <c r="M353" s="8">
        <v>43128032</v>
      </c>
      <c r="O353" s="3">
        <f t="shared" si="30"/>
        <v>3931764</v>
      </c>
      <c r="Q353" s="8">
        <v>6145792</v>
      </c>
      <c r="S353" s="8">
        <v>10077556</v>
      </c>
      <c r="U353" s="8">
        <f>5620170+10526+3998997+434361</f>
        <v>10064054</v>
      </c>
      <c r="W353" s="8">
        <v>2472516</v>
      </c>
      <c r="Y353" s="8">
        <f>774683+1192306+18546917</f>
        <v>20513906</v>
      </c>
      <c r="AA353" s="14">
        <f t="shared" si="31"/>
        <v>33050476</v>
      </c>
      <c r="AC353" s="8">
        <f t="shared" si="32"/>
        <v>0</v>
      </c>
    </row>
    <row r="354" spans="1:31">
      <c r="A354" s="13" t="s">
        <v>551</v>
      </c>
      <c r="B354" s="13"/>
      <c r="C354" s="13" t="s">
        <v>50</v>
      </c>
      <c r="D354" s="13"/>
      <c r="E354" s="13">
        <v>44396</v>
      </c>
      <c r="G354" s="8">
        <v>114451797</v>
      </c>
      <c r="I354" s="8">
        <v>0</v>
      </c>
      <c r="K354" s="3">
        <f t="shared" si="29"/>
        <v>31951743</v>
      </c>
      <c r="M354" s="8">
        <v>146403540</v>
      </c>
      <c r="O354" s="3">
        <f t="shared" si="30"/>
        <v>10780296</v>
      </c>
      <c r="Q354" s="8">
        <v>29666490</v>
      </c>
      <c r="S354" s="8">
        <v>40446786</v>
      </c>
      <c r="U354" s="8">
        <f>28015337+23421+1564265</f>
        <v>29603023</v>
      </c>
      <c r="W354" s="8">
        <v>0</v>
      </c>
      <c r="Y354" s="8">
        <f>1168108+25411824+51210210-1436411</f>
        <v>76353731</v>
      </c>
      <c r="AA354" s="14">
        <f t="shared" si="31"/>
        <v>105956754</v>
      </c>
      <c r="AC354" s="8">
        <f t="shared" si="32"/>
        <v>0</v>
      </c>
    </row>
    <row r="355" spans="1:31">
      <c r="A355" s="13" t="s">
        <v>247</v>
      </c>
      <c r="B355" s="13"/>
      <c r="C355" s="13" t="s">
        <v>242</v>
      </c>
      <c r="D355" s="13"/>
      <c r="E355" s="32">
        <v>44404</v>
      </c>
      <c r="F355" s="35"/>
      <c r="G355" s="8">
        <v>18160948</v>
      </c>
      <c r="I355" s="8">
        <v>24610</v>
      </c>
      <c r="K355" s="3">
        <f t="shared" si="29"/>
        <v>40126234</v>
      </c>
      <c r="M355" s="8">
        <v>58311792</v>
      </c>
      <c r="O355" s="3">
        <f t="shared" si="30"/>
        <v>46871738</v>
      </c>
      <c r="Q355" s="8">
        <v>4079334</v>
      </c>
      <c r="S355" s="8">
        <v>50951072</v>
      </c>
      <c r="U355" s="8">
        <f>1866824+4440+1324112+524309+24610</f>
        <v>3744295</v>
      </c>
      <c r="W355" s="8">
        <v>0</v>
      </c>
      <c r="Y355" s="8">
        <f>3774571+2352696-1245433-1265409</f>
        <v>3616425</v>
      </c>
      <c r="AA355" s="14">
        <f t="shared" si="31"/>
        <v>7360720</v>
      </c>
      <c r="AC355" s="8">
        <f t="shared" si="32"/>
        <v>0</v>
      </c>
    </row>
    <row r="356" spans="1:31">
      <c r="A356" s="13" t="s">
        <v>491</v>
      </c>
      <c r="B356" s="13"/>
      <c r="C356" s="13" t="s">
        <v>44</v>
      </c>
      <c r="D356" s="13"/>
      <c r="E356" s="32">
        <v>48173</v>
      </c>
      <c r="G356" s="8">
        <v>8840105</v>
      </c>
      <c r="I356" s="8">
        <v>79082</v>
      </c>
      <c r="K356" s="3">
        <f t="shared" si="29"/>
        <v>13009239</v>
      </c>
      <c r="M356" s="8">
        <v>21928426</v>
      </c>
      <c r="O356" s="3">
        <f t="shared" si="30"/>
        <v>3461245</v>
      </c>
      <c r="Q356" s="8">
        <v>11874814</v>
      </c>
      <c r="S356" s="8">
        <v>15336059</v>
      </c>
      <c r="U356" s="8">
        <f>13639+507053+149260+809465+79082</f>
        <v>1558499</v>
      </c>
      <c r="W356" s="8">
        <v>0</v>
      </c>
      <c r="Y356" s="8">
        <f>1297568+225203+5400+3505697</f>
        <v>5033868</v>
      </c>
      <c r="AA356" s="14">
        <f t="shared" si="31"/>
        <v>6592367</v>
      </c>
      <c r="AC356" s="8">
        <f t="shared" si="32"/>
        <v>0</v>
      </c>
      <c r="AE356" s="8" t="s">
        <v>956</v>
      </c>
    </row>
    <row r="357" spans="1:31">
      <c r="A357" s="13" t="s">
        <v>270</v>
      </c>
      <c r="B357" s="13"/>
      <c r="C357" s="13" t="s">
        <v>115</v>
      </c>
      <c r="D357" s="13"/>
      <c r="E357" s="32">
        <v>45500</v>
      </c>
      <c r="G357" s="8">
        <v>38415332</v>
      </c>
      <c r="I357" s="8">
        <v>0</v>
      </c>
      <c r="K357" s="3">
        <f t="shared" si="29"/>
        <v>39010624</v>
      </c>
      <c r="M357" s="8">
        <v>77425956</v>
      </c>
      <c r="O357" s="3">
        <f t="shared" si="30"/>
        <v>11093545</v>
      </c>
      <c r="Q357" s="8">
        <v>35749929</v>
      </c>
      <c r="S357" s="8">
        <v>46843474</v>
      </c>
      <c r="U357" s="8">
        <f>10055336+170761+2484000+12072</f>
        <v>12722169</v>
      </c>
      <c r="W357" s="8">
        <v>0</v>
      </c>
      <c r="Y357" s="8">
        <f>2674576+540984+2011158+12490994+142601</f>
        <v>17860313</v>
      </c>
      <c r="AA357" s="14">
        <f t="shared" si="31"/>
        <v>30582482</v>
      </c>
      <c r="AC357" s="8">
        <f t="shared" si="32"/>
        <v>0</v>
      </c>
    </row>
    <row r="358" spans="1:31" hidden="1">
      <c r="A358" s="12" t="s">
        <v>833</v>
      </c>
      <c r="B358" s="13"/>
      <c r="C358" s="13" t="s">
        <v>727</v>
      </c>
      <c r="D358" s="13"/>
      <c r="E358" s="32">
        <v>50633</v>
      </c>
      <c r="G358" s="8">
        <v>10393491</v>
      </c>
      <c r="I358" s="8">
        <v>98368</v>
      </c>
      <c r="K358" s="3">
        <f t="shared" si="29"/>
        <v>0</v>
      </c>
      <c r="M358" s="8">
        <v>10491859</v>
      </c>
      <c r="O358" s="3">
        <f t="shared" si="30"/>
        <v>0</v>
      </c>
      <c r="U358" s="8">
        <f>3285412+98368</f>
        <v>3383780</v>
      </c>
      <c r="W358" s="8">
        <v>0</v>
      </c>
      <c r="Y358" s="8">
        <f>846748+233742+340262+5687327</f>
        <v>7108079</v>
      </c>
      <c r="AA358" s="14">
        <f t="shared" si="31"/>
        <v>10491859</v>
      </c>
      <c r="AC358" s="8">
        <f t="shared" si="32"/>
        <v>0</v>
      </c>
    </row>
    <row r="359" spans="1:31" hidden="1">
      <c r="A359" s="88" t="s">
        <v>1001</v>
      </c>
      <c r="B359" s="13"/>
      <c r="C359" s="13" t="s">
        <v>603</v>
      </c>
      <c r="D359" s="13"/>
      <c r="E359" s="32">
        <v>49361</v>
      </c>
      <c r="K359" s="3">
        <f t="shared" si="29"/>
        <v>0</v>
      </c>
      <c r="O359" s="3">
        <f t="shared" si="30"/>
        <v>0</v>
      </c>
      <c r="W359" s="8">
        <v>0</v>
      </c>
      <c r="AA359" s="14">
        <f t="shared" si="31"/>
        <v>0</v>
      </c>
      <c r="AC359" s="8">
        <f t="shared" si="32"/>
        <v>0</v>
      </c>
      <c r="AE359" s="8" t="s">
        <v>967</v>
      </c>
    </row>
    <row r="360" spans="1:31">
      <c r="A360" s="13" t="s">
        <v>538</v>
      </c>
      <c r="B360" s="13"/>
      <c r="C360" s="13" t="s">
        <v>48</v>
      </c>
      <c r="D360" s="13"/>
      <c r="E360" s="32">
        <v>45518</v>
      </c>
      <c r="G360" s="8">
        <v>2423302</v>
      </c>
      <c r="I360" s="8">
        <f>71713+1086131</f>
        <v>1157844</v>
      </c>
      <c r="K360" s="3">
        <f t="shared" si="29"/>
        <v>51518765</v>
      </c>
      <c r="M360" s="8">
        <v>55099911</v>
      </c>
      <c r="O360" s="3">
        <f t="shared" si="30"/>
        <v>7452201</v>
      </c>
      <c r="Q360" s="8">
        <f>5075516+21776302</f>
        <v>26851818</v>
      </c>
      <c r="S360" s="8">
        <v>34304019</v>
      </c>
      <c r="U360" s="8">
        <f>2061434+29181+14097+1090650+221894+71713</f>
        <v>3488969</v>
      </c>
      <c r="W360" s="8">
        <v>0</v>
      </c>
      <c r="Y360" s="8">
        <f>3265591+356056+13685276</f>
        <v>17306923</v>
      </c>
      <c r="AA360" s="14">
        <f t="shared" si="31"/>
        <v>20795892</v>
      </c>
      <c r="AC360" s="8">
        <f t="shared" si="32"/>
        <v>0</v>
      </c>
    </row>
    <row r="361" spans="1:31">
      <c r="A361" s="13"/>
      <c r="B361" s="13"/>
      <c r="C361" s="13"/>
      <c r="D361" s="13"/>
      <c r="E361" s="32"/>
      <c r="K361" s="3"/>
      <c r="O361" s="3"/>
      <c r="AA361" s="14"/>
    </row>
    <row r="362" spans="1:31">
      <c r="A362" s="13"/>
      <c r="B362" s="13"/>
      <c r="C362" s="13"/>
      <c r="D362" s="13"/>
      <c r="E362" s="32"/>
      <c r="K362" s="3"/>
      <c r="O362" s="3"/>
      <c r="AA362" s="134" t="s">
        <v>805</v>
      </c>
    </row>
    <row r="363" spans="1:31">
      <c r="A363" s="13"/>
      <c r="B363" s="13"/>
      <c r="C363" s="13"/>
      <c r="D363" s="13"/>
      <c r="E363" s="32"/>
      <c r="K363" s="3"/>
      <c r="O363" s="3"/>
      <c r="AA363" s="14"/>
    </row>
    <row r="364" spans="1:31">
      <c r="A364" s="13" t="s">
        <v>657</v>
      </c>
      <c r="B364" s="13"/>
      <c r="C364" s="13" t="s">
        <v>62</v>
      </c>
      <c r="D364" s="13"/>
      <c r="E364" s="32">
        <v>49890</v>
      </c>
      <c r="G364" s="35">
        <v>4284350</v>
      </c>
      <c r="H364" s="35"/>
      <c r="I364" s="35">
        <v>63134</v>
      </c>
      <c r="J364" s="35"/>
      <c r="K364" s="42">
        <f t="shared" si="29"/>
        <v>7132972</v>
      </c>
      <c r="L364" s="35"/>
      <c r="M364" s="35">
        <v>11480456</v>
      </c>
      <c r="N364" s="35"/>
      <c r="O364" s="42">
        <f t="shared" si="30"/>
        <v>3332055</v>
      </c>
      <c r="P364" s="35"/>
      <c r="Q364" s="35">
        <v>5991543</v>
      </c>
      <c r="R364" s="35"/>
      <c r="S364" s="35">
        <v>9323598</v>
      </c>
      <c r="T364" s="35"/>
      <c r="U364" s="35">
        <f>1833164+10909+418895+63134</f>
        <v>2326102</v>
      </c>
      <c r="V364" s="35"/>
      <c r="W364" s="35">
        <v>0</v>
      </c>
      <c r="X364" s="35"/>
      <c r="Y364" s="35">
        <f>1421055+494623+128590-2213512</f>
        <v>-169244</v>
      </c>
      <c r="Z364" s="35"/>
      <c r="AA364" s="64">
        <f t="shared" si="31"/>
        <v>2156858</v>
      </c>
      <c r="AC364" s="8">
        <f t="shared" si="32"/>
        <v>0</v>
      </c>
    </row>
    <row r="365" spans="1:31">
      <c r="A365" s="13" t="s">
        <v>629</v>
      </c>
      <c r="B365" s="13"/>
      <c r="C365" s="13" t="s">
        <v>59</v>
      </c>
      <c r="D365" s="13"/>
      <c r="E365" s="32">
        <v>49627</v>
      </c>
      <c r="G365" s="8">
        <v>1588310</v>
      </c>
      <c r="I365" s="8">
        <v>201584</v>
      </c>
      <c r="K365" s="3">
        <f t="shared" si="29"/>
        <v>2424836</v>
      </c>
      <c r="M365" s="8">
        <v>4214730</v>
      </c>
      <c r="O365" s="3">
        <f t="shared" si="30"/>
        <v>1347440</v>
      </c>
      <c r="Q365" s="8">
        <v>2204144</v>
      </c>
      <c r="S365" s="8">
        <v>3551584</v>
      </c>
      <c r="U365" s="8">
        <f>225423+157977+201584</f>
        <v>584984</v>
      </c>
      <c r="W365" s="8">
        <v>0</v>
      </c>
      <c r="Y365" s="8">
        <f>218672+727245+41882-909637</f>
        <v>78162</v>
      </c>
      <c r="AA365" s="14">
        <f t="shared" si="31"/>
        <v>663146</v>
      </c>
      <c r="AC365" s="8">
        <f t="shared" si="32"/>
        <v>0</v>
      </c>
    </row>
    <row r="366" spans="1:31">
      <c r="A366" s="13" t="s">
        <v>226</v>
      </c>
      <c r="B366" s="13"/>
      <c r="C366" s="13" t="s">
        <v>14</v>
      </c>
      <c r="D366" s="13"/>
      <c r="E366" s="32">
        <v>45948</v>
      </c>
      <c r="G366" s="8">
        <v>1781453</v>
      </c>
      <c r="I366" s="8">
        <v>10076</v>
      </c>
      <c r="K366" s="3">
        <f t="shared" si="29"/>
        <v>4224015</v>
      </c>
      <c r="M366" s="8">
        <v>6015544</v>
      </c>
      <c r="O366" s="3">
        <f t="shared" si="30"/>
        <v>1168989</v>
      </c>
      <c r="Q366" s="8">
        <v>3543151</v>
      </c>
      <c r="S366" s="8">
        <v>4712140</v>
      </c>
      <c r="U366" s="8">
        <f>422303+7373+2703+46822</f>
        <v>479201</v>
      </c>
      <c r="W366" s="8">
        <v>0</v>
      </c>
      <c r="Y366" s="8">
        <f>213949+166317+413854+30083</f>
        <v>824203</v>
      </c>
      <c r="AA366" s="14">
        <f t="shared" si="31"/>
        <v>1303404</v>
      </c>
      <c r="AC366" s="8">
        <f t="shared" si="32"/>
        <v>0</v>
      </c>
    </row>
    <row r="367" spans="1:31" hidden="1">
      <c r="A367" s="12" t="s">
        <v>884</v>
      </c>
      <c r="B367" s="13"/>
      <c r="C367" s="13" t="s">
        <v>21</v>
      </c>
      <c r="D367" s="13"/>
      <c r="E367" s="32">
        <v>46672</v>
      </c>
      <c r="G367" s="8">
        <v>2467408</v>
      </c>
      <c r="I367" s="8">
        <v>364813</v>
      </c>
      <c r="K367" s="3">
        <f t="shared" si="29"/>
        <v>0</v>
      </c>
      <c r="M367" s="8">
        <v>2832221</v>
      </c>
      <c r="O367" s="3">
        <f t="shared" si="30"/>
        <v>0</v>
      </c>
      <c r="U367" s="8">
        <f>334254+342764+6435+15614</f>
        <v>699067</v>
      </c>
      <c r="W367" s="8">
        <v>0</v>
      </c>
      <c r="Y367" s="8">
        <f>1391773+382302+223559+135520</f>
        <v>2133154</v>
      </c>
      <c r="AA367" s="14">
        <f t="shared" si="31"/>
        <v>2832221</v>
      </c>
      <c r="AC367" s="8">
        <f t="shared" si="32"/>
        <v>0</v>
      </c>
    </row>
    <row r="368" spans="1:31">
      <c r="A368" s="13" t="s">
        <v>667</v>
      </c>
      <c r="B368" s="13"/>
      <c r="C368" s="13" t="s">
        <v>63</v>
      </c>
      <c r="D368" s="13"/>
      <c r="E368" s="32">
        <v>50039</v>
      </c>
      <c r="G368" s="8">
        <v>5929082</v>
      </c>
      <c r="I368" s="8">
        <v>31768</v>
      </c>
      <c r="K368" s="3">
        <f t="shared" ref="K368:K434" si="33">M368-G368-I368</f>
        <v>3243311</v>
      </c>
      <c r="M368" s="8">
        <v>9204161</v>
      </c>
      <c r="O368" s="3">
        <f t="shared" ref="O368:O434" si="34">S368-Q368</f>
        <v>1116900</v>
      </c>
      <c r="Q368" s="8">
        <v>2773287</v>
      </c>
      <c r="S368" s="8">
        <v>3890187</v>
      </c>
      <c r="U368" s="8">
        <f>154073+448521+31768</f>
        <v>634362</v>
      </c>
      <c r="W368" s="8">
        <v>0</v>
      </c>
      <c r="Y368" s="8">
        <f>4247245+107822+148626+175919</f>
        <v>4679612</v>
      </c>
      <c r="AA368" s="14">
        <f t="shared" ref="AA368:AA421" si="35">U368+W368+Y368</f>
        <v>5313974</v>
      </c>
      <c r="AC368" s="8">
        <f t="shared" ref="AC368:AC434" si="36">+G368+I368+K368-O368-Q368-Y368-W368-U368</f>
        <v>0</v>
      </c>
    </row>
    <row r="369" spans="1:31" hidden="1">
      <c r="A369" s="12" t="s">
        <v>842</v>
      </c>
      <c r="B369" s="13"/>
      <c r="C369" s="13" t="s">
        <v>740</v>
      </c>
      <c r="D369" s="13"/>
      <c r="E369" s="32">
        <v>50740</v>
      </c>
      <c r="G369" s="8">
        <v>1878699</v>
      </c>
      <c r="K369" s="3">
        <f t="shared" si="33"/>
        <v>0</v>
      </c>
      <c r="M369" s="8">
        <v>1878699</v>
      </c>
      <c r="O369" s="3">
        <f t="shared" si="34"/>
        <v>0</v>
      </c>
      <c r="U369" s="8">
        <f>88611+198639</f>
        <v>287250</v>
      </c>
      <c r="W369" s="8">
        <v>0</v>
      </c>
      <c r="Y369" s="8">
        <f>626737+207429+746676+10607</f>
        <v>1591449</v>
      </c>
      <c r="AA369" s="14">
        <f t="shared" si="35"/>
        <v>1878699</v>
      </c>
      <c r="AC369" s="8">
        <f t="shared" si="36"/>
        <v>0</v>
      </c>
    </row>
    <row r="370" spans="1:31">
      <c r="A370" s="13" t="s">
        <v>248</v>
      </c>
      <c r="B370" s="13"/>
      <c r="C370" s="13" t="s">
        <v>242</v>
      </c>
      <c r="D370" s="13"/>
      <c r="E370" s="32">
        <v>139303</v>
      </c>
      <c r="G370" s="8">
        <v>1983891</v>
      </c>
      <c r="I370" s="8">
        <v>36795</v>
      </c>
      <c r="K370" s="3">
        <f t="shared" si="33"/>
        <v>15702306</v>
      </c>
      <c r="M370" s="8">
        <v>17722992</v>
      </c>
      <c r="O370" s="3">
        <f t="shared" si="34"/>
        <v>3622007</v>
      </c>
      <c r="Q370" s="8">
        <v>13555394</v>
      </c>
      <c r="S370" s="8">
        <v>17177401</v>
      </c>
      <c r="U370" s="8">
        <f>36795+199408+307134</f>
        <v>543337</v>
      </c>
      <c r="W370" s="8">
        <v>0</v>
      </c>
      <c r="Y370" s="8">
        <f>1501869+854275-850478-1503412</f>
        <v>2254</v>
      </c>
      <c r="AA370" s="14">
        <f t="shared" si="35"/>
        <v>545591</v>
      </c>
      <c r="AC370" s="8">
        <f t="shared" si="36"/>
        <v>0</v>
      </c>
    </row>
    <row r="371" spans="1:31">
      <c r="A371" s="13" t="s">
        <v>444</v>
      </c>
      <c r="B371" s="13"/>
      <c r="C371" s="13" t="s">
        <v>37</v>
      </c>
      <c r="D371" s="13"/>
      <c r="E371" s="32">
        <v>47712</v>
      </c>
      <c r="G371" s="8">
        <v>856498</v>
      </c>
      <c r="I371" s="8">
        <v>62605</v>
      </c>
      <c r="K371" s="3">
        <f t="shared" si="33"/>
        <v>3085272</v>
      </c>
      <c r="M371" s="8">
        <v>4004375</v>
      </c>
      <c r="O371" s="3">
        <f t="shared" si="34"/>
        <v>2789436</v>
      </c>
      <c r="Q371" s="8">
        <v>104716</v>
      </c>
      <c r="S371" s="8">
        <v>2894152</v>
      </c>
      <c r="U371" s="8">
        <f>31801+5931+1933+5235+275391+57370</f>
        <v>377661</v>
      </c>
      <c r="W371" s="8">
        <v>0</v>
      </c>
      <c r="Y371" s="8">
        <f>591437+69687+71438</f>
        <v>732562</v>
      </c>
      <c r="AA371" s="14">
        <f t="shared" si="35"/>
        <v>1110223</v>
      </c>
      <c r="AC371" s="8">
        <f t="shared" si="36"/>
        <v>0</v>
      </c>
    </row>
    <row r="372" spans="1:31">
      <c r="A372" s="13" t="s">
        <v>731</v>
      </c>
      <c r="B372" s="13"/>
      <c r="C372" s="13" t="s">
        <v>727</v>
      </c>
      <c r="D372" s="13"/>
      <c r="E372" s="32">
        <v>45526</v>
      </c>
      <c r="G372" s="8">
        <v>2266533</v>
      </c>
      <c r="I372" s="8">
        <v>0</v>
      </c>
      <c r="K372" s="3">
        <f t="shared" si="33"/>
        <v>3812255</v>
      </c>
      <c r="M372" s="8">
        <v>6078788</v>
      </c>
      <c r="O372" s="3">
        <f t="shared" si="34"/>
        <v>1357495</v>
      </c>
      <c r="Q372" s="8">
        <v>2049852</v>
      </c>
      <c r="S372" s="8">
        <v>3407347</v>
      </c>
      <c r="U372" s="8">
        <f>486901+11789+1589+204549</f>
        <v>704828</v>
      </c>
      <c r="W372" s="8">
        <v>0</v>
      </c>
      <c r="Y372" s="8">
        <f>625348+651235+656903+33127</f>
        <v>1966613</v>
      </c>
      <c r="AA372" s="14">
        <f t="shared" si="35"/>
        <v>2671441</v>
      </c>
      <c r="AC372" s="8">
        <f t="shared" si="36"/>
        <v>0</v>
      </c>
    </row>
    <row r="373" spans="1:31">
      <c r="A373" s="13" t="s">
        <v>558</v>
      </c>
      <c r="B373" s="13"/>
      <c r="C373" s="13" t="s">
        <v>559</v>
      </c>
      <c r="D373" s="13"/>
      <c r="E373" s="32">
        <v>48777</v>
      </c>
      <c r="G373" s="8">
        <v>18581648</v>
      </c>
      <c r="I373" s="8">
        <v>618666</v>
      </c>
      <c r="K373" s="3">
        <f t="shared" si="33"/>
        <v>6537593</v>
      </c>
      <c r="M373" s="8">
        <v>25737907</v>
      </c>
      <c r="O373" s="3">
        <f t="shared" si="34"/>
        <v>3646235</v>
      </c>
      <c r="Q373" s="8">
        <v>5883983</v>
      </c>
      <c r="S373" s="8">
        <v>9530218</v>
      </c>
      <c r="U373" s="8">
        <f>8079342+212560+76683+386138+329423+5000</f>
        <v>9089146</v>
      </c>
      <c r="W373" s="8">
        <v>0</v>
      </c>
      <c r="Y373" s="8">
        <f>1249590+192948+645669+5028958+1378</f>
        <v>7118543</v>
      </c>
      <c r="AA373" s="14">
        <f t="shared" si="35"/>
        <v>16207689</v>
      </c>
      <c r="AC373" s="8">
        <f t="shared" si="36"/>
        <v>0</v>
      </c>
    </row>
    <row r="374" spans="1:31">
      <c r="A374" s="13" t="s">
        <v>858</v>
      </c>
      <c r="B374" s="13"/>
      <c r="C374" s="13" t="s">
        <v>78</v>
      </c>
      <c r="D374" s="13"/>
      <c r="E374" s="32">
        <v>45534</v>
      </c>
      <c r="G374" s="8">
        <v>11478525</v>
      </c>
      <c r="I374" s="8">
        <v>81828</v>
      </c>
      <c r="K374" s="3">
        <f t="shared" si="33"/>
        <v>7135746</v>
      </c>
      <c r="M374" s="8">
        <v>18696099</v>
      </c>
      <c r="O374" s="3">
        <f t="shared" si="34"/>
        <v>6285830</v>
      </c>
      <c r="Q374" s="8">
        <v>2751239</v>
      </c>
      <c r="S374" s="8">
        <v>9037069</v>
      </c>
      <c r="U374" s="8">
        <f>4811679+4263+10474+706089+68468+13360+1229007</f>
        <v>6843340</v>
      </c>
      <c r="W374" s="8">
        <v>0</v>
      </c>
      <c r="Y374" s="8">
        <f>2051094+302220+462376</f>
        <v>2815690</v>
      </c>
      <c r="AA374" s="14">
        <f t="shared" si="35"/>
        <v>9659030</v>
      </c>
      <c r="AC374" s="8">
        <f t="shared" si="36"/>
        <v>0</v>
      </c>
    </row>
    <row r="375" spans="1:31">
      <c r="A375" s="13" t="s">
        <v>457</v>
      </c>
      <c r="B375" s="13"/>
      <c r="C375" s="13" t="s">
        <v>40</v>
      </c>
      <c r="D375" s="13"/>
      <c r="E375" s="32">
        <v>44420</v>
      </c>
      <c r="G375" s="8">
        <v>10651954</v>
      </c>
      <c r="I375" s="8">
        <v>350233</v>
      </c>
      <c r="K375" s="3">
        <f t="shared" si="33"/>
        <v>15392498</v>
      </c>
      <c r="M375" s="8">
        <v>26394685</v>
      </c>
      <c r="O375" s="3">
        <f t="shared" si="34"/>
        <v>11997121</v>
      </c>
      <c r="Q375" s="8">
        <v>1258692</v>
      </c>
      <c r="S375" s="8">
        <v>13255813</v>
      </c>
      <c r="U375" s="8">
        <f>729459+18253+31388+5696253+15899+317081+33152+2286334</f>
        <v>9127819</v>
      </c>
      <c r="W375" s="8">
        <v>0</v>
      </c>
      <c r="Y375" s="8">
        <f>2771937-47452+1286568</f>
        <v>4011053</v>
      </c>
      <c r="AA375" s="14">
        <f t="shared" si="35"/>
        <v>13138872</v>
      </c>
      <c r="AC375" s="8">
        <f t="shared" si="36"/>
        <v>0</v>
      </c>
    </row>
    <row r="376" spans="1:31">
      <c r="A376" s="13" t="s">
        <v>1057</v>
      </c>
      <c r="B376" s="13"/>
      <c r="C376" s="13" t="s">
        <v>32</v>
      </c>
      <c r="D376" s="13"/>
      <c r="E376" s="32">
        <v>44412</v>
      </c>
      <c r="G376" s="8">
        <v>62626941</v>
      </c>
      <c r="I376" s="8">
        <v>1220686</v>
      </c>
      <c r="K376" s="3">
        <f t="shared" si="33"/>
        <v>37164208</v>
      </c>
      <c r="M376" s="8">
        <v>101011835</v>
      </c>
      <c r="O376" s="3">
        <f t="shared" si="34"/>
        <v>13030708</v>
      </c>
      <c r="Q376" s="8">
        <v>30416627</v>
      </c>
      <c r="S376" s="8">
        <v>43447335</v>
      </c>
      <c r="U376" s="8">
        <f>51605602+10915+4930000+889998</f>
        <v>57436515</v>
      </c>
      <c r="W376" s="8">
        <v>0</v>
      </c>
      <c r="Y376" s="8">
        <f>-3009092-493177+600738+3029516</f>
        <v>127985</v>
      </c>
      <c r="AA376" s="14">
        <f t="shared" si="35"/>
        <v>57564500</v>
      </c>
      <c r="AC376" s="8">
        <f t="shared" si="36"/>
        <v>0</v>
      </c>
      <c r="AE376" s="15" t="s">
        <v>905</v>
      </c>
    </row>
    <row r="377" spans="1:31">
      <c r="A377" s="13" t="s">
        <v>432</v>
      </c>
      <c r="B377" s="13"/>
      <c r="C377" s="13" t="s">
        <v>34</v>
      </c>
      <c r="D377" s="13"/>
      <c r="E377" s="32">
        <v>44438</v>
      </c>
      <c r="G377" s="8">
        <v>11471933</v>
      </c>
      <c r="I377" s="8">
        <v>51337</v>
      </c>
      <c r="K377" s="3">
        <f t="shared" si="33"/>
        <v>14465060</v>
      </c>
      <c r="M377" s="8">
        <v>25988330</v>
      </c>
      <c r="O377" s="3">
        <f t="shared" si="34"/>
        <v>3366871</v>
      </c>
      <c r="Q377" s="8">
        <v>13023794</v>
      </c>
      <c r="S377" s="8">
        <v>16390665</v>
      </c>
      <c r="U377" s="8">
        <f>463885+167941+674139+506169+51337</f>
        <v>1863471</v>
      </c>
      <c r="W377" s="8">
        <v>200815</v>
      </c>
      <c r="Y377" s="8">
        <f>5887969+159788+858340+627282</f>
        <v>7533379</v>
      </c>
      <c r="AA377" s="14">
        <f t="shared" si="35"/>
        <v>9597665</v>
      </c>
      <c r="AC377" s="8">
        <f t="shared" si="36"/>
        <v>0</v>
      </c>
    </row>
    <row r="378" spans="1:31">
      <c r="A378" s="13" t="s">
        <v>224</v>
      </c>
      <c r="B378" s="13"/>
      <c r="C378" s="13" t="s">
        <v>13</v>
      </c>
      <c r="D378" s="13"/>
      <c r="E378" s="32">
        <v>44446</v>
      </c>
      <c r="G378" s="8">
        <v>11517523</v>
      </c>
      <c r="I378" s="8">
        <v>154533</v>
      </c>
      <c r="K378" s="3">
        <f t="shared" si="33"/>
        <v>6299594</v>
      </c>
      <c r="M378" s="8">
        <v>17971650</v>
      </c>
      <c r="O378" s="3">
        <f t="shared" si="34"/>
        <v>2285884</v>
      </c>
      <c r="Q378" s="8">
        <v>6084721</v>
      </c>
      <c r="S378" s="8">
        <v>8370605</v>
      </c>
      <c r="U378" s="8">
        <f>5938048+207542+64492+20590+40730+28721</f>
        <v>6300123</v>
      </c>
      <c r="W378" s="8">
        <v>0</v>
      </c>
      <c r="Y378" s="8">
        <f>2057555+11249+1177203+54915</f>
        <v>3300922</v>
      </c>
      <c r="AA378" s="14">
        <f t="shared" si="35"/>
        <v>9601045</v>
      </c>
      <c r="AC378" s="8">
        <f t="shared" si="36"/>
        <v>0</v>
      </c>
    </row>
    <row r="379" spans="1:31">
      <c r="A379" s="13" t="s">
        <v>826</v>
      </c>
      <c r="B379" s="13"/>
      <c r="C379" s="13" t="s">
        <v>27</v>
      </c>
      <c r="D379" s="13"/>
      <c r="E379" s="32">
        <v>44461</v>
      </c>
      <c r="G379" s="8">
        <v>24461436</v>
      </c>
      <c r="I379" s="8">
        <v>0</v>
      </c>
      <c r="K379" s="3">
        <f t="shared" si="33"/>
        <v>49889091</v>
      </c>
      <c r="M379" s="8">
        <v>74350527</v>
      </c>
      <c r="O379" s="3">
        <f t="shared" si="34"/>
        <v>6069937</v>
      </c>
      <c r="Q379" s="8">
        <v>33815000</v>
      </c>
      <c r="S379" s="8">
        <v>39884937</v>
      </c>
      <c r="U379" s="8">
        <f>16013000+364605+14838</f>
        <v>16392443</v>
      </c>
      <c r="W379" s="8">
        <v>0</v>
      </c>
      <c r="Y379" s="8">
        <f>11127186+940798+3525870+2479293</f>
        <v>18073147</v>
      </c>
      <c r="AA379" s="14">
        <f t="shared" si="35"/>
        <v>34465590</v>
      </c>
      <c r="AC379" s="8">
        <f t="shared" si="36"/>
        <v>0</v>
      </c>
    </row>
    <row r="380" spans="1:31">
      <c r="A380" s="13" t="s">
        <v>630</v>
      </c>
      <c r="B380" s="13"/>
      <c r="C380" s="13" t="s">
        <v>59</v>
      </c>
      <c r="D380" s="13"/>
      <c r="E380" s="32">
        <v>44461</v>
      </c>
      <c r="G380" s="8">
        <v>6396060</v>
      </c>
      <c r="I380" s="8">
        <v>15790</v>
      </c>
      <c r="K380" s="3">
        <f t="shared" si="33"/>
        <v>17532517</v>
      </c>
      <c r="M380" s="8">
        <v>23944367</v>
      </c>
      <c r="O380" s="3">
        <f t="shared" si="34"/>
        <v>753223</v>
      </c>
      <c r="Q380" s="8">
        <v>17356864</v>
      </c>
      <c r="S380" s="8">
        <v>18110087</v>
      </c>
      <c r="U380" s="8">
        <f>28750+60042+15790</f>
        <v>104582</v>
      </c>
      <c r="W380" s="8">
        <v>0</v>
      </c>
      <c r="Y380" s="8">
        <f>651978+117841+121112+4838767</f>
        <v>5729698</v>
      </c>
      <c r="AA380" s="14">
        <f t="shared" si="35"/>
        <v>5834280</v>
      </c>
      <c r="AC380" s="8">
        <f t="shared" si="36"/>
        <v>0</v>
      </c>
    </row>
    <row r="381" spans="1:31">
      <c r="A381" s="13" t="s">
        <v>227</v>
      </c>
      <c r="B381" s="13"/>
      <c r="C381" s="13" t="s">
        <v>14</v>
      </c>
      <c r="D381" s="13"/>
      <c r="E381" s="32">
        <v>45955</v>
      </c>
      <c r="G381" s="8">
        <v>5729309</v>
      </c>
      <c r="I381" s="8">
        <v>51657</v>
      </c>
      <c r="K381" s="3">
        <f t="shared" si="33"/>
        <v>4029188</v>
      </c>
      <c r="M381" s="8">
        <v>9810154</v>
      </c>
      <c r="O381" s="3">
        <f t="shared" si="34"/>
        <v>1097212</v>
      </c>
      <c r="Q381" s="8">
        <v>3050749</v>
      </c>
      <c r="S381" s="8">
        <v>4147961</v>
      </c>
      <c r="U381" s="8">
        <f>305080+46340+5317+17706</f>
        <v>374443</v>
      </c>
      <c r="W381" s="8">
        <v>0</v>
      </c>
      <c r="Y381" s="8">
        <f>4226671+94323+756897+209859</f>
        <v>5287750</v>
      </c>
      <c r="AA381" s="14">
        <f t="shared" si="35"/>
        <v>5662193</v>
      </c>
      <c r="AC381" s="8">
        <f t="shared" si="36"/>
        <v>0</v>
      </c>
    </row>
    <row r="382" spans="1:31" hidden="1">
      <c r="A382" s="12" t="s">
        <v>1041</v>
      </c>
      <c r="B382" s="13"/>
      <c r="C382" s="13" t="s">
        <v>14</v>
      </c>
      <c r="D382" s="13"/>
      <c r="E382" s="32">
        <v>45963</v>
      </c>
      <c r="K382" s="3">
        <f t="shared" si="33"/>
        <v>0</v>
      </c>
      <c r="O382" s="3">
        <f t="shared" si="34"/>
        <v>0</v>
      </c>
      <c r="W382" s="8">
        <v>0</v>
      </c>
      <c r="AA382" s="14">
        <f t="shared" si="35"/>
        <v>0</v>
      </c>
      <c r="AC382" s="8">
        <f t="shared" si="36"/>
        <v>0</v>
      </c>
    </row>
    <row r="383" spans="1:31">
      <c r="A383" s="13" t="s">
        <v>552</v>
      </c>
      <c r="B383" s="13"/>
      <c r="C383" s="13" t="s">
        <v>50</v>
      </c>
      <c r="D383" s="13"/>
      <c r="E383" s="32">
        <v>48710</v>
      </c>
      <c r="G383" s="8">
        <v>4914094</v>
      </c>
      <c r="I383" s="8">
        <v>119160</v>
      </c>
      <c r="K383" s="3">
        <f t="shared" si="33"/>
        <v>3677508</v>
      </c>
      <c r="M383" s="8">
        <v>8710762</v>
      </c>
      <c r="O383" s="3">
        <f t="shared" si="34"/>
        <v>1674308</v>
      </c>
      <c r="Q383" s="8">
        <f>153293+2591766</f>
        <v>2745059</v>
      </c>
      <c r="S383" s="8">
        <v>4419367</v>
      </c>
      <c r="U383" s="8">
        <v>879087</v>
      </c>
      <c r="W383" s="8">
        <v>0</v>
      </c>
      <c r="Y383" s="8">
        <f>2716377+308454+387477</f>
        <v>3412308</v>
      </c>
      <c r="AA383" s="14">
        <f t="shared" si="35"/>
        <v>4291395</v>
      </c>
      <c r="AC383" s="8">
        <f t="shared" si="36"/>
        <v>0</v>
      </c>
    </row>
    <row r="384" spans="1:31" hidden="1">
      <c r="A384" s="13" t="s">
        <v>580</v>
      </c>
      <c r="B384" s="13"/>
      <c r="C384" s="13" t="s">
        <v>579</v>
      </c>
      <c r="D384" s="13"/>
      <c r="E384" s="32">
        <v>44479</v>
      </c>
      <c r="K384" s="3">
        <f t="shared" si="33"/>
        <v>0</v>
      </c>
      <c r="O384" s="3">
        <f t="shared" si="34"/>
        <v>0</v>
      </c>
      <c r="W384" s="8">
        <v>0</v>
      </c>
      <c r="AA384" s="14">
        <f t="shared" si="35"/>
        <v>0</v>
      </c>
      <c r="AC384" s="8">
        <f t="shared" si="36"/>
        <v>0</v>
      </c>
    </row>
    <row r="385" spans="1:29">
      <c r="A385" s="13" t="s">
        <v>445</v>
      </c>
      <c r="B385" s="13"/>
      <c r="C385" s="13" t="s">
        <v>37</v>
      </c>
      <c r="D385" s="13"/>
      <c r="E385" s="32">
        <v>47720</v>
      </c>
      <c r="G385" s="8">
        <v>3206320</v>
      </c>
      <c r="I385" s="8">
        <v>0</v>
      </c>
      <c r="K385" s="3">
        <f t="shared" si="33"/>
        <v>2813659</v>
      </c>
      <c r="M385" s="8">
        <v>6019979</v>
      </c>
      <c r="O385" s="3">
        <f t="shared" si="34"/>
        <v>1146471</v>
      </c>
      <c r="Q385" s="8">
        <f>269046+1845803</f>
        <v>2114849</v>
      </c>
      <c r="S385" s="8">
        <v>3261320</v>
      </c>
      <c r="U385" s="8">
        <f>155900+24568+351239+259956</f>
        <v>791663</v>
      </c>
      <c r="W385" s="8">
        <v>0</v>
      </c>
      <c r="Y385" s="8">
        <f>1098560+868436</f>
        <v>1966996</v>
      </c>
      <c r="AA385" s="14">
        <f t="shared" si="35"/>
        <v>2758659</v>
      </c>
      <c r="AC385" s="8">
        <f t="shared" si="36"/>
        <v>0</v>
      </c>
    </row>
    <row r="386" spans="1:29">
      <c r="A386" s="13" t="s">
        <v>249</v>
      </c>
      <c r="B386" s="13"/>
      <c r="C386" s="13" t="s">
        <v>242</v>
      </c>
      <c r="D386" s="13"/>
      <c r="E386" s="32">
        <v>46136</v>
      </c>
      <c r="G386" s="8">
        <v>3029459</v>
      </c>
      <c r="I386" s="8">
        <v>0</v>
      </c>
      <c r="K386" s="3">
        <f t="shared" si="33"/>
        <v>2252408</v>
      </c>
      <c r="M386" s="8">
        <v>5281867</v>
      </c>
      <c r="O386" s="3">
        <f t="shared" si="34"/>
        <v>1212504</v>
      </c>
      <c r="Q386" s="8">
        <v>1171413</v>
      </c>
      <c r="S386" s="8">
        <v>2383917</v>
      </c>
      <c r="U386" s="8">
        <f>58675+2681+53722+235211</f>
        <v>350289</v>
      </c>
      <c r="W386" s="8">
        <v>0</v>
      </c>
      <c r="Y386" s="8">
        <f>2148346+396950+2365</f>
        <v>2547661</v>
      </c>
      <c r="AA386" s="14">
        <f t="shared" si="35"/>
        <v>2897950</v>
      </c>
      <c r="AC386" s="8">
        <f t="shared" si="36"/>
        <v>0</v>
      </c>
    </row>
    <row r="387" spans="1:29">
      <c r="A387" s="13" t="s">
        <v>698</v>
      </c>
      <c r="B387" s="13"/>
      <c r="C387" s="13" t="s">
        <v>65</v>
      </c>
      <c r="D387" s="13"/>
      <c r="E387" s="32">
        <v>44487</v>
      </c>
      <c r="G387" s="8">
        <v>9605464</v>
      </c>
      <c r="I387" s="8">
        <v>0</v>
      </c>
      <c r="K387" s="3">
        <f t="shared" si="33"/>
        <v>12977678</v>
      </c>
      <c r="M387" s="8">
        <v>22583142</v>
      </c>
      <c r="O387" s="3">
        <f t="shared" si="34"/>
        <v>3138995</v>
      </c>
      <c r="Q387" s="8">
        <v>11739818</v>
      </c>
      <c r="S387" s="8">
        <v>14878813</v>
      </c>
      <c r="U387" s="8">
        <f>304471+40692+19279+855240</f>
        <v>1219682</v>
      </c>
      <c r="W387" s="8">
        <v>0</v>
      </c>
      <c r="Y387" s="8">
        <f>5253000+371076+724420+136151</f>
        <v>6484647</v>
      </c>
      <c r="AA387" s="14">
        <f t="shared" si="35"/>
        <v>7704329</v>
      </c>
      <c r="AC387" s="8">
        <f t="shared" si="36"/>
        <v>0</v>
      </c>
    </row>
    <row r="388" spans="1:29">
      <c r="A388" s="13" t="s">
        <v>271</v>
      </c>
      <c r="B388" s="13"/>
      <c r="C388" s="13" t="s">
        <v>115</v>
      </c>
      <c r="D388" s="13"/>
      <c r="E388" s="32">
        <v>45559</v>
      </c>
      <c r="G388" s="8">
        <v>19189444</v>
      </c>
      <c r="I388" s="8">
        <v>0</v>
      </c>
      <c r="K388" s="3">
        <f t="shared" si="33"/>
        <v>13175386</v>
      </c>
      <c r="M388" s="8">
        <v>32364830</v>
      </c>
      <c r="O388" s="3">
        <f t="shared" si="34"/>
        <v>2668777</v>
      </c>
      <c r="Q388" s="8">
        <v>12553272</v>
      </c>
      <c r="S388" s="8">
        <v>15222049</v>
      </c>
      <c r="U388" s="8">
        <f>676190+348000+508399</f>
        <v>1532589</v>
      </c>
      <c r="W388" s="8">
        <v>0</v>
      </c>
      <c r="Y388" s="8">
        <v>15610192</v>
      </c>
      <c r="AA388" s="14">
        <f t="shared" si="35"/>
        <v>17142781</v>
      </c>
      <c r="AC388" s="8">
        <f t="shared" si="36"/>
        <v>0</v>
      </c>
    </row>
    <row r="389" spans="1:29" hidden="1">
      <c r="A389" s="13" t="s">
        <v>637</v>
      </c>
      <c r="B389" s="13"/>
      <c r="C389" s="13" t="s">
        <v>60</v>
      </c>
      <c r="D389" s="13"/>
      <c r="E389" s="32">
        <v>49718</v>
      </c>
      <c r="K389" s="3">
        <f t="shared" si="33"/>
        <v>0</v>
      </c>
      <c r="O389" s="3">
        <f t="shared" si="34"/>
        <v>0</v>
      </c>
      <c r="W389" s="8">
        <v>0</v>
      </c>
      <c r="AA389" s="14">
        <f t="shared" si="35"/>
        <v>0</v>
      </c>
      <c r="AC389" s="8">
        <f t="shared" si="36"/>
        <v>0</v>
      </c>
    </row>
    <row r="390" spans="1:29">
      <c r="A390" s="13" t="s">
        <v>478</v>
      </c>
      <c r="B390" s="13"/>
      <c r="C390" s="13" t="s">
        <v>42</v>
      </c>
      <c r="D390" s="13"/>
      <c r="E390" s="32">
        <v>44453</v>
      </c>
      <c r="G390" s="8">
        <v>32774037</v>
      </c>
      <c r="I390" s="8">
        <v>282789</v>
      </c>
      <c r="K390" s="3">
        <f t="shared" si="33"/>
        <v>86066985</v>
      </c>
      <c r="M390" s="8">
        <v>119123811</v>
      </c>
      <c r="O390" s="3">
        <f t="shared" si="34"/>
        <v>70293626</v>
      </c>
      <c r="Q390" s="8">
        <v>18680430</v>
      </c>
      <c r="S390" s="8">
        <v>88974056</v>
      </c>
      <c r="U390" s="8">
        <f>15887664+3355712+264425+18364+30805+1201300+53675</f>
        <v>20811945</v>
      </c>
      <c r="W390" s="8">
        <v>669981</v>
      </c>
      <c r="Y390" s="8">
        <f>3691856+653666+4322307</f>
        <v>8667829</v>
      </c>
      <c r="AA390" s="14">
        <f t="shared" si="35"/>
        <v>30149755</v>
      </c>
      <c r="AC390" s="8">
        <f t="shared" si="36"/>
        <v>0</v>
      </c>
    </row>
    <row r="391" spans="1:29">
      <c r="A391" s="13" t="s">
        <v>382</v>
      </c>
      <c r="B391" s="13"/>
      <c r="C391" s="13" t="s">
        <v>30</v>
      </c>
      <c r="D391" s="13"/>
      <c r="E391" s="32">
        <v>47217</v>
      </c>
      <c r="G391" s="8">
        <v>1142569</v>
      </c>
      <c r="I391" s="8">
        <v>31149</v>
      </c>
      <c r="K391" s="3">
        <f t="shared" si="33"/>
        <v>5358650</v>
      </c>
      <c r="M391" s="8">
        <v>6532368</v>
      </c>
      <c r="O391" s="3">
        <f t="shared" si="34"/>
        <v>938143</v>
      </c>
      <c r="Q391" s="8">
        <v>4556688</v>
      </c>
      <c r="S391" s="8">
        <v>5494831</v>
      </c>
      <c r="U391" s="8">
        <f>44104+614000+31149</f>
        <v>689253</v>
      </c>
      <c r="W391" s="8">
        <v>0</v>
      </c>
      <c r="Y391" s="8">
        <f>292595-37779+93468</f>
        <v>348284</v>
      </c>
      <c r="AA391" s="14">
        <f t="shared" si="35"/>
        <v>1037537</v>
      </c>
      <c r="AC391" s="8">
        <f t="shared" si="36"/>
        <v>0</v>
      </c>
    </row>
    <row r="392" spans="1:29">
      <c r="A392" s="13" t="s">
        <v>699</v>
      </c>
      <c r="B392" s="13"/>
      <c r="C392" s="13" t="s">
        <v>65</v>
      </c>
      <c r="D392" s="13"/>
      <c r="E392" s="32">
        <v>45542</v>
      </c>
      <c r="G392" s="8">
        <v>1348906</v>
      </c>
      <c r="I392" s="8">
        <v>286826</v>
      </c>
      <c r="K392" s="3">
        <f t="shared" si="33"/>
        <v>3356552</v>
      </c>
      <c r="M392" s="8">
        <v>4992284</v>
      </c>
      <c r="O392" s="3">
        <f t="shared" si="34"/>
        <v>1615780</v>
      </c>
      <c r="Q392" s="8">
        <f>2287907+289322</f>
        <v>2577229</v>
      </c>
      <c r="S392" s="8">
        <v>4193009</v>
      </c>
      <c r="U392" s="8">
        <f>155853+13899+379553+302727+189942+86952+9932</f>
        <v>1138858</v>
      </c>
      <c r="W392" s="8">
        <v>0</v>
      </c>
      <c r="Y392" s="8">
        <f>-347942-106446+114798+7</f>
        <v>-339583</v>
      </c>
      <c r="AA392" s="14">
        <f t="shared" si="35"/>
        <v>799275</v>
      </c>
      <c r="AC392" s="8">
        <f t="shared" si="36"/>
        <v>0</v>
      </c>
    </row>
    <row r="393" spans="1:29">
      <c r="A393" s="13" t="s">
        <v>690</v>
      </c>
      <c r="B393" s="13"/>
      <c r="C393" s="13" t="s">
        <v>64</v>
      </c>
      <c r="D393" s="13"/>
      <c r="E393" s="32">
        <v>45567</v>
      </c>
      <c r="G393" s="8">
        <v>3868943</v>
      </c>
      <c r="I393" s="8">
        <v>29357</v>
      </c>
      <c r="K393" s="3">
        <f t="shared" si="33"/>
        <v>4375198</v>
      </c>
      <c r="M393" s="8">
        <v>8273498</v>
      </c>
      <c r="O393" s="3">
        <f t="shared" si="34"/>
        <v>1213885</v>
      </c>
      <c r="Q393" s="8">
        <v>4341926</v>
      </c>
      <c r="S393" s="8">
        <v>5555811</v>
      </c>
      <c r="U393" s="8">
        <f>209027+13714+17304+12053</f>
        <v>252098</v>
      </c>
      <c r="W393" s="8">
        <v>0</v>
      </c>
      <c r="Y393" s="8">
        <v>2465589</v>
      </c>
      <c r="AA393" s="14">
        <f t="shared" si="35"/>
        <v>2717687</v>
      </c>
      <c r="AC393" s="8">
        <f t="shared" si="36"/>
        <v>0</v>
      </c>
    </row>
    <row r="394" spans="1:29">
      <c r="A394" s="13" t="s">
        <v>539</v>
      </c>
      <c r="B394" s="13"/>
      <c r="C394" s="13" t="s">
        <v>48</v>
      </c>
      <c r="D394" s="13"/>
      <c r="E394" s="32">
        <v>48637</v>
      </c>
      <c r="G394" s="8">
        <v>8603425</v>
      </c>
      <c r="I394" s="8">
        <v>0</v>
      </c>
      <c r="K394" s="3">
        <f t="shared" si="33"/>
        <v>12456234</v>
      </c>
      <c r="M394" s="8">
        <v>21059659</v>
      </c>
      <c r="O394" s="3">
        <f t="shared" si="34"/>
        <v>6091248</v>
      </c>
      <c r="Q394" s="8">
        <v>1688487</v>
      </c>
      <c r="S394" s="8">
        <v>7779735</v>
      </c>
      <c r="U394" s="8">
        <f>1575776+8803+15156+27784+394860</f>
        <v>2022379</v>
      </c>
      <c r="W394" s="8">
        <v>0</v>
      </c>
      <c r="Y394" s="8">
        <f>1222785+184513+9850247</f>
        <v>11257545</v>
      </c>
      <c r="AA394" s="14">
        <f t="shared" si="35"/>
        <v>13279924</v>
      </c>
      <c r="AC394" s="8">
        <f t="shared" si="36"/>
        <v>0</v>
      </c>
    </row>
    <row r="395" spans="1:29">
      <c r="A395" s="13" t="s">
        <v>820</v>
      </c>
      <c r="B395" s="13"/>
      <c r="C395" s="13" t="s">
        <v>64</v>
      </c>
      <c r="D395" s="13"/>
      <c r="E395" s="32"/>
      <c r="G395" s="8">
        <v>23066166</v>
      </c>
      <c r="I395" s="8">
        <v>1121270</v>
      </c>
      <c r="K395" s="3">
        <f t="shared" si="33"/>
        <v>48034947</v>
      </c>
      <c r="M395" s="8">
        <v>72222383</v>
      </c>
      <c r="O395" s="3">
        <f t="shared" si="34"/>
        <v>3927746</v>
      </c>
      <c r="Q395" s="8">
        <f>40239696+7657598</f>
        <v>47897294</v>
      </c>
      <c r="S395" s="8">
        <v>51825040</v>
      </c>
      <c r="U395" s="8">
        <f>2928685+3146+1223518+382639+200851+27212+1511460</f>
        <v>6277511</v>
      </c>
      <c r="W395" s="8">
        <v>0</v>
      </c>
      <c r="Y395" s="8">
        <v>14119832</v>
      </c>
      <c r="AA395" s="14">
        <f t="shared" si="35"/>
        <v>20397343</v>
      </c>
      <c r="AC395" s="8">
        <f t="shared" si="36"/>
        <v>0</v>
      </c>
    </row>
    <row r="396" spans="1:29">
      <c r="A396" s="13" t="s">
        <v>570</v>
      </c>
      <c r="B396" s="13"/>
      <c r="C396" s="13" t="s">
        <v>52</v>
      </c>
      <c r="D396" s="13"/>
      <c r="E396" s="32">
        <v>48900</v>
      </c>
      <c r="G396" s="8">
        <v>1596665</v>
      </c>
      <c r="I396" s="8">
        <v>92699</v>
      </c>
      <c r="K396" s="3">
        <f t="shared" si="33"/>
        <v>3136696</v>
      </c>
      <c r="M396" s="8">
        <v>4826060</v>
      </c>
      <c r="O396" s="3">
        <f t="shared" si="34"/>
        <v>1215965</v>
      </c>
      <c r="Q396" s="8">
        <v>2634339</v>
      </c>
      <c r="S396" s="8">
        <v>3850304</v>
      </c>
      <c r="U396" s="8">
        <f>179448+359570+69063+23636</f>
        <v>631717</v>
      </c>
      <c r="W396" s="8">
        <v>0</v>
      </c>
      <c r="Y396" s="8">
        <f>270201+66769+7069</f>
        <v>344039</v>
      </c>
      <c r="AA396" s="14">
        <f t="shared" si="35"/>
        <v>975756</v>
      </c>
      <c r="AC396" s="8">
        <f t="shared" si="36"/>
        <v>0</v>
      </c>
    </row>
    <row r="397" spans="1:29">
      <c r="A397" s="13" t="s">
        <v>668</v>
      </c>
      <c r="B397" s="13"/>
      <c r="C397" s="13" t="s">
        <v>63</v>
      </c>
      <c r="D397" s="13"/>
      <c r="E397" s="32">
        <v>50047</v>
      </c>
      <c r="G397" s="8">
        <v>15361896</v>
      </c>
      <c r="I397" s="8">
        <v>269950</v>
      </c>
      <c r="K397" s="3">
        <f t="shared" si="33"/>
        <v>35589810</v>
      </c>
      <c r="M397" s="8">
        <v>51221656</v>
      </c>
      <c r="O397" s="3">
        <f t="shared" si="34"/>
        <v>5759709</v>
      </c>
      <c r="Q397" s="8">
        <v>24822565</v>
      </c>
      <c r="S397" s="8">
        <v>30582274</v>
      </c>
      <c r="U397" s="8">
        <f>1371254+269950</f>
        <v>1641204</v>
      </c>
      <c r="W397" s="8">
        <v>52345</v>
      </c>
      <c r="Y397" s="8">
        <f>9694966+108401+1705131+7437335</f>
        <v>18945833</v>
      </c>
      <c r="AA397" s="14">
        <f t="shared" si="35"/>
        <v>20639382</v>
      </c>
      <c r="AC397" s="8">
        <f t="shared" si="36"/>
        <v>0</v>
      </c>
    </row>
    <row r="398" spans="1:29">
      <c r="A398" s="13" t="s">
        <v>735</v>
      </c>
      <c r="B398" s="13"/>
      <c r="C398" s="13" t="s">
        <v>72</v>
      </c>
      <c r="D398" s="13"/>
      <c r="E398" s="32">
        <v>50708</v>
      </c>
      <c r="G398" s="8">
        <v>2125465</v>
      </c>
      <c r="I398" s="8">
        <v>22287</v>
      </c>
      <c r="K398" s="3">
        <f t="shared" si="33"/>
        <v>3521464</v>
      </c>
      <c r="M398" s="8">
        <v>5669216</v>
      </c>
      <c r="O398" s="3">
        <f t="shared" si="34"/>
        <v>2561361</v>
      </c>
      <c r="Q398" s="8">
        <v>3026329</v>
      </c>
      <c r="S398" s="8">
        <v>5587690</v>
      </c>
      <c r="U398" s="8">
        <f>67459+271961</f>
        <v>339420</v>
      </c>
      <c r="W398" s="8">
        <v>22287</v>
      </c>
      <c r="Y398" s="8">
        <f>1188946+283645-1752772</f>
        <v>-280181</v>
      </c>
      <c r="AA398" s="14">
        <f t="shared" si="35"/>
        <v>81526</v>
      </c>
      <c r="AC398" s="8">
        <f t="shared" si="36"/>
        <v>0</v>
      </c>
    </row>
    <row r="399" spans="1:29" hidden="1">
      <c r="A399" s="13" t="s">
        <v>574</v>
      </c>
      <c r="B399" s="13"/>
      <c r="C399" s="13" t="s">
        <v>53</v>
      </c>
      <c r="D399" s="13"/>
      <c r="E399" s="32">
        <v>48967</v>
      </c>
      <c r="K399" s="3">
        <f t="shared" si="33"/>
        <v>0</v>
      </c>
      <c r="O399" s="3">
        <f t="shared" si="34"/>
        <v>0</v>
      </c>
      <c r="W399" s="8">
        <v>0</v>
      </c>
      <c r="AA399" s="14">
        <f t="shared" si="35"/>
        <v>0</v>
      </c>
      <c r="AC399" s="8">
        <f t="shared" si="36"/>
        <v>0</v>
      </c>
    </row>
    <row r="400" spans="1:29">
      <c r="A400" s="13" t="s">
        <v>658</v>
      </c>
      <c r="B400" s="13"/>
      <c r="C400" s="13" t="s">
        <v>62</v>
      </c>
      <c r="D400" s="13"/>
      <c r="E400" s="32">
        <v>44503</v>
      </c>
      <c r="G400" s="8">
        <v>5110995</v>
      </c>
      <c r="I400" s="8">
        <v>125151</v>
      </c>
      <c r="K400" s="3">
        <f t="shared" si="33"/>
        <v>22576895</v>
      </c>
      <c r="M400" s="8">
        <v>27813041</v>
      </c>
      <c r="O400" s="3">
        <f t="shared" si="34"/>
        <v>7162384</v>
      </c>
      <c r="Q400" s="8">
        <f>756835+20400070</f>
        <v>21156905</v>
      </c>
      <c r="S400" s="8">
        <v>28319289</v>
      </c>
      <c r="U400" s="8">
        <f>288871+88567+1159930+42968+82183+2279812</f>
        <v>3942331</v>
      </c>
      <c r="W400" s="8">
        <v>0</v>
      </c>
      <c r="Y400" s="8">
        <f>-5012314+456493+107242</f>
        <v>-4448579</v>
      </c>
      <c r="AA400" s="14">
        <f t="shared" si="35"/>
        <v>-506248</v>
      </c>
      <c r="AC400" s="8">
        <f t="shared" si="36"/>
        <v>0</v>
      </c>
    </row>
    <row r="401" spans="1:29" hidden="1">
      <c r="A401" s="13" t="s">
        <v>722</v>
      </c>
      <c r="B401" s="13"/>
      <c r="C401" s="13" t="s">
        <v>727</v>
      </c>
      <c r="D401" s="13"/>
      <c r="E401" s="32">
        <v>50641</v>
      </c>
      <c r="K401" s="3">
        <f t="shared" si="33"/>
        <v>0</v>
      </c>
      <c r="O401" s="3">
        <f t="shared" si="34"/>
        <v>0</v>
      </c>
      <c r="W401" s="8">
        <v>0</v>
      </c>
      <c r="AA401" s="14">
        <f t="shared" si="35"/>
        <v>0</v>
      </c>
      <c r="AC401" s="8">
        <f t="shared" si="36"/>
        <v>0</v>
      </c>
    </row>
    <row r="402" spans="1:29">
      <c r="A402" s="13" t="s">
        <v>401</v>
      </c>
      <c r="B402" s="13"/>
      <c r="C402" s="13" t="s">
        <v>32</v>
      </c>
      <c r="D402" s="13"/>
      <c r="E402" s="32">
        <v>44511</v>
      </c>
      <c r="G402" s="8">
        <v>27824023</v>
      </c>
      <c r="I402" s="8">
        <v>906858</v>
      </c>
      <c r="K402" s="3">
        <f t="shared" si="33"/>
        <v>5507151</v>
      </c>
      <c r="M402" s="8">
        <v>34238032</v>
      </c>
      <c r="O402" s="3">
        <f t="shared" si="34"/>
        <v>4556976</v>
      </c>
      <c r="Q402" s="8">
        <v>3937239</v>
      </c>
      <c r="S402" s="8">
        <v>8494215</v>
      </c>
      <c r="U402" s="8">
        <f>26891030+20352+26787+1767315+322187+215795</f>
        <v>29243466</v>
      </c>
      <c r="W402" s="8">
        <v>368876</v>
      </c>
      <c r="Y402" s="8">
        <f>442593+3-3057346-1253775</f>
        <v>-3868525</v>
      </c>
      <c r="AA402" s="14">
        <f t="shared" si="35"/>
        <v>25743817</v>
      </c>
      <c r="AC402" s="8">
        <f t="shared" si="36"/>
        <v>0</v>
      </c>
    </row>
    <row r="403" spans="1:29">
      <c r="A403" s="13" t="s">
        <v>479</v>
      </c>
      <c r="B403" s="13"/>
      <c r="C403" s="13" t="s">
        <v>42</v>
      </c>
      <c r="D403" s="13"/>
      <c r="E403" s="32">
        <v>48025</v>
      </c>
      <c r="G403" s="8">
        <v>2644562</v>
      </c>
      <c r="I403" s="8">
        <v>328166</v>
      </c>
      <c r="K403" s="3">
        <f t="shared" si="33"/>
        <v>6232726</v>
      </c>
      <c r="M403" s="8">
        <v>9205454</v>
      </c>
      <c r="O403" s="3">
        <f t="shared" si="34"/>
        <v>2169641</v>
      </c>
      <c r="Q403" s="8">
        <f>4571386+893009</f>
        <v>5464395</v>
      </c>
      <c r="S403" s="8">
        <v>7634036</v>
      </c>
      <c r="U403" s="8">
        <f>138264+7530+55800+409574</f>
        <v>611168</v>
      </c>
      <c r="W403" s="8">
        <v>328166</v>
      </c>
      <c r="Y403" s="8">
        <f>-1249026+244045+1637065</f>
        <v>632084</v>
      </c>
      <c r="AA403" s="14">
        <f t="shared" si="35"/>
        <v>1571418</v>
      </c>
      <c r="AC403" s="8">
        <f t="shared" si="36"/>
        <v>0</v>
      </c>
    </row>
    <row r="404" spans="1:29">
      <c r="A404" s="13" t="s">
        <v>313</v>
      </c>
      <c r="B404" s="13"/>
      <c r="C404" s="13" t="s">
        <v>20</v>
      </c>
      <c r="D404" s="13"/>
      <c r="E404" s="32">
        <v>44529</v>
      </c>
      <c r="G404" s="8">
        <v>13993364</v>
      </c>
      <c r="I404" s="8">
        <v>223073</v>
      </c>
      <c r="K404" s="3">
        <f t="shared" si="33"/>
        <v>36877376</v>
      </c>
      <c r="M404" s="8">
        <v>51093813</v>
      </c>
      <c r="O404" s="3">
        <f t="shared" si="34"/>
        <v>8745764</v>
      </c>
      <c r="Q404" s="8">
        <f>31068014+48162</f>
        <v>31116176</v>
      </c>
      <c r="S404" s="8">
        <v>39861940</v>
      </c>
      <c r="U404" s="8">
        <f>223073+124902+4664767+394988</f>
        <v>5407730</v>
      </c>
      <c r="W404" s="8">
        <v>432000</v>
      </c>
      <c r="Y404" s="8">
        <f>3505797+458148+52637+1375561</f>
        <v>5392143</v>
      </c>
      <c r="AA404" s="14">
        <f t="shared" si="35"/>
        <v>11231873</v>
      </c>
      <c r="AC404" s="8">
        <f t="shared" si="36"/>
        <v>0</v>
      </c>
    </row>
    <row r="405" spans="1:29">
      <c r="A405" s="13" t="s">
        <v>492</v>
      </c>
      <c r="B405" s="13"/>
      <c r="C405" s="13" t="s">
        <v>44</v>
      </c>
      <c r="D405" s="13"/>
      <c r="E405" s="32">
        <v>44537</v>
      </c>
      <c r="G405" s="8">
        <v>5692085</v>
      </c>
      <c r="I405" s="8">
        <v>0</v>
      </c>
      <c r="K405" s="3">
        <f t="shared" si="33"/>
        <v>25383732</v>
      </c>
      <c r="M405" s="8">
        <v>31075817</v>
      </c>
      <c r="O405" s="3">
        <f t="shared" si="34"/>
        <v>6560466</v>
      </c>
      <c r="Q405" s="8">
        <v>22543293</v>
      </c>
      <c r="S405" s="8">
        <v>29103759</v>
      </c>
      <c r="U405" s="8">
        <f>1256014+478698</f>
        <v>1734712</v>
      </c>
      <c r="W405" s="8">
        <v>0</v>
      </c>
      <c r="Y405" s="8">
        <f>600117+158525+416452-937748</f>
        <v>237346</v>
      </c>
      <c r="AA405" s="14">
        <f t="shared" si="35"/>
        <v>1972058</v>
      </c>
      <c r="AC405" s="8">
        <f t="shared" si="36"/>
        <v>0</v>
      </c>
    </row>
    <row r="406" spans="1:29">
      <c r="A406" s="13" t="s">
        <v>314</v>
      </c>
      <c r="B406" s="13"/>
      <c r="C406" s="13" t="s">
        <v>20</v>
      </c>
      <c r="D406" s="13"/>
      <c r="E406" s="32">
        <v>44545</v>
      </c>
      <c r="G406" s="8">
        <v>9911507</v>
      </c>
      <c r="I406" s="8">
        <v>155729</v>
      </c>
      <c r="K406" s="3">
        <f t="shared" si="33"/>
        <v>36917017</v>
      </c>
      <c r="M406" s="8">
        <v>46984253</v>
      </c>
      <c r="O406" s="3">
        <f t="shared" si="34"/>
        <v>6675812</v>
      </c>
      <c r="Q406" s="8">
        <v>30480700</v>
      </c>
      <c r="S406" s="8">
        <v>37156512</v>
      </c>
      <c r="U406" s="8">
        <f>1231700+5611886+155729</f>
        <v>6999315</v>
      </c>
      <c r="W406" s="8">
        <v>0</v>
      </c>
      <c r="Y406" s="8">
        <f>-748015+366085+3225464-15108</f>
        <v>2828426</v>
      </c>
      <c r="AA406" s="14">
        <f t="shared" si="35"/>
        <v>9827741</v>
      </c>
      <c r="AC406" s="8">
        <f t="shared" si="36"/>
        <v>0</v>
      </c>
    </row>
    <row r="407" spans="1:29">
      <c r="A407" s="13" t="s">
        <v>704</v>
      </c>
      <c r="B407" s="13"/>
      <c r="C407" s="13" t="s">
        <v>66</v>
      </c>
      <c r="D407" s="13"/>
      <c r="E407" s="32">
        <v>50336</v>
      </c>
      <c r="G407" s="8">
        <f>17536815+16484</f>
        <v>17553299</v>
      </c>
      <c r="I407" s="8">
        <v>241956</v>
      </c>
      <c r="K407" s="3">
        <f t="shared" si="33"/>
        <v>5570258</v>
      </c>
      <c r="M407" s="8">
        <v>23365513</v>
      </c>
      <c r="O407" s="3">
        <f t="shared" si="34"/>
        <v>3008656</v>
      </c>
      <c r="Q407" s="8">
        <v>4382463</v>
      </c>
      <c r="S407" s="8">
        <v>7391119</v>
      </c>
      <c r="U407" s="8">
        <f>509245+2603108</f>
        <v>3112353</v>
      </c>
      <c r="W407" s="8">
        <v>0</v>
      </c>
      <c r="Y407" s="8">
        <f>8647986+374845+2123823+1715387</f>
        <v>12862041</v>
      </c>
      <c r="AA407" s="14">
        <f t="shared" si="35"/>
        <v>15974394</v>
      </c>
      <c r="AC407" s="8">
        <f t="shared" si="36"/>
        <v>0</v>
      </c>
    </row>
    <row r="408" spans="1:29">
      <c r="A408" s="13" t="s">
        <v>262</v>
      </c>
      <c r="B408" s="13"/>
      <c r="C408" s="13" t="s">
        <v>17</v>
      </c>
      <c r="D408" s="13"/>
      <c r="E408" s="32">
        <v>46250</v>
      </c>
      <c r="G408" s="8">
        <f>7957542+4000+11764</f>
        <v>7973306</v>
      </c>
      <c r="I408" s="8">
        <v>0</v>
      </c>
      <c r="K408" s="3">
        <f t="shared" si="33"/>
        <v>11814359</v>
      </c>
      <c r="M408" s="8">
        <v>19787665</v>
      </c>
      <c r="O408" s="3">
        <f t="shared" si="34"/>
        <v>3614529</v>
      </c>
      <c r="Q408" s="8">
        <v>7910583</v>
      </c>
      <c r="S408" s="8">
        <v>11525112</v>
      </c>
      <c r="U408" s="8">
        <f>396537+115458+3590080</f>
        <v>4102075</v>
      </c>
      <c r="W408" s="8">
        <v>0</v>
      </c>
      <c r="Y408" s="8">
        <f>2596046+104225+917236+542971</f>
        <v>4160478</v>
      </c>
      <c r="AA408" s="14">
        <f t="shared" si="35"/>
        <v>8262553</v>
      </c>
      <c r="AC408" s="8">
        <f t="shared" si="36"/>
        <v>0</v>
      </c>
    </row>
    <row r="409" spans="1:29" s="35" customFormat="1" hidden="1">
      <c r="A409" s="34" t="s">
        <v>262</v>
      </c>
      <c r="B409" s="34"/>
      <c r="C409" s="34" t="s">
        <v>22</v>
      </c>
      <c r="D409" s="34"/>
      <c r="E409" s="34">
        <v>46722</v>
      </c>
      <c r="G409" s="8"/>
      <c r="H409" s="8"/>
      <c r="I409" s="8"/>
      <c r="J409" s="8"/>
      <c r="K409" s="3">
        <f t="shared" si="33"/>
        <v>0</v>
      </c>
      <c r="L409" s="8"/>
      <c r="M409" s="8"/>
      <c r="N409" s="8"/>
      <c r="O409" s="3">
        <f t="shared" si="34"/>
        <v>0</v>
      </c>
      <c r="P409" s="8"/>
      <c r="Q409" s="8"/>
      <c r="R409" s="8"/>
      <c r="S409" s="8"/>
      <c r="T409" s="8"/>
      <c r="U409" s="8"/>
      <c r="V409" s="8"/>
      <c r="W409" s="8">
        <v>0</v>
      </c>
      <c r="X409" s="8"/>
      <c r="Y409" s="8"/>
      <c r="Z409" s="8"/>
      <c r="AA409" s="14">
        <f t="shared" si="35"/>
        <v>0</v>
      </c>
      <c r="AB409" s="8"/>
      <c r="AC409" s="8">
        <f t="shared" si="36"/>
        <v>0</v>
      </c>
    </row>
    <row r="410" spans="1:29">
      <c r="A410" s="13" t="s">
        <v>553</v>
      </c>
      <c r="B410" s="13"/>
      <c r="C410" s="13" t="s">
        <v>50</v>
      </c>
      <c r="D410" s="13"/>
      <c r="E410" s="32">
        <v>48728</v>
      </c>
      <c r="G410" s="8">
        <v>11028450</v>
      </c>
      <c r="I410" s="8">
        <v>0</v>
      </c>
      <c r="K410" s="3">
        <f t="shared" si="33"/>
        <v>24296338</v>
      </c>
      <c r="M410" s="8">
        <v>35324788</v>
      </c>
      <c r="O410" s="3">
        <f t="shared" si="34"/>
        <v>7396605</v>
      </c>
      <c r="Q410" s="8">
        <v>22279351</v>
      </c>
      <c r="S410" s="8">
        <v>29675956</v>
      </c>
      <c r="U410" s="8">
        <f>375410+1490029</f>
        <v>1865439</v>
      </c>
      <c r="W410" s="8">
        <v>0</v>
      </c>
      <c r="Y410" s="8">
        <f>1944517+548180+386+1290310</f>
        <v>3783393</v>
      </c>
      <c r="AA410" s="14">
        <f t="shared" si="35"/>
        <v>5648832</v>
      </c>
      <c r="AC410" s="8">
        <f t="shared" si="36"/>
        <v>0</v>
      </c>
    </row>
    <row r="411" spans="1:29">
      <c r="A411" s="13" t="s">
        <v>562</v>
      </c>
      <c r="B411" s="13"/>
      <c r="C411" s="13" t="s">
        <v>78</v>
      </c>
      <c r="D411" s="13"/>
      <c r="E411" s="32">
        <v>48819</v>
      </c>
      <c r="G411" s="8">
        <f>2187340+14681526</f>
        <v>16868866</v>
      </c>
      <c r="I411" s="8">
        <v>14588</v>
      </c>
      <c r="K411" s="3">
        <f t="shared" si="33"/>
        <v>23261680</v>
      </c>
      <c r="M411" s="8">
        <v>40145134</v>
      </c>
      <c r="O411" s="3">
        <f t="shared" si="34"/>
        <v>1835323</v>
      </c>
      <c r="Q411" s="8">
        <f>18841499+3062704</f>
        <v>21904203</v>
      </c>
      <c r="S411" s="8">
        <v>23739526</v>
      </c>
      <c r="U411" s="8">
        <f>604+7942+15357+100376+771076+12923+1665</f>
        <v>909943</v>
      </c>
      <c r="W411" s="8">
        <v>0</v>
      </c>
      <c r="Y411" s="8">
        <f>207132+99471+15189062</f>
        <v>15495665</v>
      </c>
      <c r="AA411" s="14">
        <f t="shared" si="35"/>
        <v>16405608</v>
      </c>
      <c r="AC411" s="8">
        <f t="shared" si="36"/>
        <v>0</v>
      </c>
    </row>
    <row r="412" spans="1:29">
      <c r="A412" s="13" t="s">
        <v>480</v>
      </c>
      <c r="B412" s="13"/>
      <c r="C412" s="12" t="s">
        <v>50</v>
      </c>
      <c r="D412" s="13"/>
      <c r="E412" s="32">
        <v>48033</v>
      </c>
      <c r="G412" s="8">
        <f>8124195+200+54980</f>
        <v>8179375</v>
      </c>
      <c r="I412" s="8">
        <f>1282877+52637</f>
        <v>1335514</v>
      </c>
      <c r="K412" s="3">
        <f t="shared" si="33"/>
        <v>8202444</v>
      </c>
      <c r="M412" s="8">
        <v>17717333</v>
      </c>
      <c r="O412" s="3">
        <f t="shared" si="34"/>
        <v>1996365</v>
      </c>
      <c r="Q412" s="8">
        <v>7627085</v>
      </c>
      <c r="S412" s="8">
        <v>9623450</v>
      </c>
      <c r="U412" s="8">
        <f>229185+531638+1282877+52637</f>
        <v>2096337</v>
      </c>
      <c r="W412" s="8">
        <v>0</v>
      </c>
      <c r="Y412" s="8">
        <f>5336564+448222+212638+122</f>
        <v>5997546</v>
      </c>
      <c r="AA412" s="14">
        <f t="shared" si="35"/>
        <v>8093883</v>
      </c>
      <c r="AC412" s="8">
        <f t="shared" si="36"/>
        <v>0</v>
      </c>
    </row>
    <row r="413" spans="1:29">
      <c r="A413" s="13" t="s">
        <v>480</v>
      </c>
      <c r="B413" s="13"/>
      <c r="C413" s="13" t="s">
        <v>42</v>
      </c>
      <c r="D413" s="13"/>
      <c r="E413" s="32">
        <v>48736</v>
      </c>
      <c r="G413" s="8">
        <f>1513081+2500</f>
        <v>1515581</v>
      </c>
      <c r="I413" s="8">
        <v>0</v>
      </c>
      <c r="K413" s="3">
        <f t="shared" si="33"/>
        <v>5984436</v>
      </c>
      <c r="M413" s="8">
        <v>7500017</v>
      </c>
      <c r="O413" s="3">
        <f t="shared" si="34"/>
        <v>1289461</v>
      </c>
      <c r="Q413" s="8">
        <v>4954656</v>
      </c>
      <c r="S413" s="8">
        <v>6244117</v>
      </c>
      <c r="U413" s="8">
        <f>19318+232063</f>
        <v>251381</v>
      </c>
      <c r="W413" s="8">
        <v>0</v>
      </c>
      <c r="Y413" s="8">
        <f>194930+275912+530057+3620</f>
        <v>1004519</v>
      </c>
      <c r="AA413" s="14">
        <f t="shared" si="35"/>
        <v>1255900</v>
      </c>
      <c r="AC413" s="8">
        <f t="shared" si="36"/>
        <v>0</v>
      </c>
    </row>
    <row r="414" spans="1:29">
      <c r="A414" s="13" t="s">
        <v>402</v>
      </c>
      <c r="B414" s="13"/>
      <c r="C414" s="13" t="s">
        <v>32</v>
      </c>
      <c r="D414" s="13"/>
      <c r="E414" s="13">
        <v>47365</v>
      </c>
      <c r="G414" s="8">
        <v>18539902</v>
      </c>
      <c r="I414" s="8">
        <v>0</v>
      </c>
      <c r="K414" s="3">
        <f t="shared" si="33"/>
        <v>54934138</v>
      </c>
      <c r="M414" s="8">
        <v>73474040</v>
      </c>
      <c r="O414" s="3">
        <f t="shared" si="34"/>
        <v>12383843</v>
      </c>
      <c r="Q414" s="8">
        <v>35106286</v>
      </c>
      <c r="S414" s="8">
        <v>47490129</v>
      </c>
      <c r="U414" s="8">
        <f>954682+41993+15886000</f>
        <v>16882675</v>
      </c>
      <c r="W414" s="8">
        <v>0</v>
      </c>
      <c r="Y414" s="8">
        <f>7466773+391100+1035064+208299</f>
        <v>9101236</v>
      </c>
      <c r="AA414" s="14">
        <f t="shared" si="35"/>
        <v>25983911</v>
      </c>
      <c r="AC414" s="8">
        <f t="shared" si="36"/>
        <v>0</v>
      </c>
    </row>
    <row r="415" spans="1:29">
      <c r="A415" s="13" t="s">
        <v>402</v>
      </c>
      <c r="B415" s="13"/>
      <c r="C415" s="13" t="s">
        <v>59</v>
      </c>
      <c r="D415" s="13"/>
      <c r="E415" s="32">
        <v>49635</v>
      </c>
      <c r="G415" s="8">
        <v>4220827</v>
      </c>
      <c r="I415" s="8">
        <v>87229</v>
      </c>
      <c r="K415" s="3">
        <f t="shared" si="33"/>
        <v>2984852</v>
      </c>
      <c r="M415" s="8">
        <v>7292908</v>
      </c>
      <c r="O415" s="3">
        <f t="shared" si="34"/>
        <v>2448039</v>
      </c>
      <c r="Q415" s="8">
        <v>2198153</v>
      </c>
      <c r="S415" s="8">
        <v>4646192</v>
      </c>
      <c r="U415" s="8">
        <f>31038+180634+87229</f>
        <v>298901</v>
      </c>
      <c r="W415" s="8">
        <v>0</v>
      </c>
      <c r="Y415" s="8">
        <f>1289067+984699+133562-59513</f>
        <v>2347815</v>
      </c>
      <c r="AA415" s="14">
        <f t="shared" si="35"/>
        <v>2646716</v>
      </c>
      <c r="AC415" s="8">
        <f t="shared" si="36"/>
        <v>0</v>
      </c>
    </row>
    <row r="416" spans="1:29">
      <c r="A416" s="13" t="s">
        <v>402</v>
      </c>
      <c r="B416" s="13"/>
      <c r="C416" s="13" t="s">
        <v>62</v>
      </c>
      <c r="D416" s="13"/>
      <c r="E416" s="32">
        <v>49908</v>
      </c>
      <c r="G416" s="8">
        <f>305339+152</f>
        <v>305491</v>
      </c>
      <c r="I416" s="8">
        <v>105250</v>
      </c>
      <c r="K416" s="3">
        <f t="shared" si="33"/>
        <v>10001660</v>
      </c>
      <c r="M416" s="8">
        <v>10412401</v>
      </c>
      <c r="O416" s="3">
        <f t="shared" si="34"/>
        <v>4779958</v>
      </c>
      <c r="Q416" s="8">
        <f>440604+7195992</f>
        <v>7636596</v>
      </c>
      <c r="S416" s="8">
        <v>12416554</v>
      </c>
      <c r="U416" s="8">
        <f>188425+41112+1128472+105250+452851+13441</f>
        <v>1929551</v>
      </c>
      <c r="W416" s="8">
        <v>0</v>
      </c>
      <c r="Y416" s="8">
        <f>-3897582+40589-76711</f>
        <v>-3933704</v>
      </c>
      <c r="AA416" s="14">
        <f t="shared" si="35"/>
        <v>-2004153</v>
      </c>
      <c r="AC416" s="8">
        <f t="shared" si="36"/>
        <v>0</v>
      </c>
    </row>
    <row r="417" spans="1:29">
      <c r="A417" s="13" t="s">
        <v>263</v>
      </c>
      <c r="B417" s="13"/>
      <c r="C417" s="13" t="s">
        <v>17</v>
      </c>
      <c r="D417" s="13"/>
      <c r="E417" s="32">
        <v>46268</v>
      </c>
      <c r="G417" s="8">
        <v>3717549</v>
      </c>
      <c r="I417" s="8">
        <v>39318</v>
      </c>
      <c r="K417" s="3">
        <f t="shared" si="33"/>
        <v>5948112</v>
      </c>
      <c r="M417" s="8">
        <f>9724859-19880</f>
        <v>9704979</v>
      </c>
      <c r="O417" s="3">
        <f t="shared" si="34"/>
        <v>1880455</v>
      </c>
      <c r="Q417" s="8">
        <v>4984475</v>
      </c>
      <c r="S417" s="8">
        <v>6864930</v>
      </c>
      <c r="U417" s="8">
        <f>144151+48959+857034+39318</f>
        <v>1089462</v>
      </c>
      <c r="W417" s="8">
        <v>162113</v>
      </c>
      <c r="Y417" s="8">
        <f>1150064+152957+299990+5343-19880</f>
        <v>1588474</v>
      </c>
      <c r="AA417" s="14">
        <f t="shared" si="35"/>
        <v>2840049</v>
      </c>
      <c r="AC417" s="8">
        <f t="shared" si="36"/>
        <v>0</v>
      </c>
    </row>
    <row r="418" spans="1:29">
      <c r="A418" s="13" t="s">
        <v>736</v>
      </c>
      <c r="B418" s="13"/>
      <c r="C418" s="13" t="s">
        <v>72</v>
      </c>
      <c r="D418" s="13"/>
      <c r="E418" s="32">
        <v>50716</v>
      </c>
      <c r="G418" s="8">
        <v>3232566</v>
      </c>
      <c r="I418" s="8">
        <v>27496</v>
      </c>
      <c r="K418" s="3">
        <f t="shared" si="33"/>
        <v>8994844</v>
      </c>
      <c r="M418" s="8">
        <v>12254906</v>
      </c>
      <c r="O418" s="3">
        <f t="shared" si="34"/>
        <v>1106307</v>
      </c>
      <c r="Q418" s="8">
        <v>7987358</v>
      </c>
      <c r="S418" s="8">
        <v>9093665</v>
      </c>
      <c r="U418" s="8">
        <f>973690+22244+5252+116492</f>
        <v>1117678</v>
      </c>
      <c r="W418" s="8">
        <v>0</v>
      </c>
      <c r="Y418" s="8">
        <f>1283278+49178+214936+496171</f>
        <v>2043563</v>
      </c>
      <c r="AA418" s="14">
        <f t="shared" si="35"/>
        <v>3161241</v>
      </c>
      <c r="AC418" s="8">
        <f t="shared" si="36"/>
        <v>0</v>
      </c>
    </row>
    <row r="419" spans="1:29">
      <c r="A419" s="13" t="s">
        <v>669</v>
      </c>
      <c r="B419" s="13"/>
      <c r="C419" s="13" t="s">
        <v>63</v>
      </c>
      <c r="D419" s="13"/>
      <c r="E419" s="32">
        <v>44552</v>
      </c>
      <c r="G419" s="8">
        <v>7012179</v>
      </c>
      <c r="I419" s="8">
        <v>15229</v>
      </c>
      <c r="K419" s="3">
        <f t="shared" si="33"/>
        <v>8956880</v>
      </c>
      <c r="M419" s="8">
        <v>15984288</v>
      </c>
      <c r="O419" s="3">
        <f t="shared" si="34"/>
        <v>1992897</v>
      </c>
      <c r="Q419" s="8">
        <v>7784010</v>
      </c>
      <c r="S419" s="8">
        <v>9776907</v>
      </c>
      <c r="U419" s="8">
        <f>412012+18484+1053747+6478+15229</f>
        <v>1505950</v>
      </c>
      <c r="W419" s="8">
        <v>0</v>
      </c>
      <c r="Y419" s="8">
        <f>2570406+568539+4703+1557783</f>
        <v>4701431</v>
      </c>
      <c r="AA419" s="14">
        <f t="shared" si="35"/>
        <v>6207381</v>
      </c>
      <c r="AC419" s="8">
        <f t="shared" si="36"/>
        <v>0</v>
      </c>
    </row>
    <row r="420" spans="1:29">
      <c r="A420" s="13" t="s">
        <v>446</v>
      </c>
      <c r="B420" s="13"/>
      <c r="C420" s="13" t="s">
        <v>37</v>
      </c>
      <c r="D420" s="13"/>
      <c r="E420" s="32">
        <v>44560</v>
      </c>
      <c r="G420" s="8">
        <v>13926983</v>
      </c>
      <c r="I420" s="8">
        <v>1734409</v>
      </c>
      <c r="K420" s="3">
        <f t="shared" si="33"/>
        <v>8471643</v>
      </c>
      <c r="M420" s="8">
        <v>24133035</v>
      </c>
      <c r="O420" s="3">
        <f t="shared" si="34"/>
        <v>3179635</v>
      </c>
      <c r="Q420" s="8">
        <v>6706309</v>
      </c>
      <c r="S420" s="8">
        <v>9885944</v>
      </c>
      <c r="U420" s="8">
        <f>888630+912781+914539+177127+642743</f>
        <v>3535820</v>
      </c>
      <c r="W420" s="8">
        <v>0</v>
      </c>
      <c r="Y420" s="8">
        <f>7883794+620421+1289460+917596</f>
        <v>10711271</v>
      </c>
      <c r="AA420" s="14">
        <f t="shared" si="35"/>
        <v>14247091</v>
      </c>
      <c r="AC420" s="8">
        <f t="shared" si="36"/>
        <v>0</v>
      </c>
    </row>
    <row r="421" spans="1:29">
      <c r="A421" s="13" t="s">
        <v>865</v>
      </c>
      <c r="B421" s="13"/>
      <c r="C421" s="13" t="s">
        <v>32</v>
      </c>
      <c r="D421" s="13"/>
      <c r="E421" s="32">
        <v>44578</v>
      </c>
      <c r="G421" s="8">
        <v>4963295</v>
      </c>
      <c r="I421" s="8">
        <v>0</v>
      </c>
      <c r="K421" s="3">
        <f t="shared" si="33"/>
        <v>13428547</v>
      </c>
      <c r="M421" s="8">
        <v>18391842</v>
      </c>
      <c r="O421" s="3">
        <f t="shared" si="34"/>
        <v>3241147</v>
      </c>
      <c r="Q421" s="8">
        <v>8656560</v>
      </c>
      <c r="S421" s="8">
        <v>11897707</v>
      </c>
      <c r="U421" s="8">
        <f>751538+3985000</f>
        <v>4736538</v>
      </c>
      <c r="W421" s="8">
        <v>0</v>
      </c>
      <c r="Y421" s="8">
        <f>311793+393454+968524+83826</f>
        <v>1757597</v>
      </c>
      <c r="AA421" s="14">
        <f t="shared" si="35"/>
        <v>6494135</v>
      </c>
      <c r="AC421" s="8">
        <f t="shared" si="36"/>
        <v>0</v>
      </c>
    </row>
    <row r="422" spans="1:29">
      <c r="A422" s="13" t="s">
        <v>404</v>
      </c>
      <c r="B422" s="13"/>
      <c r="C422" s="13" t="s">
        <v>32</v>
      </c>
      <c r="D422" s="13"/>
      <c r="E422" s="32">
        <v>47373</v>
      </c>
      <c r="G422" s="8">
        <v>27761078</v>
      </c>
      <c r="I422" s="8">
        <v>380716</v>
      </c>
      <c r="K422" s="3">
        <f t="shared" si="33"/>
        <v>32587409</v>
      </c>
      <c r="M422" s="8">
        <v>60729203</v>
      </c>
      <c r="O422" s="3">
        <f t="shared" si="34"/>
        <v>8246486</v>
      </c>
      <c r="Q422" s="8">
        <v>19323598</v>
      </c>
      <c r="S422" s="8">
        <v>27570084</v>
      </c>
      <c r="U422" s="8">
        <f>362200+2871+10815000+380716</f>
        <v>11560787</v>
      </c>
      <c r="W422" s="8">
        <v>0</v>
      </c>
      <c r="Y422" s="8">
        <f>18690772+57736+2043439+806385</f>
        <v>21598332</v>
      </c>
      <c r="AA422" s="14">
        <f t="shared" ref="AA422:AA437" si="37">Y422+W422+U422</f>
        <v>33159119</v>
      </c>
      <c r="AC422" s="8">
        <f t="shared" si="36"/>
        <v>0</v>
      </c>
    </row>
    <row r="423" spans="1:29">
      <c r="A423" s="13" t="s">
        <v>554</v>
      </c>
      <c r="B423" s="13"/>
      <c r="C423" s="13" t="s">
        <v>50</v>
      </c>
      <c r="D423" s="13"/>
      <c r="E423" s="32">
        <v>44586</v>
      </c>
      <c r="G423" s="8">
        <v>3608698</v>
      </c>
      <c r="I423" s="8">
        <v>0</v>
      </c>
      <c r="K423" s="3">
        <f t="shared" si="33"/>
        <v>15712235</v>
      </c>
      <c r="M423" s="8">
        <v>19320933</v>
      </c>
      <c r="O423" s="3">
        <f t="shared" si="34"/>
        <v>3844355</v>
      </c>
      <c r="Q423" s="8">
        <v>14346898</v>
      </c>
      <c r="S423" s="8">
        <v>18191253</v>
      </c>
      <c r="U423" s="8">
        <f>482532+1127011+20000</f>
        <v>1629543</v>
      </c>
      <c r="W423" s="8">
        <v>0</v>
      </c>
      <c r="Y423" s="8">
        <f>108850-497787+173542+118052-402520</f>
        <v>-499863</v>
      </c>
      <c r="AA423" s="14">
        <f t="shared" si="37"/>
        <v>1129680</v>
      </c>
      <c r="AC423" s="8">
        <f t="shared" si="36"/>
        <v>0</v>
      </c>
    </row>
    <row r="424" spans="1:29">
      <c r="A424" s="13" t="s">
        <v>493</v>
      </c>
      <c r="B424" s="13"/>
      <c r="C424" s="13" t="s">
        <v>44</v>
      </c>
      <c r="D424" s="13"/>
      <c r="E424" s="32">
        <v>44594</v>
      </c>
      <c r="G424" s="8">
        <v>946534</v>
      </c>
      <c r="I424" s="8">
        <v>0</v>
      </c>
      <c r="K424" s="3">
        <f t="shared" si="33"/>
        <v>6479126</v>
      </c>
      <c r="M424" s="8">
        <v>7425660</v>
      </c>
      <c r="O424" s="3">
        <f t="shared" si="34"/>
        <v>2323580</v>
      </c>
      <c r="Q424" s="8">
        <v>4613943</v>
      </c>
      <c r="S424" s="8">
        <v>6937523</v>
      </c>
      <c r="U424" s="8">
        <f>7080+248422+89502</f>
        <v>345004</v>
      </c>
      <c r="W424" s="8">
        <v>0</v>
      </c>
      <c r="Y424" s="8">
        <f>324089+73439-254395</f>
        <v>143133</v>
      </c>
      <c r="AA424" s="14">
        <f t="shared" si="37"/>
        <v>488137</v>
      </c>
      <c r="AC424" s="8">
        <f t="shared" si="36"/>
        <v>0</v>
      </c>
    </row>
    <row r="425" spans="1:29" hidden="1">
      <c r="A425" s="13" t="s">
        <v>834</v>
      </c>
      <c r="B425" s="13"/>
      <c r="C425" s="13" t="s">
        <v>60</v>
      </c>
      <c r="D425" s="13"/>
      <c r="E425" s="32">
        <v>49726</v>
      </c>
      <c r="K425" s="3">
        <f t="shared" si="33"/>
        <v>0</v>
      </c>
      <c r="O425" s="3">
        <f t="shared" si="34"/>
        <v>0</v>
      </c>
      <c r="W425" s="8">
        <v>0</v>
      </c>
      <c r="AA425" s="14">
        <f t="shared" si="37"/>
        <v>0</v>
      </c>
      <c r="AC425" s="8">
        <f t="shared" si="36"/>
        <v>0</v>
      </c>
    </row>
    <row r="426" spans="1:29">
      <c r="A426" s="13" t="s">
        <v>335</v>
      </c>
      <c r="B426" s="13"/>
      <c r="C426" s="13" t="s">
        <v>23</v>
      </c>
      <c r="D426" s="13"/>
      <c r="E426" s="32">
        <v>46763</v>
      </c>
      <c r="G426" s="8">
        <v>91802679</v>
      </c>
      <c r="I426" s="8">
        <v>0</v>
      </c>
      <c r="K426" s="3">
        <f t="shared" si="33"/>
        <v>138966184</v>
      </c>
      <c r="M426" s="8">
        <v>230768863</v>
      </c>
      <c r="O426" s="3">
        <f t="shared" si="34"/>
        <v>19181087</v>
      </c>
      <c r="Q426" s="8">
        <v>122467840</v>
      </c>
      <c r="S426" s="8">
        <v>141648927</v>
      </c>
      <c r="U426" s="8">
        <f>16079919+38343+15315000</f>
        <v>31433262</v>
      </c>
      <c r="W426" s="8">
        <v>0</v>
      </c>
      <c r="Y426" s="8">
        <f>8459258+2845975+17200636+29180805</f>
        <v>57686674</v>
      </c>
      <c r="AA426" s="14">
        <f t="shared" si="37"/>
        <v>89119936</v>
      </c>
      <c r="AC426" s="8">
        <f t="shared" si="36"/>
        <v>0</v>
      </c>
    </row>
    <row r="427" spans="1:29">
      <c r="A427" s="13" t="s">
        <v>315</v>
      </c>
      <c r="B427" s="13"/>
      <c r="C427" s="13" t="s">
        <v>20</v>
      </c>
      <c r="D427" s="13"/>
      <c r="E427" s="32">
        <v>46573</v>
      </c>
      <c r="G427" s="8">
        <v>23178163</v>
      </c>
      <c r="I427" s="8">
        <v>223918</v>
      </c>
      <c r="K427" s="3">
        <f t="shared" si="33"/>
        <v>23545592</v>
      </c>
      <c r="M427" s="8">
        <v>46947673</v>
      </c>
      <c r="O427" s="3">
        <f t="shared" si="34"/>
        <v>6426730</v>
      </c>
      <c r="Q427" s="8">
        <v>19873147</v>
      </c>
      <c r="S427" s="8">
        <v>26299877</v>
      </c>
      <c r="U427" s="8">
        <f>3733631+2971390+223918</f>
        <v>6928939</v>
      </c>
      <c r="W427" s="8">
        <v>0</v>
      </c>
      <c r="Y427" s="8">
        <f>98694+500579+3162197+9855360+102027</f>
        <v>13718857</v>
      </c>
      <c r="AA427" s="14">
        <f t="shared" si="37"/>
        <v>20647796</v>
      </c>
      <c r="AC427" s="8">
        <f t="shared" si="36"/>
        <v>0</v>
      </c>
    </row>
    <row r="428" spans="1:29">
      <c r="A428" s="13" t="s">
        <v>613</v>
      </c>
      <c r="B428" s="13"/>
      <c r="C428" s="13" t="s">
        <v>112</v>
      </c>
      <c r="D428" s="13"/>
      <c r="E428" s="13">
        <v>49478</v>
      </c>
      <c r="G428" s="8">
        <v>8429486</v>
      </c>
      <c r="I428" s="8">
        <v>387</v>
      </c>
      <c r="K428" s="3">
        <f t="shared" si="33"/>
        <v>10059853</v>
      </c>
      <c r="M428" s="8">
        <v>18489726</v>
      </c>
      <c r="O428" s="3">
        <f t="shared" si="34"/>
        <v>9428230</v>
      </c>
      <c r="Q428" s="8">
        <v>520432</v>
      </c>
      <c r="S428" s="8">
        <v>9948662</v>
      </c>
      <c r="U428" s="8">
        <f>9799+237794+7389+2046077+2168064+387</f>
        <v>4469510</v>
      </c>
      <c r="W428" s="8">
        <v>0</v>
      </c>
      <c r="Y428" s="8">
        <f>3988663+42386+40505</f>
        <v>4071554</v>
      </c>
      <c r="AA428" s="14">
        <f t="shared" si="37"/>
        <v>8541064</v>
      </c>
      <c r="AC428" s="8">
        <f t="shared" si="36"/>
        <v>0</v>
      </c>
    </row>
    <row r="429" spans="1:29">
      <c r="A429" s="13" t="s">
        <v>316</v>
      </c>
      <c r="B429" s="13"/>
      <c r="C429" s="13" t="s">
        <v>20</v>
      </c>
      <c r="D429" s="13"/>
      <c r="E429" s="32">
        <v>46581</v>
      </c>
      <c r="G429" s="8">
        <v>39104844</v>
      </c>
      <c r="I429" s="8">
        <v>0</v>
      </c>
      <c r="K429" s="3">
        <f t="shared" si="33"/>
        <v>40997304</v>
      </c>
      <c r="M429" s="8">
        <v>80102148</v>
      </c>
      <c r="O429" s="3">
        <f t="shared" si="34"/>
        <v>6439948</v>
      </c>
      <c r="Q429" s="8">
        <f>30793595+3352113</f>
        <v>34145708</v>
      </c>
      <c r="S429" s="8">
        <v>40585656</v>
      </c>
      <c r="U429" s="8">
        <f>2066758+6028858+2396980</f>
        <v>10492596</v>
      </c>
      <c r="W429" s="8">
        <v>0</v>
      </c>
      <c r="Y429" s="8">
        <f>25289018+488701+3246177</f>
        <v>29023896</v>
      </c>
      <c r="AA429" s="14">
        <f t="shared" si="37"/>
        <v>39516492</v>
      </c>
      <c r="AC429" s="8">
        <f t="shared" si="36"/>
        <v>0</v>
      </c>
    </row>
    <row r="430" spans="1:29">
      <c r="A430" s="13" t="s">
        <v>498</v>
      </c>
      <c r="B430" s="13"/>
      <c r="C430" s="13" t="s">
        <v>117</v>
      </c>
      <c r="D430" s="13"/>
      <c r="E430" s="32">
        <v>44602</v>
      </c>
      <c r="G430" s="8">
        <v>11547566</v>
      </c>
      <c r="I430" s="8">
        <v>201560</v>
      </c>
      <c r="K430" s="3">
        <f t="shared" si="33"/>
        <v>27022415</v>
      </c>
      <c r="M430" s="8">
        <v>38771541</v>
      </c>
      <c r="O430" s="3">
        <f t="shared" si="34"/>
        <v>6730695</v>
      </c>
      <c r="Q430" s="8">
        <f>3433948+21633657</f>
        <v>25067605</v>
      </c>
      <c r="S430" s="8">
        <v>31798300</v>
      </c>
      <c r="U430" s="8">
        <f>391295+201560+24744+885835+71232+1418151</f>
        <v>2992817</v>
      </c>
      <c r="W430" s="8">
        <v>0</v>
      </c>
      <c r="Y430" s="8">
        <f>-2640444+1801663+4819205</f>
        <v>3980424</v>
      </c>
      <c r="AA430" s="14">
        <f t="shared" si="37"/>
        <v>6973241</v>
      </c>
      <c r="AC430" s="8">
        <f t="shared" si="36"/>
        <v>0</v>
      </c>
    </row>
    <row r="431" spans="1:29">
      <c r="A431" s="13"/>
      <c r="B431" s="13"/>
      <c r="C431" s="13"/>
      <c r="D431" s="13"/>
      <c r="E431" s="32"/>
      <c r="K431" s="3"/>
      <c r="O431" s="3"/>
      <c r="AA431" s="14"/>
    </row>
    <row r="432" spans="1:29">
      <c r="A432" s="13"/>
      <c r="B432" s="13"/>
      <c r="C432" s="13"/>
      <c r="D432" s="13"/>
      <c r="E432" s="32"/>
      <c r="K432" s="3"/>
      <c r="O432" s="3"/>
      <c r="AA432" s="134" t="s">
        <v>805</v>
      </c>
    </row>
    <row r="433" spans="1:31">
      <c r="A433" s="13"/>
      <c r="B433" s="13"/>
      <c r="C433" s="13"/>
      <c r="D433" s="13"/>
      <c r="E433" s="32"/>
      <c r="K433" s="3"/>
      <c r="O433" s="3"/>
      <c r="AA433" s="14"/>
    </row>
    <row r="434" spans="1:31">
      <c r="A434" s="13" t="s">
        <v>723</v>
      </c>
      <c r="B434" s="13"/>
      <c r="C434" s="13" t="s">
        <v>71</v>
      </c>
      <c r="D434" s="13"/>
      <c r="E434" s="32">
        <v>44610</v>
      </c>
      <c r="G434" s="35">
        <v>12663110</v>
      </c>
      <c r="H434" s="35"/>
      <c r="I434" s="35">
        <v>0</v>
      </c>
      <c r="J434" s="35"/>
      <c r="K434" s="42">
        <f t="shared" si="33"/>
        <v>9551498</v>
      </c>
      <c r="L434" s="35"/>
      <c r="M434" s="35">
        <v>22214608</v>
      </c>
      <c r="N434" s="35"/>
      <c r="O434" s="42">
        <f t="shared" si="34"/>
        <v>3197621</v>
      </c>
      <c r="P434" s="35"/>
      <c r="Q434" s="35">
        <v>7406317</v>
      </c>
      <c r="R434" s="35"/>
      <c r="S434" s="35">
        <v>10603938</v>
      </c>
      <c r="T434" s="35"/>
      <c r="U434" s="35">
        <f>6525465+737000</f>
        <v>7262465</v>
      </c>
      <c r="V434" s="35"/>
      <c r="W434" s="35">
        <v>0</v>
      </c>
      <c r="X434" s="35"/>
      <c r="Y434" s="35">
        <f>216893+444398+4328082-641168</f>
        <v>4348205</v>
      </c>
      <c r="Z434" s="35"/>
      <c r="AA434" s="64">
        <f t="shared" si="37"/>
        <v>11610670</v>
      </c>
      <c r="AC434" s="8">
        <f t="shared" si="36"/>
        <v>0</v>
      </c>
    </row>
    <row r="435" spans="1:31">
      <c r="A435" s="13" t="s">
        <v>659</v>
      </c>
      <c r="B435" s="13"/>
      <c r="C435" s="13" t="s">
        <v>62</v>
      </c>
      <c r="D435" s="13"/>
      <c r="E435" s="32">
        <v>49916</v>
      </c>
      <c r="G435" s="8">
        <v>10848570</v>
      </c>
      <c r="I435" s="8">
        <v>28109</v>
      </c>
      <c r="K435" s="3">
        <f>M435-G435-I435</f>
        <v>12997216</v>
      </c>
      <c r="M435" s="8">
        <v>23873895</v>
      </c>
      <c r="O435" s="3">
        <f>S435-Q435</f>
        <v>3004742</v>
      </c>
      <c r="Q435" s="8">
        <f>2872821+2591521</f>
        <v>5464342</v>
      </c>
      <c r="S435" s="8">
        <v>8469084</v>
      </c>
      <c r="U435" s="8">
        <f>9877701+3970+4145+150330+1153+26956</f>
        <v>10064255</v>
      </c>
      <c r="W435" s="8">
        <v>0</v>
      </c>
      <c r="Y435" s="8">
        <f>2579818+215571+143803+2401364</f>
        <v>5340556</v>
      </c>
      <c r="AA435" s="14">
        <f t="shared" si="37"/>
        <v>15404811</v>
      </c>
      <c r="AC435" s="8">
        <f t="shared" ref="AC435:AC500" si="38">+G435+I435+K435-O435-Q435-Y435-W435-U435</f>
        <v>0</v>
      </c>
    </row>
    <row r="436" spans="1:31">
      <c r="A436" s="13" t="s">
        <v>737</v>
      </c>
      <c r="B436" s="13"/>
      <c r="C436" s="13" t="s">
        <v>72</v>
      </c>
      <c r="D436" s="13"/>
      <c r="E436" s="32">
        <v>50724</v>
      </c>
      <c r="G436" s="8">
        <v>1838479</v>
      </c>
      <c r="I436" s="8">
        <v>50688</v>
      </c>
      <c r="K436" s="3">
        <f>M436-G436-I436</f>
        <v>6300732</v>
      </c>
      <c r="M436" s="8">
        <v>8189899</v>
      </c>
      <c r="O436" s="3">
        <f>S436-Q436</f>
        <v>1432796</v>
      </c>
      <c r="Q436" s="8">
        <v>4561368</v>
      </c>
      <c r="S436" s="8">
        <v>5994164</v>
      </c>
      <c r="U436" s="8">
        <f>900260+50688+95555</f>
        <v>1046503</v>
      </c>
      <c r="W436" s="8">
        <v>0</v>
      </c>
      <c r="Y436" s="8">
        <f>24359+481043+716511-72681</f>
        <v>1149232</v>
      </c>
      <c r="AA436" s="14">
        <f t="shared" si="37"/>
        <v>2195735</v>
      </c>
      <c r="AC436" s="8">
        <f t="shared" si="38"/>
        <v>0</v>
      </c>
    </row>
    <row r="437" spans="1:31">
      <c r="A437" s="13" t="s">
        <v>499</v>
      </c>
      <c r="B437" s="13"/>
      <c r="C437" s="13" t="s">
        <v>117</v>
      </c>
      <c r="D437" s="13"/>
      <c r="E437" s="32">
        <v>48215</v>
      </c>
      <c r="G437" s="8">
        <v>3670343</v>
      </c>
      <c r="I437" s="8">
        <v>0</v>
      </c>
      <c r="K437" s="3">
        <f>M437-G437-I437</f>
        <v>13289229</v>
      </c>
      <c r="M437" s="8">
        <v>16959572</v>
      </c>
      <c r="O437" s="3">
        <f>S437-Q437</f>
        <v>1235798</v>
      </c>
      <c r="Q437" s="8">
        <f>9345026+11171</f>
        <v>9356197</v>
      </c>
      <c r="S437" s="8">
        <v>10591995</v>
      </c>
      <c r="U437" s="8">
        <f>163401+96867+820789+429143</f>
        <v>1510200</v>
      </c>
      <c r="W437" s="8">
        <v>0</v>
      </c>
      <c r="Y437" s="8">
        <f>4589285+227982+40110</f>
        <v>4857377</v>
      </c>
      <c r="AA437" s="14">
        <f t="shared" si="37"/>
        <v>6367577</v>
      </c>
      <c r="AC437" s="8">
        <f t="shared" si="38"/>
        <v>0</v>
      </c>
    </row>
    <row r="438" spans="1:31" hidden="1">
      <c r="A438" s="108" t="s">
        <v>1047</v>
      </c>
      <c r="B438" s="13"/>
      <c r="C438" s="13" t="s">
        <v>603</v>
      </c>
      <c r="D438" s="13"/>
      <c r="E438" s="32">
        <v>49379</v>
      </c>
      <c r="F438" s="35"/>
      <c r="K438" s="3">
        <f t="shared" ref="K438:K488" si="39">M438-G438-I438</f>
        <v>0</v>
      </c>
      <c r="O438" s="3">
        <f t="shared" ref="O438:O488" si="40">S438-Q438</f>
        <v>0</v>
      </c>
      <c r="W438" s="8">
        <v>0</v>
      </c>
      <c r="AA438" s="14">
        <f t="shared" ref="AA438:AA488" si="41">U438+W438+Y438</f>
        <v>0</v>
      </c>
      <c r="AC438" s="8">
        <f t="shared" si="38"/>
        <v>0</v>
      </c>
    </row>
    <row r="439" spans="1:31" hidden="1">
      <c r="A439" s="108" t="s">
        <v>1046</v>
      </c>
      <c r="B439" s="13"/>
      <c r="C439" s="13" t="s">
        <v>603</v>
      </c>
      <c r="D439" s="13"/>
      <c r="E439" s="32">
        <v>49387</v>
      </c>
      <c r="K439" s="3">
        <f t="shared" si="39"/>
        <v>0</v>
      </c>
      <c r="O439" s="3">
        <f t="shared" si="40"/>
        <v>0</v>
      </c>
      <c r="W439" s="8">
        <v>0</v>
      </c>
      <c r="AA439" s="14">
        <f t="shared" si="41"/>
        <v>0</v>
      </c>
      <c r="AC439" s="8">
        <f t="shared" si="38"/>
        <v>0</v>
      </c>
    </row>
    <row r="440" spans="1:31">
      <c r="A440" s="13" t="s">
        <v>461</v>
      </c>
      <c r="B440" s="13"/>
      <c r="C440" s="13" t="s">
        <v>41</v>
      </c>
      <c r="D440" s="13"/>
      <c r="E440" s="32">
        <v>44628</v>
      </c>
      <c r="G440" s="8">
        <v>17245452</v>
      </c>
      <c r="I440" s="8">
        <v>538690</v>
      </c>
      <c r="K440" s="3">
        <f t="shared" si="39"/>
        <v>12070607</v>
      </c>
      <c r="M440" s="8">
        <v>29854749</v>
      </c>
      <c r="O440" s="3">
        <f t="shared" si="40"/>
        <v>7959976</v>
      </c>
      <c r="Q440" s="8">
        <v>10828397</v>
      </c>
      <c r="S440" s="8">
        <v>18788373</v>
      </c>
      <c r="U440" s="8">
        <f>1340209+54198+537945+105468</f>
        <v>2037820</v>
      </c>
      <c r="W440" s="8">
        <v>0</v>
      </c>
      <c r="Y440" s="8">
        <f>8569260+1254030+190311-985045</f>
        <v>9028556</v>
      </c>
      <c r="AA440" s="14">
        <f t="shared" si="41"/>
        <v>11066376</v>
      </c>
      <c r="AC440" s="8">
        <f t="shared" si="38"/>
        <v>0</v>
      </c>
    </row>
    <row r="441" spans="1:31" hidden="1">
      <c r="A441" s="12" t="s">
        <v>1003</v>
      </c>
      <c r="B441" s="13"/>
      <c r="C441" s="13" t="s">
        <v>41</v>
      </c>
      <c r="D441" s="13"/>
      <c r="E441" s="32">
        <v>47894</v>
      </c>
      <c r="K441" s="3">
        <f t="shared" si="39"/>
        <v>0</v>
      </c>
      <c r="O441" s="3">
        <f t="shared" si="40"/>
        <v>0</v>
      </c>
      <c r="W441" s="8">
        <v>0</v>
      </c>
      <c r="AA441" s="14">
        <f t="shared" si="41"/>
        <v>0</v>
      </c>
      <c r="AC441" s="8">
        <f t="shared" si="38"/>
        <v>0</v>
      </c>
      <c r="AE441" s="8" t="s">
        <v>1029</v>
      </c>
    </row>
    <row r="442" spans="1:31">
      <c r="A442" s="13" t="s">
        <v>619</v>
      </c>
      <c r="B442" s="13"/>
      <c r="C442" s="13" t="s">
        <v>58</v>
      </c>
      <c r="D442" s="13"/>
      <c r="E442" s="32">
        <v>49510</v>
      </c>
      <c r="G442" s="8">
        <v>4800636</v>
      </c>
      <c r="I442" s="8">
        <v>169972</v>
      </c>
      <c r="K442" s="3">
        <f t="shared" si="39"/>
        <v>1957208</v>
      </c>
      <c r="M442" s="8">
        <v>6927816</v>
      </c>
      <c r="O442" s="3">
        <f t="shared" si="40"/>
        <v>1152194</v>
      </c>
      <c r="Q442" s="8">
        <v>1654098</v>
      </c>
      <c r="S442" s="8">
        <v>2806292</v>
      </c>
      <c r="U442" s="8">
        <f>237479+3000+184223+169972</f>
        <v>594674</v>
      </c>
      <c r="W442" s="8">
        <v>0</v>
      </c>
      <c r="Y442" s="8">
        <f>1289917+338802+161803+1735994+334</f>
        <v>3526850</v>
      </c>
      <c r="AA442" s="14">
        <f t="shared" si="41"/>
        <v>4121524</v>
      </c>
      <c r="AC442" s="8">
        <f t="shared" si="38"/>
        <v>0</v>
      </c>
      <c r="AE442" s="8" t="s">
        <v>956</v>
      </c>
    </row>
    <row r="443" spans="1:31" hidden="1">
      <c r="A443" s="91" t="s">
        <v>1004</v>
      </c>
      <c r="B443" s="13"/>
      <c r="C443" s="13" t="s">
        <v>603</v>
      </c>
      <c r="D443" s="13"/>
      <c r="E443" s="32">
        <v>49395</v>
      </c>
      <c r="K443" s="3">
        <f t="shared" si="39"/>
        <v>0</v>
      </c>
      <c r="O443" s="3">
        <f t="shared" si="40"/>
        <v>0</v>
      </c>
      <c r="W443" s="8">
        <v>0</v>
      </c>
      <c r="AA443" s="14">
        <f t="shared" si="41"/>
        <v>0</v>
      </c>
      <c r="AC443" s="8">
        <f t="shared" si="38"/>
        <v>0</v>
      </c>
    </row>
    <row r="444" spans="1:31" hidden="1">
      <c r="A444" s="12" t="s">
        <v>1005</v>
      </c>
      <c r="B444" s="13"/>
      <c r="C444" s="13" t="s">
        <v>534</v>
      </c>
      <c r="D444" s="13"/>
      <c r="E444" s="32">
        <v>48579</v>
      </c>
      <c r="G444" s="8">
        <v>5531271</v>
      </c>
      <c r="I444" s="8">
        <v>525</v>
      </c>
      <c r="K444" s="3">
        <f t="shared" si="39"/>
        <v>79846</v>
      </c>
      <c r="M444" s="8">
        <v>5611642</v>
      </c>
      <c r="O444" s="3">
        <f t="shared" si="40"/>
        <v>0</v>
      </c>
      <c r="U444" s="8">
        <f>68452+525</f>
        <v>68977</v>
      </c>
      <c r="W444" s="8">
        <v>0</v>
      </c>
      <c r="Y444" s="8">
        <f>3442729+344937+266632+1488367</f>
        <v>5542665</v>
      </c>
      <c r="AA444" s="14">
        <f t="shared" si="41"/>
        <v>5611642</v>
      </c>
      <c r="AC444" s="8">
        <f t="shared" si="38"/>
        <v>0</v>
      </c>
    </row>
    <row r="445" spans="1:31">
      <c r="A445" s="13" t="s">
        <v>317</v>
      </c>
      <c r="B445" s="13"/>
      <c r="C445" s="13" t="s">
        <v>20</v>
      </c>
      <c r="D445" s="13"/>
      <c r="E445" s="13">
        <v>44636</v>
      </c>
      <c r="G445" s="8">
        <v>12795283</v>
      </c>
      <c r="I445" s="8">
        <v>0</v>
      </c>
      <c r="K445" s="3">
        <f t="shared" si="39"/>
        <v>96399169</v>
      </c>
      <c r="M445" s="8">
        <v>109194452</v>
      </c>
      <c r="O445" s="3">
        <f t="shared" si="40"/>
        <v>19000078</v>
      </c>
      <c r="Q445" s="8">
        <v>77108529</v>
      </c>
      <c r="S445" s="8">
        <v>96108607</v>
      </c>
      <c r="U445" s="8">
        <f>1819766+14619940</f>
        <v>16439706</v>
      </c>
      <c r="W445" s="8">
        <v>0</v>
      </c>
      <c r="Y445" s="8">
        <f>156866+139875+403074-4053676</f>
        <v>-3353861</v>
      </c>
      <c r="AA445" s="14">
        <f t="shared" si="41"/>
        <v>13085845</v>
      </c>
      <c r="AC445" s="8">
        <f t="shared" si="38"/>
        <v>0</v>
      </c>
    </row>
    <row r="446" spans="1:31">
      <c r="A446" s="13" t="s">
        <v>433</v>
      </c>
      <c r="B446" s="13"/>
      <c r="C446" s="13" t="s">
        <v>34</v>
      </c>
      <c r="D446" s="13"/>
      <c r="E446" s="32">
        <v>47597</v>
      </c>
      <c r="G446" s="8">
        <v>2403108</v>
      </c>
      <c r="I446" s="8">
        <v>23745</v>
      </c>
      <c r="K446" s="3">
        <f t="shared" si="39"/>
        <v>5803858</v>
      </c>
      <c r="M446" s="8">
        <v>8230711</v>
      </c>
      <c r="O446" s="3">
        <f t="shared" si="40"/>
        <v>1069362</v>
      </c>
      <c r="Q446" s="8">
        <v>4718949</v>
      </c>
      <c r="S446" s="8">
        <v>5788311</v>
      </c>
      <c r="U446" s="8">
        <f>692702+478911+23745</f>
        <v>1195358</v>
      </c>
      <c r="W446" s="8">
        <v>0</v>
      </c>
      <c r="Y446" s="8">
        <f>481049+498098+211157+56738</f>
        <v>1247042</v>
      </c>
      <c r="AA446" s="14">
        <f t="shared" si="41"/>
        <v>2442400</v>
      </c>
      <c r="AC446" s="8">
        <f t="shared" si="38"/>
        <v>0</v>
      </c>
    </row>
    <row r="447" spans="1:31" hidden="1">
      <c r="A447" s="12" t="s">
        <v>1007</v>
      </c>
      <c r="B447" s="13"/>
      <c r="C447" s="13" t="s">
        <v>576</v>
      </c>
      <c r="D447" s="13"/>
      <c r="E447" s="32">
        <v>45575</v>
      </c>
      <c r="G447" s="8">
        <v>3394644</v>
      </c>
      <c r="K447" s="3">
        <f t="shared" si="39"/>
        <v>0</v>
      </c>
      <c r="M447" s="8">
        <v>3394644</v>
      </c>
      <c r="O447" s="3">
        <f t="shared" si="40"/>
        <v>0</v>
      </c>
      <c r="U447" s="8">
        <v>119313</v>
      </c>
      <c r="W447" s="8">
        <v>0</v>
      </c>
      <c r="Y447" s="8">
        <f>1874733+965421+435177</f>
        <v>3275331</v>
      </c>
      <c r="AA447" s="14">
        <f t="shared" si="41"/>
        <v>3394644</v>
      </c>
      <c r="AC447" s="8">
        <f t="shared" si="38"/>
        <v>0</v>
      </c>
    </row>
    <row r="448" spans="1:31">
      <c r="A448" s="13" t="s">
        <v>340</v>
      </c>
      <c r="B448" s="13"/>
      <c r="C448" s="13" t="s">
        <v>24</v>
      </c>
      <c r="D448" s="13"/>
      <c r="E448" s="32">
        <v>46813</v>
      </c>
      <c r="G448" s="8">
        <v>7245948</v>
      </c>
      <c r="I448" s="8">
        <v>0</v>
      </c>
      <c r="K448" s="3">
        <f t="shared" si="39"/>
        <v>13909318</v>
      </c>
      <c r="M448" s="8">
        <v>21155266</v>
      </c>
      <c r="O448" s="3">
        <f t="shared" si="40"/>
        <v>13194768</v>
      </c>
      <c r="Q448" s="8">
        <v>1848717</v>
      </c>
      <c r="S448" s="8">
        <v>15043485</v>
      </c>
      <c r="U448" s="8">
        <f>473891+89283+1722316+32915+4260</f>
        <v>2322665</v>
      </c>
      <c r="W448" s="8">
        <v>0</v>
      </c>
      <c r="Y448" s="8">
        <f>3007316+717259+64541</f>
        <v>3789116</v>
      </c>
      <c r="AA448" s="14">
        <f t="shared" si="41"/>
        <v>6111781</v>
      </c>
      <c r="AC448" s="8">
        <f t="shared" si="38"/>
        <v>0</v>
      </c>
    </row>
    <row r="449" spans="1:31" hidden="1">
      <c r="A449" s="12" t="s">
        <v>1008</v>
      </c>
      <c r="B449" s="12"/>
      <c r="C449" s="12" t="s">
        <v>10</v>
      </c>
      <c r="D449" s="13"/>
      <c r="E449" s="32"/>
      <c r="G449" s="8">
        <v>3049246</v>
      </c>
      <c r="I449" s="8">
        <v>27307</v>
      </c>
      <c r="K449" s="3">
        <f t="shared" si="39"/>
        <v>0</v>
      </c>
      <c r="M449" s="8">
        <v>3076553</v>
      </c>
      <c r="O449" s="3"/>
      <c r="U449" s="8">
        <f>124951+27307</f>
        <v>152258</v>
      </c>
      <c r="Y449" s="8">
        <f>2147548+248305+441701+86741</f>
        <v>2924295</v>
      </c>
      <c r="AA449" s="14">
        <f t="shared" si="41"/>
        <v>3076553</v>
      </c>
      <c r="AC449" s="8">
        <f t="shared" si="38"/>
        <v>0</v>
      </c>
    </row>
    <row r="450" spans="1:31">
      <c r="A450" s="13" t="s">
        <v>211</v>
      </c>
      <c r="B450" s="13"/>
      <c r="C450" s="13" t="s">
        <v>41</v>
      </c>
      <c r="D450" s="13"/>
      <c r="E450" s="32">
        <v>47902</v>
      </c>
      <c r="G450" s="8">
        <v>31749964</v>
      </c>
      <c r="I450" s="8">
        <v>58165</v>
      </c>
      <c r="K450" s="3">
        <f t="shared" si="39"/>
        <v>25943214</v>
      </c>
      <c r="M450" s="8">
        <v>57751343</v>
      </c>
      <c r="O450" s="3">
        <f t="shared" si="40"/>
        <v>2553599</v>
      </c>
      <c r="Q450" s="8">
        <v>24919327</v>
      </c>
      <c r="S450" s="8">
        <v>27472926</v>
      </c>
      <c r="U450" s="8">
        <f>223183+58165+368081</f>
        <v>649429</v>
      </c>
      <c r="W450" s="8">
        <v>0</v>
      </c>
      <c r="Y450" s="8">
        <f>13341149+3158487+13129352</f>
        <v>29628988</v>
      </c>
      <c r="AA450" s="14">
        <f t="shared" si="41"/>
        <v>30278417</v>
      </c>
      <c r="AC450" s="8">
        <f t="shared" si="38"/>
        <v>0</v>
      </c>
    </row>
    <row r="451" spans="1:31">
      <c r="A451" s="13" t="s">
        <v>211</v>
      </c>
      <c r="B451" s="13"/>
      <c r="C451" s="13" t="s">
        <v>62</v>
      </c>
      <c r="D451" s="13"/>
      <c r="E451" s="32">
        <v>49924</v>
      </c>
      <c r="G451" s="8">
        <v>31714699</v>
      </c>
      <c r="I451" s="8">
        <v>0</v>
      </c>
      <c r="K451" s="3">
        <f t="shared" si="39"/>
        <v>20140979</v>
      </c>
      <c r="M451" s="8">
        <v>51855678</v>
      </c>
      <c r="O451" s="3">
        <f t="shared" si="40"/>
        <v>6115143</v>
      </c>
      <c r="Q451" s="8">
        <v>18800187</v>
      </c>
      <c r="S451" s="8">
        <v>24915330</v>
      </c>
      <c r="U451" s="8">
        <f>448679+800140+102502</f>
        <v>1351321</v>
      </c>
      <c r="W451" s="8">
        <v>0</v>
      </c>
      <c r="Y451" s="8">
        <f>20656895+529868+4402264</f>
        <v>25589027</v>
      </c>
      <c r="AA451" s="14">
        <f t="shared" si="41"/>
        <v>26940348</v>
      </c>
      <c r="AC451" s="8">
        <f t="shared" si="38"/>
        <v>0</v>
      </c>
    </row>
    <row r="452" spans="1:31">
      <c r="A452" s="13" t="s">
        <v>738</v>
      </c>
      <c r="B452" s="13"/>
      <c r="C452" s="13" t="s">
        <v>72</v>
      </c>
      <c r="D452" s="13"/>
      <c r="E452" s="32">
        <v>45583</v>
      </c>
      <c r="G452" s="8">
        <v>5020155</v>
      </c>
      <c r="I452" s="8">
        <v>137211</v>
      </c>
      <c r="K452" s="3">
        <f t="shared" si="39"/>
        <v>28148257</v>
      </c>
      <c r="M452" s="8">
        <v>33305623</v>
      </c>
      <c r="O452" s="3">
        <f t="shared" si="40"/>
        <v>5823736</v>
      </c>
      <c r="Q452" s="8">
        <v>22868089</v>
      </c>
      <c r="S452" s="8">
        <v>28691825</v>
      </c>
      <c r="U452" s="8">
        <f>532439+137211+3155246+10194+1240622</f>
        <v>5075712</v>
      </c>
      <c r="W452" s="8">
        <v>0</v>
      </c>
      <c r="Y452" s="8">
        <f>541006+768145-1771065</f>
        <v>-461914</v>
      </c>
      <c r="AA452" s="14">
        <f t="shared" si="41"/>
        <v>4613798</v>
      </c>
      <c r="AC452" s="8">
        <f t="shared" si="38"/>
        <v>0</v>
      </c>
    </row>
    <row r="453" spans="1:31">
      <c r="A453" s="13" t="s">
        <v>371</v>
      </c>
      <c r="B453" s="13"/>
      <c r="C453" s="13" t="s">
        <v>28</v>
      </c>
      <c r="D453" s="13"/>
      <c r="E453" s="32">
        <v>47076</v>
      </c>
      <c r="G453" s="8">
        <v>2297666</v>
      </c>
      <c r="I453" s="8">
        <v>0</v>
      </c>
      <c r="K453" s="3">
        <f t="shared" si="39"/>
        <v>7412666</v>
      </c>
      <c r="M453" s="8">
        <v>9710332</v>
      </c>
      <c r="O453" s="3">
        <f t="shared" si="40"/>
        <v>806314</v>
      </c>
      <c r="Q453" s="8">
        <v>1339374</v>
      </c>
      <c r="S453" s="8">
        <v>2145688</v>
      </c>
      <c r="U453" s="8">
        <f>1046069+11914+102823</f>
        <v>1160806</v>
      </c>
      <c r="W453" s="8">
        <v>0</v>
      </c>
      <c r="Y453" s="8">
        <f>495146+387364+41961+5479367</f>
        <v>6403838</v>
      </c>
      <c r="AA453" s="14">
        <f t="shared" si="41"/>
        <v>7564644</v>
      </c>
      <c r="AC453" s="8">
        <f t="shared" si="38"/>
        <v>0</v>
      </c>
      <c r="AE453" s="8" t="s">
        <v>956</v>
      </c>
    </row>
    <row r="454" spans="1:31">
      <c r="A454" s="13" t="s">
        <v>349</v>
      </c>
      <c r="B454" s="13"/>
      <c r="C454" s="13" t="s">
        <v>25</v>
      </c>
      <c r="D454" s="13"/>
      <c r="E454" s="32">
        <v>46896</v>
      </c>
      <c r="G454" s="8">
        <v>44725421</v>
      </c>
      <c r="I454" s="8">
        <v>22684</v>
      </c>
      <c r="K454" s="3">
        <f t="shared" si="39"/>
        <v>106360142</v>
      </c>
      <c r="M454" s="8">
        <v>151108247</v>
      </c>
      <c r="O454" s="3">
        <f t="shared" si="40"/>
        <v>50794371</v>
      </c>
      <c r="Q454" s="8">
        <v>55231654</v>
      </c>
      <c r="S454" s="8">
        <v>106026025</v>
      </c>
      <c r="U454" s="8">
        <f>7610689+22684+42877+4188701+100988+14854106+300000</f>
        <v>27120045</v>
      </c>
      <c r="W454" s="8">
        <v>2627993</v>
      </c>
      <c r="Y454" s="8">
        <f>5363350+4817266+5153568</f>
        <v>15334184</v>
      </c>
      <c r="AA454" s="14">
        <f t="shared" si="41"/>
        <v>45082222</v>
      </c>
      <c r="AC454" s="8">
        <f t="shared" si="38"/>
        <v>0</v>
      </c>
    </row>
    <row r="455" spans="1:31">
      <c r="A455" s="13" t="s">
        <v>372</v>
      </c>
      <c r="B455" s="13"/>
      <c r="C455" s="13" t="s">
        <v>28</v>
      </c>
      <c r="D455" s="13"/>
      <c r="E455" s="32">
        <v>47084</v>
      </c>
      <c r="G455" s="8">
        <v>18840056</v>
      </c>
      <c r="I455" s="8">
        <v>26007</v>
      </c>
      <c r="K455" s="3">
        <f t="shared" si="39"/>
        <v>15681307</v>
      </c>
      <c r="M455" s="8">
        <v>34547370</v>
      </c>
      <c r="O455" s="3">
        <f t="shared" si="40"/>
        <v>1864422</v>
      </c>
      <c r="Q455" s="8">
        <v>15308102</v>
      </c>
      <c r="S455" s="8">
        <v>17172524</v>
      </c>
      <c r="U455" s="8">
        <f>291020+26007+973032</f>
        <v>1290059</v>
      </c>
      <c r="W455" s="8">
        <v>0</v>
      </c>
      <c r="Y455" s="8">
        <f>2756418+125893+1165792+12036684</f>
        <v>16084787</v>
      </c>
      <c r="AA455" s="14">
        <f t="shared" si="41"/>
        <v>17374846</v>
      </c>
      <c r="AC455" s="8">
        <f t="shared" si="38"/>
        <v>0</v>
      </c>
    </row>
    <row r="456" spans="1:31">
      <c r="A456" s="13" t="s">
        <v>540</v>
      </c>
      <c r="B456" s="13"/>
      <c r="C456" s="13" t="s">
        <v>48</v>
      </c>
      <c r="D456" s="13"/>
      <c r="E456" s="32">
        <v>44644</v>
      </c>
      <c r="G456" s="8">
        <v>6411647</v>
      </c>
      <c r="I456" s="8">
        <f>247328+762</f>
        <v>248090</v>
      </c>
      <c r="K456" s="3">
        <f t="shared" si="39"/>
        <v>18070853</v>
      </c>
      <c r="M456" s="8">
        <v>24730590</v>
      </c>
      <c r="O456" s="3">
        <f t="shared" si="40"/>
        <v>3911899</v>
      </c>
      <c r="Q456" s="8">
        <v>12558094</v>
      </c>
      <c r="S456" s="8">
        <v>16469993</v>
      </c>
      <c r="U456" s="8">
        <f>635801+23288+736889+1146450+64175+247328</f>
        <v>2853931</v>
      </c>
      <c r="W456" s="8">
        <v>0</v>
      </c>
      <c r="Y456" s="8">
        <f>3216012+552290+1638364</f>
        <v>5406666</v>
      </c>
      <c r="AA456" s="14">
        <f t="shared" si="41"/>
        <v>8260597</v>
      </c>
      <c r="AC456" s="8">
        <f t="shared" si="38"/>
        <v>0</v>
      </c>
    </row>
    <row r="457" spans="1:31" hidden="1">
      <c r="A457" s="77" t="s">
        <v>1010</v>
      </c>
      <c r="B457" s="13"/>
      <c r="C457" s="13" t="s">
        <v>27</v>
      </c>
      <c r="D457" s="13"/>
      <c r="E457" s="32">
        <v>46995</v>
      </c>
      <c r="K457" s="3">
        <f t="shared" si="39"/>
        <v>0</v>
      </c>
      <c r="O457" s="3">
        <f t="shared" si="40"/>
        <v>0</v>
      </c>
      <c r="W457" s="8">
        <v>0</v>
      </c>
      <c r="AA457" s="14">
        <f t="shared" si="41"/>
        <v>0</v>
      </c>
      <c r="AC457" s="8">
        <f t="shared" si="38"/>
        <v>0</v>
      </c>
      <c r="AE457" s="8" t="s">
        <v>1011</v>
      </c>
    </row>
    <row r="458" spans="1:31">
      <c r="A458" s="13" t="s">
        <v>361</v>
      </c>
      <c r="B458" s="13"/>
      <c r="C458" s="13" t="s">
        <v>62</v>
      </c>
      <c r="D458" s="13"/>
      <c r="E458" s="32">
        <v>49932</v>
      </c>
      <c r="G458" s="8">
        <v>14912835</v>
      </c>
      <c r="I458" s="8">
        <v>229590</v>
      </c>
      <c r="K458" s="3">
        <f t="shared" si="39"/>
        <v>31294439</v>
      </c>
      <c r="M458" s="8">
        <v>46436864</v>
      </c>
      <c r="O458" s="3">
        <f t="shared" si="40"/>
        <v>7126007</v>
      </c>
      <c r="Q458" s="8">
        <f>2346231+28001269</f>
        <v>30347500</v>
      </c>
      <c r="S458" s="8">
        <v>37473507</v>
      </c>
      <c r="U458" s="8">
        <f>2347511+107453+29245+1304130+203450+26140</f>
        <v>4017929</v>
      </c>
      <c r="W458" s="8">
        <v>1496545</v>
      </c>
      <c r="Y458" s="8">
        <f>671146+674130+2120992-17385</f>
        <v>3448883</v>
      </c>
      <c r="AA458" s="14">
        <f t="shared" si="41"/>
        <v>8963357</v>
      </c>
      <c r="AC458" s="8">
        <f t="shared" si="38"/>
        <v>0</v>
      </c>
    </row>
    <row r="459" spans="1:31">
      <c r="A459" s="13" t="s">
        <v>522</v>
      </c>
      <c r="B459" s="13"/>
      <c r="C459" s="13" t="s">
        <v>46</v>
      </c>
      <c r="D459" s="13"/>
      <c r="E459" s="32">
        <v>48421</v>
      </c>
      <c r="G459" s="8">
        <v>4479012</v>
      </c>
      <c r="I459" s="8">
        <v>35353</v>
      </c>
      <c r="K459" s="3">
        <f t="shared" si="39"/>
        <v>4967494</v>
      </c>
      <c r="M459" s="8">
        <v>9481859</v>
      </c>
      <c r="O459" s="3">
        <f t="shared" si="40"/>
        <v>1387422</v>
      </c>
      <c r="Q459" s="8">
        <v>3046502</v>
      </c>
      <c r="S459" s="8">
        <v>4433924</v>
      </c>
      <c r="U459" s="8">
        <f>1557766+35353+116625</f>
        <v>1709744</v>
      </c>
      <c r="W459" s="8">
        <v>0</v>
      </c>
      <c r="Y459" s="8">
        <f>1297630+116722+360519+1563320</f>
        <v>3338191</v>
      </c>
      <c r="AA459" s="14">
        <f t="shared" si="41"/>
        <v>5047935</v>
      </c>
      <c r="AC459" s="8">
        <f t="shared" si="38"/>
        <v>0</v>
      </c>
    </row>
    <row r="460" spans="1:31">
      <c r="A460" s="13" t="s">
        <v>614</v>
      </c>
      <c r="B460" s="13"/>
      <c r="C460" s="13" t="s">
        <v>112</v>
      </c>
      <c r="D460" s="13"/>
      <c r="E460" s="13">
        <v>49460</v>
      </c>
      <c r="G460" s="8">
        <v>3612602</v>
      </c>
      <c r="I460" s="8">
        <v>25818</v>
      </c>
      <c r="K460" s="3">
        <f t="shared" si="39"/>
        <v>3575179</v>
      </c>
      <c r="M460" s="8">
        <v>7213599</v>
      </c>
      <c r="O460" s="3">
        <f t="shared" si="40"/>
        <v>2525072</v>
      </c>
      <c r="Q460" s="8">
        <f>1296908+562984</f>
        <v>1859892</v>
      </c>
      <c r="S460" s="8">
        <v>4384964</v>
      </c>
      <c r="U460" s="8">
        <f>492814+41213+14927+205430+310592+25818</f>
        <v>1090794</v>
      </c>
      <c r="W460" s="8">
        <v>0</v>
      </c>
      <c r="Y460" s="8">
        <f>810672+863194+63975</f>
        <v>1737841</v>
      </c>
      <c r="AA460" s="14">
        <f t="shared" si="41"/>
        <v>2828635</v>
      </c>
      <c r="AC460" s="8">
        <f t="shared" si="38"/>
        <v>0</v>
      </c>
    </row>
    <row r="461" spans="1:31">
      <c r="A461" s="12" t="s">
        <v>1072</v>
      </c>
      <c r="B461" s="13"/>
      <c r="C461" s="13" t="s">
        <v>45</v>
      </c>
      <c r="D461" s="13"/>
      <c r="E461" s="32">
        <v>48348</v>
      </c>
      <c r="G461" s="8">
        <v>6999200</v>
      </c>
      <c r="I461" s="8">
        <v>91267</v>
      </c>
      <c r="K461" s="3">
        <f t="shared" si="39"/>
        <v>13063836</v>
      </c>
      <c r="M461" s="8">
        <v>20154303</v>
      </c>
      <c r="O461" s="3">
        <f t="shared" si="40"/>
        <v>4190147</v>
      </c>
      <c r="Q461" s="8">
        <v>12127333</v>
      </c>
      <c r="S461" s="8">
        <v>16317480</v>
      </c>
      <c r="U461" s="8">
        <f>967466+14032+77235</f>
        <v>1058733</v>
      </c>
      <c r="W461" s="8">
        <v>247765</v>
      </c>
      <c r="Y461" s="8">
        <f>1963092+114158+1331145-878070</f>
        <v>2530325</v>
      </c>
      <c r="AA461" s="14">
        <f t="shared" si="41"/>
        <v>3836823</v>
      </c>
      <c r="AC461" s="8">
        <f t="shared" si="38"/>
        <v>0</v>
      </c>
      <c r="AE461" s="15" t="s">
        <v>1012</v>
      </c>
    </row>
    <row r="462" spans="1:31">
      <c r="A462" s="13" t="s">
        <v>575</v>
      </c>
      <c r="B462" s="13"/>
      <c r="C462" s="13" t="s">
        <v>53</v>
      </c>
      <c r="D462" s="13"/>
      <c r="E462" s="32">
        <v>44651</v>
      </c>
      <c r="G462" s="8">
        <v>11296176</v>
      </c>
      <c r="I462" s="8">
        <v>86386</v>
      </c>
      <c r="K462" s="3">
        <f t="shared" si="39"/>
        <v>14045789</v>
      </c>
      <c r="M462" s="8">
        <v>25428351</v>
      </c>
      <c r="O462" s="3">
        <f t="shared" si="40"/>
        <v>2167707</v>
      </c>
      <c r="Q462" s="8">
        <f>820270+11440762</f>
        <v>12261032</v>
      </c>
      <c r="S462" s="8">
        <v>14428739</v>
      </c>
      <c r="U462" s="8">
        <f>814903+9208+1659238+22422+50863+86386</f>
        <v>2643020</v>
      </c>
      <c r="W462" s="8">
        <v>999707</v>
      </c>
      <c r="Y462" s="8">
        <f>5310916+79430+1648592+317947</f>
        <v>7356885</v>
      </c>
      <c r="AA462" s="14">
        <f t="shared" si="41"/>
        <v>10999612</v>
      </c>
      <c r="AC462" s="8">
        <f t="shared" si="38"/>
        <v>0</v>
      </c>
    </row>
    <row r="463" spans="1:31">
      <c r="A463" s="13" t="s">
        <v>631</v>
      </c>
      <c r="B463" s="13"/>
      <c r="C463" s="13" t="s">
        <v>59</v>
      </c>
      <c r="D463" s="13"/>
      <c r="E463" s="32">
        <v>44669</v>
      </c>
      <c r="G463" s="8">
        <v>7941044</v>
      </c>
      <c r="I463" s="8">
        <v>187028</v>
      </c>
      <c r="K463" s="3">
        <f t="shared" si="39"/>
        <v>8045020</v>
      </c>
      <c r="M463" s="8">
        <v>16173092</v>
      </c>
      <c r="O463" s="3">
        <f t="shared" si="40"/>
        <v>2809737</v>
      </c>
      <c r="Q463" s="8">
        <v>6990318</v>
      </c>
      <c r="S463" s="8">
        <v>9800055</v>
      </c>
      <c r="U463" s="8">
        <f>188465+365909+93347+74049+19632</f>
        <v>741402</v>
      </c>
      <c r="W463" s="8">
        <v>17994</v>
      </c>
      <c r="Y463" s="8">
        <f>379036+659756+2160713+2414136</f>
        <v>5613641</v>
      </c>
      <c r="AA463" s="14">
        <f t="shared" si="41"/>
        <v>6373037</v>
      </c>
      <c r="AC463" s="8">
        <f t="shared" si="38"/>
        <v>0</v>
      </c>
    </row>
    <row r="464" spans="1:31" hidden="1">
      <c r="A464" s="12" t="s">
        <v>1013</v>
      </c>
      <c r="B464" s="13"/>
      <c r="C464" s="13" t="s">
        <v>57</v>
      </c>
      <c r="D464" s="13"/>
      <c r="E464" s="32">
        <v>49288</v>
      </c>
      <c r="G464" s="8">
        <v>7322566</v>
      </c>
      <c r="I464" s="8">
        <v>164619</v>
      </c>
      <c r="K464" s="3">
        <f t="shared" si="39"/>
        <v>1344</v>
      </c>
      <c r="M464" s="8">
        <v>7488529</v>
      </c>
      <c r="O464" s="3">
        <f t="shared" si="40"/>
        <v>0</v>
      </c>
      <c r="U464" s="8">
        <f>204552+99789+64830</f>
        <v>369171</v>
      </c>
      <c r="W464" s="8">
        <v>0</v>
      </c>
      <c r="Y464" s="8">
        <f>5805851+561313+739517+12677</f>
        <v>7119358</v>
      </c>
      <c r="AA464" s="14">
        <f t="shared" si="41"/>
        <v>7488529</v>
      </c>
      <c r="AC464" s="8">
        <f t="shared" si="38"/>
        <v>0</v>
      </c>
    </row>
    <row r="465" spans="1:31">
      <c r="A465" s="13" t="s">
        <v>405</v>
      </c>
      <c r="B465" s="13"/>
      <c r="C465" s="13" t="s">
        <v>32</v>
      </c>
      <c r="D465" s="13"/>
      <c r="E465" s="32">
        <v>44677</v>
      </c>
      <c r="G465" s="8">
        <v>27239064</v>
      </c>
      <c r="I465" s="8">
        <v>212907</v>
      </c>
      <c r="K465" s="3">
        <f t="shared" si="39"/>
        <v>75033895</v>
      </c>
      <c r="M465" s="8">
        <v>102485866</v>
      </c>
      <c r="O465" s="3">
        <f t="shared" si="40"/>
        <v>13431514</v>
      </c>
      <c r="Q465" s="8">
        <v>51771383</v>
      </c>
      <c r="S465" s="8">
        <v>65202897</v>
      </c>
      <c r="U465" s="8">
        <f>3245136+212907+15702000+144778+260389</f>
        <v>19565210</v>
      </c>
      <c r="W465" s="8">
        <v>0</v>
      </c>
      <c r="Y465" s="8">
        <f>17804570+749842+2746506+20420-3603579</f>
        <v>17717759</v>
      </c>
      <c r="AA465" s="14">
        <f t="shared" si="41"/>
        <v>37282969</v>
      </c>
      <c r="AC465" s="8">
        <f t="shared" si="38"/>
        <v>0</v>
      </c>
    </row>
    <row r="466" spans="1:31">
      <c r="A466" s="13" t="s">
        <v>222</v>
      </c>
      <c r="B466" s="13"/>
      <c r="C466" s="13" t="s">
        <v>12</v>
      </c>
      <c r="D466" s="13"/>
      <c r="E466" s="32">
        <v>45880</v>
      </c>
      <c r="G466" s="8">
        <v>2000014</v>
      </c>
      <c r="I466" s="8">
        <v>435063</v>
      </c>
      <c r="K466" s="3">
        <f t="shared" si="39"/>
        <v>4635424</v>
      </c>
      <c r="M466" s="8">
        <v>7070501</v>
      </c>
      <c r="O466" s="3">
        <f t="shared" si="40"/>
        <v>1449456</v>
      </c>
      <c r="Q466" s="8">
        <v>2913634</v>
      </c>
      <c r="S466" s="8">
        <v>4363090</v>
      </c>
      <c r="U466" s="8">
        <f>99476+509584+1564906</f>
        <v>2173966</v>
      </c>
      <c r="W466" s="8">
        <v>11000</v>
      </c>
      <c r="Y466" s="8">
        <f>482040+689142+700793-1349530</f>
        <v>522445</v>
      </c>
      <c r="AA466" s="14">
        <f t="shared" si="41"/>
        <v>2707411</v>
      </c>
      <c r="AC466" s="8">
        <f t="shared" si="38"/>
        <v>0</v>
      </c>
    </row>
    <row r="467" spans="1:31">
      <c r="A467" s="12" t="s">
        <v>866</v>
      </c>
      <c r="B467" s="12"/>
      <c r="C467" s="12" t="s">
        <v>56</v>
      </c>
      <c r="D467" s="12"/>
      <c r="E467" s="32"/>
      <c r="G467" s="8">
        <v>4059373</v>
      </c>
      <c r="I467" s="8">
        <v>180940</v>
      </c>
      <c r="K467" s="3">
        <f t="shared" si="39"/>
        <v>32406926</v>
      </c>
      <c r="M467" s="8">
        <v>36647239</v>
      </c>
      <c r="O467" s="3">
        <f t="shared" si="40"/>
        <v>4913751</v>
      </c>
      <c r="Q467" s="8">
        <v>11622201</v>
      </c>
      <c r="S467" s="8">
        <v>16535952</v>
      </c>
      <c r="U467" s="8">
        <f>14894793+995684+180940</f>
        <v>16071417</v>
      </c>
      <c r="W467" s="8">
        <v>0</v>
      </c>
      <c r="Y467" s="8">
        <f>675778-763730+3543463+25813+558546</f>
        <v>4039870</v>
      </c>
      <c r="AA467" s="14">
        <f t="shared" si="41"/>
        <v>20111287</v>
      </c>
      <c r="AC467" s="8">
        <f t="shared" si="38"/>
        <v>0</v>
      </c>
    </row>
    <row r="468" spans="1:31">
      <c r="A468" s="13" t="s">
        <v>406</v>
      </c>
      <c r="B468" s="13"/>
      <c r="C468" s="13" t="s">
        <v>32</v>
      </c>
      <c r="D468" s="13"/>
      <c r="E468" s="32">
        <v>44693</v>
      </c>
      <c r="G468" s="8">
        <v>1577699</v>
      </c>
      <c r="I468" s="8">
        <v>0</v>
      </c>
      <c r="K468" s="3">
        <f t="shared" si="39"/>
        <v>7648857</v>
      </c>
      <c r="M468" s="8">
        <v>9226556</v>
      </c>
      <c r="O468" s="3">
        <f t="shared" si="40"/>
        <v>1625972</v>
      </c>
      <c r="Q468" s="8">
        <v>5006282</v>
      </c>
      <c r="S468" s="8">
        <v>6632254</v>
      </c>
      <c r="U468" s="8">
        <f>327433+2501630+103148</f>
        <v>2932211</v>
      </c>
      <c r="W468" s="8">
        <v>0</v>
      </c>
      <c r="Y468" s="8">
        <f>121573+237685-697167</f>
        <v>-337909</v>
      </c>
      <c r="AA468" s="14">
        <f t="shared" si="41"/>
        <v>2594302</v>
      </c>
      <c r="AC468" s="8">
        <f t="shared" si="38"/>
        <v>0</v>
      </c>
    </row>
    <row r="469" spans="1:31">
      <c r="A469" s="13" t="s">
        <v>670</v>
      </c>
      <c r="B469" s="13"/>
      <c r="C469" s="13" t="s">
        <v>63</v>
      </c>
      <c r="D469" s="13"/>
      <c r="E469" s="32">
        <v>50054</v>
      </c>
      <c r="G469" s="8">
        <v>17923129</v>
      </c>
      <c r="I469" s="8">
        <v>0</v>
      </c>
      <c r="K469" s="3">
        <f t="shared" si="39"/>
        <v>25872827</v>
      </c>
      <c r="M469" s="8">
        <v>43795956</v>
      </c>
      <c r="O469" s="3">
        <f t="shared" si="40"/>
        <v>4354169</v>
      </c>
      <c r="Q469" s="8">
        <v>22736010</v>
      </c>
      <c r="S469" s="8">
        <v>27090179</v>
      </c>
      <c r="U469" s="8">
        <f>2210174+2795842</f>
        <v>5006016</v>
      </c>
      <c r="W469" s="8">
        <v>0</v>
      </c>
      <c r="Y469" s="8">
        <f>10208877+559020-1000651+1932515</f>
        <v>11699761</v>
      </c>
      <c r="AA469" s="14">
        <f t="shared" si="41"/>
        <v>16705777</v>
      </c>
      <c r="AC469" s="8">
        <f t="shared" si="38"/>
        <v>0</v>
      </c>
    </row>
    <row r="470" spans="1:31">
      <c r="A470" s="13" t="s">
        <v>362</v>
      </c>
      <c r="B470" s="13"/>
      <c r="C470" s="13" t="s">
        <v>27</v>
      </c>
      <c r="D470" s="13"/>
      <c r="E470" s="32">
        <v>47001</v>
      </c>
      <c r="G470" s="8">
        <v>9395151</v>
      </c>
      <c r="I470" s="8">
        <v>172006</v>
      </c>
      <c r="K470" s="3">
        <f t="shared" si="39"/>
        <v>138228380</v>
      </c>
      <c r="M470" s="8">
        <v>147795537</v>
      </c>
      <c r="O470" s="3">
        <f t="shared" si="40"/>
        <v>9670171</v>
      </c>
      <c r="Q470" s="8">
        <f>51657769+19540731</f>
        <v>71198500</v>
      </c>
      <c r="S470" s="8">
        <v>80868671</v>
      </c>
      <c r="U470" s="8">
        <f>3417949+195137+158999+1633214+8654618+25000+172006</f>
        <v>14256923</v>
      </c>
      <c r="W470" s="8">
        <v>0</v>
      </c>
      <c r="Y470" s="8">
        <f>397810+57445743-5173610</f>
        <v>52669943</v>
      </c>
      <c r="AA470" s="14">
        <f t="shared" si="41"/>
        <v>66926866</v>
      </c>
      <c r="AC470" s="8">
        <f t="shared" si="38"/>
        <v>0</v>
      </c>
    </row>
    <row r="471" spans="1:31">
      <c r="A471" s="13" t="s">
        <v>318</v>
      </c>
      <c r="B471" s="13"/>
      <c r="C471" s="13" t="s">
        <v>20</v>
      </c>
      <c r="D471" s="13"/>
      <c r="E471" s="32">
        <v>46599</v>
      </c>
      <c r="G471" s="8">
        <v>625875</v>
      </c>
      <c r="I471" s="8">
        <v>294533</v>
      </c>
      <c r="K471" s="3">
        <f t="shared" si="39"/>
        <v>9915821</v>
      </c>
      <c r="M471" s="8">
        <v>10836229</v>
      </c>
      <c r="O471" s="3">
        <f t="shared" si="40"/>
        <v>1545644</v>
      </c>
      <c r="Q471" s="8">
        <v>8672067</v>
      </c>
      <c r="S471" s="8">
        <v>10217711</v>
      </c>
      <c r="U471" s="8">
        <f>268607+966317+24750+269783</f>
        <v>1529457</v>
      </c>
      <c r="W471" s="8">
        <v>0</v>
      </c>
      <c r="Y471" s="8">
        <f>-899128-92319+80508</f>
        <v>-910939</v>
      </c>
      <c r="AA471" s="14">
        <f t="shared" si="41"/>
        <v>618518</v>
      </c>
      <c r="AC471" s="8">
        <f t="shared" si="38"/>
        <v>0</v>
      </c>
    </row>
    <row r="472" spans="1:31" ht="13.5" customHeight="1">
      <c r="A472" s="13" t="s">
        <v>523</v>
      </c>
      <c r="B472" s="13"/>
      <c r="C472" s="13" t="s">
        <v>46</v>
      </c>
      <c r="D472" s="13"/>
      <c r="E472" s="32">
        <v>48439</v>
      </c>
      <c r="G472" s="8">
        <v>2203563</v>
      </c>
      <c r="I472" s="8">
        <v>292808</v>
      </c>
      <c r="K472" s="3">
        <f t="shared" si="39"/>
        <v>2291425</v>
      </c>
      <c r="M472" s="8">
        <v>4787796</v>
      </c>
      <c r="O472" s="3">
        <f t="shared" si="40"/>
        <v>1042543</v>
      </c>
      <c r="Q472" s="8">
        <v>1019934</v>
      </c>
      <c r="S472" s="8">
        <v>2062477</v>
      </c>
      <c r="U472" s="8">
        <f>42063+1087198+292808</f>
        <v>1422069</v>
      </c>
      <c r="W472" s="8">
        <v>0</v>
      </c>
      <c r="Y472" s="8">
        <f>1214835+85134+3281</f>
        <v>1303250</v>
      </c>
      <c r="AA472" s="14">
        <f t="shared" si="41"/>
        <v>2725319</v>
      </c>
      <c r="AC472" s="8">
        <f t="shared" si="38"/>
        <v>0</v>
      </c>
    </row>
    <row r="473" spans="1:31">
      <c r="A473" s="13" t="s">
        <v>1058</v>
      </c>
      <c r="B473" s="13"/>
      <c r="C473" s="13" t="s">
        <v>421</v>
      </c>
      <c r="D473" s="13"/>
      <c r="E473" s="32">
        <v>47506</v>
      </c>
      <c r="G473" s="8">
        <v>1216363</v>
      </c>
      <c r="I473" s="8">
        <v>0</v>
      </c>
      <c r="K473" s="3">
        <f t="shared" si="39"/>
        <v>1433093</v>
      </c>
      <c r="M473" s="8">
        <v>2649456</v>
      </c>
      <c r="O473" s="3">
        <f t="shared" si="40"/>
        <v>548347</v>
      </c>
      <c r="Q473" s="8">
        <v>1118623</v>
      </c>
      <c r="S473" s="8">
        <v>1666970</v>
      </c>
      <c r="U473" s="8">
        <f>46964+87764</f>
        <v>134728</v>
      </c>
      <c r="W473" s="8">
        <v>0</v>
      </c>
      <c r="Y473" s="8">
        <f>760761-79068+166065</f>
        <v>847758</v>
      </c>
      <c r="AA473" s="14">
        <f t="shared" si="41"/>
        <v>982486</v>
      </c>
      <c r="AC473" s="8">
        <f>+G473+I473+K473-O473-Q473-Y473-W473-U473</f>
        <v>0</v>
      </c>
      <c r="AE473" s="15" t="s">
        <v>905</v>
      </c>
    </row>
    <row r="474" spans="1:31">
      <c r="A474" s="13" t="s">
        <v>288</v>
      </c>
      <c r="B474" s="13"/>
      <c r="C474" s="13" t="s">
        <v>19</v>
      </c>
      <c r="D474" s="13"/>
      <c r="E474" s="32">
        <v>46474</v>
      </c>
      <c r="G474" s="8">
        <v>5512892</v>
      </c>
      <c r="I474" s="8">
        <v>42320</v>
      </c>
      <c r="K474" s="3">
        <f t="shared" si="39"/>
        <v>2744940</v>
      </c>
      <c r="M474" s="8">
        <v>8300152</v>
      </c>
      <c r="O474" s="3">
        <f t="shared" si="40"/>
        <v>1255643</v>
      </c>
      <c r="Q474" s="8">
        <f>152387+2443089</f>
        <v>2595476</v>
      </c>
      <c r="S474" s="8">
        <v>3851119</v>
      </c>
      <c r="U474" s="8">
        <f>162886+10352+17232+72911+42320+569305</f>
        <v>875006</v>
      </c>
      <c r="W474" s="8">
        <v>54777</v>
      </c>
      <c r="Y474" s="8">
        <f>2671138+782450+65662</f>
        <v>3519250</v>
      </c>
      <c r="AA474" s="14">
        <f t="shared" si="41"/>
        <v>4449033</v>
      </c>
      <c r="AC474" s="8">
        <f t="shared" si="38"/>
        <v>0</v>
      </c>
      <c r="AE474" s="8" t="s">
        <v>1014</v>
      </c>
    </row>
    <row r="475" spans="1:31">
      <c r="A475" s="13" t="s">
        <v>867</v>
      </c>
      <c r="B475" s="13"/>
      <c r="C475" s="13" t="s">
        <v>77</v>
      </c>
      <c r="D475" s="13"/>
      <c r="E475" s="32">
        <v>46078</v>
      </c>
      <c r="G475" s="8">
        <v>4283535</v>
      </c>
      <c r="I475" s="8">
        <v>25894</v>
      </c>
      <c r="K475" s="3">
        <f t="shared" si="39"/>
        <v>2841866</v>
      </c>
      <c r="M475" s="8">
        <v>7151295</v>
      </c>
      <c r="O475" s="3">
        <f t="shared" si="40"/>
        <v>1281546</v>
      </c>
      <c r="Q475" s="8">
        <v>2087102</v>
      </c>
      <c r="S475" s="8">
        <v>3368648</v>
      </c>
      <c r="U475" s="8">
        <f>2341265+410900+25894</f>
        <v>2778059</v>
      </c>
      <c r="W475" s="8">
        <v>0</v>
      </c>
      <c r="Y475" s="8">
        <f>1004373+1881423-1789602-91606</f>
        <v>1004588</v>
      </c>
      <c r="AA475" s="14">
        <f t="shared" si="41"/>
        <v>3782647</v>
      </c>
      <c r="AC475" s="8">
        <f t="shared" si="38"/>
        <v>0</v>
      </c>
    </row>
    <row r="476" spans="1:31">
      <c r="A476" s="13" t="s">
        <v>724</v>
      </c>
      <c r="B476" s="13"/>
      <c r="C476" s="13" t="s">
        <v>71</v>
      </c>
      <c r="D476" s="13"/>
      <c r="E476" s="32">
        <v>45591</v>
      </c>
      <c r="G476" s="8">
        <v>4430908</v>
      </c>
      <c r="I476" s="8">
        <v>96299</v>
      </c>
      <c r="K476" s="3">
        <f t="shared" si="39"/>
        <v>22195008</v>
      </c>
      <c r="M476" s="8">
        <v>26722215</v>
      </c>
      <c r="O476" s="3">
        <f t="shared" si="40"/>
        <v>1443509</v>
      </c>
      <c r="Q476" s="8">
        <v>17819007</v>
      </c>
      <c r="S476" s="8">
        <v>19262516</v>
      </c>
      <c r="U476" s="8">
        <f>1640900+391300+96299</f>
        <v>2128499</v>
      </c>
      <c r="W476" s="8">
        <v>0</v>
      </c>
      <c r="Y476" s="8">
        <f>2213667+124523+597939+2395071</f>
        <v>5331200</v>
      </c>
      <c r="AA476" s="14">
        <f t="shared" si="41"/>
        <v>7459699</v>
      </c>
      <c r="AC476" s="8">
        <f t="shared" si="38"/>
        <v>0</v>
      </c>
    </row>
    <row r="477" spans="1:31">
      <c r="A477" s="13" t="s">
        <v>524</v>
      </c>
      <c r="B477" s="13"/>
      <c r="C477" s="13" t="s">
        <v>46</v>
      </c>
      <c r="D477" s="13"/>
      <c r="E477" s="32">
        <v>48447</v>
      </c>
      <c r="G477" s="8">
        <v>5193974</v>
      </c>
      <c r="I477" s="8">
        <v>33907</v>
      </c>
      <c r="K477" s="3">
        <f t="shared" si="39"/>
        <v>10695307</v>
      </c>
      <c r="M477" s="8">
        <v>15923188</v>
      </c>
      <c r="O477" s="3">
        <f t="shared" si="40"/>
        <v>2373920</v>
      </c>
      <c r="Q477" s="8">
        <v>7756339</v>
      </c>
      <c r="S477" s="8">
        <v>10130259</v>
      </c>
      <c r="U477" s="8">
        <f>328796+2400385+33907+393335</f>
        <v>3156423</v>
      </c>
      <c r="W477" s="8">
        <v>85600</v>
      </c>
      <c r="Y477" s="8">
        <f>101087+1273851+1337792-161824</f>
        <v>2550906</v>
      </c>
      <c r="AA477" s="14">
        <f t="shared" si="41"/>
        <v>5792929</v>
      </c>
      <c r="AC477" s="8">
        <f t="shared" si="38"/>
        <v>0</v>
      </c>
    </row>
    <row r="478" spans="1:31">
      <c r="A478" s="13" t="s">
        <v>289</v>
      </c>
      <c r="B478" s="13"/>
      <c r="C478" s="13" t="s">
        <v>19</v>
      </c>
      <c r="D478" s="13"/>
      <c r="E478" s="32">
        <v>46482</v>
      </c>
      <c r="G478" s="8">
        <v>6836469</v>
      </c>
      <c r="I478" s="8">
        <v>0</v>
      </c>
      <c r="K478" s="3">
        <f t="shared" si="39"/>
        <v>8781529</v>
      </c>
      <c r="M478" s="8">
        <v>15617998</v>
      </c>
      <c r="O478" s="3">
        <f t="shared" si="40"/>
        <v>2489836</v>
      </c>
      <c r="Q478" s="8">
        <v>7706123</v>
      </c>
      <c r="S478" s="8">
        <v>10195959</v>
      </c>
      <c r="U478" s="8">
        <f>362027+87888</f>
        <v>449915</v>
      </c>
      <c r="W478" s="8">
        <v>80351</v>
      </c>
      <c r="Y478" s="8">
        <f>2527357-7096+2371512</f>
        <v>4891773</v>
      </c>
      <c r="AA478" s="14">
        <f t="shared" si="41"/>
        <v>5422039</v>
      </c>
      <c r="AC478" s="8">
        <f t="shared" si="38"/>
        <v>0</v>
      </c>
    </row>
    <row r="479" spans="1:31">
      <c r="A479" s="13" t="s">
        <v>425</v>
      </c>
      <c r="B479" s="13"/>
      <c r="C479" s="13" t="s">
        <v>421</v>
      </c>
      <c r="D479" s="13"/>
      <c r="E479" s="32">
        <v>47514</v>
      </c>
      <c r="G479" s="8">
        <v>2036725</v>
      </c>
      <c r="I479" s="8">
        <v>0</v>
      </c>
      <c r="K479" s="3">
        <f t="shared" si="39"/>
        <v>3316686</v>
      </c>
      <c r="M479" s="8">
        <v>5353411</v>
      </c>
      <c r="O479" s="3">
        <f t="shared" si="40"/>
        <v>1347364</v>
      </c>
      <c r="Q479" s="8">
        <v>2685468</v>
      </c>
      <c r="S479" s="8">
        <v>4032832</v>
      </c>
      <c r="U479" s="8">
        <f>761060+4663+135164+151998</f>
        <v>1052885</v>
      </c>
      <c r="W479" s="8">
        <v>0</v>
      </c>
      <c r="Y479" s="8">
        <f>165328-433734+533623+2477</f>
        <v>267694</v>
      </c>
      <c r="AA479" s="14">
        <f t="shared" si="41"/>
        <v>1320579</v>
      </c>
      <c r="AC479" s="8">
        <f t="shared" si="38"/>
        <v>0</v>
      </c>
    </row>
    <row r="480" spans="1:31">
      <c r="A480" s="13" t="s">
        <v>482</v>
      </c>
      <c r="B480" s="13"/>
      <c r="C480" s="13" t="s">
        <v>41</v>
      </c>
      <c r="D480" s="13"/>
      <c r="E480" s="32"/>
      <c r="G480" s="8">
        <v>8325224</v>
      </c>
      <c r="I480" s="8">
        <v>585565</v>
      </c>
      <c r="K480" s="3">
        <f t="shared" si="39"/>
        <v>30060742</v>
      </c>
      <c r="M480" s="8">
        <v>38971531</v>
      </c>
      <c r="O480" s="3">
        <f t="shared" si="40"/>
        <v>5253876</v>
      </c>
      <c r="Q480" s="8">
        <v>28153551</v>
      </c>
      <c r="S480" s="8">
        <v>33407427</v>
      </c>
      <c r="U480" s="8">
        <f>1909708+187758+585565+1703235</f>
        <v>4386266</v>
      </c>
      <c r="W480" s="8">
        <v>0</v>
      </c>
      <c r="Y480" s="8">
        <f>487050+171809+484729+34250</f>
        <v>1177838</v>
      </c>
      <c r="AA480" s="14">
        <f t="shared" si="41"/>
        <v>5564104</v>
      </c>
      <c r="AC480" s="8">
        <f t="shared" si="38"/>
        <v>0</v>
      </c>
    </row>
    <row r="481" spans="1:31">
      <c r="A481" s="13" t="s">
        <v>482</v>
      </c>
      <c r="B481" s="13"/>
      <c r="C481" s="13" t="s">
        <v>43</v>
      </c>
      <c r="D481" s="13"/>
      <c r="E481" s="32">
        <v>48090</v>
      </c>
      <c r="G481" s="8">
        <v>881640</v>
      </c>
      <c r="I481" s="8">
        <v>17111</v>
      </c>
      <c r="K481" s="3">
        <f t="shared" si="39"/>
        <v>1745877</v>
      </c>
      <c r="M481" s="8">
        <v>2644628</v>
      </c>
      <c r="O481" s="3">
        <f t="shared" si="40"/>
        <v>980394</v>
      </c>
      <c r="Q481" s="8">
        <f>181605+1261486</f>
        <v>1443091</v>
      </c>
      <c r="S481" s="8">
        <v>2423485</v>
      </c>
      <c r="U481" s="8">
        <f>162393+4829+139354+88314+17111</f>
        <v>412001</v>
      </c>
      <c r="W481" s="8">
        <v>0</v>
      </c>
      <c r="Y481" s="8">
        <f>328744+121062-640664</f>
        <v>-190858</v>
      </c>
      <c r="AA481" s="14">
        <f t="shared" si="41"/>
        <v>221143</v>
      </c>
      <c r="AC481" s="8">
        <f t="shared" si="38"/>
        <v>0</v>
      </c>
    </row>
    <row r="482" spans="1:31">
      <c r="A482" s="13" t="s">
        <v>470</v>
      </c>
      <c r="B482" s="13"/>
      <c r="C482" s="13" t="s">
        <v>466</v>
      </c>
      <c r="D482" s="13"/>
      <c r="E482" s="32">
        <v>47944</v>
      </c>
      <c r="G482" s="8">
        <v>7954203</v>
      </c>
      <c r="I482" s="8">
        <v>439538</v>
      </c>
      <c r="K482" s="3">
        <f t="shared" si="39"/>
        <v>4920406</v>
      </c>
      <c r="M482" s="8">
        <v>13314147</v>
      </c>
      <c r="O482" s="3">
        <f t="shared" si="40"/>
        <v>2542026</v>
      </c>
      <c r="Q482" s="8">
        <v>4383450</v>
      </c>
      <c r="S482" s="8">
        <v>6925476</v>
      </c>
      <c r="U482" s="8">
        <f>618252+124918+314620+265206</f>
        <v>1322996</v>
      </c>
      <c r="W482" s="8">
        <v>0</v>
      </c>
      <c r="Y482" s="8">
        <f>966080+604262+1950+3493383</f>
        <v>5065675</v>
      </c>
      <c r="AA482" s="14">
        <f t="shared" si="41"/>
        <v>6388671</v>
      </c>
      <c r="AC482" s="8">
        <f t="shared" si="38"/>
        <v>0</v>
      </c>
      <c r="AE482" s="8" t="s">
        <v>956</v>
      </c>
    </row>
    <row r="483" spans="1:31">
      <c r="A483" s="13" t="s">
        <v>1059</v>
      </c>
      <c r="B483" s="13"/>
      <c r="C483" s="13" t="s">
        <v>20</v>
      </c>
      <c r="D483" s="13"/>
      <c r="E483" s="32">
        <v>44701</v>
      </c>
      <c r="G483" s="8">
        <v>4525015</v>
      </c>
      <c r="I483" s="8">
        <v>0</v>
      </c>
      <c r="K483" s="3">
        <f t="shared" si="39"/>
        <v>30012726</v>
      </c>
      <c r="M483" s="8">
        <v>34537741</v>
      </c>
      <c r="O483" s="3">
        <f t="shared" si="40"/>
        <v>5703955</v>
      </c>
      <c r="Q483" s="8">
        <f>1342761+23536228</f>
        <v>24878989</v>
      </c>
      <c r="S483" s="8">
        <v>30582944</v>
      </c>
      <c r="U483" s="8">
        <f>395738+4294309+4032923+12065</f>
        <v>8735035</v>
      </c>
      <c r="W483" s="8">
        <v>0</v>
      </c>
      <c r="Y483" s="8">
        <f>157608-4378385-559461</f>
        <v>-4780238</v>
      </c>
      <c r="AA483" s="14">
        <f t="shared" si="41"/>
        <v>3954797</v>
      </c>
      <c r="AC483" s="8">
        <f t="shared" si="38"/>
        <v>0</v>
      </c>
      <c r="AE483" s="15" t="s">
        <v>905</v>
      </c>
    </row>
    <row r="484" spans="1:31">
      <c r="A484" s="13" t="s">
        <v>391</v>
      </c>
      <c r="B484" s="13"/>
      <c r="C484" s="13" t="s">
        <v>31</v>
      </c>
      <c r="D484" s="13"/>
      <c r="E484" s="32">
        <v>47308</v>
      </c>
      <c r="G484" s="8">
        <v>1748419</v>
      </c>
      <c r="I484" s="8">
        <v>727720</v>
      </c>
      <c r="K484" s="3">
        <f t="shared" si="39"/>
        <v>6490966</v>
      </c>
      <c r="M484" s="8">
        <v>8967105</v>
      </c>
      <c r="O484" s="3">
        <f t="shared" si="40"/>
        <v>2241766</v>
      </c>
      <c r="Q484" s="8">
        <v>4747868</v>
      </c>
      <c r="S484" s="8">
        <v>6989634</v>
      </c>
      <c r="U484" s="8">
        <f>370008+534993+153187+1314679+37456+2084</f>
        <v>2412407</v>
      </c>
      <c r="W484" s="8">
        <v>0</v>
      </c>
      <c r="Y484" s="8">
        <f>608766+64112-1107814</f>
        <v>-434936</v>
      </c>
      <c r="AA484" s="14">
        <f t="shared" si="41"/>
        <v>1977471</v>
      </c>
      <c r="AC484" s="8">
        <f t="shared" si="38"/>
        <v>0</v>
      </c>
    </row>
    <row r="485" spans="1:31">
      <c r="A485" s="13" t="s">
        <v>593</v>
      </c>
      <c r="B485" s="13"/>
      <c r="C485" s="13" t="s">
        <v>56</v>
      </c>
      <c r="D485" s="13"/>
      <c r="E485" s="32">
        <v>49213</v>
      </c>
      <c r="G485" s="8">
        <v>1135791</v>
      </c>
      <c r="I485" s="8">
        <v>76216</v>
      </c>
      <c r="K485" s="3">
        <f t="shared" si="39"/>
        <v>5436145</v>
      </c>
      <c r="M485" s="8">
        <v>6648152</v>
      </c>
      <c r="O485" s="3">
        <f t="shared" si="40"/>
        <v>1797205</v>
      </c>
      <c r="Q485" s="8">
        <v>5002910</v>
      </c>
      <c r="S485" s="8">
        <v>6800115</v>
      </c>
      <c r="U485" s="8">
        <f>52394+397228+11401+64815</f>
        <v>525838</v>
      </c>
      <c r="W485" s="8">
        <v>0</v>
      </c>
      <c r="Y485" s="8">
        <f>216125+467874-1361800</f>
        <v>-677801</v>
      </c>
      <c r="AA485" s="14">
        <f t="shared" si="41"/>
        <v>-151963</v>
      </c>
      <c r="AC485" s="8">
        <f t="shared" si="38"/>
        <v>0</v>
      </c>
    </row>
    <row r="486" spans="1:31">
      <c r="A486" s="12" t="s">
        <v>1060</v>
      </c>
      <c r="B486" s="13"/>
      <c r="C486" s="13" t="s">
        <v>242</v>
      </c>
      <c r="D486" s="13"/>
      <c r="E486" s="32">
        <v>46144</v>
      </c>
      <c r="G486" s="8">
        <v>8105284</v>
      </c>
      <c r="I486" s="8">
        <v>392800</v>
      </c>
      <c r="K486" s="3">
        <f t="shared" si="39"/>
        <v>35521238</v>
      </c>
      <c r="M486" s="8">
        <v>44019322</v>
      </c>
      <c r="O486" s="3">
        <f t="shared" si="40"/>
        <v>33161581</v>
      </c>
      <c r="Q486" s="8">
        <v>3837445</v>
      </c>
      <c r="S486" s="8">
        <v>36999026</v>
      </c>
      <c r="U486" s="8">
        <f>493330+392800+300000+6419</f>
        <v>1192549</v>
      </c>
      <c r="W486" s="8">
        <v>0</v>
      </c>
      <c r="Y486" s="8">
        <f>2211236+338010+1485126+1793375</f>
        <v>5827747</v>
      </c>
      <c r="AA486" s="14">
        <f t="shared" si="41"/>
        <v>7020296</v>
      </c>
      <c r="AC486" s="8">
        <f t="shared" si="38"/>
        <v>0</v>
      </c>
      <c r="AE486" s="15" t="s">
        <v>905</v>
      </c>
    </row>
    <row r="487" spans="1:31">
      <c r="A487" s="13" t="s">
        <v>739</v>
      </c>
      <c r="B487" s="13"/>
      <c r="C487" s="13" t="s">
        <v>72</v>
      </c>
      <c r="D487" s="13"/>
      <c r="E487" s="32">
        <v>45609</v>
      </c>
      <c r="G487" s="8">
        <v>12511278</v>
      </c>
      <c r="I487" s="8">
        <v>945596</v>
      </c>
      <c r="K487" s="3">
        <f t="shared" si="39"/>
        <v>16430092</v>
      </c>
      <c r="M487" s="8">
        <v>29886966</v>
      </c>
      <c r="O487" s="3">
        <f t="shared" si="40"/>
        <v>3472055</v>
      </c>
      <c r="Q487" s="8">
        <v>14523315</v>
      </c>
      <c r="S487" s="8">
        <v>17995370</v>
      </c>
      <c r="U487" s="8">
        <f>1807610+922426+23170+392624</f>
        <v>3145830</v>
      </c>
      <c r="W487" s="8">
        <v>0</v>
      </c>
      <c r="Y487" s="8">
        <f>8805476-153908+85887+8311</f>
        <v>8745766</v>
      </c>
      <c r="AA487" s="14">
        <f t="shared" si="41"/>
        <v>11891596</v>
      </c>
      <c r="AC487" s="8">
        <f t="shared" si="38"/>
        <v>0</v>
      </c>
    </row>
    <row r="488" spans="1:31">
      <c r="A488" s="13" t="s">
        <v>646</v>
      </c>
      <c r="B488" s="13"/>
      <c r="C488" s="13" t="s">
        <v>61</v>
      </c>
      <c r="D488" s="13"/>
      <c r="E488" s="32">
        <v>49817</v>
      </c>
      <c r="G488" s="8">
        <v>1802235</v>
      </c>
      <c r="I488" s="8">
        <v>6942</v>
      </c>
      <c r="K488" s="3">
        <f t="shared" si="39"/>
        <v>1311186</v>
      </c>
      <c r="M488" s="8">
        <v>3120363</v>
      </c>
      <c r="O488" s="3">
        <f t="shared" si="40"/>
        <v>435067</v>
      </c>
      <c r="Q488" s="8">
        <v>1066466</v>
      </c>
      <c r="S488" s="8">
        <v>1501533</v>
      </c>
      <c r="U488" s="8">
        <f>39462+101596+6942</f>
        <v>148000</v>
      </c>
      <c r="W488" s="8">
        <v>0</v>
      </c>
      <c r="Y488" s="8">
        <f>840724+45725+495755+88626</f>
        <v>1470830</v>
      </c>
      <c r="AA488" s="14">
        <f t="shared" si="41"/>
        <v>1618830</v>
      </c>
      <c r="AC488" s="8">
        <f t="shared" si="38"/>
        <v>0</v>
      </c>
    </row>
    <row r="489" spans="1:31">
      <c r="A489" s="12" t="s">
        <v>822</v>
      </c>
      <c r="B489" s="12"/>
      <c r="C489" s="12" t="s">
        <v>114</v>
      </c>
      <c r="D489" s="12"/>
      <c r="E489" s="32"/>
      <c r="G489" s="8">
        <v>3526681</v>
      </c>
      <c r="I489" s="8">
        <v>64171</v>
      </c>
      <c r="K489" s="3">
        <f t="shared" ref="K489:K542" si="42">M489-G489-I489</f>
        <v>9392549</v>
      </c>
      <c r="M489" s="8">
        <v>12983401</v>
      </c>
      <c r="O489" s="3">
        <f t="shared" ref="O489:O542" si="43">S489-Q489</f>
        <v>2606568</v>
      </c>
      <c r="Q489" s="8">
        <f>500534+8610015</f>
        <v>9110549</v>
      </c>
      <c r="S489" s="8">
        <v>11717117</v>
      </c>
      <c r="U489" s="8">
        <f>590841+11000+5067+152385+11516+3033+64171</f>
        <v>838013</v>
      </c>
      <c r="W489" s="8">
        <v>0</v>
      </c>
      <c r="Y489" s="8">
        <f>248467+478272-298468</f>
        <v>428271</v>
      </c>
      <c r="AA489" s="14">
        <f t="shared" ref="AA489:AA542" si="44">U489+W489+Y489</f>
        <v>1266284</v>
      </c>
      <c r="AC489" s="8">
        <f t="shared" si="38"/>
        <v>0</v>
      </c>
    </row>
    <row r="490" spans="1:31">
      <c r="A490" s="13" t="s">
        <v>341</v>
      </c>
      <c r="B490" s="13"/>
      <c r="C490" s="13" t="s">
        <v>24</v>
      </c>
      <c r="D490" s="13"/>
      <c r="E490" s="32">
        <v>44743</v>
      </c>
      <c r="G490" s="8">
        <v>7410915</v>
      </c>
      <c r="I490" s="8">
        <v>0</v>
      </c>
      <c r="K490" s="3">
        <f t="shared" si="42"/>
        <v>20949455</v>
      </c>
      <c r="M490" s="8">
        <v>28360370</v>
      </c>
      <c r="O490" s="3">
        <f t="shared" si="43"/>
        <v>7084271</v>
      </c>
      <c r="Q490" s="8">
        <f>3158614+15135132</f>
        <v>18293746</v>
      </c>
      <c r="S490" s="8">
        <v>25378017</v>
      </c>
      <c r="U490" s="8">
        <f>373128+274317+11115+2178511+10000</f>
        <v>2847071</v>
      </c>
      <c r="W490" s="8">
        <v>0</v>
      </c>
      <c r="Y490" s="8">
        <f>281697+165891+86415-208243-190478</f>
        <v>135282</v>
      </c>
      <c r="AA490" s="14">
        <f t="shared" si="44"/>
        <v>2982353</v>
      </c>
      <c r="AC490" s="8">
        <f t="shared" si="38"/>
        <v>0</v>
      </c>
    </row>
    <row r="491" spans="1:31">
      <c r="A491" s="13" t="s">
        <v>660</v>
      </c>
      <c r="B491" s="13"/>
      <c r="C491" s="13" t="s">
        <v>62</v>
      </c>
      <c r="D491" s="13"/>
      <c r="E491" s="32">
        <v>49940</v>
      </c>
      <c r="G491" s="8">
        <v>6313931</v>
      </c>
      <c r="I491" s="8">
        <v>13692</v>
      </c>
      <c r="K491" s="3">
        <f t="shared" si="42"/>
        <v>4985466</v>
      </c>
      <c r="M491" s="8">
        <v>11313089</v>
      </c>
      <c r="O491" s="3">
        <f t="shared" si="43"/>
        <v>2465097</v>
      </c>
      <c r="Q491" s="8">
        <f>599052+3885099</f>
        <v>4484151</v>
      </c>
      <c r="S491" s="8">
        <v>6949248</v>
      </c>
      <c r="U491" s="8">
        <f>1549074+5500+358985+9527+487589+13692</f>
        <v>2424367</v>
      </c>
      <c r="W491" s="8">
        <v>0</v>
      </c>
      <c r="Y491" s="8">
        <f>765410+381146+792918</f>
        <v>1939474</v>
      </c>
      <c r="AA491" s="14">
        <f t="shared" si="44"/>
        <v>4363841</v>
      </c>
      <c r="AC491" s="8">
        <f t="shared" si="38"/>
        <v>0</v>
      </c>
    </row>
    <row r="492" spans="1:31">
      <c r="A492" s="13" t="s">
        <v>585</v>
      </c>
      <c r="B492" s="13"/>
      <c r="C492" s="13" t="s">
        <v>55</v>
      </c>
      <c r="D492" s="13"/>
      <c r="E492" s="32">
        <v>49130</v>
      </c>
      <c r="G492" s="8">
        <v>8603730</v>
      </c>
      <c r="I492" s="8">
        <v>252717</v>
      </c>
      <c r="K492" s="3">
        <f t="shared" si="42"/>
        <v>2566577</v>
      </c>
      <c r="M492" s="8">
        <v>11423024</v>
      </c>
      <c r="O492" s="3">
        <f t="shared" si="43"/>
        <v>2004712</v>
      </c>
      <c r="Q492" s="8">
        <v>2108927</v>
      </c>
      <c r="S492" s="8">
        <v>4113639</v>
      </c>
      <c r="U492" s="8">
        <f>290786+179349+252717</f>
        <v>722852</v>
      </c>
      <c r="W492" s="8">
        <v>0</v>
      </c>
      <c r="Y492" s="8">
        <f>5123045+386210+1008615+68663</f>
        <v>6586533</v>
      </c>
      <c r="AA492" s="14">
        <f t="shared" si="44"/>
        <v>7309385</v>
      </c>
      <c r="AC492" s="8">
        <f t="shared" si="38"/>
        <v>0</v>
      </c>
    </row>
    <row r="493" spans="1:31">
      <c r="A493" s="13" t="s">
        <v>515</v>
      </c>
      <c r="B493" s="13"/>
      <c r="C493" s="13" t="s">
        <v>45</v>
      </c>
      <c r="D493" s="13"/>
      <c r="E493" s="32">
        <v>48355</v>
      </c>
      <c r="G493" s="8">
        <v>1286238</v>
      </c>
      <c r="I493" s="8">
        <v>29468</v>
      </c>
      <c r="K493" s="3">
        <f t="shared" si="42"/>
        <v>1909141</v>
      </c>
      <c r="M493" s="8">
        <v>3224847</v>
      </c>
      <c r="O493" s="3">
        <f t="shared" si="43"/>
        <v>792500</v>
      </c>
      <c r="Q493" s="8">
        <v>1607953</v>
      </c>
      <c r="S493" s="8">
        <v>2400453</v>
      </c>
      <c r="U493" s="8">
        <f>47509+5461+24007</f>
        <v>76977</v>
      </c>
      <c r="W493" s="8">
        <v>0</v>
      </c>
      <c r="Y493" s="8">
        <f>158817+46826+395176+146598</f>
        <v>747417</v>
      </c>
      <c r="AA493" s="14">
        <f t="shared" si="44"/>
        <v>824394</v>
      </c>
      <c r="AC493" s="8">
        <f t="shared" si="38"/>
        <v>0</v>
      </c>
    </row>
    <row r="494" spans="1:31">
      <c r="A494" s="13" t="s">
        <v>639</v>
      </c>
      <c r="B494" s="13"/>
      <c r="C494" s="13" t="s">
        <v>60</v>
      </c>
      <c r="D494" s="13"/>
      <c r="E494" s="32">
        <v>49684</v>
      </c>
      <c r="G494" s="8">
        <v>2033777</v>
      </c>
      <c r="I494" s="8">
        <v>0</v>
      </c>
      <c r="K494" s="3">
        <f t="shared" si="42"/>
        <v>3022218</v>
      </c>
      <c r="M494" s="8">
        <v>5055995</v>
      </c>
      <c r="O494" s="3">
        <f t="shared" si="43"/>
        <v>801470</v>
      </c>
      <c r="Q494" s="8">
        <f>150839+2201902</f>
        <v>2352741</v>
      </c>
      <c r="S494" s="8">
        <v>3154211</v>
      </c>
      <c r="U494" s="8">
        <f>49473+9552+40466+305853+146842</f>
        <v>552186</v>
      </c>
      <c r="W494" s="8">
        <v>0</v>
      </c>
      <c r="Y494" s="8">
        <f>753356+282657+313585</f>
        <v>1349598</v>
      </c>
      <c r="AA494" s="14">
        <f t="shared" si="44"/>
        <v>1901784</v>
      </c>
      <c r="AC494" s="8">
        <f t="shared" si="38"/>
        <v>0</v>
      </c>
    </row>
    <row r="495" spans="1:31">
      <c r="A495" s="13" t="s">
        <v>234</v>
      </c>
      <c r="B495" s="13"/>
      <c r="C495" s="13" t="s">
        <v>15</v>
      </c>
      <c r="D495" s="13"/>
      <c r="E495" s="32">
        <v>46003</v>
      </c>
      <c r="G495" s="8">
        <v>2368409</v>
      </c>
      <c r="I495" s="8">
        <v>2126</v>
      </c>
      <c r="K495" s="3">
        <f t="shared" si="42"/>
        <v>2673831</v>
      </c>
      <c r="M495" s="8">
        <v>5044366</v>
      </c>
      <c r="O495" s="3">
        <f t="shared" si="43"/>
        <v>963498</v>
      </c>
      <c r="Q495" s="8">
        <v>2493765</v>
      </c>
      <c r="S495" s="8">
        <v>3457263</v>
      </c>
      <c r="U495" s="8">
        <f>120213+97118+2126</f>
        <v>219457</v>
      </c>
      <c r="W495" s="8">
        <v>0</v>
      </c>
      <c r="Y495" s="8">
        <f>874883-12515+750+504528</f>
        <v>1367646</v>
      </c>
      <c r="AA495" s="14">
        <f t="shared" si="44"/>
        <v>1587103</v>
      </c>
      <c r="AC495" s="8">
        <f t="shared" si="38"/>
        <v>0</v>
      </c>
    </row>
    <row r="496" spans="1:31">
      <c r="A496" s="12" t="s">
        <v>1061</v>
      </c>
      <c r="B496" s="13"/>
      <c r="C496" s="13" t="s">
        <v>20</v>
      </c>
      <c r="D496" s="13"/>
      <c r="E496" s="32">
        <v>44750</v>
      </c>
      <c r="G496" s="8">
        <v>36102304</v>
      </c>
      <c r="I496" s="8">
        <v>353070</v>
      </c>
      <c r="K496" s="3">
        <f t="shared" si="42"/>
        <v>70594411</v>
      </c>
      <c r="M496" s="8">
        <v>107049785</v>
      </c>
      <c r="O496" s="3">
        <f t="shared" si="43"/>
        <v>11672583</v>
      </c>
      <c r="Q496" s="8">
        <v>59502421</v>
      </c>
      <c r="S496" s="8">
        <v>71175004</v>
      </c>
      <c r="U496" s="8">
        <f>6351738+9746262+353070</f>
        <v>16451070</v>
      </c>
      <c r="W496" s="8">
        <v>0</v>
      </c>
      <c r="Y496" s="8">
        <f>12263251+204836+2050073+4905551</f>
        <v>19423711</v>
      </c>
      <c r="AA496" s="14">
        <f t="shared" si="44"/>
        <v>35874781</v>
      </c>
      <c r="AC496" s="8">
        <f t="shared" si="38"/>
        <v>0</v>
      </c>
      <c r="AE496" s="15" t="s">
        <v>905</v>
      </c>
    </row>
    <row r="497" spans="1:31" hidden="1">
      <c r="A497" s="12" t="s">
        <v>1034</v>
      </c>
      <c r="B497" s="12"/>
      <c r="C497" s="12" t="s">
        <v>10</v>
      </c>
      <c r="D497" s="13"/>
      <c r="E497" s="32"/>
      <c r="G497" s="8">
        <v>17833519</v>
      </c>
      <c r="I497" s="8">
        <v>548043</v>
      </c>
      <c r="K497" s="3">
        <f t="shared" si="42"/>
        <v>0</v>
      </c>
      <c r="M497" s="8">
        <v>18381562</v>
      </c>
      <c r="O497" s="3"/>
      <c r="U497" s="8">
        <f>475548+490091+57952</f>
        <v>1023591</v>
      </c>
      <c r="Y497" s="8">
        <f>16420560+402725+534686</f>
        <v>17357971</v>
      </c>
      <c r="AA497" s="14">
        <f t="shared" si="44"/>
        <v>18381562</v>
      </c>
      <c r="AC497" s="8">
        <f t="shared" si="38"/>
        <v>0</v>
      </c>
      <c r="AE497" s="15"/>
    </row>
    <row r="498" spans="1:31">
      <c r="A498" s="13" t="s">
        <v>494</v>
      </c>
      <c r="B498" s="13"/>
      <c r="C498" s="13" t="s">
        <v>44</v>
      </c>
      <c r="D498" s="13"/>
      <c r="E498" s="32">
        <v>44768</v>
      </c>
      <c r="G498" s="8">
        <v>10908957</v>
      </c>
      <c r="I498" s="8">
        <v>0</v>
      </c>
      <c r="K498" s="3">
        <f t="shared" si="42"/>
        <v>12536586</v>
      </c>
      <c r="M498" s="8">
        <v>23445543</v>
      </c>
      <c r="O498" s="3">
        <f t="shared" si="43"/>
        <v>2619346</v>
      </c>
      <c r="Q498" s="8">
        <v>11457117</v>
      </c>
      <c r="S498" s="8">
        <v>14076463</v>
      </c>
      <c r="U498" s="8">
        <f>87122+654131+417403</f>
        <v>1158656</v>
      </c>
      <c r="W498" s="8">
        <v>0</v>
      </c>
      <c r="Y498" s="8">
        <f>7674856+107008+428560</f>
        <v>8210424</v>
      </c>
      <c r="AA498" s="14">
        <f t="shared" si="44"/>
        <v>9369080</v>
      </c>
      <c r="AC498" s="8">
        <f t="shared" si="38"/>
        <v>0</v>
      </c>
    </row>
    <row r="499" spans="1:31">
      <c r="A499" s="13" t="s">
        <v>615</v>
      </c>
      <c r="B499" s="13"/>
      <c r="C499" s="13" t="s">
        <v>112</v>
      </c>
      <c r="D499" s="13"/>
      <c r="E499" s="32">
        <v>44776</v>
      </c>
      <c r="G499" s="8">
        <v>4416644</v>
      </c>
      <c r="I499" s="8">
        <v>46426</v>
      </c>
      <c r="K499" s="3">
        <f t="shared" si="42"/>
        <v>7779486</v>
      </c>
      <c r="M499" s="8">
        <v>12242556</v>
      </c>
      <c r="O499" s="3">
        <f t="shared" si="43"/>
        <v>2719115</v>
      </c>
      <c r="Q499" s="8">
        <f>1100555+4016036</f>
        <v>5116591</v>
      </c>
      <c r="S499" s="8">
        <v>7835706</v>
      </c>
      <c r="U499" s="8">
        <f>208079+80601+983964+89387+46426</f>
        <v>1408457</v>
      </c>
      <c r="W499" s="8">
        <v>0</v>
      </c>
      <c r="Y499" s="8">
        <f>2777414+178224+42755</f>
        <v>2998393</v>
      </c>
      <c r="AA499" s="14">
        <f t="shared" si="44"/>
        <v>4406850</v>
      </c>
      <c r="AC499" s="8">
        <f t="shared" si="38"/>
        <v>0</v>
      </c>
    </row>
    <row r="500" spans="1:31">
      <c r="A500" s="12" t="s">
        <v>647</v>
      </c>
      <c r="B500" s="13"/>
      <c r="C500" s="13" t="s">
        <v>61</v>
      </c>
      <c r="D500" s="13"/>
      <c r="E500" s="32">
        <v>44784</v>
      </c>
      <c r="G500" s="8">
        <v>5050961</v>
      </c>
      <c r="I500" s="8">
        <v>26314</v>
      </c>
      <c r="K500" s="3">
        <f t="shared" si="42"/>
        <v>14246364</v>
      </c>
      <c r="M500" s="8">
        <v>19323639</v>
      </c>
      <c r="O500" s="3">
        <f t="shared" si="43"/>
        <v>5495157</v>
      </c>
      <c r="Q500" s="8">
        <v>13025372</v>
      </c>
      <c r="S500" s="8">
        <v>18520529</v>
      </c>
      <c r="U500" s="8">
        <f>933828+24516+1798+214625</f>
        <v>1174767</v>
      </c>
      <c r="W500" s="8">
        <v>6612</v>
      </c>
      <c r="Y500" s="8">
        <f>2492380-2606848-25299-238502</f>
        <v>-378269</v>
      </c>
      <c r="AA500" s="14">
        <f t="shared" si="44"/>
        <v>803110</v>
      </c>
      <c r="AC500" s="8">
        <f t="shared" si="38"/>
        <v>0</v>
      </c>
    </row>
    <row r="501" spans="1:31">
      <c r="A501" s="13" t="s">
        <v>321</v>
      </c>
      <c r="B501" s="13"/>
      <c r="C501" s="13" t="s">
        <v>20</v>
      </c>
      <c r="D501" s="13"/>
      <c r="E501" s="32">
        <v>46607</v>
      </c>
      <c r="G501" s="8">
        <v>22351404</v>
      </c>
      <c r="I501" s="8">
        <v>0</v>
      </c>
      <c r="K501" s="3">
        <f t="shared" si="42"/>
        <v>48951828</v>
      </c>
      <c r="M501" s="8">
        <v>71303232</v>
      </c>
      <c r="O501" s="3">
        <f t="shared" si="43"/>
        <v>8659878</v>
      </c>
      <c r="Q501" s="8">
        <f>2432198+38961105</f>
        <v>41393303</v>
      </c>
      <c r="S501" s="8">
        <v>50053181</v>
      </c>
      <c r="U501" s="8">
        <f>917158+64780+7095487+27674</f>
        <v>8105099</v>
      </c>
      <c r="W501" s="8">
        <v>0</v>
      </c>
      <c r="Y501" s="8">
        <f>2213318+1459889+1571116+7900629</f>
        <v>13144952</v>
      </c>
      <c r="AA501" s="14">
        <f t="shared" si="44"/>
        <v>21250051</v>
      </c>
      <c r="AC501" s="8">
        <f t="shared" ref="AC501:AC570" si="45">+G501+I501+K501-O501-Q501-Y501-W501-U501</f>
        <v>0</v>
      </c>
    </row>
    <row r="502" spans="1:31">
      <c r="A502" s="13"/>
      <c r="B502" s="13"/>
      <c r="C502" s="13"/>
      <c r="D502" s="13"/>
      <c r="E502" s="32"/>
      <c r="K502" s="3"/>
      <c r="O502" s="3"/>
      <c r="AA502" s="14"/>
    </row>
    <row r="503" spans="1:31">
      <c r="A503" s="13"/>
      <c r="B503" s="13"/>
      <c r="C503" s="13"/>
      <c r="D503" s="13"/>
      <c r="E503" s="32"/>
      <c r="K503" s="3"/>
      <c r="O503" s="3"/>
      <c r="AA503" s="134" t="s">
        <v>805</v>
      </c>
    </row>
    <row r="504" spans="1:31">
      <c r="A504" s="13"/>
      <c r="B504" s="13"/>
      <c r="C504" s="13"/>
      <c r="D504" s="13"/>
      <c r="E504" s="32"/>
      <c r="K504" s="3"/>
      <c r="O504" s="3"/>
      <c r="AA504" s="14"/>
    </row>
    <row r="505" spans="1:31">
      <c r="A505" s="13" t="s">
        <v>868</v>
      </c>
      <c r="B505" s="13"/>
      <c r="C505" s="13" t="s">
        <v>37</v>
      </c>
      <c r="D505" s="13"/>
      <c r="E505" s="32"/>
      <c r="G505" s="35">
        <v>3496366</v>
      </c>
      <c r="H505" s="35"/>
      <c r="I505" s="35">
        <v>436678</v>
      </c>
      <c r="J505" s="35"/>
      <c r="K505" s="42">
        <f t="shared" si="42"/>
        <v>2103533</v>
      </c>
      <c r="L505" s="35"/>
      <c r="M505" s="35">
        <v>6036577</v>
      </c>
      <c r="N505" s="35"/>
      <c r="O505" s="42">
        <f t="shared" si="43"/>
        <v>1020596</v>
      </c>
      <c r="P505" s="35"/>
      <c r="Q505" s="35">
        <f>140418+1085518</f>
        <v>1225936</v>
      </c>
      <c r="R505" s="35"/>
      <c r="S505" s="35">
        <v>2246532</v>
      </c>
      <c r="T505" s="35"/>
      <c r="U505" s="35">
        <f>198915+34634+19233+187344+359943+89547+168961+32743+234974</f>
        <v>1326294</v>
      </c>
      <c r="V505" s="35"/>
      <c r="W505" s="35">
        <v>484783</v>
      </c>
      <c r="X505" s="35"/>
      <c r="Y505" s="35">
        <f>1958196+6758+14014</f>
        <v>1978968</v>
      </c>
      <c r="Z505" s="35"/>
      <c r="AA505" s="64">
        <f t="shared" si="44"/>
        <v>3790045</v>
      </c>
      <c r="AC505" s="8">
        <f t="shared" si="45"/>
        <v>0</v>
      </c>
    </row>
    <row r="506" spans="1:31">
      <c r="A506" s="13" t="s">
        <v>322</v>
      </c>
      <c r="B506" s="13"/>
      <c r="C506" s="13" t="s">
        <v>20</v>
      </c>
      <c r="D506" s="13"/>
      <c r="E506" s="32">
        <v>44792</v>
      </c>
      <c r="G506" s="8">
        <v>11358915</v>
      </c>
      <c r="I506" s="8">
        <v>25828</v>
      </c>
      <c r="K506" s="3">
        <f t="shared" si="42"/>
        <v>53994682</v>
      </c>
      <c r="M506" s="8">
        <v>65379425</v>
      </c>
      <c r="O506" s="3">
        <f t="shared" si="43"/>
        <v>16836429</v>
      </c>
      <c r="Q506" s="8">
        <v>45380694</v>
      </c>
      <c r="S506" s="8">
        <v>62217123</v>
      </c>
      <c r="U506" s="8">
        <f>1263497+7128789+25828</f>
        <v>8418114</v>
      </c>
      <c r="W506" s="8">
        <v>0</v>
      </c>
      <c r="Y506" s="8">
        <f>1502932+510615+1610253-8879612</f>
        <v>-5255812</v>
      </c>
      <c r="AA506" s="14">
        <f t="shared" si="44"/>
        <v>3162302</v>
      </c>
      <c r="AC506" s="8">
        <f t="shared" si="45"/>
        <v>0</v>
      </c>
    </row>
    <row r="507" spans="1:31">
      <c r="A507" s="13" t="s">
        <v>471</v>
      </c>
      <c r="B507" s="13"/>
      <c r="C507" s="13" t="s">
        <v>466</v>
      </c>
      <c r="D507" s="13"/>
      <c r="E507" s="32">
        <v>47951</v>
      </c>
      <c r="G507" s="8">
        <v>11434879</v>
      </c>
      <c r="I507" s="8">
        <v>438274</v>
      </c>
      <c r="K507" s="3">
        <f t="shared" si="42"/>
        <v>4237080</v>
      </c>
      <c r="M507" s="8">
        <v>16110233</v>
      </c>
      <c r="O507" s="3">
        <f t="shared" si="43"/>
        <v>4250475</v>
      </c>
      <c r="Q507" s="8">
        <v>3441888</v>
      </c>
      <c r="S507" s="8">
        <v>7692363</v>
      </c>
      <c r="U507" s="8">
        <f>3896245+597125+306929+67581+63764</f>
        <v>4931644</v>
      </c>
      <c r="W507" s="8">
        <v>0</v>
      </c>
      <c r="Y507" s="8">
        <f>2684680+927176+866837-992467</f>
        <v>3486226</v>
      </c>
      <c r="AA507" s="14">
        <f t="shared" si="44"/>
        <v>8417870</v>
      </c>
      <c r="AC507" s="8">
        <f t="shared" si="45"/>
        <v>0</v>
      </c>
    </row>
    <row r="508" spans="1:31">
      <c r="A508" s="13" t="s">
        <v>516</v>
      </c>
      <c r="B508" s="13"/>
      <c r="C508" s="13" t="s">
        <v>45</v>
      </c>
      <c r="D508" s="13"/>
      <c r="E508" s="32">
        <v>48363</v>
      </c>
      <c r="G508" s="8">
        <v>35303305</v>
      </c>
      <c r="I508" s="8">
        <v>107439</v>
      </c>
      <c r="K508" s="3">
        <f t="shared" si="42"/>
        <v>10536428</v>
      </c>
      <c r="M508" s="8">
        <v>45947172</v>
      </c>
      <c r="O508" s="3">
        <f t="shared" si="43"/>
        <v>1768406</v>
      </c>
      <c r="Q508" s="8">
        <f>4146064+5971884</f>
        <v>10117948</v>
      </c>
      <c r="S508" s="8">
        <v>11886354</v>
      </c>
      <c r="U508" s="8">
        <f>2558095+15842+587573+33000+74439</f>
        <v>3268949</v>
      </c>
      <c r="W508" s="8">
        <v>0</v>
      </c>
      <c r="Y508" s="8">
        <f>1749091+144211+28898567</f>
        <v>30791869</v>
      </c>
      <c r="AA508" s="14">
        <f t="shared" si="44"/>
        <v>34060818</v>
      </c>
      <c r="AC508" s="8">
        <f t="shared" si="45"/>
        <v>0</v>
      </c>
    </row>
    <row r="509" spans="1:31">
      <c r="A509" s="13" t="s">
        <v>594</v>
      </c>
      <c r="B509" s="13"/>
      <c r="C509" s="13" t="s">
        <v>56</v>
      </c>
      <c r="D509" s="13"/>
      <c r="E509" s="32">
        <v>49221</v>
      </c>
      <c r="G509" s="8">
        <v>6472225</v>
      </c>
      <c r="I509" s="8">
        <v>68784</v>
      </c>
      <c r="K509" s="3">
        <f t="shared" si="42"/>
        <v>7037579</v>
      </c>
      <c r="M509" s="8">
        <v>13578588</v>
      </c>
      <c r="O509" s="3">
        <f t="shared" si="43"/>
        <v>2347546</v>
      </c>
      <c r="Q509" s="8">
        <v>6327832</v>
      </c>
      <c r="S509" s="8">
        <v>8675378</v>
      </c>
      <c r="U509" s="8">
        <f>65252+579024+68784</f>
        <v>713060</v>
      </c>
      <c r="W509" s="8">
        <v>0</v>
      </c>
      <c r="Y509" s="8">
        <f>2719049+951069+239501+280531</f>
        <v>4190150</v>
      </c>
      <c r="AA509" s="14">
        <f t="shared" si="44"/>
        <v>4903210</v>
      </c>
      <c r="AC509" s="8">
        <f t="shared" si="45"/>
        <v>0</v>
      </c>
    </row>
    <row r="510" spans="1:31" s="35" customFormat="1">
      <c r="A510" s="34" t="s">
        <v>594</v>
      </c>
      <c r="B510" s="34"/>
      <c r="C510" s="34" t="s">
        <v>71</v>
      </c>
      <c r="D510" s="34"/>
      <c r="E510" s="34">
        <v>50583</v>
      </c>
      <c r="G510" s="8">
        <v>2422955</v>
      </c>
      <c r="H510" s="8"/>
      <c r="I510" s="8">
        <v>0</v>
      </c>
      <c r="J510" s="8"/>
      <c r="K510" s="3">
        <f t="shared" si="42"/>
        <v>6275330</v>
      </c>
      <c r="L510" s="8"/>
      <c r="M510" s="8">
        <v>8698285</v>
      </c>
      <c r="N510" s="8"/>
      <c r="O510" s="3">
        <f t="shared" si="43"/>
        <v>2176153</v>
      </c>
      <c r="P510" s="8"/>
      <c r="Q510" s="8">
        <v>5606423</v>
      </c>
      <c r="R510" s="8"/>
      <c r="S510" s="8">
        <v>7782576</v>
      </c>
      <c r="T510" s="8"/>
      <c r="U510" s="8">
        <f>21207+179267+453298</f>
        <v>653772</v>
      </c>
      <c r="V510" s="8"/>
      <c r="W510" s="8">
        <v>0</v>
      </c>
      <c r="X510" s="8"/>
      <c r="Y510" s="8">
        <f>65842+280909-84814</f>
        <v>261937</v>
      </c>
      <c r="Z510" s="8"/>
      <c r="AA510" s="14">
        <f t="shared" si="44"/>
        <v>915709</v>
      </c>
      <c r="AB510" s="8"/>
      <c r="AC510" s="8">
        <f t="shared" si="45"/>
        <v>0</v>
      </c>
    </row>
    <row r="511" spans="1:31">
      <c r="A511" s="13" t="s">
        <v>264</v>
      </c>
      <c r="B511" s="13"/>
      <c r="C511" s="13" t="s">
        <v>17</v>
      </c>
      <c r="D511" s="13"/>
      <c r="E511" s="32">
        <v>46276</v>
      </c>
      <c r="G511" s="8">
        <v>6097618</v>
      </c>
      <c r="I511" s="8">
        <v>149644</v>
      </c>
      <c r="K511" s="3">
        <f t="shared" si="42"/>
        <v>2664618</v>
      </c>
      <c r="M511" s="8">
        <v>8911880</v>
      </c>
      <c r="O511" s="3">
        <f t="shared" si="43"/>
        <v>870690</v>
      </c>
      <c r="Q511" s="8">
        <v>1792920</v>
      </c>
      <c r="S511" s="8">
        <v>2663610</v>
      </c>
      <c r="U511" s="8">
        <f>5016+406778+123971+6621+19052</f>
        <v>561438</v>
      </c>
      <c r="W511" s="8">
        <v>89445</v>
      </c>
      <c r="Y511" s="8">
        <f>4335038+33979+1228370</f>
        <v>5597387</v>
      </c>
      <c r="AA511" s="14">
        <f t="shared" si="44"/>
        <v>6248270</v>
      </c>
      <c r="AC511" s="8">
        <f t="shared" si="45"/>
        <v>0</v>
      </c>
    </row>
    <row r="512" spans="1:31">
      <c r="A512" s="13" t="s">
        <v>264</v>
      </c>
      <c r="B512" s="13"/>
      <c r="C512" s="13" t="s">
        <v>58</v>
      </c>
      <c r="D512" s="13"/>
      <c r="E512" s="32">
        <v>49528</v>
      </c>
      <c r="G512" s="8">
        <v>6732374</v>
      </c>
      <c r="I512" s="8">
        <v>0</v>
      </c>
      <c r="K512" s="3">
        <f t="shared" si="42"/>
        <v>2141496</v>
      </c>
      <c r="M512" s="8">
        <v>8873870</v>
      </c>
      <c r="O512" s="3">
        <f t="shared" si="43"/>
        <v>1193230</v>
      </c>
      <c r="Q512" s="8">
        <v>1695390</v>
      </c>
      <c r="S512" s="8">
        <v>2888620</v>
      </c>
      <c r="U512" s="8">
        <f>366190+154210</f>
        <v>520400</v>
      </c>
      <c r="W512" s="8">
        <v>0</v>
      </c>
      <c r="Y512" s="8">
        <f>4142753+69241+409653+843203</f>
        <v>5464850</v>
      </c>
      <c r="AA512" s="14">
        <f t="shared" si="44"/>
        <v>5985250</v>
      </c>
      <c r="AC512" s="8">
        <f t="shared" si="45"/>
        <v>0</v>
      </c>
    </row>
    <row r="513" spans="1:31">
      <c r="A513" s="13" t="s">
        <v>284</v>
      </c>
      <c r="B513" s="13"/>
      <c r="C513" s="13" t="s">
        <v>114</v>
      </c>
      <c r="D513" s="13"/>
      <c r="E513" s="32">
        <v>46441</v>
      </c>
      <c r="G513" s="8">
        <v>1457327</v>
      </c>
      <c r="I513" s="8">
        <v>24797</v>
      </c>
      <c r="K513" s="3">
        <f>M513-G513-I513</f>
        <v>2241289</v>
      </c>
      <c r="M513" s="8">
        <v>3723413</v>
      </c>
      <c r="O513" s="3">
        <f>S513-Q513</f>
        <v>1001302</v>
      </c>
      <c r="Q513" s="8">
        <f>205229+1590945</f>
        <v>1796174</v>
      </c>
      <c r="S513" s="8">
        <v>2797476</v>
      </c>
      <c r="U513" s="8">
        <f>122707+6060+572+85134+24797+416604</f>
        <v>655874</v>
      </c>
      <c r="W513" s="8">
        <v>0</v>
      </c>
      <c r="Y513" s="8">
        <f>115685+208355-53977</f>
        <v>270063</v>
      </c>
      <c r="AA513" s="14">
        <f>U513+W513+Y513</f>
        <v>925937</v>
      </c>
      <c r="AC513" s="8">
        <f t="shared" si="45"/>
        <v>0</v>
      </c>
    </row>
    <row r="514" spans="1:31">
      <c r="A514" s="13" t="s">
        <v>284</v>
      </c>
      <c r="B514" s="13"/>
      <c r="C514" s="13" t="s">
        <v>531</v>
      </c>
      <c r="D514" s="13"/>
      <c r="E514" s="32">
        <v>46441</v>
      </c>
      <c r="G514" s="8">
        <v>2153509</v>
      </c>
      <c r="I514" s="8">
        <f>441+364</f>
        <v>805</v>
      </c>
      <c r="K514" s="3">
        <f t="shared" si="42"/>
        <v>2793877</v>
      </c>
      <c r="M514" s="8">
        <v>4948191</v>
      </c>
      <c r="O514" s="3">
        <f t="shared" si="43"/>
        <v>787463</v>
      </c>
      <c r="Q514" s="8">
        <v>2566151</v>
      </c>
      <c r="S514" s="8">
        <v>3353614</v>
      </c>
      <c r="U514" s="8">
        <f>8712+441+115280</f>
        <v>124433</v>
      </c>
      <c r="W514" s="8">
        <v>0</v>
      </c>
      <c r="Y514" s="8">
        <f>1211993+336334+12131-90314</f>
        <v>1470144</v>
      </c>
      <c r="AA514" s="14">
        <f t="shared" si="44"/>
        <v>1594577</v>
      </c>
      <c r="AC514" s="8">
        <f t="shared" si="45"/>
        <v>0</v>
      </c>
    </row>
    <row r="515" spans="1:31" hidden="1">
      <c r="A515" s="13" t="s">
        <v>1035</v>
      </c>
      <c r="B515" s="13"/>
      <c r="C515" s="13" t="s">
        <v>579</v>
      </c>
      <c r="D515" s="13"/>
      <c r="E515" s="32"/>
      <c r="G515" s="8">
        <v>657895</v>
      </c>
      <c r="I515" s="8">
        <v>553438</v>
      </c>
      <c r="K515" s="3">
        <f t="shared" si="42"/>
        <v>0</v>
      </c>
      <c r="M515" s="8">
        <v>1211333</v>
      </c>
      <c r="O515" s="3"/>
      <c r="U515" s="8">
        <f>271090+146236+407202</f>
        <v>824528</v>
      </c>
      <c r="Y515" s="8">
        <f>299433+197673-58579-51722</f>
        <v>386805</v>
      </c>
      <c r="AA515" s="14">
        <f t="shared" si="44"/>
        <v>1211333</v>
      </c>
      <c r="AC515" s="8">
        <f t="shared" si="45"/>
        <v>0</v>
      </c>
    </row>
    <row r="516" spans="1:31">
      <c r="A516" s="13" t="s">
        <v>691</v>
      </c>
      <c r="B516" s="13"/>
      <c r="C516" s="13" t="s">
        <v>64</v>
      </c>
      <c r="D516" s="13"/>
      <c r="E516" s="32">
        <v>50237</v>
      </c>
      <c r="G516" s="8">
        <v>19272034</v>
      </c>
      <c r="I516" s="8">
        <v>248914</v>
      </c>
      <c r="K516" s="3">
        <f t="shared" si="42"/>
        <v>7085644</v>
      </c>
      <c r="M516" s="8">
        <v>26606592</v>
      </c>
      <c r="O516" s="3">
        <f t="shared" si="43"/>
        <v>536610</v>
      </c>
      <c r="Q516" s="8">
        <v>6941686</v>
      </c>
      <c r="S516" s="8">
        <v>7478296</v>
      </c>
      <c r="U516" s="8">
        <f>300864+213772+5386+19406+15736</f>
        <v>555164</v>
      </c>
      <c r="W516" s="8">
        <v>0</v>
      </c>
      <c r="Y516" s="8">
        <f>373714+312595+272391+17614432</f>
        <v>18573132</v>
      </c>
      <c r="AA516" s="14">
        <f t="shared" si="44"/>
        <v>19128296</v>
      </c>
      <c r="AC516" s="8">
        <f t="shared" si="45"/>
        <v>0</v>
      </c>
    </row>
    <row r="517" spans="1:31">
      <c r="A517" s="13" t="s">
        <v>481</v>
      </c>
      <c r="B517" s="13"/>
      <c r="C517" s="13" t="s">
        <v>42</v>
      </c>
      <c r="D517" s="13"/>
      <c r="E517" s="32">
        <v>48041</v>
      </c>
      <c r="G517" s="8">
        <v>6897798</v>
      </c>
      <c r="I517" s="8">
        <v>4180</v>
      </c>
      <c r="K517" s="3">
        <f t="shared" si="42"/>
        <v>22590217</v>
      </c>
      <c r="M517" s="8">
        <v>29492195</v>
      </c>
      <c r="O517" s="3">
        <f t="shared" si="43"/>
        <v>4151818</v>
      </c>
      <c r="Q517" s="8">
        <v>16584089</v>
      </c>
      <c r="S517" s="8">
        <v>20735907</v>
      </c>
      <c r="U517" s="8">
        <f>214764+36845+4180+43631+748491+62491</f>
        <v>1110402</v>
      </c>
      <c r="W517" s="8">
        <v>203263</v>
      </c>
      <c r="Y517" s="8">
        <f>4397596+141854+2781747+121426</f>
        <v>7442623</v>
      </c>
      <c r="AA517" s="14">
        <f t="shared" si="44"/>
        <v>8756288</v>
      </c>
      <c r="AC517" s="8">
        <f t="shared" si="45"/>
        <v>0</v>
      </c>
    </row>
    <row r="518" spans="1:31">
      <c r="A518" s="13" t="s">
        <v>407</v>
      </c>
      <c r="B518" s="13"/>
      <c r="C518" s="13" t="s">
        <v>32</v>
      </c>
      <c r="D518" s="13"/>
      <c r="E518" s="32">
        <v>47381</v>
      </c>
      <c r="G518" s="8">
        <v>3554235</v>
      </c>
      <c r="I518" s="8">
        <v>0</v>
      </c>
      <c r="K518" s="3">
        <f t="shared" si="42"/>
        <v>14888464</v>
      </c>
      <c r="M518" s="8">
        <v>18442699</v>
      </c>
      <c r="O518" s="3">
        <f t="shared" si="43"/>
        <v>5222002</v>
      </c>
      <c r="Q518" s="8">
        <v>10226666</v>
      </c>
      <c r="S518" s="8">
        <v>15448668</v>
      </c>
      <c r="U518" s="8">
        <f>142318+2890000</f>
        <v>3032318</v>
      </c>
      <c r="W518" s="8">
        <v>0</v>
      </c>
      <c r="Y518" s="8">
        <f>664597+2379019+10051-3091954</f>
        <v>-38287</v>
      </c>
      <c r="AA518" s="14">
        <f t="shared" si="44"/>
        <v>2994031</v>
      </c>
      <c r="AC518" s="8">
        <f t="shared" si="45"/>
        <v>0</v>
      </c>
    </row>
    <row r="519" spans="1:31">
      <c r="A519" s="13" t="s">
        <v>363</v>
      </c>
      <c r="B519" s="13"/>
      <c r="C519" s="13" t="s">
        <v>27</v>
      </c>
      <c r="D519" s="13"/>
      <c r="E519" s="13">
        <v>44800</v>
      </c>
      <c r="G519" s="8">
        <v>32497420</v>
      </c>
      <c r="I519" s="8">
        <v>0</v>
      </c>
      <c r="K519" s="3">
        <f t="shared" si="42"/>
        <v>110768412</v>
      </c>
      <c r="M519" s="8">
        <v>143265832</v>
      </c>
      <c r="O519" s="3">
        <f t="shared" si="43"/>
        <v>23857167</v>
      </c>
      <c r="Q519" s="8">
        <v>66308996</v>
      </c>
      <c r="S519" s="8">
        <v>90166163</v>
      </c>
      <c r="U519" s="8">
        <f>2421421+40683808+7766585</f>
        <v>50871814</v>
      </c>
      <c r="W519" s="8">
        <v>0</v>
      </c>
      <c r="Y519" s="8">
        <f>2849640+853201-1474986</f>
        <v>2227855</v>
      </c>
      <c r="AA519" s="14">
        <f t="shared" si="44"/>
        <v>53099669</v>
      </c>
      <c r="AC519" s="8">
        <f t="shared" si="45"/>
        <v>0</v>
      </c>
    </row>
    <row r="520" spans="1:31" hidden="1">
      <c r="A520" s="12" t="s">
        <v>1037</v>
      </c>
      <c r="B520" s="13"/>
      <c r="C520" s="13" t="s">
        <v>10</v>
      </c>
      <c r="D520" s="13"/>
      <c r="E520" s="32">
        <v>45807</v>
      </c>
      <c r="G520" s="8">
        <v>3896523</v>
      </c>
      <c r="I520" s="8">
        <v>299594</v>
      </c>
      <c r="K520" s="3">
        <f t="shared" si="42"/>
        <v>0</v>
      </c>
      <c r="M520" s="8">
        <v>4196117</v>
      </c>
      <c r="O520" s="3">
        <f t="shared" si="43"/>
        <v>0</v>
      </c>
      <c r="U520" s="8">
        <f>603852+135713+291695+7899</f>
        <v>1039159</v>
      </c>
      <c r="W520" s="8">
        <v>0</v>
      </c>
      <c r="Y520" s="8">
        <f>1767569+286284+268404+834701</f>
        <v>3156958</v>
      </c>
      <c r="AA520" s="14">
        <f t="shared" si="44"/>
        <v>4196117</v>
      </c>
      <c r="AC520" s="8">
        <f t="shared" si="45"/>
        <v>0</v>
      </c>
    </row>
    <row r="521" spans="1:31" hidden="1">
      <c r="A521" s="12" t="s">
        <v>1036</v>
      </c>
      <c r="B521" s="13"/>
      <c r="C521" s="13" t="s">
        <v>69</v>
      </c>
      <c r="D521" s="13"/>
      <c r="E521" s="32">
        <v>50427</v>
      </c>
      <c r="G521" s="8">
        <v>10678388</v>
      </c>
      <c r="I521" s="8">
        <f>296373+2985107</f>
        <v>3281480</v>
      </c>
      <c r="K521" s="3">
        <f t="shared" si="42"/>
        <v>0</v>
      </c>
      <c r="M521" s="8">
        <v>13959868</v>
      </c>
      <c r="O521" s="3">
        <f t="shared" si="43"/>
        <v>0</v>
      </c>
      <c r="U521" s="8">
        <f>2119013+96355</f>
        <v>2215368</v>
      </c>
      <c r="W521" s="8">
        <v>0</v>
      </c>
      <c r="Y521" s="8">
        <f>3828299+773266+4786973+2355962</f>
        <v>11744500</v>
      </c>
      <c r="AA521" s="14">
        <f t="shared" si="44"/>
        <v>13959868</v>
      </c>
      <c r="AC521" s="8">
        <f t="shared" si="45"/>
        <v>0</v>
      </c>
    </row>
    <row r="522" spans="1:31">
      <c r="A522" s="12" t="s">
        <v>862</v>
      </c>
      <c r="B522" s="12"/>
      <c r="C522" s="12" t="s">
        <v>17</v>
      </c>
      <c r="D522" s="12"/>
      <c r="E522" s="32"/>
      <c r="G522" s="8">
        <v>31890977</v>
      </c>
      <c r="I522" s="8">
        <f>699074+2684703+75553+73802</f>
        <v>3533132</v>
      </c>
      <c r="K522" s="3">
        <f t="shared" si="42"/>
        <v>37333375</v>
      </c>
      <c r="M522" s="8">
        <v>72757484</v>
      </c>
      <c r="O522" s="3">
        <f t="shared" si="43"/>
        <v>19127057</v>
      </c>
      <c r="Q522" s="8">
        <v>28740815</v>
      </c>
      <c r="S522" s="8">
        <v>47867872</v>
      </c>
      <c r="U522" s="8">
        <f>3552215+6169269+652961+46113</f>
        <v>10420558</v>
      </c>
      <c r="W522" s="8">
        <v>0</v>
      </c>
      <c r="Y522" s="8">
        <f>4380681+2796174+6398209+893990</f>
        <v>14469054</v>
      </c>
      <c r="AA522" s="14">
        <f t="shared" si="44"/>
        <v>24889612</v>
      </c>
      <c r="AC522" s="8">
        <f t="shared" si="45"/>
        <v>0</v>
      </c>
    </row>
    <row r="523" spans="1:31">
      <c r="A523" s="12" t="s">
        <v>500</v>
      </c>
      <c r="B523" s="13"/>
      <c r="C523" s="13" t="s">
        <v>117</v>
      </c>
      <c r="D523" s="13"/>
      <c r="E523" s="32">
        <v>48223</v>
      </c>
      <c r="G523" s="8">
        <v>4933482</v>
      </c>
      <c r="I523" s="8">
        <v>127901</v>
      </c>
      <c r="K523" s="3">
        <f t="shared" si="42"/>
        <v>26451525</v>
      </c>
      <c r="M523" s="8">
        <v>31512908</v>
      </c>
      <c r="O523" s="3">
        <f t="shared" si="43"/>
        <v>7710589</v>
      </c>
      <c r="Q523" s="8">
        <v>23836544</v>
      </c>
      <c r="S523" s="8">
        <v>31547133</v>
      </c>
      <c r="U523" s="8">
        <f>1546762+946803+127901</f>
        <v>2621466</v>
      </c>
      <c r="W523" s="8">
        <v>0</v>
      </c>
      <c r="Y523" s="8">
        <f>529306+1662874-2850214-1997657</f>
        <v>-2655691</v>
      </c>
      <c r="AA523" s="14">
        <f t="shared" si="44"/>
        <v>-34225</v>
      </c>
      <c r="AC523" s="8">
        <f t="shared" si="45"/>
        <v>0</v>
      </c>
      <c r="AE523" s="15" t="s">
        <v>905</v>
      </c>
    </row>
    <row r="524" spans="1:31">
      <c r="A524" s="13" t="s">
        <v>500</v>
      </c>
      <c r="B524" s="13"/>
      <c r="C524" s="13" t="s">
        <v>45</v>
      </c>
      <c r="D524" s="13"/>
      <c r="E524" s="32">
        <v>48371</v>
      </c>
      <c r="G524" s="8">
        <v>3131173</v>
      </c>
      <c r="I524" s="8">
        <v>71996</v>
      </c>
      <c r="K524" s="3">
        <f t="shared" si="42"/>
        <v>4558447</v>
      </c>
      <c r="M524" s="8">
        <v>7761616</v>
      </c>
      <c r="O524" s="3">
        <f t="shared" si="43"/>
        <v>1058381</v>
      </c>
      <c r="Q524" s="8">
        <f>157037+3729536</f>
        <v>3886573</v>
      </c>
      <c r="S524" s="8">
        <v>4944954</v>
      </c>
      <c r="U524" s="8">
        <f>770603+7607+1055805+57162+14834</f>
        <v>1906011</v>
      </c>
      <c r="W524" s="8">
        <v>0</v>
      </c>
      <c r="Y524" s="8">
        <f>848092-26660+89219</f>
        <v>910651</v>
      </c>
      <c r="AA524" s="14">
        <f t="shared" si="44"/>
        <v>2816662</v>
      </c>
      <c r="AC524" s="8">
        <f t="shared" si="45"/>
        <v>0</v>
      </c>
    </row>
    <row r="525" spans="1:31">
      <c r="A525" s="13" t="s">
        <v>500</v>
      </c>
      <c r="B525" s="13"/>
      <c r="C525" s="13" t="s">
        <v>63</v>
      </c>
      <c r="D525" s="13"/>
      <c r="E525" s="32">
        <v>50062</v>
      </c>
      <c r="G525" s="8">
        <v>3027307</v>
      </c>
      <c r="I525" s="8">
        <v>0</v>
      </c>
      <c r="K525" s="3">
        <f t="shared" si="42"/>
        <v>12249959</v>
      </c>
      <c r="M525" s="8">
        <v>15277266</v>
      </c>
      <c r="O525" s="3">
        <f t="shared" si="43"/>
        <v>6153164</v>
      </c>
      <c r="Q525" s="8">
        <v>10768624</v>
      </c>
      <c r="S525" s="8">
        <v>16921788</v>
      </c>
      <c r="U525" s="8">
        <f>131329+1172695</f>
        <v>1304024</v>
      </c>
      <c r="W525" s="8">
        <v>0</v>
      </c>
      <c r="Y525" s="8">
        <f>1735+186325-3012528-124078</f>
        <v>-2948546</v>
      </c>
      <c r="AA525" s="14">
        <f t="shared" si="44"/>
        <v>-1644522</v>
      </c>
      <c r="AC525" s="8">
        <f t="shared" si="45"/>
        <v>0</v>
      </c>
    </row>
    <row r="526" spans="1:31">
      <c r="A526" s="13" t="s">
        <v>871</v>
      </c>
      <c r="B526" s="13"/>
      <c r="C526" s="13" t="s">
        <v>32</v>
      </c>
      <c r="D526" s="13"/>
      <c r="E526" s="32">
        <v>44719</v>
      </c>
      <c r="G526" s="8">
        <v>3928508</v>
      </c>
      <c r="I526" s="8">
        <v>0</v>
      </c>
      <c r="K526" s="3">
        <f t="shared" si="42"/>
        <v>10209317</v>
      </c>
      <c r="M526" s="8">
        <v>14137825</v>
      </c>
      <c r="O526" s="3">
        <f t="shared" si="43"/>
        <v>1899347</v>
      </c>
      <c r="Q526" s="8">
        <v>7929690</v>
      </c>
      <c r="S526" s="8">
        <v>9829037</v>
      </c>
      <c r="U526" s="8">
        <f>26678+5834+1638000</f>
        <v>1670512</v>
      </c>
      <c r="W526" s="8">
        <v>0</v>
      </c>
      <c r="Y526" s="8">
        <f>1544645+544988+66601+482042</f>
        <v>2638276</v>
      </c>
      <c r="AA526" s="14">
        <f t="shared" si="44"/>
        <v>4308788</v>
      </c>
      <c r="AC526" s="8">
        <f t="shared" si="45"/>
        <v>0</v>
      </c>
    </row>
    <row r="527" spans="1:31">
      <c r="A527" s="13" t="s">
        <v>872</v>
      </c>
      <c r="B527" s="13"/>
      <c r="C527" s="13" t="s">
        <v>15</v>
      </c>
      <c r="D527" s="13"/>
      <c r="E527" s="32">
        <v>45997</v>
      </c>
      <c r="G527" s="8">
        <v>4749596</v>
      </c>
      <c r="I527" s="8">
        <v>96641</v>
      </c>
      <c r="K527" s="3">
        <f t="shared" si="42"/>
        <v>8237008</v>
      </c>
      <c r="M527" s="8">
        <v>13083245</v>
      </c>
      <c r="O527" s="3">
        <f t="shared" si="43"/>
        <v>1961679</v>
      </c>
      <c r="Q527" s="8">
        <v>7361775</v>
      </c>
      <c r="S527" s="8">
        <v>9323454</v>
      </c>
      <c r="U527" s="8">
        <f>548559+389518+11425+8363+11000</f>
        <v>968865</v>
      </c>
      <c r="W527" s="8">
        <v>0</v>
      </c>
      <c r="Y527" s="8">
        <f>1725067+83279+763491+219089</f>
        <v>2790926</v>
      </c>
      <c r="AA527" s="14">
        <f t="shared" si="44"/>
        <v>3759791</v>
      </c>
      <c r="AC527" s="8">
        <f t="shared" si="45"/>
        <v>0</v>
      </c>
    </row>
    <row r="528" spans="1:31" hidden="1">
      <c r="A528" s="12" t="s">
        <v>1038</v>
      </c>
      <c r="B528" s="13"/>
      <c r="C528" s="13" t="s">
        <v>534</v>
      </c>
      <c r="D528" s="13"/>
      <c r="E528" s="32">
        <v>48587</v>
      </c>
      <c r="G528" s="8">
        <v>4534855</v>
      </c>
      <c r="I528" s="8">
        <v>32263</v>
      </c>
      <c r="K528" s="3">
        <f t="shared" si="42"/>
        <v>0</v>
      </c>
      <c r="M528" s="8">
        <v>4567118</v>
      </c>
      <c r="O528" s="3">
        <f t="shared" si="43"/>
        <v>0</v>
      </c>
      <c r="U528" s="8">
        <f>178608+12508+19755</f>
        <v>210871</v>
      </c>
      <c r="W528" s="8">
        <v>90006</v>
      </c>
      <c r="Y528" s="8">
        <f>2912897+218128+271177+864039</f>
        <v>4266241</v>
      </c>
      <c r="AA528" s="14">
        <f t="shared" si="44"/>
        <v>4567118</v>
      </c>
      <c r="AC528" s="8">
        <f t="shared" si="45"/>
        <v>0</v>
      </c>
    </row>
    <row r="529" spans="1:31" hidden="1">
      <c r="A529" s="12" t="s">
        <v>1039</v>
      </c>
      <c r="B529" s="13"/>
      <c r="C529" s="13" t="s">
        <v>14</v>
      </c>
      <c r="D529" s="13"/>
      <c r="E529" s="32">
        <v>44727</v>
      </c>
      <c r="G529" s="8">
        <v>49733504</v>
      </c>
      <c r="I529" s="8">
        <v>28187</v>
      </c>
      <c r="K529" s="3">
        <f t="shared" si="42"/>
        <v>0</v>
      </c>
      <c r="M529" s="8">
        <v>49761691</v>
      </c>
      <c r="O529" s="3">
        <f t="shared" si="43"/>
        <v>0</v>
      </c>
      <c r="U529" s="8">
        <f>14931+13256+34995414</f>
        <v>35023601</v>
      </c>
      <c r="W529" s="8">
        <v>0</v>
      </c>
      <c r="Y529" s="8">
        <f>5620368+483510+438649+8195563</f>
        <v>14738090</v>
      </c>
      <c r="AA529" s="14">
        <f t="shared" si="44"/>
        <v>49761691</v>
      </c>
      <c r="AC529" s="8">
        <f t="shared" si="45"/>
        <v>0</v>
      </c>
    </row>
    <row r="530" spans="1:31">
      <c r="A530" s="13" t="s">
        <v>452</v>
      </c>
      <c r="B530" s="13"/>
      <c r="C530" s="13" t="s">
        <v>39</v>
      </c>
      <c r="D530" s="13"/>
      <c r="E530" s="32">
        <v>44826</v>
      </c>
      <c r="G530" s="8">
        <v>11738036</v>
      </c>
      <c r="I530" s="8">
        <f>287752+1732163</f>
        <v>2019915</v>
      </c>
      <c r="K530" s="3">
        <f t="shared" si="42"/>
        <v>6104075</v>
      </c>
      <c r="M530" s="8">
        <v>19862026</v>
      </c>
      <c r="O530" s="3">
        <f t="shared" si="43"/>
        <v>2310854</v>
      </c>
      <c r="Q530" s="8">
        <f>5703572</f>
        <v>5703572</v>
      </c>
      <c r="S530" s="8">
        <v>8014426</v>
      </c>
      <c r="U530" s="8">
        <f>1655304+365867+85496+89437</f>
        <v>2196104</v>
      </c>
      <c r="W530" s="8">
        <f>256710+684609+55847</f>
        <v>997166</v>
      </c>
      <c r="Y530" s="8">
        <f>2318084+3390658+2945588</f>
        <v>8654330</v>
      </c>
      <c r="AA530" s="14">
        <f t="shared" si="44"/>
        <v>11847600</v>
      </c>
      <c r="AC530" s="8">
        <f t="shared" si="45"/>
        <v>0</v>
      </c>
    </row>
    <row r="531" spans="1:31">
      <c r="A531" s="13" t="s">
        <v>671</v>
      </c>
      <c r="B531" s="13"/>
      <c r="C531" s="13" t="s">
        <v>63</v>
      </c>
      <c r="D531" s="13"/>
      <c r="E531" s="32">
        <v>44834</v>
      </c>
      <c r="G531" s="8">
        <v>12271011</v>
      </c>
      <c r="I531" s="8">
        <v>510498</v>
      </c>
      <c r="K531" s="3">
        <f t="shared" si="42"/>
        <v>31363520</v>
      </c>
      <c r="M531" s="8">
        <v>44145029</v>
      </c>
      <c r="O531" s="3">
        <f t="shared" si="43"/>
        <v>7697581</v>
      </c>
      <c r="Q531" s="8">
        <f>806127+25830520</f>
        <v>26636647</v>
      </c>
      <c r="S531" s="8">
        <v>34334228</v>
      </c>
      <c r="U531" s="8">
        <f>749961+91263+510498+12128+3057285</f>
        <v>4421135</v>
      </c>
      <c r="W531" s="8">
        <v>0</v>
      </c>
      <c r="Y531" s="8">
        <f>5157387+65836+166443</f>
        <v>5389666</v>
      </c>
      <c r="AA531" s="14">
        <f t="shared" si="44"/>
        <v>9810801</v>
      </c>
      <c r="AC531" s="8">
        <f t="shared" si="45"/>
        <v>0</v>
      </c>
    </row>
    <row r="532" spans="1:31" hidden="1">
      <c r="A532" s="13" t="s">
        <v>1040</v>
      </c>
      <c r="B532" s="13"/>
      <c r="C532" s="13" t="s">
        <v>65</v>
      </c>
      <c r="D532" s="13"/>
      <c r="E532" s="32">
        <v>50294</v>
      </c>
      <c r="K532" s="3">
        <f t="shared" si="42"/>
        <v>0</v>
      </c>
      <c r="O532" s="3">
        <f t="shared" si="43"/>
        <v>0</v>
      </c>
      <c r="W532" s="8">
        <v>0</v>
      </c>
      <c r="AA532" s="14">
        <f t="shared" si="44"/>
        <v>0</v>
      </c>
      <c r="AC532" s="8">
        <f t="shared" si="45"/>
        <v>0</v>
      </c>
      <c r="AE532" s="8" t="s">
        <v>967</v>
      </c>
    </row>
    <row r="533" spans="1:31">
      <c r="A533" s="13" t="s">
        <v>595</v>
      </c>
      <c r="B533" s="13"/>
      <c r="C533" s="13" t="s">
        <v>56</v>
      </c>
      <c r="D533" s="13"/>
      <c r="E533" s="13">
        <v>49239</v>
      </c>
      <c r="G533" s="8">
        <v>1609377</v>
      </c>
      <c r="I533" s="8">
        <v>0</v>
      </c>
      <c r="K533" s="3">
        <f t="shared" si="42"/>
        <v>13683972</v>
      </c>
      <c r="M533" s="8">
        <v>15293349</v>
      </c>
      <c r="O533" s="3">
        <f t="shared" si="43"/>
        <v>3013660</v>
      </c>
      <c r="Q533" s="8">
        <v>11743516</v>
      </c>
      <c r="S533" s="8">
        <v>14757176</v>
      </c>
      <c r="U533" s="8">
        <f>506091+1534461</f>
        <v>2040552</v>
      </c>
      <c r="W533" s="8">
        <v>0</v>
      </c>
      <c r="Y533" s="8">
        <f>207423+152696-168361-1696137</f>
        <v>-1504379</v>
      </c>
      <c r="AA533" s="14">
        <f t="shared" si="44"/>
        <v>536173</v>
      </c>
      <c r="AC533" s="8">
        <f t="shared" si="45"/>
        <v>0</v>
      </c>
    </row>
    <row r="534" spans="1:31">
      <c r="A534" s="13" t="s">
        <v>323</v>
      </c>
      <c r="B534" s="13"/>
      <c r="C534" s="13" t="s">
        <v>20</v>
      </c>
      <c r="D534" s="13"/>
      <c r="E534" s="32">
        <v>44842</v>
      </c>
      <c r="G534" s="8">
        <v>5705504</v>
      </c>
      <c r="I534" s="8">
        <v>997421</v>
      </c>
      <c r="K534" s="3">
        <f t="shared" si="42"/>
        <v>54608767</v>
      </c>
      <c r="M534" s="8">
        <v>61311692</v>
      </c>
      <c r="O534" s="3">
        <f t="shared" si="43"/>
        <v>10120506</v>
      </c>
      <c r="Q534" s="8">
        <v>48451425</v>
      </c>
      <c r="S534" s="8">
        <v>58571931</v>
      </c>
      <c r="U534" s="8">
        <f>6014302+2987188+743671</f>
        <v>9745161</v>
      </c>
      <c r="W534" s="8">
        <v>0</v>
      </c>
      <c r="Y534" s="8">
        <f>421282+3657960+453466-11538108</f>
        <v>-7005400</v>
      </c>
      <c r="AA534" s="14">
        <f t="shared" si="44"/>
        <v>2739761</v>
      </c>
      <c r="AC534" s="8">
        <f t="shared" si="45"/>
        <v>0</v>
      </c>
    </row>
    <row r="535" spans="1:31">
      <c r="A535" s="13" t="s">
        <v>517</v>
      </c>
      <c r="B535" s="13"/>
      <c r="C535" s="13" t="s">
        <v>45</v>
      </c>
      <c r="D535" s="13"/>
      <c r="E535" s="32">
        <v>44859</v>
      </c>
      <c r="G535" s="8">
        <v>7344965</v>
      </c>
      <c r="I535" s="8">
        <v>8127</v>
      </c>
      <c r="K535" s="3">
        <f t="shared" si="42"/>
        <v>5674665</v>
      </c>
      <c r="M535" s="8">
        <v>13027757</v>
      </c>
      <c r="O535" s="3">
        <f t="shared" si="43"/>
        <v>2528798</v>
      </c>
      <c r="Q535" s="8">
        <v>5196297</v>
      </c>
      <c r="S535" s="8">
        <v>7725095</v>
      </c>
      <c r="U535" s="8">
        <f>1779765+8127</f>
        <v>1787892</v>
      </c>
      <c r="W535" s="8">
        <v>0</v>
      </c>
      <c r="Y535" s="8">
        <f>1734284+576683+1466755-262952</f>
        <v>3514770</v>
      </c>
      <c r="AA535" s="14">
        <f t="shared" si="44"/>
        <v>5302662</v>
      </c>
      <c r="AC535" s="8">
        <f t="shared" si="45"/>
        <v>0</v>
      </c>
    </row>
    <row r="536" spans="1:31">
      <c r="A536" s="13" t="s">
        <v>732</v>
      </c>
      <c r="B536" s="13"/>
      <c r="C536" s="13" t="s">
        <v>727</v>
      </c>
      <c r="D536" s="13"/>
      <c r="E536" s="32">
        <v>50658</v>
      </c>
      <c r="G536" s="8">
        <v>1485832</v>
      </c>
      <c r="I536" s="8">
        <v>2414</v>
      </c>
      <c r="K536" s="3">
        <f t="shared" si="42"/>
        <v>1664050</v>
      </c>
      <c r="M536" s="8">
        <v>3152296</v>
      </c>
      <c r="O536" s="3">
        <f t="shared" si="43"/>
        <v>624282</v>
      </c>
      <c r="Q536" s="8">
        <v>1288022</v>
      </c>
      <c r="S536" s="8">
        <v>1912304</v>
      </c>
      <c r="U536" s="8">
        <f>377990+4955+1038+107219+2414</f>
        <v>493616</v>
      </c>
      <c r="W536" s="8">
        <v>0</v>
      </c>
      <c r="Y536" s="8">
        <f>510595+117085+262670-143974</f>
        <v>746376</v>
      </c>
      <c r="AA536" s="14">
        <f t="shared" si="44"/>
        <v>1239992</v>
      </c>
      <c r="AC536" s="8">
        <f t="shared" si="45"/>
        <v>0</v>
      </c>
    </row>
    <row r="537" spans="1:31">
      <c r="A537" s="13" t="s">
        <v>387</v>
      </c>
      <c r="B537" s="13"/>
      <c r="C537" s="13" t="s">
        <v>116</v>
      </c>
      <c r="D537" s="13"/>
      <c r="E537" s="32">
        <v>47274</v>
      </c>
      <c r="G537" s="8">
        <v>1739266</v>
      </c>
      <c r="I537" s="8">
        <v>46616</v>
      </c>
      <c r="K537" s="3">
        <f t="shared" si="42"/>
        <v>18492633</v>
      </c>
      <c r="M537" s="8">
        <v>20278515</v>
      </c>
      <c r="O537" s="3">
        <f t="shared" si="43"/>
        <v>3302745</v>
      </c>
      <c r="Q537" s="8">
        <v>17787803</v>
      </c>
      <c r="S537" s="8">
        <v>21090548</v>
      </c>
      <c r="U537" s="8">
        <f>288589+415970</f>
        <v>704559</v>
      </c>
      <c r="W537" s="8">
        <v>0</v>
      </c>
      <c r="Y537" s="8">
        <f>161558+1436159+215461-3329770</f>
        <v>-1516592</v>
      </c>
      <c r="AA537" s="14">
        <f t="shared" si="44"/>
        <v>-812033</v>
      </c>
      <c r="AC537" s="8">
        <f t="shared" si="45"/>
        <v>0</v>
      </c>
    </row>
    <row r="538" spans="1:31">
      <c r="A538" s="13" t="s">
        <v>373</v>
      </c>
      <c r="B538" s="13"/>
      <c r="C538" s="13" t="s">
        <v>28</v>
      </c>
      <c r="D538" s="13"/>
      <c r="E538" s="32">
        <v>47092</v>
      </c>
      <c r="G538" s="8">
        <v>10020125</v>
      </c>
      <c r="I538" s="8">
        <v>39569</v>
      </c>
      <c r="K538" s="3">
        <f t="shared" si="42"/>
        <v>9947549</v>
      </c>
      <c r="M538" s="8">
        <v>20007243</v>
      </c>
      <c r="O538" s="3">
        <f t="shared" si="43"/>
        <v>1534984</v>
      </c>
      <c r="Q538" s="8">
        <v>6531594</v>
      </c>
      <c r="S538" s="8">
        <v>8066578</v>
      </c>
      <c r="U538" s="8">
        <f>415872+39569+471063</f>
        <v>926504</v>
      </c>
      <c r="W538" s="8">
        <v>0</v>
      </c>
      <c r="Y538" s="8">
        <f>9058173+181164+1632318+142506</f>
        <v>11014161</v>
      </c>
      <c r="AA538" s="14">
        <f t="shared" si="44"/>
        <v>11940665</v>
      </c>
      <c r="AC538" s="8">
        <f t="shared" si="45"/>
        <v>0</v>
      </c>
    </row>
    <row r="539" spans="1:31">
      <c r="A539" s="13" t="s">
        <v>861</v>
      </c>
      <c r="B539" s="13"/>
      <c r="C539" s="13" t="s">
        <v>49</v>
      </c>
      <c r="D539" s="13"/>
      <c r="E539" s="32">
        <v>48652</v>
      </c>
      <c r="G539" s="8">
        <v>1370535</v>
      </c>
      <c r="I539" s="8">
        <v>25073960</v>
      </c>
      <c r="K539" s="3">
        <f t="shared" si="42"/>
        <v>8751179</v>
      </c>
      <c r="M539" s="8">
        <v>35195674</v>
      </c>
      <c r="O539" s="3">
        <f t="shared" si="43"/>
        <v>3451231</v>
      </c>
      <c r="Q539" s="8">
        <v>8154034</v>
      </c>
      <c r="S539" s="8">
        <v>11605265</v>
      </c>
      <c r="U539" s="8">
        <f>523542+5982+59934+120098</f>
        <v>709556</v>
      </c>
      <c r="W539" s="8">
        <v>0</v>
      </c>
      <c r="Y539" s="8">
        <f>2892+25347973-2137104-332908</f>
        <v>22880853</v>
      </c>
      <c r="AA539" s="14">
        <f t="shared" si="44"/>
        <v>23590409</v>
      </c>
      <c r="AC539" s="8">
        <f t="shared" si="45"/>
        <v>0</v>
      </c>
    </row>
    <row r="540" spans="1:31">
      <c r="A540" s="13" t="s">
        <v>409</v>
      </c>
      <c r="B540" s="13"/>
      <c r="C540" s="13" t="s">
        <v>32</v>
      </c>
      <c r="D540" s="13"/>
      <c r="E540" s="32">
        <v>44867</v>
      </c>
      <c r="G540" s="8">
        <v>46714608</v>
      </c>
      <c r="I540" s="8">
        <v>468958</v>
      </c>
      <c r="K540" s="3">
        <f t="shared" si="42"/>
        <v>60890977</v>
      </c>
      <c r="M540" s="8">
        <v>108074543</v>
      </c>
      <c r="O540" s="3">
        <f t="shared" si="43"/>
        <v>10489178</v>
      </c>
      <c r="Q540" s="8">
        <v>35659769</v>
      </c>
      <c r="S540" s="8">
        <v>46148947</v>
      </c>
      <c r="U540" s="8">
        <f>1104026+54823+21689000+1060741+468958</f>
        <v>24377548</v>
      </c>
      <c r="W540" s="8">
        <v>0</v>
      </c>
      <c r="Y540" s="8">
        <f>31581277+466128+5478953+21690</f>
        <v>37548048</v>
      </c>
      <c r="AA540" s="14">
        <f t="shared" si="44"/>
        <v>61925596</v>
      </c>
      <c r="AC540" s="8">
        <f t="shared" si="45"/>
        <v>0</v>
      </c>
    </row>
    <row r="541" spans="1:31">
      <c r="A541" s="13" t="s">
        <v>501</v>
      </c>
      <c r="B541" s="13"/>
      <c r="C541" s="13" t="s">
        <v>117</v>
      </c>
      <c r="D541" s="13"/>
      <c r="E541" s="32">
        <v>44875</v>
      </c>
      <c r="G541" s="8">
        <v>113137313</v>
      </c>
      <c r="I541" s="8">
        <v>79049</v>
      </c>
      <c r="K541" s="3">
        <f t="shared" si="42"/>
        <v>58887852</v>
      </c>
      <c r="M541" s="8">
        <v>172104214</v>
      </c>
      <c r="O541" s="3">
        <f t="shared" si="43"/>
        <v>13631407</v>
      </c>
      <c r="Q541" s="8">
        <f>1158321+55510126</f>
        <v>56668447</v>
      </c>
      <c r="S541" s="8">
        <v>70299854</v>
      </c>
      <c r="U541" s="8">
        <f>3027261+16553+18279097+1894035+79049</f>
        <v>23295995</v>
      </c>
      <c r="W541" s="8">
        <v>0</v>
      </c>
      <c r="Y541" s="8">
        <f>2776713+75967037-235385</f>
        <v>78508365</v>
      </c>
      <c r="AA541" s="14">
        <f t="shared" si="44"/>
        <v>101804360</v>
      </c>
      <c r="AC541" s="8">
        <f t="shared" si="45"/>
        <v>0</v>
      </c>
    </row>
    <row r="542" spans="1:31">
      <c r="A542" s="13" t="s">
        <v>472</v>
      </c>
      <c r="B542" s="13"/>
      <c r="C542" s="13" t="s">
        <v>466</v>
      </c>
      <c r="D542" s="13"/>
      <c r="E542" s="32">
        <v>47969</v>
      </c>
      <c r="G542" s="8">
        <v>5510769</v>
      </c>
      <c r="I542" s="8">
        <v>279286</v>
      </c>
      <c r="K542" s="3">
        <f t="shared" si="42"/>
        <v>1107693</v>
      </c>
      <c r="M542" s="8">
        <v>6897748</v>
      </c>
      <c r="O542" s="3">
        <f t="shared" si="43"/>
        <v>1027633</v>
      </c>
      <c r="Q542" s="8">
        <v>912433</v>
      </c>
      <c r="S542" s="8">
        <v>1940066</v>
      </c>
      <c r="U542" s="8">
        <f>195460+157507+205753+30592+42941</f>
        <v>632253</v>
      </c>
      <c r="W542" s="8">
        <v>0</v>
      </c>
      <c r="Y542" s="8">
        <f>3312473+288009+316692+408255</f>
        <v>4325429</v>
      </c>
      <c r="AA542" s="14">
        <f t="shared" si="44"/>
        <v>4957682</v>
      </c>
      <c r="AC542" s="8">
        <f t="shared" si="45"/>
        <v>0</v>
      </c>
      <c r="AE542" s="8" t="s">
        <v>956</v>
      </c>
    </row>
    <row r="543" spans="1:31">
      <c r="A543" s="12" t="s">
        <v>251</v>
      </c>
      <c r="B543" s="13"/>
      <c r="C543" s="13" t="s">
        <v>242</v>
      </c>
      <c r="D543" s="13"/>
      <c r="E543" s="13">
        <v>46151</v>
      </c>
      <c r="G543" s="8">
        <v>26014887</v>
      </c>
      <c r="I543" s="8">
        <v>202876</v>
      </c>
      <c r="K543" s="3">
        <f t="shared" ref="K543:K570" si="46">M543-G543-I543</f>
        <v>23532759</v>
      </c>
      <c r="M543" s="8">
        <v>49750522</v>
      </c>
      <c r="O543" s="3">
        <f t="shared" ref="O543:O570" si="47">S543-Q543</f>
        <v>14512473</v>
      </c>
      <c r="Q543" s="8">
        <v>20923300</v>
      </c>
      <c r="S543" s="8">
        <v>35435773</v>
      </c>
      <c r="U543" s="8">
        <f>3890221+202876+521657+14969+2325071</f>
        <v>6954794</v>
      </c>
      <c r="W543" s="8">
        <v>0</v>
      </c>
      <c r="Y543" s="8">
        <f>11863221+711644-5214910</f>
        <v>7359955</v>
      </c>
      <c r="AA543" s="14">
        <f t="shared" ref="AA543:AA570" si="48">U543+W543+Y543</f>
        <v>14314749</v>
      </c>
      <c r="AC543" s="8">
        <f t="shared" si="45"/>
        <v>0</v>
      </c>
      <c r="AE543" s="15" t="s">
        <v>905</v>
      </c>
    </row>
    <row r="544" spans="1:31">
      <c r="A544" s="13" t="s">
        <v>672</v>
      </c>
      <c r="B544" s="13"/>
      <c r="C544" s="13" t="s">
        <v>63</v>
      </c>
      <c r="D544" s="13"/>
      <c r="E544" s="32">
        <v>44883</v>
      </c>
      <c r="G544" s="8">
        <v>5715340</v>
      </c>
      <c r="I544" s="8">
        <v>72474</v>
      </c>
      <c r="K544" s="3">
        <f t="shared" si="46"/>
        <v>16633540</v>
      </c>
      <c r="M544" s="8">
        <v>22421354</v>
      </c>
      <c r="O544" s="3">
        <f t="shared" si="47"/>
        <v>3226203</v>
      </c>
      <c r="Q544" s="8">
        <f>14602220+9446</f>
        <v>14611666</v>
      </c>
      <c r="S544" s="8">
        <v>17837869</v>
      </c>
      <c r="U544" s="8">
        <f>510004+436136+1662678+72474</f>
        <v>2681292</v>
      </c>
      <c r="W544" s="8">
        <v>0</v>
      </c>
      <c r="Y544" s="8">
        <f>321126+2464264-883197</f>
        <v>1902193</v>
      </c>
      <c r="AA544" s="14">
        <f t="shared" si="48"/>
        <v>4583485</v>
      </c>
      <c r="AC544" s="8">
        <f t="shared" si="45"/>
        <v>0</v>
      </c>
    </row>
    <row r="545" spans="1:31">
      <c r="A545" s="13" t="s">
        <v>583</v>
      </c>
      <c r="B545" s="13"/>
      <c r="C545" s="13" t="s">
        <v>54</v>
      </c>
      <c r="D545" s="13"/>
      <c r="E545" s="32">
        <v>49098</v>
      </c>
      <c r="G545" s="8">
        <v>40140651</v>
      </c>
      <c r="I545" s="8">
        <v>59005</v>
      </c>
      <c r="K545" s="3">
        <f t="shared" si="46"/>
        <v>14461264</v>
      </c>
      <c r="M545" s="8">
        <v>54660920</v>
      </c>
      <c r="O545" s="3">
        <f t="shared" si="47"/>
        <v>10991202</v>
      </c>
      <c r="Q545" s="8">
        <f>2461325+8513767</f>
        <v>10975092</v>
      </c>
      <c r="S545" s="8">
        <v>21966294</v>
      </c>
      <c r="U545" s="8">
        <f>23601551+5972+105775+1696328+2421866+59005</f>
        <v>27890497</v>
      </c>
      <c r="W545" s="8">
        <v>0</v>
      </c>
      <c r="Y545" s="8">
        <f>4231224+857271-284366</f>
        <v>4804129</v>
      </c>
      <c r="AA545" s="14">
        <f t="shared" si="48"/>
        <v>32694626</v>
      </c>
      <c r="AC545" s="8">
        <f t="shared" si="45"/>
        <v>0</v>
      </c>
    </row>
    <row r="546" spans="1:31">
      <c r="A546" s="13" t="s">
        <v>265</v>
      </c>
      <c r="B546" s="13"/>
      <c r="C546" s="13" t="s">
        <v>17</v>
      </c>
      <c r="D546" s="13"/>
      <c r="E546" s="32">
        <v>46243</v>
      </c>
      <c r="G546" s="8">
        <v>9033749</v>
      </c>
      <c r="I546" s="8">
        <v>80264</v>
      </c>
      <c r="K546" s="3">
        <f t="shared" si="46"/>
        <v>10735543</v>
      </c>
      <c r="M546" s="8">
        <v>19849556</v>
      </c>
      <c r="O546" s="3">
        <f t="shared" si="47"/>
        <v>4709178</v>
      </c>
      <c r="Q546" s="8">
        <v>7789832</v>
      </c>
      <c r="S546" s="8">
        <v>12499010</v>
      </c>
      <c r="U546" s="8">
        <f>1234221+2453808+80264</f>
        <v>3768293</v>
      </c>
      <c r="W546" s="8">
        <v>0</v>
      </c>
      <c r="Y546" s="8">
        <f>1468001+678364+1875202+2335-441649</f>
        <v>3582253</v>
      </c>
      <c r="AA546" s="14">
        <f t="shared" si="48"/>
        <v>7350546</v>
      </c>
      <c r="AC546" s="8">
        <f t="shared" si="45"/>
        <v>0</v>
      </c>
    </row>
    <row r="547" spans="1:31">
      <c r="A547" s="13" t="s">
        <v>1073</v>
      </c>
      <c r="B547" s="13"/>
      <c r="C547" s="13" t="s">
        <v>32</v>
      </c>
      <c r="D547" s="13"/>
      <c r="E547" s="32">
        <v>47399</v>
      </c>
      <c r="G547" s="8">
        <v>7851632</v>
      </c>
      <c r="I547" s="8">
        <v>362839</v>
      </c>
      <c r="K547" s="3">
        <f t="shared" si="46"/>
        <v>14158298</v>
      </c>
      <c r="M547" s="8">
        <v>22372769</v>
      </c>
      <c r="O547" s="3">
        <f t="shared" si="47"/>
        <v>3963001</v>
      </c>
      <c r="Q547" s="8">
        <v>9326518</v>
      </c>
      <c r="S547" s="8">
        <v>13289519</v>
      </c>
      <c r="U547" s="8">
        <f>946266+1183+3368000+362839</f>
        <v>4678288</v>
      </c>
      <c r="W547" s="8">
        <v>0</v>
      </c>
      <c r="Y547" s="8">
        <f>3849684+542976+7359+4943</f>
        <v>4404962</v>
      </c>
      <c r="AA547" s="14">
        <f t="shared" si="48"/>
        <v>9083250</v>
      </c>
      <c r="AC547" s="8">
        <f t="shared" si="45"/>
        <v>0</v>
      </c>
      <c r="AE547" s="15" t="s">
        <v>905</v>
      </c>
    </row>
    <row r="548" spans="1:31">
      <c r="A548" s="13" t="s">
        <v>640</v>
      </c>
      <c r="B548" s="13"/>
      <c r="C548" s="13" t="s">
        <v>60</v>
      </c>
      <c r="D548" s="13"/>
      <c r="E548" s="32">
        <v>44891</v>
      </c>
      <c r="G548" s="8">
        <v>6102899</v>
      </c>
      <c r="I548" s="8">
        <v>291202</v>
      </c>
      <c r="K548" s="3">
        <f t="shared" si="46"/>
        <v>11594967</v>
      </c>
      <c r="M548" s="8">
        <v>17989068</v>
      </c>
      <c r="O548" s="3">
        <f t="shared" si="47"/>
        <v>3611693</v>
      </c>
      <c r="Q548" s="8">
        <f>1024565+9007167</f>
        <v>10031732</v>
      </c>
      <c r="S548" s="8">
        <v>13643425</v>
      </c>
      <c r="U548" s="8">
        <f>342907+291202+50422+254328+352615+1138363+94083</f>
        <v>2523920</v>
      </c>
      <c r="W548" s="8">
        <v>0</v>
      </c>
      <c r="Y548" s="8">
        <f>1050788+360768+410167</f>
        <v>1821723</v>
      </c>
      <c r="AA548" s="14">
        <f t="shared" si="48"/>
        <v>4345643</v>
      </c>
      <c r="AC548" s="8">
        <f t="shared" si="45"/>
        <v>0</v>
      </c>
    </row>
    <row r="549" spans="1:31">
      <c r="A549" s="13" t="s">
        <v>541</v>
      </c>
      <c r="B549" s="13"/>
      <c r="C549" s="13" t="s">
        <v>48</v>
      </c>
      <c r="D549" s="13"/>
      <c r="E549" s="32">
        <v>45617</v>
      </c>
      <c r="G549" s="8">
        <v>31982820</v>
      </c>
      <c r="I549" s="8">
        <f>59281+7422</f>
        <v>66703</v>
      </c>
      <c r="K549" s="3">
        <f t="shared" si="46"/>
        <v>-16858073</v>
      </c>
      <c r="M549" s="8">
        <v>15191450</v>
      </c>
      <c r="O549" s="3">
        <f t="shared" si="47"/>
        <v>2845752</v>
      </c>
      <c r="Q549" s="8">
        <f>10691305+20684</f>
        <v>10711989</v>
      </c>
      <c r="S549" s="8">
        <v>13557741</v>
      </c>
      <c r="U549" s="8">
        <f>56421+67020+16087+1074572+1064077</f>
        <v>2278177</v>
      </c>
      <c r="W549" s="8">
        <v>0</v>
      </c>
      <c r="Y549" s="8">
        <f>366025+310983-1321476</f>
        <v>-644468</v>
      </c>
      <c r="AA549" s="14">
        <f t="shared" si="48"/>
        <v>1633709</v>
      </c>
      <c r="AC549" s="8">
        <f t="shared" si="45"/>
        <v>0</v>
      </c>
    </row>
    <row r="550" spans="1:31">
      <c r="A550" s="13" t="s">
        <v>502</v>
      </c>
      <c r="B550" s="13"/>
      <c r="C550" s="13" t="s">
        <v>117</v>
      </c>
      <c r="D550" s="13"/>
      <c r="E550" s="32">
        <v>44909</v>
      </c>
      <c r="G550" s="8">
        <v>19581944</v>
      </c>
      <c r="I550" s="8">
        <v>3700671</v>
      </c>
      <c r="K550" s="3">
        <f t="shared" si="46"/>
        <v>574657604</v>
      </c>
      <c r="M550" s="8">
        <v>597940219</v>
      </c>
      <c r="O550" s="3">
        <f t="shared" si="47"/>
        <v>92739829</v>
      </c>
      <c r="Q550" s="8">
        <v>385085917</v>
      </c>
      <c r="S550" s="8">
        <v>477825746</v>
      </c>
      <c r="U550" s="8">
        <f>41403844+690177+5389007+3700671+503291</f>
        <v>51686990</v>
      </c>
      <c r="W550" s="8">
        <v>0</v>
      </c>
      <c r="Y550" s="8">
        <f>7135876+10920852+67224903+341588-17195736</f>
        <v>68427483</v>
      </c>
      <c r="AA550" s="14">
        <f t="shared" si="48"/>
        <v>120114473</v>
      </c>
      <c r="AC550" s="8">
        <f t="shared" si="45"/>
        <v>0</v>
      </c>
    </row>
    <row r="551" spans="1:31">
      <c r="A551" s="13" t="s">
        <v>1024</v>
      </c>
      <c r="B551" s="13"/>
      <c r="C551" s="13" t="s">
        <v>117</v>
      </c>
      <c r="D551" s="13"/>
      <c r="E551" s="32"/>
      <c r="G551" s="8">
        <v>28752</v>
      </c>
      <c r="I551" s="8">
        <f>18052+376770</f>
        <v>394822</v>
      </c>
      <c r="K551" s="3">
        <f t="shared" si="46"/>
        <v>4710550</v>
      </c>
      <c r="M551" s="8">
        <v>5134124</v>
      </c>
      <c r="O551" s="3">
        <f t="shared" si="47"/>
        <v>632617</v>
      </c>
      <c r="Q551" s="8">
        <v>3943774</v>
      </c>
      <c r="S551" s="8">
        <v>4576391</v>
      </c>
      <c r="U551" s="8">
        <f>18052+376770</f>
        <v>394822</v>
      </c>
      <c r="W551" s="8">
        <v>718278</v>
      </c>
      <c r="Y551" s="8">
        <v>-555367</v>
      </c>
      <c r="AA551" s="14">
        <f t="shared" si="48"/>
        <v>557733</v>
      </c>
      <c r="AC551" s="8">
        <f t="shared" si="45"/>
        <v>0</v>
      </c>
    </row>
    <row r="552" spans="1:31">
      <c r="A552" s="13" t="s">
        <v>1065</v>
      </c>
      <c r="B552" s="13"/>
      <c r="C552" s="13" t="s">
        <v>39</v>
      </c>
      <c r="D552" s="13"/>
      <c r="E552" s="32">
        <v>44917</v>
      </c>
      <c r="G552" s="8">
        <v>2184431</v>
      </c>
      <c r="I552" s="8">
        <v>130477</v>
      </c>
      <c r="K552" s="3">
        <f t="shared" si="46"/>
        <v>2850294</v>
      </c>
      <c r="M552" s="8">
        <v>5165202</v>
      </c>
      <c r="O552" s="3">
        <f t="shared" si="47"/>
        <v>945035</v>
      </c>
      <c r="Q552" s="8">
        <v>1504306</v>
      </c>
      <c r="S552" s="8">
        <v>2449341</v>
      </c>
      <c r="U552" s="8">
        <f>181379+6038+113872+130477</f>
        <v>431766</v>
      </c>
      <c r="W552" s="8">
        <v>0</v>
      </c>
      <c r="Y552" s="8">
        <f>2173854+122510-12269</f>
        <v>2284095</v>
      </c>
      <c r="AA552" s="14">
        <f t="shared" si="48"/>
        <v>2715861</v>
      </c>
      <c r="AC552" s="8">
        <f t="shared" si="45"/>
        <v>0</v>
      </c>
      <c r="AE552" s="15" t="s">
        <v>905</v>
      </c>
    </row>
    <row r="553" spans="1:31">
      <c r="A553" s="13" t="s">
        <v>257</v>
      </c>
      <c r="B553" s="13"/>
      <c r="C553" s="13" t="s">
        <v>255</v>
      </c>
      <c r="D553" s="13"/>
      <c r="E553" s="32">
        <v>46201</v>
      </c>
      <c r="G553" s="8">
        <v>1855378</v>
      </c>
      <c r="I553" s="8">
        <v>2500</v>
      </c>
      <c r="K553" s="3">
        <f t="shared" si="46"/>
        <v>2781044</v>
      </c>
      <c r="M553" s="8">
        <v>4638922</v>
      </c>
      <c r="O553" s="3">
        <f t="shared" si="47"/>
        <v>998760</v>
      </c>
      <c r="Q553" s="8">
        <f>223787+1652060</f>
        <v>1875847</v>
      </c>
      <c r="S553" s="8">
        <v>2874607</v>
      </c>
      <c r="U553" s="8">
        <f>1954+43554+7359+280480+121981+2500</f>
        <v>457828</v>
      </c>
      <c r="W553" s="8">
        <v>0</v>
      </c>
      <c r="Y553" s="8">
        <f>1093756+203888+8843</f>
        <v>1306487</v>
      </c>
      <c r="AA553" s="14">
        <f t="shared" si="48"/>
        <v>1764315</v>
      </c>
      <c r="AC553" s="8">
        <f t="shared" si="45"/>
        <v>0</v>
      </c>
    </row>
    <row r="554" spans="1:31">
      <c r="A554" s="13" t="s">
        <v>600</v>
      </c>
      <c r="B554" s="13"/>
      <c r="C554" s="13" t="s">
        <v>57</v>
      </c>
      <c r="D554" s="13"/>
      <c r="E554" s="32">
        <v>91397</v>
      </c>
      <c r="G554" s="8">
        <v>4707209</v>
      </c>
      <c r="I554" s="8">
        <v>223597</v>
      </c>
      <c r="K554" s="3">
        <f t="shared" si="46"/>
        <v>4935893</v>
      </c>
      <c r="M554" s="8">
        <v>9866699</v>
      </c>
      <c r="O554" s="3">
        <f t="shared" si="47"/>
        <v>1118404</v>
      </c>
      <c r="Q554" s="8">
        <v>4578929</v>
      </c>
      <c r="S554" s="8">
        <v>5697333</v>
      </c>
      <c r="U554" s="8">
        <f>163157+299892+181218+36010+6369</f>
        <v>686646</v>
      </c>
      <c r="W554" s="8">
        <v>87294</v>
      </c>
      <c r="Y554" s="8">
        <f>2621498+275915+497172+841</f>
        <v>3395426</v>
      </c>
      <c r="AA554" s="14">
        <f t="shared" si="48"/>
        <v>4169366</v>
      </c>
      <c r="AC554" s="8">
        <f t="shared" si="45"/>
        <v>0</v>
      </c>
    </row>
    <row r="555" spans="1:31">
      <c r="A555" s="13" t="s">
        <v>225</v>
      </c>
      <c r="B555" s="13"/>
      <c r="C555" s="13" t="s">
        <v>13</v>
      </c>
      <c r="D555" s="13"/>
      <c r="E555" s="32">
        <v>45922</v>
      </c>
      <c r="G555" s="8">
        <v>971324</v>
      </c>
      <c r="I555" s="8">
        <v>0</v>
      </c>
      <c r="K555" s="3">
        <f t="shared" si="46"/>
        <v>1678805</v>
      </c>
      <c r="M555" s="8">
        <v>2650129</v>
      </c>
      <c r="O555" s="3">
        <f t="shared" si="47"/>
        <v>1196133</v>
      </c>
      <c r="Q555" s="8">
        <v>1337600</v>
      </c>
      <c r="S555" s="8">
        <v>2533733</v>
      </c>
      <c r="U555" s="8">
        <f>9767+97944+1476</f>
        <v>109187</v>
      </c>
      <c r="W555" s="8">
        <v>1959</v>
      </c>
      <c r="Y555" s="8">
        <f>856+342238+91722-429566</f>
        <v>5250</v>
      </c>
      <c r="AA555" s="14">
        <f t="shared" si="48"/>
        <v>116396</v>
      </c>
      <c r="AC555" s="8">
        <f t="shared" si="45"/>
        <v>0</v>
      </c>
      <c r="AE555" s="10"/>
    </row>
    <row r="556" spans="1:31">
      <c r="A556" s="13" t="s">
        <v>566</v>
      </c>
      <c r="B556" s="13"/>
      <c r="C556" s="13" t="s">
        <v>51</v>
      </c>
      <c r="D556" s="13"/>
      <c r="E556" s="32">
        <v>48876</v>
      </c>
      <c r="G556" s="8">
        <v>7761859</v>
      </c>
      <c r="I556" s="8">
        <v>13426</v>
      </c>
      <c r="K556" s="3">
        <f t="shared" si="46"/>
        <v>12295519</v>
      </c>
      <c r="M556" s="8">
        <v>20070804</v>
      </c>
      <c r="O556" s="3">
        <f t="shared" si="47"/>
        <v>3940466</v>
      </c>
      <c r="Q556" s="8">
        <v>11486462</v>
      </c>
      <c r="S556" s="8">
        <v>15426928</v>
      </c>
      <c r="U556" s="8">
        <f>347056+234641</f>
        <v>581697</v>
      </c>
      <c r="W556" s="8">
        <v>0</v>
      </c>
      <c r="Y556" s="8">
        <f>1458686+1337196+3522633-2256336</f>
        <v>4062179</v>
      </c>
      <c r="AA556" s="14">
        <f t="shared" si="48"/>
        <v>4643876</v>
      </c>
      <c r="AC556" s="8">
        <f t="shared" si="45"/>
        <v>0</v>
      </c>
    </row>
    <row r="557" spans="1:31" hidden="1">
      <c r="A557" s="12" t="s">
        <v>1018</v>
      </c>
      <c r="B557" s="13"/>
      <c r="C557" s="13" t="s">
        <v>21</v>
      </c>
      <c r="D557" s="13"/>
      <c r="E557" s="32">
        <v>46680</v>
      </c>
      <c r="G557" s="8">
        <v>2256114</v>
      </c>
      <c r="I557" s="8">
        <v>34065</v>
      </c>
      <c r="K557" s="3">
        <f t="shared" si="46"/>
        <v>0</v>
      </c>
      <c r="M557" s="8">
        <v>2290179</v>
      </c>
      <c r="O557" s="3">
        <f t="shared" si="47"/>
        <v>0</v>
      </c>
      <c r="U557" s="8">
        <f>39295+13052+21013</f>
        <v>73360</v>
      </c>
      <c r="W557" s="8">
        <v>14662</v>
      </c>
      <c r="Y557" s="8">
        <f>1436129+314151+435588+16289</f>
        <v>2202157</v>
      </c>
      <c r="AA557" s="14">
        <f t="shared" si="48"/>
        <v>2290179</v>
      </c>
      <c r="AC557" s="8">
        <f t="shared" si="45"/>
        <v>0</v>
      </c>
    </row>
    <row r="558" spans="1:31">
      <c r="A558" s="13" t="s">
        <v>725</v>
      </c>
      <c r="B558" s="13"/>
      <c r="C558" s="13" t="s">
        <v>71</v>
      </c>
      <c r="D558" s="13"/>
      <c r="E558" s="32">
        <v>50591</v>
      </c>
      <c r="G558" s="8">
        <v>2874196</v>
      </c>
      <c r="I558" s="8">
        <v>699</v>
      </c>
      <c r="K558" s="3">
        <f t="shared" si="46"/>
        <v>6382007</v>
      </c>
      <c r="M558" s="8">
        <v>9256902</v>
      </c>
      <c r="O558" s="3">
        <f t="shared" si="47"/>
        <v>2200612</v>
      </c>
      <c r="Q558" s="8">
        <f>261898+5222511</f>
        <v>5484409</v>
      </c>
      <c r="S558" s="8">
        <v>7685021</v>
      </c>
      <c r="U558" s="8">
        <f>46181+36344+860051+1031+699</f>
        <v>944306</v>
      </c>
      <c r="W558" s="8">
        <v>0</v>
      </c>
      <c r="Y558" s="8">
        <f>123204+83762+420609</f>
        <v>627575</v>
      </c>
      <c r="AA558" s="14">
        <f t="shared" si="48"/>
        <v>1571881</v>
      </c>
      <c r="AC558" s="8">
        <f t="shared" si="45"/>
        <v>0</v>
      </c>
    </row>
    <row r="559" spans="1:31">
      <c r="A559" s="13" t="s">
        <v>555</v>
      </c>
      <c r="B559" s="13"/>
      <c r="C559" s="13" t="s">
        <v>50</v>
      </c>
      <c r="D559" s="13"/>
      <c r="E559" s="32">
        <v>48694</v>
      </c>
      <c r="G559" s="8">
        <v>20995570</v>
      </c>
      <c r="I559" s="8">
        <v>81076</v>
      </c>
      <c r="K559" s="3">
        <f t="shared" si="46"/>
        <v>14668878</v>
      </c>
      <c r="M559" s="8">
        <v>35745524</v>
      </c>
      <c r="O559" s="3">
        <f t="shared" si="47"/>
        <v>4005959</v>
      </c>
      <c r="Q559" s="8">
        <v>13685516</v>
      </c>
      <c r="S559" s="8">
        <v>17691475</v>
      </c>
      <c r="U559" s="8">
        <f>1399031+33092+457603+81076</f>
        <v>1970802</v>
      </c>
      <c r="W559" s="8">
        <v>0</v>
      </c>
      <c r="Y559" s="8">
        <f>7108640+298725+2096837+6579045</f>
        <v>16083247</v>
      </c>
      <c r="AA559" s="14">
        <f t="shared" si="48"/>
        <v>18054049</v>
      </c>
      <c r="AC559" s="8">
        <f t="shared" si="45"/>
        <v>0</v>
      </c>
    </row>
    <row r="560" spans="1:31">
      <c r="A560" s="13" t="s">
        <v>542</v>
      </c>
      <c r="B560" s="13"/>
      <c r="C560" s="13" t="s">
        <v>48</v>
      </c>
      <c r="D560" s="13"/>
      <c r="E560" s="32">
        <v>44925</v>
      </c>
      <c r="G560" s="8">
        <v>13198692</v>
      </c>
      <c r="I560" s="8">
        <v>0</v>
      </c>
      <c r="K560" s="3">
        <f t="shared" si="46"/>
        <v>19574425</v>
      </c>
      <c r="M560" s="8">
        <v>32773117</v>
      </c>
      <c r="O560" s="3">
        <f t="shared" si="47"/>
        <v>5854817</v>
      </c>
      <c r="Q560" s="8">
        <v>14117783</v>
      </c>
      <c r="S560" s="8">
        <v>19972600</v>
      </c>
      <c r="U560" s="8">
        <f>1887835+148642+25197+1488951</f>
        <v>3550625</v>
      </c>
      <c r="W560" s="8">
        <v>0</v>
      </c>
      <c r="Y560" s="8">
        <f>9320766+279786+453124-803784</f>
        <v>9249892</v>
      </c>
      <c r="AA560" s="14">
        <f t="shared" si="48"/>
        <v>12800517</v>
      </c>
      <c r="AC560" s="8">
        <f t="shared" si="45"/>
        <v>0</v>
      </c>
    </row>
    <row r="561" spans="1:31">
      <c r="A561" s="13" t="s">
        <v>701</v>
      </c>
      <c r="B561" s="13"/>
      <c r="C561" s="13" t="s">
        <v>65</v>
      </c>
      <c r="D561" s="13"/>
      <c r="E561" s="32">
        <v>50302</v>
      </c>
      <c r="G561" s="8">
        <v>3300092</v>
      </c>
      <c r="I561" s="8">
        <v>0</v>
      </c>
      <c r="K561" s="3">
        <f t="shared" si="46"/>
        <v>6020211</v>
      </c>
      <c r="M561" s="8">
        <v>9320303</v>
      </c>
      <c r="O561" s="3">
        <f t="shared" si="47"/>
        <v>1609290</v>
      </c>
      <c r="Q561" s="8">
        <f>674099+4720976</f>
        <v>5395075</v>
      </c>
      <c r="S561" s="8">
        <v>7004365</v>
      </c>
      <c r="U561" s="8">
        <f>55757+49487+19173+655618+418181</f>
        <v>1198216</v>
      </c>
      <c r="W561" s="8">
        <v>0</v>
      </c>
      <c r="Y561" s="8">
        <f>1103874+13833+15</f>
        <v>1117722</v>
      </c>
      <c r="AA561" s="14">
        <f t="shared" si="48"/>
        <v>2315938</v>
      </c>
      <c r="AC561" s="8">
        <f t="shared" si="45"/>
        <v>0</v>
      </c>
    </row>
    <row r="562" spans="1:31">
      <c r="A562" s="13" t="s">
        <v>661</v>
      </c>
      <c r="B562" s="13"/>
      <c r="C562" s="13" t="s">
        <v>62</v>
      </c>
      <c r="D562" s="13"/>
      <c r="E562" s="32">
        <v>49957</v>
      </c>
      <c r="G562" s="8">
        <v>4368475</v>
      </c>
      <c r="I562" s="8">
        <v>0</v>
      </c>
      <c r="K562" s="3">
        <f t="shared" si="46"/>
        <v>5042166</v>
      </c>
      <c r="M562" s="8">
        <v>9410641</v>
      </c>
      <c r="O562" s="3">
        <f t="shared" si="47"/>
        <v>1279045</v>
      </c>
      <c r="Q562" s="8">
        <v>4643707</v>
      </c>
      <c r="S562" s="8">
        <v>5922752</v>
      </c>
      <c r="U562" s="8">
        <f>569519+240780+18752</f>
        <v>829051</v>
      </c>
      <c r="W562" s="8">
        <v>0</v>
      </c>
      <c r="Y562" s="8">
        <f>295915+686352+1963287-286716</f>
        <v>2658838</v>
      </c>
      <c r="AA562" s="14">
        <f t="shared" si="48"/>
        <v>3487889</v>
      </c>
      <c r="AC562" s="8">
        <f t="shared" si="45"/>
        <v>0</v>
      </c>
    </row>
    <row r="563" spans="1:31" hidden="1">
      <c r="A563" s="12" t="s">
        <v>1025</v>
      </c>
      <c r="B563" s="13"/>
      <c r="C563" s="13" t="s">
        <v>57</v>
      </c>
      <c r="D563" s="13"/>
      <c r="E563" s="32">
        <v>49296</v>
      </c>
      <c r="G563" s="8">
        <v>1815214</v>
      </c>
      <c r="K563" s="3">
        <f t="shared" si="46"/>
        <v>245234</v>
      </c>
      <c r="M563" s="8">
        <v>2060448</v>
      </c>
      <c r="O563" s="3">
        <f t="shared" si="47"/>
        <v>0</v>
      </c>
      <c r="U563" s="8">
        <f>31979+245234</f>
        <v>277213</v>
      </c>
      <c r="W563" s="8">
        <v>0</v>
      </c>
      <c r="Y563" s="8">
        <f>1243409+239906+298240+1680</f>
        <v>1783235</v>
      </c>
      <c r="AA563" s="14">
        <f t="shared" si="48"/>
        <v>2060448</v>
      </c>
      <c r="AC563" s="8">
        <f t="shared" si="45"/>
        <v>0</v>
      </c>
    </row>
    <row r="564" spans="1:31">
      <c r="A564" s="13" t="s">
        <v>673</v>
      </c>
      <c r="B564" s="13"/>
      <c r="C564" s="13" t="s">
        <v>63</v>
      </c>
      <c r="D564" s="13"/>
      <c r="E564" s="32">
        <v>50070</v>
      </c>
      <c r="G564" s="8">
        <v>30133543</v>
      </c>
      <c r="I564" s="8">
        <v>0</v>
      </c>
      <c r="K564" s="3">
        <f t="shared" si="46"/>
        <v>28480696</v>
      </c>
      <c r="M564" s="8">
        <v>58614239</v>
      </c>
      <c r="O564" s="3">
        <f t="shared" si="47"/>
        <v>5954897</v>
      </c>
      <c r="Q564" s="8">
        <v>17841413</v>
      </c>
      <c r="S564" s="8">
        <v>23796310</v>
      </c>
      <c r="U564" s="8">
        <v>871414</v>
      </c>
      <c r="W564" s="8">
        <v>0</v>
      </c>
      <c r="Y564" s="8">
        <f>28333950+1332610+1812530+2450853+16572</f>
        <v>33946515</v>
      </c>
      <c r="AA564" s="14">
        <f t="shared" si="48"/>
        <v>34817929</v>
      </c>
      <c r="AC564" s="8">
        <f t="shared" si="45"/>
        <v>0</v>
      </c>
      <c r="AE564" s="10"/>
    </row>
    <row r="565" spans="1:31">
      <c r="A565" s="13" t="s">
        <v>236</v>
      </c>
      <c r="B565" s="13"/>
      <c r="C565" s="13" t="s">
        <v>15</v>
      </c>
      <c r="D565" s="13"/>
      <c r="E565" s="32">
        <v>46011</v>
      </c>
      <c r="G565" s="8">
        <v>1485238</v>
      </c>
      <c r="I565" s="8">
        <v>165244</v>
      </c>
      <c r="K565" s="3">
        <f t="shared" si="46"/>
        <v>5064274</v>
      </c>
      <c r="M565" s="8">
        <v>6714756</v>
      </c>
      <c r="O565" s="3">
        <f t="shared" si="47"/>
        <v>1853766</v>
      </c>
      <c r="Q565" s="8">
        <v>2364089</v>
      </c>
      <c r="S565" s="8">
        <v>4217855</v>
      </c>
      <c r="U565" s="8">
        <f>41449+380170+66057+137089+250000</f>
        <v>874765</v>
      </c>
      <c r="W565" s="8">
        <v>0</v>
      </c>
      <c r="Y565" s="8">
        <f>5503+713056+2565379-1661802</f>
        <v>1622136</v>
      </c>
      <c r="AA565" s="14">
        <f t="shared" si="48"/>
        <v>2496901</v>
      </c>
      <c r="AC565" s="8">
        <f t="shared" si="45"/>
        <v>0</v>
      </c>
    </row>
    <row r="566" spans="1:31">
      <c r="A566" s="13" t="s">
        <v>620</v>
      </c>
      <c r="B566" s="13"/>
      <c r="C566" s="13" t="s">
        <v>58</v>
      </c>
      <c r="D566" s="13"/>
      <c r="E566" s="32">
        <v>49536</v>
      </c>
      <c r="G566" s="8">
        <v>10555460</v>
      </c>
      <c r="I566" s="8">
        <v>221783</v>
      </c>
      <c r="K566" s="3">
        <f t="shared" si="46"/>
        <v>3783309</v>
      </c>
      <c r="M566" s="8">
        <v>14560552</v>
      </c>
      <c r="O566" s="3">
        <f t="shared" si="47"/>
        <v>2079874</v>
      </c>
      <c r="Q566" s="8">
        <v>2811591</v>
      </c>
      <c r="S566" s="8">
        <v>4891465</v>
      </c>
      <c r="U566" s="8">
        <f>1570486+332935+191156+26621+4006</f>
        <v>2125204</v>
      </c>
      <c r="W566" s="8">
        <v>0</v>
      </c>
      <c r="Y566" s="8">
        <f>5834990+831272+441101+436520</f>
        <v>7543883</v>
      </c>
      <c r="AA566" s="14">
        <f t="shared" si="48"/>
        <v>9669087</v>
      </c>
      <c r="AC566" s="8">
        <f t="shared" si="45"/>
        <v>0</v>
      </c>
    </row>
    <row r="567" spans="1:31">
      <c r="A567" s="13" t="s">
        <v>285</v>
      </c>
      <c r="B567" s="13"/>
      <c r="C567" s="13" t="s">
        <v>114</v>
      </c>
      <c r="D567" s="13"/>
      <c r="E567" s="32">
        <v>46458</v>
      </c>
      <c r="G567" s="8">
        <v>5044837</v>
      </c>
      <c r="I567" s="8">
        <v>62146</v>
      </c>
      <c r="K567" s="3">
        <f t="shared" si="46"/>
        <v>2990771</v>
      </c>
      <c r="M567" s="8">
        <v>8097754</v>
      </c>
      <c r="O567" s="3">
        <f t="shared" si="47"/>
        <v>1656598</v>
      </c>
      <c r="Q567" s="8">
        <f>174672+2468679</f>
        <v>2643351</v>
      </c>
      <c r="S567" s="8">
        <v>4299949</v>
      </c>
      <c r="U567" s="8">
        <f>133597+6253+723+82716+62047+62146</f>
        <v>347482</v>
      </c>
      <c r="W567" s="8">
        <f>11000+97257</f>
        <v>108257</v>
      </c>
      <c r="Y567" s="8">
        <f>2646023+52278+643765</f>
        <v>3342066</v>
      </c>
      <c r="AA567" s="14">
        <f t="shared" si="48"/>
        <v>3797805</v>
      </c>
      <c r="AC567" s="8">
        <f t="shared" si="45"/>
        <v>0</v>
      </c>
    </row>
    <row r="568" spans="1:31">
      <c r="A568" s="13" t="s">
        <v>364</v>
      </c>
      <c r="B568" s="13"/>
      <c r="C568" s="13" t="s">
        <v>27</v>
      </c>
      <c r="D568" s="13"/>
      <c r="E568" s="32">
        <v>44933</v>
      </c>
      <c r="G568" s="8">
        <v>49498159</v>
      </c>
      <c r="I568" s="8">
        <v>285453</v>
      </c>
      <c r="K568" s="3">
        <f t="shared" si="46"/>
        <v>62519921</v>
      </c>
      <c r="M568" s="8">
        <v>112303533</v>
      </c>
      <c r="O568" s="3">
        <f t="shared" si="47"/>
        <v>13845081</v>
      </c>
      <c r="Q568" s="8">
        <v>42542568</v>
      </c>
      <c r="S568" s="8">
        <v>56387649</v>
      </c>
      <c r="U568" s="8">
        <f>3556489+108151+26254600+285453</f>
        <v>30204693</v>
      </c>
      <c r="W568" s="8">
        <v>926016</v>
      </c>
      <c r="Y568" s="8">
        <f>22499371+2750616+2080259-2545071</f>
        <v>24785175</v>
      </c>
      <c r="AA568" s="14">
        <f t="shared" si="48"/>
        <v>55915884</v>
      </c>
      <c r="AC568" s="8">
        <f t="shared" si="45"/>
        <v>0</v>
      </c>
    </row>
    <row r="569" spans="1:31" hidden="1">
      <c r="A569" s="12" t="s">
        <v>1026</v>
      </c>
      <c r="B569" s="13"/>
      <c r="C569" s="13" t="s">
        <v>740</v>
      </c>
      <c r="D569" s="13"/>
      <c r="E569" s="32">
        <v>45625</v>
      </c>
      <c r="G569" s="8">
        <v>4973784</v>
      </c>
      <c r="K569" s="3">
        <f t="shared" si="46"/>
        <v>8724</v>
      </c>
      <c r="M569" s="8">
        <v>4982508</v>
      </c>
      <c r="O569" s="3">
        <f t="shared" si="47"/>
        <v>0</v>
      </c>
      <c r="U569" s="8">
        <f>275854+151993</f>
        <v>427847</v>
      </c>
      <c r="W569" s="8">
        <v>0</v>
      </c>
      <c r="Y569" s="8">
        <f>4141992+4928+524947-117206</f>
        <v>4554661</v>
      </c>
      <c r="AA569" s="14">
        <f t="shared" si="48"/>
        <v>4982508</v>
      </c>
      <c r="AC569" s="8">
        <f t="shared" si="45"/>
        <v>0</v>
      </c>
    </row>
    <row r="570" spans="1:31" hidden="1">
      <c r="A570" s="12" t="s">
        <v>1027</v>
      </c>
      <c r="B570" s="13"/>
      <c r="C570" s="13" t="s">
        <v>421</v>
      </c>
      <c r="D570" s="13"/>
      <c r="E570" s="32">
        <v>47522</v>
      </c>
      <c r="G570" s="8">
        <v>4871360</v>
      </c>
      <c r="I570" s="8">
        <v>13431</v>
      </c>
      <c r="K570" s="3">
        <f t="shared" si="46"/>
        <v>397</v>
      </c>
      <c r="M570" s="8">
        <v>4885188</v>
      </c>
      <c r="O570" s="3">
        <f t="shared" si="47"/>
        <v>0</v>
      </c>
      <c r="U570" s="8">
        <f>578168+13431+296976</f>
        <v>888575</v>
      </c>
      <c r="W570" s="8">
        <v>0</v>
      </c>
      <c r="Y570" s="8">
        <f>2669960+196529+1130124</f>
        <v>3996613</v>
      </c>
      <c r="AA570" s="14">
        <f t="shared" si="48"/>
        <v>4885188</v>
      </c>
      <c r="AC570" s="8">
        <f t="shared" si="45"/>
        <v>0</v>
      </c>
    </row>
    <row r="571" spans="1:31">
      <c r="A571" s="13" t="s">
        <v>258</v>
      </c>
      <c r="B571" s="13"/>
      <c r="C571" s="13" t="s">
        <v>255</v>
      </c>
      <c r="D571" s="13"/>
      <c r="E571" s="32">
        <v>44941</v>
      </c>
      <c r="G571" s="8">
        <v>5567519</v>
      </c>
      <c r="I571" s="8">
        <v>478425</v>
      </c>
      <c r="K571" s="3">
        <f t="shared" ref="K571:K634" si="49">M571-G571-I571</f>
        <v>9728998</v>
      </c>
      <c r="M571" s="8">
        <v>15774942</v>
      </c>
      <c r="O571" s="3">
        <f t="shared" ref="O571:O634" si="50">S571-Q571</f>
        <v>4191936</v>
      </c>
      <c r="Q571" s="8">
        <f>868622+5423575</f>
        <v>6292197</v>
      </c>
      <c r="S571" s="8">
        <v>10484133</v>
      </c>
      <c r="U571" s="8">
        <f>618956+12660+6533+3160517+58854+113449+364228+748</f>
        <v>4335945</v>
      </c>
      <c r="W571" s="8">
        <v>253159</v>
      </c>
      <c r="Y571" s="8">
        <f>31981+582286+87438</f>
        <v>701705</v>
      </c>
      <c r="AA571" s="14">
        <f t="shared" ref="AA571:AA634" si="51">U571+W571+Y571</f>
        <v>5290809</v>
      </c>
      <c r="AC571" s="8">
        <f t="shared" ref="AC571:AC634" si="52">+G571+I571+K571-O571-Q571-Y571-W571-U571</f>
        <v>0</v>
      </c>
    </row>
    <row r="572" spans="1:31" hidden="1">
      <c r="A572" s="12" t="s">
        <v>1028</v>
      </c>
      <c r="B572" s="13"/>
      <c r="C572" s="13" t="s">
        <v>59</v>
      </c>
      <c r="D572" s="13"/>
      <c r="E572" s="32">
        <v>49643</v>
      </c>
      <c r="G572" s="8">
        <v>2370062</v>
      </c>
      <c r="I572" s="8">
        <v>36052</v>
      </c>
      <c r="K572" s="3">
        <f t="shared" si="49"/>
        <v>717901</v>
      </c>
      <c r="M572" s="8">
        <v>3124015</v>
      </c>
      <c r="O572" s="3">
        <f t="shared" si="50"/>
        <v>0</v>
      </c>
      <c r="U572" s="8">
        <f>476168+672877+36052</f>
        <v>1185097</v>
      </c>
      <c r="W572" s="8">
        <v>0</v>
      </c>
      <c r="Y572" s="8">
        <f>1014102+610622+313761+433</f>
        <v>1938918</v>
      </c>
      <c r="AA572" s="14">
        <f t="shared" si="51"/>
        <v>3124015</v>
      </c>
      <c r="AC572" s="8">
        <f t="shared" si="52"/>
        <v>0</v>
      </c>
    </row>
    <row r="573" spans="1:31">
      <c r="A573" s="13" t="s">
        <v>556</v>
      </c>
      <c r="B573" s="13"/>
      <c r="C573" s="13" t="s">
        <v>50</v>
      </c>
      <c r="D573" s="13"/>
      <c r="E573" s="32">
        <v>48744</v>
      </c>
      <c r="G573" s="8">
        <v>7617305</v>
      </c>
      <c r="I573" s="8">
        <v>613</v>
      </c>
      <c r="K573" s="3">
        <f t="shared" si="49"/>
        <v>5976424</v>
      </c>
      <c r="M573" s="8">
        <v>13594342</v>
      </c>
      <c r="O573" s="3">
        <f t="shared" si="50"/>
        <v>3018630</v>
      </c>
      <c r="Q573" s="8">
        <f>197256+4279944</f>
        <v>4477200</v>
      </c>
      <c r="S573" s="8">
        <v>7495830</v>
      </c>
      <c r="U573" s="8">
        <f>62065+2950+320056+613+8212</f>
        <v>393896</v>
      </c>
      <c r="W573" s="8">
        <v>0</v>
      </c>
      <c r="Y573" s="8">
        <f>5784797-80181</f>
        <v>5704616</v>
      </c>
      <c r="AA573" s="14">
        <f t="shared" si="51"/>
        <v>6098512</v>
      </c>
      <c r="AC573" s="8">
        <f t="shared" si="52"/>
        <v>0</v>
      </c>
    </row>
    <row r="574" spans="1:31">
      <c r="A574" s="13"/>
      <c r="B574" s="13"/>
      <c r="C574" s="13"/>
      <c r="D574" s="13"/>
      <c r="E574" s="32"/>
      <c r="K574" s="3"/>
      <c r="O574" s="3"/>
      <c r="AA574" s="14"/>
    </row>
    <row r="575" spans="1:31">
      <c r="A575" s="13"/>
      <c r="B575" s="13"/>
      <c r="C575" s="13"/>
      <c r="D575" s="13"/>
      <c r="E575" s="32"/>
      <c r="K575" s="3"/>
      <c r="O575" s="3"/>
      <c r="AA575" s="134" t="s">
        <v>805</v>
      </c>
    </row>
    <row r="576" spans="1:31">
      <c r="A576" s="13"/>
      <c r="B576" s="13"/>
      <c r="C576" s="13"/>
      <c r="D576" s="13"/>
      <c r="E576" s="32"/>
      <c r="K576" s="3"/>
      <c r="O576" s="3"/>
      <c r="AA576" s="14"/>
    </row>
    <row r="577" spans="1:31">
      <c r="A577" s="13" t="s">
        <v>419</v>
      </c>
      <c r="B577" s="13"/>
      <c r="C577" s="13" t="s">
        <v>33</v>
      </c>
      <c r="D577" s="13"/>
      <c r="E577" s="13">
        <v>47464</v>
      </c>
      <c r="G577" s="35">
        <v>6788861</v>
      </c>
      <c r="H577" s="35"/>
      <c r="I577" s="35">
        <v>453204</v>
      </c>
      <c r="J577" s="35"/>
      <c r="K577" s="42">
        <f t="shared" si="49"/>
        <v>9024007</v>
      </c>
      <c r="L577" s="35"/>
      <c r="M577" s="35">
        <v>16266072</v>
      </c>
      <c r="N577" s="35"/>
      <c r="O577" s="42">
        <f t="shared" si="50"/>
        <v>1101722</v>
      </c>
      <c r="P577" s="35"/>
      <c r="Q577" s="35">
        <v>8324400</v>
      </c>
      <c r="R577" s="35"/>
      <c r="S577" s="35">
        <v>9426122</v>
      </c>
      <c r="T577" s="35"/>
      <c r="U577" s="35">
        <f>597000+446730+6474+178980</f>
        <v>1229184</v>
      </c>
      <c r="V577" s="35"/>
      <c r="W577" s="35">
        <v>185228</v>
      </c>
      <c r="X577" s="35"/>
      <c r="Y577" s="35">
        <f>4925381+115108+361380+23669</f>
        <v>5425538</v>
      </c>
      <c r="Z577" s="35"/>
      <c r="AA577" s="64">
        <f t="shared" si="51"/>
        <v>6839950</v>
      </c>
      <c r="AC577" s="8">
        <f t="shared" si="52"/>
        <v>0</v>
      </c>
    </row>
    <row r="578" spans="1:31">
      <c r="A578" s="13" t="s">
        <v>706</v>
      </c>
      <c r="B578" s="13"/>
      <c r="C578" s="13" t="s">
        <v>67</v>
      </c>
      <c r="D578" s="13"/>
      <c r="E578" s="32">
        <v>44966</v>
      </c>
      <c r="G578" s="8">
        <v>7768308</v>
      </c>
      <c r="I578" s="8">
        <v>59390</v>
      </c>
      <c r="K578" s="3">
        <f t="shared" si="49"/>
        <v>9672281</v>
      </c>
      <c r="M578" s="8">
        <v>17499979</v>
      </c>
      <c r="O578" s="3">
        <f t="shared" si="50"/>
        <v>2700340</v>
      </c>
      <c r="Q578" s="8">
        <v>7749686</v>
      </c>
      <c r="S578" s="8">
        <v>10450026</v>
      </c>
      <c r="U578" s="8">
        <f>200000+52993+6397+598913+227254+78094</f>
        <v>1163651</v>
      </c>
      <c r="W578" s="8">
        <v>0</v>
      </c>
      <c r="Y578" s="8">
        <f>4929879+288801+832690+27463-192531</f>
        <v>5886302</v>
      </c>
      <c r="AA578" s="14">
        <f t="shared" si="51"/>
        <v>7049953</v>
      </c>
      <c r="AC578" s="8">
        <f t="shared" si="52"/>
        <v>0</v>
      </c>
    </row>
    <row r="579" spans="1:31">
      <c r="A579" s="13" t="s">
        <v>557</v>
      </c>
      <c r="B579" s="13"/>
      <c r="C579" s="13" t="s">
        <v>50</v>
      </c>
      <c r="D579" s="13"/>
      <c r="E579" s="32">
        <v>44958</v>
      </c>
      <c r="G579" s="8">
        <v>67591968</v>
      </c>
      <c r="I579" s="8">
        <v>0</v>
      </c>
      <c r="K579" s="3">
        <f t="shared" si="49"/>
        <v>23967530</v>
      </c>
      <c r="M579" s="8">
        <v>91559498</v>
      </c>
      <c r="O579" s="3">
        <f t="shared" si="50"/>
        <v>28945961</v>
      </c>
      <c r="Q579" s="8">
        <v>22450815</v>
      </c>
      <c r="S579" s="8">
        <v>51396776</v>
      </c>
      <c r="U579" s="8">
        <f>1115565+1047258</f>
        <v>2162823</v>
      </c>
      <c r="W579" s="8">
        <v>0</v>
      </c>
      <c r="Y579" s="8">
        <f>11996144+382958+553078+25067719</f>
        <v>37999899</v>
      </c>
      <c r="AA579" s="14">
        <f t="shared" si="51"/>
        <v>40162722</v>
      </c>
      <c r="AC579" s="8">
        <f t="shared" si="52"/>
        <v>0</v>
      </c>
    </row>
    <row r="580" spans="1:31" hidden="1">
      <c r="A580" s="12" t="s">
        <v>1031</v>
      </c>
      <c r="B580" s="13"/>
      <c r="C580" s="13" t="s">
        <v>33</v>
      </c>
      <c r="D580" s="13"/>
      <c r="E580" s="32">
        <v>47472</v>
      </c>
      <c r="G580" s="8">
        <v>1863012</v>
      </c>
      <c r="K580" s="3">
        <f t="shared" si="49"/>
        <v>0</v>
      </c>
      <c r="M580" s="8">
        <v>1863012</v>
      </c>
      <c r="O580" s="3">
        <f t="shared" si="50"/>
        <v>0</v>
      </c>
      <c r="U580" s="8">
        <f>87219+21083+74826</f>
        <v>183128</v>
      </c>
      <c r="W580" s="8">
        <v>89788</v>
      </c>
      <c r="Y580" s="8">
        <f>1390991+32143+166962</f>
        <v>1590096</v>
      </c>
      <c r="AA580" s="14">
        <f t="shared" si="51"/>
        <v>1863012</v>
      </c>
      <c r="AC580" s="8">
        <f t="shared" si="52"/>
        <v>0</v>
      </c>
    </row>
    <row r="581" spans="1:31">
      <c r="A581" s="13" t="s">
        <v>342</v>
      </c>
      <c r="B581" s="13"/>
      <c r="C581" s="13" t="s">
        <v>24</v>
      </c>
      <c r="D581" s="13"/>
      <c r="E581" s="32">
        <v>46821</v>
      </c>
      <c r="G581" s="8">
        <v>12874659</v>
      </c>
      <c r="I581" s="8">
        <v>24778</v>
      </c>
      <c r="K581" s="3">
        <f t="shared" si="49"/>
        <v>17189093</v>
      </c>
      <c r="M581" s="8">
        <v>30088530</v>
      </c>
      <c r="O581" s="3">
        <f t="shared" si="50"/>
        <v>2821436</v>
      </c>
      <c r="Q581" s="8">
        <f>13449624+1692499</f>
        <v>15142123</v>
      </c>
      <c r="S581" s="8">
        <v>17963559</v>
      </c>
      <c r="U581" s="8">
        <f>1323703+64754+386398+1505023+24778</f>
        <v>3304656</v>
      </c>
      <c r="W581" s="8">
        <v>0</v>
      </c>
      <c r="Y581" s="8">
        <f>7193652+758768+867895</f>
        <v>8820315</v>
      </c>
      <c r="AA581" s="14">
        <f t="shared" si="51"/>
        <v>12124971</v>
      </c>
      <c r="AC581" s="8">
        <f t="shared" si="52"/>
        <v>0</v>
      </c>
    </row>
    <row r="582" spans="1:31" hidden="1">
      <c r="A582" s="91" t="s">
        <v>1032</v>
      </c>
      <c r="B582" s="12"/>
      <c r="C582" s="12" t="s">
        <v>21</v>
      </c>
      <c r="D582" s="13"/>
      <c r="E582" s="32"/>
      <c r="K582" s="3"/>
      <c r="O582" s="3"/>
      <c r="AA582" s="14"/>
      <c r="AE582" s="8" t="s">
        <v>967</v>
      </c>
    </row>
    <row r="583" spans="1:31">
      <c r="A583" s="13" t="s">
        <v>707</v>
      </c>
      <c r="B583" s="13"/>
      <c r="C583" s="13" t="s">
        <v>68</v>
      </c>
      <c r="D583" s="13"/>
      <c r="E583" s="32">
        <v>50393</v>
      </c>
      <c r="G583" s="8">
        <v>15285672</v>
      </c>
      <c r="I583" s="8">
        <v>1568648</v>
      </c>
      <c r="K583" s="3">
        <f t="shared" si="49"/>
        <v>6981507</v>
      </c>
      <c r="M583" s="8">
        <v>23835827</v>
      </c>
      <c r="O583" s="3">
        <f t="shared" si="50"/>
        <v>3783125</v>
      </c>
      <c r="Q583" s="8">
        <v>5967290</v>
      </c>
      <c r="S583" s="8">
        <v>9750415</v>
      </c>
      <c r="U583" s="8">
        <f>1356473+164944+34381+932799+224265</f>
        <v>2712862</v>
      </c>
      <c r="W583" s="8">
        <v>0</v>
      </c>
      <c r="Y583" s="8">
        <f>8795892+1239738+1711145-374225</f>
        <v>11372550</v>
      </c>
      <c r="AA583" s="14">
        <f t="shared" si="51"/>
        <v>14085412</v>
      </c>
      <c r="AC583" s="8">
        <f t="shared" si="52"/>
        <v>0</v>
      </c>
    </row>
    <row r="584" spans="1:31">
      <c r="A584" s="13" t="s">
        <v>530</v>
      </c>
      <c r="B584" s="13"/>
      <c r="C584" s="13" t="s">
        <v>47</v>
      </c>
      <c r="D584" s="13"/>
      <c r="E584" s="32">
        <v>44974</v>
      </c>
      <c r="G584" s="8">
        <v>32756204</v>
      </c>
      <c r="I584" s="8">
        <v>0</v>
      </c>
      <c r="K584" s="3">
        <f t="shared" si="49"/>
        <v>21531776</v>
      </c>
      <c r="M584" s="8">
        <v>54287980</v>
      </c>
      <c r="O584" s="3">
        <f t="shared" si="50"/>
        <v>16004267</v>
      </c>
      <c r="Q584" s="8">
        <v>19434263</v>
      </c>
      <c r="S584" s="8">
        <v>35438530</v>
      </c>
      <c r="U584" s="8">
        <f>2965090+1722672</f>
        <v>4687762</v>
      </c>
      <c r="W584" s="8">
        <v>0</v>
      </c>
      <c r="Y584" s="8">
        <f>4721587+409575+12060429-3029903</f>
        <v>14161688</v>
      </c>
      <c r="AA584" s="14">
        <f t="shared" si="51"/>
        <v>18849450</v>
      </c>
      <c r="AC584" s="8">
        <f t="shared" si="52"/>
        <v>0</v>
      </c>
    </row>
    <row r="585" spans="1:31">
      <c r="A585" s="13" t="s">
        <v>692</v>
      </c>
      <c r="B585" s="13"/>
      <c r="C585" s="13" t="s">
        <v>64</v>
      </c>
      <c r="D585" s="13"/>
      <c r="E585" s="32">
        <v>44990</v>
      </c>
      <c r="G585" s="8">
        <v>68583902</v>
      </c>
      <c r="I585" s="8">
        <v>323647</v>
      </c>
      <c r="K585" s="3">
        <f t="shared" si="49"/>
        <v>28893561</v>
      </c>
      <c r="M585" s="8">
        <v>97801110</v>
      </c>
      <c r="O585" s="3">
        <f t="shared" si="50"/>
        <v>16984593</v>
      </c>
      <c r="Q585" s="8">
        <f>3967786+12751173</f>
        <v>16718959</v>
      </c>
      <c r="S585" s="8">
        <v>33703552</v>
      </c>
      <c r="U585" s="8">
        <f>1716092+106421+140387+323647</f>
        <v>2286547</v>
      </c>
      <c r="W585" s="8">
        <v>0</v>
      </c>
      <c r="Y585" s="8">
        <f>12313131+3790861+1953770+43753249</f>
        <v>61811011</v>
      </c>
      <c r="AA585" s="14">
        <f t="shared" si="51"/>
        <v>64097558</v>
      </c>
      <c r="AC585" s="8">
        <f t="shared" si="52"/>
        <v>0</v>
      </c>
    </row>
    <row r="586" spans="1:31">
      <c r="A586" s="13" t="s">
        <v>719</v>
      </c>
      <c r="B586" s="13"/>
      <c r="C586" s="13" t="s">
        <v>70</v>
      </c>
      <c r="D586" s="13"/>
      <c r="E586" s="32">
        <v>50500</v>
      </c>
      <c r="G586" s="8">
        <v>3884937</v>
      </c>
      <c r="I586" s="8">
        <v>331753</v>
      </c>
      <c r="K586" s="3">
        <f t="shared" si="49"/>
        <v>6651170</v>
      </c>
      <c r="M586" s="8">
        <v>10867860</v>
      </c>
      <c r="O586" s="3">
        <f t="shared" si="50"/>
        <v>2404503</v>
      </c>
      <c r="Q586" s="8">
        <v>6240752</v>
      </c>
      <c r="S586" s="8">
        <v>8645255</v>
      </c>
      <c r="U586" s="8">
        <f>136393+200886+178183+123627+28351+1592</f>
        <v>669032</v>
      </c>
      <c r="W586" s="8">
        <v>0</v>
      </c>
      <c r="Y586" s="8">
        <f>37915+388687+1126971</f>
        <v>1553573</v>
      </c>
      <c r="AA586" s="14">
        <f t="shared" si="51"/>
        <v>2222605</v>
      </c>
      <c r="AC586" s="8">
        <f t="shared" si="52"/>
        <v>0</v>
      </c>
    </row>
    <row r="587" spans="1:31">
      <c r="A587" s="13" t="s">
        <v>324</v>
      </c>
      <c r="B587" s="13"/>
      <c r="C587" s="13" t="s">
        <v>20</v>
      </c>
      <c r="D587" s="13"/>
      <c r="E587" s="32">
        <v>45005</v>
      </c>
      <c r="G587" s="8">
        <v>5741784</v>
      </c>
      <c r="I587" s="8">
        <v>323166</v>
      </c>
      <c r="K587" s="3">
        <f t="shared" si="49"/>
        <v>31073008</v>
      </c>
      <c r="M587" s="8">
        <v>37137958</v>
      </c>
      <c r="O587" s="3">
        <f t="shared" si="50"/>
        <v>4510470</v>
      </c>
      <c r="Q587" s="8">
        <v>27855029</v>
      </c>
      <c r="S587" s="8">
        <v>32365499</v>
      </c>
      <c r="U587" s="8">
        <f>1457512+2600265+313915+9251</f>
        <v>4380943</v>
      </c>
      <c r="W587" s="8">
        <v>0</v>
      </c>
      <c r="Y587" s="8">
        <f>193604+1969759+440029-2211876</f>
        <v>391516</v>
      </c>
      <c r="AA587" s="14">
        <f t="shared" si="51"/>
        <v>4772459</v>
      </c>
      <c r="AC587" s="8">
        <f t="shared" si="52"/>
        <v>0</v>
      </c>
    </row>
    <row r="588" spans="1:31">
      <c r="A588" s="13" t="s">
        <v>351</v>
      </c>
      <c r="B588" s="13"/>
      <c r="C588" s="13" t="s">
        <v>26</v>
      </c>
      <c r="D588" s="13"/>
      <c r="E588" s="32">
        <v>45013</v>
      </c>
      <c r="G588" s="8">
        <v>6264942</v>
      </c>
      <c r="I588" s="8">
        <f>42756+742111</f>
        <v>784867</v>
      </c>
      <c r="K588" s="3">
        <f t="shared" si="49"/>
        <v>9795064</v>
      </c>
      <c r="M588" s="8">
        <v>16844873</v>
      </c>
      <c r="O588" s="3">
        <f t="shared" si="50"/>
        <v>5739869</v>
      </c>
      <c r="Q588" s="8">
        <v>5968237</v>
      </c>
      <c r="S588" s="8">
        <v>11708106</v>
      </c>
      <c r="U588" s="8">
        <f>34990031+2463175+42756</f>
        <v>37495962</v>
      </c>
      <c r="W588" s="8">
        <v>0</v>
      </c>
      <c r="Y588" s="8">
        <f>463060+647812+915732-34385799</f>
        <v>-32359195</v>
      </c>
      <c r="AA588" s="14">
        <f t="shared" si="51"/>
        <v>5136767</v>
      </c>
      <c r="AC588" s="8">
        <f t="shared" si="52"/>
        <v>0</v>
      </c>
    </row>
    <row r="589" spans="1:31">
      <c r="A589" s="13" t="s">
        <v>503</v>
      </c>
      <c r="B589" s="13"/>
      <c r="C589" s="13" t="s">
        <v>117</v>
      </c>
      <c r="D589" s="13"/>
      <c r="E589" s="32">
        <v>48231</v>
      </c>
      <c r="G589" s="8">
        <v>41977192</v>
      </c>
      <c r="I589" s="8">
        <v>0</v>
      </c>
      <c r="K589" s="3">
        <f t="shared" si="49"/>
        <v>38229228</v>
      </c>
      <c r="M589" s="8">
        <v>80206420</v>
      </c>
      <c r="O589" s="3">
        <f t="shared" si="50"/>
        <v>14452388</v>
      </c>
      <c r="Q589" s="8">
        <f>3394581+31365975</f>
        <v>34760556</v>
      </c>
      <c r="S589" s="8">
        <v>49212944</v>
      </c>
      <c r="U589" s="8">
        <f>2229409+177246+1580494+149201</f>
        <v>4136350</v>
      </c>
      <c r="W589" s="8">
        <v>1800000</v>
      </c>
      <c r="Y589" s="8">
        <f>23997175+346493+713458</f>
        <v>25057126</v>
      </c>
      <c r="AA589" s="14">
        <f t="shared" si="51"/>
        <v>30993476</v>
      </c>
      <c r="AC589" s="8">
        <f t="shared" si="52"/>
        <v>0</v>
      </c>
    </row>
    <row r="590" spans="1:31">
      <c r="A590" s="13" t="s">
        <v>633</v>
      </c>
      <c r="B590" s="13"/>
      <c r="C590" s="13" t="s">
        <v>59</v>
      </c>
      <c r="D590" s="13"/>
      <c r="E590" s="32">
        <v>49650</v>
      </c>
      <c r="G590" s="8">
        <v>6559347</v>
      </c>
      <c r="I590" s="8">
        <v>143293</v>
      </c>
      <c r="K590" s="3">
        <f t="shared" si="49"/>
        <v>15365184</v>
      </c>
      <c r="M590" s="8">
        <v>22067824</v>
      </c>
      <c r="O590" s="3">
        <f t="shared" si="50"/>
        <v>2490958</v>
      </c>
      <c r="Q590" s="8">
        <v>15044111</v>
      </c>
      <c r="S590" s="8">
        <v>17535069</v>
      </c>
      <c r="U590" s="8">
        <f>1599288+121644+121834+21459</f>
        <v>1864225</v>
      </c>
      <c r="W590" s="8">
        <v>213191</v>
      </c>
      <c r="Y590" s="8">
        <f>1017637+246224+467678+723800</f>
        <v>2455339</v>
      </c>
      <c r="AA590" s="14">
        <f t="shared" si="51"/>
        <v>4532755</v>
      </c>
      <c r="AC590" s="8">
        <f t="shared" si="52"/>
        <v>0</v>
      </c>
    </row>
    <row r="591" spans="1:31">
      <c r="A591" s="13" t="s">
        <v>596</v>
      </c>
      <c r="B591" s="13"/>
      <c r="C591" s="13" t="s">
        <v>56</v>
      </c>
      <c r="D591" s="13"/>
      <c r="E591" s="32">
        <v>49247</v>
      </c>
      <c r="G591" s="8">
        <v>4343390</v>
      </c>
      <c r="I591" s="8">
        <v>15528</v>
      </c>
      <c r="K591" s="3">
        <f t="shared" si="49"/>
        <v>4242832</v>
      </c>
      <c r="M591" s="8">
        <v>8601750</v>
      </c>
      <c r="O591" s="3">
        <f t="shared" si="50"/>
        <v>1441588</v>
      </c>
      <c r="Q591" s="8">
        <f>311371+3470167</f>
        <v>3781538</v>
      </c>
      <c r="S591" s="8">
        <v>5223126</v>
      </c>
      <c r="U591" s="8">
        <f>604970+26430+395570+551052+15528</f>
        <v>1593550</v>
      </c>
      <c r="W591" s="8">
        <v>0</v>
      </c>
      <c r="Y591" s="8">
        <f>145701+644772+994601</f>
        <v>1785074</v>
      </c>
      <c r="AA591" s="14">
        <f t="shared" si="51"/>
        <v>3378624</v>
      </c>
      <c r="AC591" s="8">
        <f t="shared" si="52"/>
        <v>0</v>
      </c>
    </row>
    <row r="592" spans="1:31" ht="12" customHeight="1">
      <c r="A592" s="13" t="s">
        <v>374</v>
      </c>
      <c r="B592" s="13"/>
      <c r="C592" s="13" t="s">
        <v>28</v>
      </c>
      <c r="D592" s="13"/>
      <c r="E592" s="32">
        <v>45641</v>
      </c>
      <c r="G592" s="8">
        <v>19727788</v>
      </c>
      <c r="I592" s="8">
        <v>32026</v>
      </c>
      <c r="K592" s="3">
        <f t="shared" si="49"/>
        <v>15490607</v>
      </c>
      <c r="M592" s="8">
        <v>35250421</v>
      </c>
      <c r="O592" s="3">
        <f t="shared" si="50"/>
        <v>5108545</v>
      </c>
      <c r="Q592" s="8">
        <f>1619174+6296734</f>
        <v>7915908</v>
      </c>
      <c r="S592" s="8">
        <v>13024453</v>
      </c>
      <c r="U592" s="8">
        <f>9298807+35024+54507+485870+32026+2575223</f>
        <v>12481457</v>
      </c>
      <c r="W592" s="8">
        <v>0</v>
      </c>
      <c r="Y592" s="8">
        <f>2775037+648479+6320995</f>
        <v>9744511</v>
      </c>
      <c r="AA592" s="14">
        <f t="shared" si="51"/>
        <v>22225968</v>
      </c>
      <c r="AC592" s="8">
        <f t="shared" si="52"/>
        <v>0</v>
      </c>
    </row>
    <row r="593" spans="1:29" ht="12" customHeight="1">
      <c r="A593" s="13" t="s">
        <v>586</v>
      </c>
      <c r="B593" s="13"/>
      <c r="C593" s="13" t="s">
        <v>55</v>
      </c>
      <c r="D593" s="13"/>
      <c r="E593" s="32">
        <v>49148</v>
      </c>
      <c r="G593" s="8">
        <v>4873642</v>
      </c>
      <c r="I593" s="8">
        <v>57076</v>
      </c>
      <c r="K593" s="3">
        <f t="shared" si="49"/>
        <v>4393263</v>
      </c>
      <c r="M593" s="8">
        <v>9323981</v>
      </c>
      <c r="O593" s="3">
        <f t="shared" si="50"/>
        <v>2119290</v>
      </c>
      <c r="Q593" s="8">
        <v>3933069</v>
      </c>
      <c r="S593" s="8">
        <v>6052359</v>
      </c>
      <c r="U593" s="8">
        <f>439561+415553+57076</f>
        <v>912190</v>
      </c>
      <c r="W593" s="8">
        <v>0</v>
      </c>
      <c r="Y593" s="8">
        <f>599505+534428+741211+484288</f>
        <v>2359432</v>
      </c>
      <c r="AA593" s="14">
        <f t="shared" si="51"/>
        <v>3271622</v>
      </c>
      <c r="AC593" s="8">
        <f t="shared" si="52"/>
        <v>0</v>
      </c>
    </row>
    <row r="594" spans="1:29" hidden="1">
      <c r="A594" s="12" t="s">
        <v>1043</v>
      </c>
      <c r="B594" s="13"/>
      <c r="C594" s="13" t="s">
        <v>69</v>
      </c>
      <c r="D594" s="13"/>
      <c r="E594" s="32">
        <v>50468</v>
      </c>
      <c r="K594" s="3">
        <f t="shared" si="49"/>
        <v>0</v>
      </c>
      <c r="O594" s="3">
        <f t="shared" si="50"/>
        <v>0</v>
      </c>
      <c r="W594" s="8">
        <v>0</v>
      </c>
      <c r="AA594" s="14">
        <f t="shared" si="51"/>
        <v>0</v>
      </c>
      <c r="AC594" s="8">
        <f t="shared" si="52"/>
        <v>0</v>
      </c>
    </row>
    <row r="595" spans="1:29" hidden="1">
      <c r="A595" s="12" t="s">
        <v>846</v>
      </c>
      <c r="B595" s="13"/>
      <c r="C595" s="13" t="s">
        <v>576</v>
      </c>
      <c r="D595" s="13"/>
      <c r="E595" s="32">
        <v>49031</v>
      </c>
      <c r="K595" s="3">
        <f t="shared" si="49"/>
        <v>0</v>
      </c>
      <c r="O595" s="3">
        <f t="shared" si="50"/>
        <v>0</v>
      </c>
      <c r="W595" s="8">
        <v>0</v>
      </c>
      <c r="AA595" s="14">
        <f t="shared" si="51"/>
        <v>0</v>
      </c>
      <c r="AC595" s="8">
        <f t="shared" si="52"/>
        <v>0</v>
      </c>
    </row>
    <row r="596" spans="1:29" hidden="1">
      <c r="A596" s="12" t="s">
        <v>891</v>
      </c>
      <c r="B596" s="13"/>
      <c r="C596" s="13" t="s">
        <v>14</v>
      </c>
      <c r="D596" s="13"/>
      <c r="E596" s="32">
        <v>45971</v>
      </c>
      <c r="K596" s="3">
        <f t="shared" si="49"/>
        <v>0</v>
      </c>
      <c r="O596" s="3">
        <f t="shared" si="50"/>
        <v>0</v>
      </c>
      <c r="W596" s="8">
        <v>0</v>
      </c>
      <c r="AA596" s="14">
        <f t="shared" si="51"/>
        <v>0</v>
      </c>
      <c r="AC596" s="8">
        <f t="shared" si="52"/>
        <v>0</v>
      </c>
    </row>
    <row r="597" spans="1:29">
      <c r="A597" s="13" t="s">
        <v>693</v>
      </c>
      <c r="B597" s="13"/>
      <c r="C597" s="13" t="s">
        <v>64</v>
      </c>
      <c r="D597" s="13"/>
      <c r="E597" s="32">
        <v>50252</v>
      </c>
      <c r="G597" s="8">
        <v>2609479</v>
      </c>
      <c r="I597" s="8">
        <v>0</v>
      </c>
      <c r="K597" s="3">
        <f t="shared" si="49"/>
        <v>3685247</v>
      </c>
      <c r="M597" s="8">
        <v>6294726</v>
      </c>
      <c r="O597" s="3">
        <f t="shared" si="50"/>
        <v>1034605</v>
      </c>
      <c r="Q597" s="8">
        <f>372686+3251140</f>
        <v>3623826</v>
      </c>
      <c r="S597" s="8">
        <v>4658431</v>
      </c>
      <c r="U597" s="8">
        <f>107362+10118+32774+5579+471833</f>
        <v>627666</v>
      </c>
      <c r="W597" s="8">
        <v>0</v>
      </c>
      <c r="Y597" s="8">
        <f>849362+117267+42000</f>
        <v>1008629</v>
      </c>
      <c r="AA597" s="14">
        <f t="shared" si="51"/>
        <v>1636295</v>
      </c>
      <c r="AC597" s="8">
        <f t="shared" si="52"/>
        <v>0</v>
      </c>
    </row>
    <row r="598" spans="1:29">
      <c r="A598" s="13" t="s">
        <v>495</v>
      </c>
      <c r="B598" s="13"/>
      <c r="C598" s="13" t="s">
        <v>44</v>
      </c>
      <c r="D598" s="13"/>
      <c r="E598" s="32">
        <v>45658</v>
      </c>
      <c r="G598" s="8">
        <v>5716394</v>
      </c>
      <c r="I598" s="8">
        <v>0</v>
      </c>
      <c r="K598" s="3">
        <f t="shared" si="49"/>
        <v>4536486</v>
      </c>
      <c r="M598" s="8">
        <v>10252880</v>
      </c>
      <c r="O598" s="3">
        <f t="shared" si="50"/>
        <v>1812479</v>
      </c>
      <c r="Q598" s="8">
        <v>3641467</v>
      </c>
      <c r="S598" s="8">
        <v>5453946</v>
      </c>
      <c r="U598" s="8">
        <f>106521+215833</f>
        <v>322354</v>
      </c>
      <c r="W598" s="8">
        <v>0</v>
      </c>
      <c r="Y598" s="8">
        <f>3550788+90115+31+835646</f>
        <v>4476580</v>
      </c>
      <c r="AA598" s="14">
        <f t="shared" si="51"/>
        <v>4798934</v>
      </c>
      <c r="AC598" s="8">
        <f t="shared" si="52"/>
        <v>0</v>
      </c>
    </row>
    <row r="599" spans="1:29">
      <c r="A599" s="13" t="s">
        <v>449</v>
      </c>
      <c r="B599" s="13"/>
      <c r="C599" s="13" t="s">
        <v>38</v>
      </c>
      <c r="D599" s="13"/>
      <c r="E599" s="32">
        <v>45021</v>
      </c>
      <c r="G599" s="8">
        <v>10400548</v>
      </c>
      <c r="I599" s="8">
        <v>74339</v>
      </c>
      <c r="K599" s="3">
        <f t="shared" si="49"/>
        <v>6541762</v>
      </c>
      <c r="M599" s="8">
        <v>17016649</v>
      </c>
      <c r="O599" s="3">
        <f t="shared" si="50"/>
        <v>2824932</v>
      </c>
      <c r="Q599" s="8">
        <v>3144400</v>
      </c>
      <c r="S599" s="8">
        <v>5969332</v>
      </c>
      <c r="U599" s="8">
        <f>182077+56688+17651+187897</f>
        <v>444313</v>
      </c>
      <c r="W599" s="8">
        <v>0</v>
      </c>
      <c r="Y599" s="8">
        <f>5886560+758855+2724865+1074760+157964</f>
        <v>10603004</v>
      </c>
      <c r="AA599" s="14">
        <f t="shared" si="51"/>
        <v>11047317</v>
      </c>
      <c r="AC599" s="8">
        <f t="shared" si="52"/>
        <v>0</v>
      </c>
    </row>
    <row r="600" spans="1:29">
      <c r="A600" s="13" t="s">
        <v>286</v>
      </c>
      <c r="B600" s="13"/>
      <c r="C600" s="13" t="s">
        <v>114</v>
      </c>
      <c r="D600" s="13"/>
      <c r="E600" s="32">
        <v>45039</v>
      </c>
      <c r="G600" s="8">
        <v>2985702</v>
      </c>
      <c r="I600" s="8">
        <v>736160</v>
      </c>
      <c r="K600" s="3">
        <f t="shared" si="49"/>
        <v>2015097</v>
      </c>
      <c r="M600" s="8">
        <v>5736959</v>
      </c>
      <c r="O600" s="3">
        <f t="shared" si="50"/>
        <v>1011784</v>
      </c>
      <c r="Q600" s="8">
        <f>236463+1595287</f>
        <v>1831750</v>
      </c>
      <c r="S600" s="8">
        <v>2843534</v>
      </c>
      <c r="U600" s="8">
        <f>134520+13957+4003+32253+70567+415957+249636+51952</f>
        <v>972845</v>
      </c>
      <c r="W600" s="8">
        <v>0</v>
      </c>
      <c r="Y600" s="8">
        <f>920923+358236+641421</f>
        <v>1920580</v>
      </c>
      <c r="AA600" s="14">
        <f t="shared" si="51"/>
        <v>2893425</v>
      </c>
      <c r="AC600" s="8">
        <f t="shared" si="52"/>
        <v>0</v>
      </c>
    </row>
    <row r="601" spans="1:29">
      <c r="A601" s="13" t="s">
        <v>518</v>
      </c>
      <c r="B601" s="13"/>
      <c r="C601" s="13" t="s">
        <v>45</v>
      </c>
      <c r="D601" s="13"/>
      <c r="E601" s="32">
        <v>48389</v>
      </c>
      <c r="G601" s="8">
        <v>5898116</v>
      </c>
      <c r="I601" s="8">
        <v>0</v>
      </c>
      <c r="K601" s="3">
        <f t="shared" si="49"/>
        <v>5768085</v>
      </c>
      <c r="M601" s="8">
        <v>11666201</v>
      </c>
      <c r="O601" s="3">
        <f t="shared" si="50"/>
        <v>2713340</v>
      </c>
      <c r="Q601" s="8">
        <f>743895+4592945</f>
        <v>5336840</v>
      </c>
      <c r="S601" s="8">
        <v>8050180</v>
      </c>
      <c r="U601" s="8">
        <f>220866+18325+22300+59173</f>
        <v>320664</v>
      </c>
      <c r="W601" s="8">
        <v>0</v>
      </c>
      <c r="Y601" s="8">
        <f>1387791+760878+650491+496197</f>
        <v>3295357</v>
      </c>
      <c r="AA601" s="14">
        <f t="shared" si="51"/>
        <v>3616021</v>
      </c>
      <c r="AC601" s="8">
        <f t="shared" si="52"/>
        <v>0</v>
      </c>
    </row>
    <row r="602" spans="1:29">
      <c r="A602" s="12" t="s">
        <v>1042</v>
      </c>
      <c r="B602" s="12"/>
      <c r="C602" s="12" t="s">
        <v>50</v>
      </c>
      <c r="D602" s="13"/>
      <c r="E602" s="32"/>
      <c r="G602" s="8">
        <v>16285957</v>
      </c>
      <c r="I602" s="8">
        <v>0</v>
      </c>
      <c r="K602" s="3">
        <f t="shared" si="49"/>
        <v>18173719</v>
      </c>
      <c r="M602" s="8">
        <v>34459676</v>
      </c>
      <c r="O602" s="3">
        <f t="shared" si="50"/>
        <v>5110089</v>
      </c>
      <c r="Q602" s="8">
        <f>801532+15436633</f>
        <v>16238165</v>
      </c>
      <c r="S602" s="8">
        <v>21348254</v>
      </c>
      <c r="U602" s="8">
        <f>485501+22158+258402+1109367+103125</f>
        <v>1978553</v>
      </c>
      <c r="W602" s="8">
        <v>0</v>
      </c>
      <c r="Y602" s="8">
        <f>10672509+560740-100380</f>
        <v>11132869</v>
      </c>
      <c r="AA602" s="14">
        <f t="shared" si="51"/>
        <v>13111422</v>
      </c>
      <c r="AC602" s="8">
        <f>+G602+I602+K602-O602-Q602-Y602-W602-U602</f>
        <v>0</v>
      </c>
    </row>
    <row r="603" spans="1:29">
      <c r="A603" s="13" t="s">
        <v>272</v>
      </c>
      <c r="B603" s="13"/>
      <c r="C603" s="13" t="s">
        <v>115</v>
      </c>
      <c r="D603" s="13"/>
      <c r="E603" s="32">
        <v>46359</v>
      </c>
      <c r="G603" s="8">
        <v>37573826</v>
      </c>
      <c r="I603" s="8">
        <v>0</v>
      </c>
      <c r="K603" s="3">
        <f t="shared" si="49"/>
        <v>40503320</v>
      </c>
      <c r="M603" s="8">
        <v>78077146</v>
      </c>
      <c r="O603" s="3">
        <f t="shared" si="50"/>
        <v>12087417</v>
      </c>
      <c r="Q603" s="8">
        <v>36840599</v>
      </c>
      <c r="S603" s="8">
        <v>48928016</v>
      </c>
      <c r="U603" s="8">
        <f>19733358+22736+3190200</f>
        <v>22946294</v>
      </c>
      <c r="W603" s="8">
        <v>0</v>
      </c>
      <c r="Y603" s="8">
        <f>1391652+3306260+7048079-5543155</f>
        <v>6202836</v>
      </c>
      <c r="AA603" s="14">
        <f t="shared" si="51"/>
        <v>29149130</v>
      </c>
      <c r="AC603" s="8">
        <f>+G603+I603+K603-O603-Q603-Y603-W603-U603</f>
        <v>0</v>
      </c>
    </row>
    <row r="604" spans="1:29">
      <c r="A604" s="13" t="s">
        <v>383</v>
      </c>
      <c r="B604" s="13"/>
      <c r="C604" s="13" t="s">
        <v>30</v>
      </c>
      <c r="D604" s="13"/>
      <c r="E604" s="32">
        <v>47225</v>
      </c>
      <c r="G604" s="8">
        <v>6830525</v>
      </c>
      <c r="I604" s="8">
        <v>333558</v>
      </c>
      <c r="K604" s="3">
        <f t="shared" si="49"/>
        <v>20168949</v>
      </c>
      <c r="M604" s="8">
        <v>27333032</v>
      </c>
      <c r="O604" s="3">
        <f t="shared" si="50"/>
        <v>2703661</v>
      </c>
      <c r="Q604" s="8">
        <v>17803126</v>
      </c>
      <c r="S604" s="8">
        <v>20506787</v>
      </c>
      <c r="U604" s="8">
        <f>592938+2238800+333558</f>
        <v>3165296</v>
      </c>
      <c r="W604" s="8">
        <v>0</v>
      </c>
      <c r="Y604" s="8">
        <f>1969909+223732+1394564+72744</f>
        <v>3660949</v>
      </c>
      <c r="AA604" s="14">
        <f t="shared" si="51"/>
        <v>6826245</v>
      </c>
      <c r="AC604" s="8">
        <f t="shared" si="52"/>
        <v>0</v>
      </c>
    </row>
    <row r="605" spans="1:29">
      <c r="A605" s="13" t="s">
        <v>442</v>
      </c>
      <c r="B605" s="13"/>
      <c r="C605" s="13" t="s">
        <v>36</v>
      </c>
      <c r="D605" s="13"/>
      <c r="E605" s="32">
        <v>47696</v>
      </c>
      <c r="G605" s="8">
        <v>11459917</v>
      </c>
      <c r="I605" s="8">
        <v>0</v>
      </c>
      <c r="K605" s="3">
        <f t="shared" si="49"/>
        <v>9827330</v>
      </c>
      <c r="M605" s="8">
        <v>21287247</v>
      </c>
      <c r="O605" s="3">
        <f t="shared" si="50"/>
        <v>2854078</v>
      </c>
      <c r="Q605" s="8">
        <v>8940775</v>
      </c>
      <c r="S605" s="8">
        <v>11794853</v>
      </c>
      <c r="U605" s="8">
        <f>575247+542758+250000</f>
        <v>1368005</v>
      </c>
      <c r="W605" s="8">
        <v>0</v>
      </c>
      <c r="Y605" s="8">
        <f>6325533+239251+876631+682974</f>
        <v>8124389</v>
      </c>
      <c r="AA605" s="14">
        <f t="shared" si="51"/>
        <v>9492394</v>
      </c>
      <c r="AC605" s="8">
        <f t="shared" si="52"/>
        <v>0</v>
      </c>
    </row>
    <row r="606" spans="1:29">
      <c r="A606" s="13" t="s">
        <v>259</v>
      </c>
      <c r="B606" s="13"/>
      <c r="C606" s="13" t="s">
        <v>255</v>
      </c>
      <c r="D606" s="13"/>
      <c r="E606" s="32">
        <v>46219</v>
      </c>
      <c r="G606" s="8">
        <v>2524076</v>
      </c>
      <c r="I606" s="8">
        <v>47429</v>
      </c>
      <c r="K606" s="3">
        <f t="shared" si="49"/>
        <v>4118191</v>
      </c>
      <c r="M606" s="8">
        <v>6689696</v>
      </c>
      <c r="O606" s="3">
        <f t="shared" si="50"/>
        <v>1534804</v>
      </c>
      <c r="Q606" s="8">
        <f>311651+1606570</f>
        <v>1918221</v>
      </c>
      <c r="S606" s="8">
        <v>3453025</v>
      </c>
      <c r="U606" s="8">
        <f>130629+18696+3416+121695+634330+47429</f>
        <v>956195</v>
      </c>
      <c r="W606" s="8">
        <f>312017+175700</f>
        <v>487717</v>
      </c>
      <c r="Y606" s="8">
        <f>1522564+247775+22420</f>
        <v>1792759</v>
      </c>
      <c r="AA606" s="14">
        <f t="shared" si="51"/>
        <v>3236671</v>
      </c>
      <c r="AC606" s="8">
        <f t="shared" si="52"/>
        <v>0</v>
      </c>
    </row>
    <row r="607" spans="1:29">
      <c r="A607" s="13" t="s">
        <v>567</v>
      </c>
      <c r="B607" s="13"/>
      <c r="C607" s="13" t="s">
        <v>51</v>
      </c>
      <c r="D607" s="13"/>
      <c r="E607" s="32">
        <v>48884</v>
      </c>
      <c r="G607" s="8">
        <v>4403243</v>
      </c>
      <c r="I607" s="8">
        <v>0</v>
      </c>
      <c r="K607" s="3">
        <f t="shared" si="49"/>
        <v>12814495</v>
      </c>
      <c r="M607" s="8">
        <v>17217738</v>
      </c>
      <c r="O607" s="3">
        <f t="shared" si="50"/>
        <v>1667072</v>
      </c>
      <c r="Q607" s="8">
        <v>12081585</v>
      </c>
      <c r="S607" s="8">
        <v>13748657</v>
      </c>
      <c r="U607" s="8">
        <f>271669+370724</f>
        <v>642393</v>
      </c>
      <c r="W607" s="8">
        <v>0</v>
      </c>
      <c r="Y607" s="8">
        <f>333254+1017056+2534661-1058283</f>
        <v>2826688</v>
      </c>
      <c r="AA607" s="14">
        <f t="shared" si="51"/>
        <v>3469081</v>
      </c>
      <c r="AC607" s="8">
        <f t="shared" si="52"/>
        <v>0</v>
      </c>
    </row>
    <row r="608" spans="1:29">
      <c r="A608" s="13" t="s">
        <v>240</v>
      </c>
      <c r="B608" s="13"/>
      <c r="C608" s="13" t="s">
        <v>77</v>
      </c>
      <c r="D608" s="13"/>
      <c r="E608" s="32">
        <v>46060</v>
      </c>
      <c r="G608" s="8">
        <v>5720900</v>
      </c>
      <c r="I608" s="8">
        <v>829827</v>
      </c>
      <c r="K608" s="3">
        <f t="shared" si="49"/>
        <v>6523248</v>
      </c>
      <c r="M608" s="8">
        <v>13073975</v>
      </c>
      <c r="O608" s="3">
        <f t="shared" si="50"/>
        <v>3099746</v>
      </c>
      <c r="Q608" s="8">
        <v>5198443</v>
      </c>
      <c r="S608" s="8">
        <v>8298189</v>
      </c>
      <c r="U608" s="8">
        <f>390191+1155171+774357+55470</f>
        <v>2375189</v>
      </c>
      <c r="W608" s="8">
        <v>0</v>
      </c>
      <c r="Y608" s="8">
        <f>973306+1736031+1239028-1547768</f>
        <v>2400597</v>
      </c>
      <c r="AA608" s="14">
        <f t="shared" si="51"/>
        <v>4775786</v>
      </c>
      <c r="AC608" s="8">
        <f t="shared" si="52"/>
        <v>0</v>
      </c>
    </row>
    <row r="609" spans="1:29">
      <c r="A609" s="13" t="s">
        <v>587</v>
      </c>
      <c r="B609" s="13"/>
      <c r="C609" s="13" t="s">
        <v>55</v>
      </c>
      <c r="D609" s="13"/>
      <c r="E609" s="32">
        <v>49155</v>
      </c>
      <c r="G609" s="8">
        <v>6096286</v>
      </c>
      <c r="I609" s="8">
        <v>0</v>
      </c>
      <c r="K609" s="3">
        <f t="shared" si="49"/>
        <v>1876858</v>
      </c>
      <c r="M609" s="8">
        <v>7973144</v>
      </c>
      <c r="O609" s="3">
        <f t="shared" si="50"/>
        <v>939222</v>
      </c>
      <c r="Q609" s="8">
        <v>1552675</v>
      </c>
      <c r="S609" s="8">
        <v>2491897</v>
      </c>
      <c r="U609" s="8">
        <f>321359+71470</f>
        <v>392829</v>
      </c>
      <c r="W609" s="8">
        <v>0</v>
      </c>
      <c r="Y609" s="8">
        <f>3882704+196333+294938+714443</f>
        <v>5088418</v>
      </c>
      <c r="AA609" s="14">
        <f t="shared" si="51"/>
        <v>5481247</v>
      </c>
      <c r="AC609" s="8">
        <f t="shared" si="52"/>
        <v>0</v>
      </c>
    </row>
    <row r="610" spans="1:29">
      <c r="A610" s="13" t="s">
        <v>447</v>
      </c>
      <c r="B610" s="13"/>
      <c r="C610" s="13" t="s">
        <v>37</v>
      </c>
      <c r="D610" s="13"/>
      <c r="E610" s="32">
        <v>47746</v>
      </c>
      <c r="G610" s="8">
        <v>1979193</v>
      </c>
      <c r="I610" s="8">
        <v>4878</v>
      </c>
      <c r="K610" s="3">
        <f t="shared" si="49"/>
        <v>3340388</v>
      </c>
      <c r="M610" s="8">
        <v>5324459</v>
      </c>
      <c r="O610" s="3">
        <f t="shared" si="50"/>
        <v>1404866</v>
      </c>
      <c r="Q610" s="8">
        <f>190685+2213004</f>
        <v>2403689</v>
      </c>
      <c r="S610" s="8">
        <v>3808555</v>
      </c>
      <c r="U610" s="8">
        <f>29554+15045+21218+292246+4878+248461</f>
        <v>611402</v>
      </c>
      <c r="W610" s="8">
        <v>200000</v>
      </c>
      <c r="Y610" s="8">
        <f>440551+17331+246620</f>
        <v>704502</v>
      </c>
      <c r="AA610" s="14">
        <f t="shared" si="51"/>
        <v>1515904</v>
      </c>
      <c r="AC610" s="8">
        <f t="shared" si="52"/>
        <v>0</v>
      </c>
    </row>
    <row r="611" spans="1:29" s="35" customFormat="1">
      <c r="A611" s="34" t="s">
        <v>447</v>
      </c>
      <c r="B611" s="34"/>
      <c r="C611" s="34" t="s">
        <v>45</v>
      </c>
      <c r="D611" s="34"/>
      <c r="E611" s="34">
        <v>48397</v>
      </c>
      <c r="G611" s="8">
        <v>15254280</v>
      </c>
      <c r="H611" s="8"/>
      <c r="I611" s="8">
        <v>217575</v>
      </c>
      <c r="J611" s="8"/>
      <c r="K611" s="3">
        <f t="shared" si="49"/>
        <v>13979345</v>
      </c>
      <c r="L611" s="8"/>
      <c r="M611" s="8">
        <v>29451200</v>
      </c>
      <c r="N611" s="8"/>
      <c r="O611" s="3">
        <f t="shared" si="50"/>
        <v>808992</v>
      </c>
      <c r="P611" s="8"/>
      <c r="Q611" s="8">
        <v>13637447</v>
      </c>
      <c r="R611" s="8"/>
      <c r="S611" s="8">
        <v>14446439</v>
      </c>
      <c r="T611" s="8"/>
      <c r="U611" s="8">
        <f>1438021+130369+19893+67313</f>
        <v>1655596</v>
      </c>
      <c r="V611" s="8"/>
      <c r="W611" s="8">
        <v>0</v>
      </c>
      <c r="X611" s="8"/>
      <c r="Y611" s="8">
        <f>1261279+76816+376450+11634620</f>
        <v>13349165</v>
      </c>
      <c r="Z611" s="8"/>
      <c r="AA611" s="14">
        <f t="shared" si="51"/>
        <v>15004761</v>
      </c>
      <c r="AB611" s="8"/>
      <c r="AC611" s="8">
        <f t="shared" si="52"/>
        <v>0</v>
      </c>
    </row>
    <row r="612" spans="1:29">
      <c r="A612" s="13" t="s">
        <v>365</v>
      </c>
      <c r="B612" s="13"/>
      <c r="C612" s="13" t="s">
        <v>27</v>
      </c>
      <c r="D612" s="13"/>
      <c r="E612" s="32">
        <v>45047</v>
      </c>
      <c r="G612" s="8">
        <v>19083297</v>
      </c>
      <c r="I612" s="8">
        <v>570640</v>
      </c>
      <c r="K612" s="3">
        <f t="shared" si="49"/>
        <v>110561265</v>
      </c>
      <c r="M612" s="8">
        <v>130215202</v>
      </c>
      <c r="O612" s="3">
        <f t="shared" si="50"/>
        <v>21911002</v>
      </c>
      <c r="Q612" s="8">
        <v>80002394</v>
      </c>
      <c r="S612" s="8">
        <v>101913396</v>
      </c>
      <c r="U612" s="8">
        <f>29390951+1327362+536933+416457+57969</f>
        <v>31729672</v>
      </c>
      <c r="W612" s="8">
        <v>0</v>
      </c>
      <c r="Y612" s="8">
        <f>6892804+1511534+901467+2686394-15420065</f>
        <v>-3427866</v>
      </c>
      <c r="AA612" s="14">
        <f t="shared" si="51"/>
        <v>28301806</v>
      </c>
      <c r="AC612" s="8">
        <f t="shared" si="52"/>
        <v>0</v>
      </c>
    </row>
    <row r="613" spans="1:29">
      <c r="A613" s="13" t="s">
        <v>584</v>
      </c>
      <c r="B613" s="13"/>
      <c r="C613" s="13" t="s">
        <v>54</v>
      </c>
      <c r="D613" s="13"/>
      <c r="E613" s="32">
        <v>49106</v>
      </c>
      <c r="G613" s="8">
        <v>2904600</v>
      </c>
      <c r="I613" s="8">
        <v>262557</v>
      </c>
      <c r="K613" s="3">
        <f t="shared" si="49"/>
        <v>4939242</v>
      </c>
      <c r="M613" s="8">
        <v>8106399</v>
      </c>
      <c r="O613" s="3">
        <f t="shared" si="50"/>
        <v>1865519</v>
      </c>
      <c r="Q613" s="8">
        <v>3145242</v>
      </c>
      <c r="S613" s="8">
        <v>5010761</v>
      </c>
      <c r="U613" s="8">
        <f>98988+1473756+135273+127284</f>
        <v>1835301</v>
      </c>
      <c r="W613" s="8">
        <v>0</v>
      </c>
      <c r="Y613" s="8">
        <f>383234+406317+1148230-677444</f>
        <v>1260337</v>
      </c>
      <c r="AA613" s="14">
        <f t="shared" si="51"/>
        <v>3095638</v>
      </c>
      <c r="AC613" s="8">
        <f t="shared" si="52"/>
        <v>0</v>
      </c>
    </row>
    <row r="614" spans="1:29">
      <c r="A614" s="13" t="s">
        <v>325</v>
      </c>
      <c r="B614" s="13"/>
      <c r="C614" s="13" t="s">
        <v>20</v>
      </c>
      <c r="D614" s="13"/>
      <c r="E614" s="32">
        <v>45062</v>
      </c>
      <c r="G614" s="8">
        <v>24787316</v>
      </c>
      <c r="I614" s="8">
        <v>0</v>
      </c>
      <c r="K614" s="3">
        <f t="shared" si="49"/>
        <v>42754254</v>
      </c>
      <c r="M614" s="8">
        <v>67541570</v>
      </c>
      <c r="O614" s="3">
        <f t="shared" si="50"/>
        <v>7461404</v>
      </c>
      <c r="Q614" s="8">
        <f>1895911+34519151</f>
        <v>36415062</v>
      </c>
      <c r="S614" s="8">
        <v>43876466</v>
      </c>
      <c r="U614" s="8">
        <f>2600290+6015026+3664420</f>
        <v>12279736</v>
      </c>
      <c r="W614" s="8">
        <v>0</v>
      </c>
      <c r="Y614" s="8">
        <f>10857245+516687+11436</f>
        <v>11385368</v>
      </c>
      <c r="AA614" s="14">
        <f t="shared" si="51"/>
        <v>23665104</v>
      </c>
      <c r="AC614" s="8">
        <f t="shared" si="52"/>
        <v>0</v>
      </c>
    </row>
    <row r="615" spans="1:29">
      <c r="A615" s="13" t="s">
        <v>634</v>
      </c>
      <c r="B615" s="13"/>
      <c r="C615" s="13" t="s">
        <v>59</v>
      </c>
      <c r="D615" s="13"/>
      <c r="E615" s="32">
        <v>49668</v>
      </c>
      <c r="G615" s="8">
        <v>4319887</v>
      </c>
      <c r="I615" s="8">
        <f>16294+349721+332572</f>
        <v>698587</v>
      </c>
      <c r="K615" s="3">
        <f t="shared" si="49"/>
        <v>3943716</v>
      </c>
      <c r="M615" s="8">
        <v>8962190</v>
      </c>
      <c r="O615" s="3">
        <f t="shared" si="50"/>
        <v>2527482</v>
      </c>
      <c r="Q615" s="8">
        <v>3177113</v>
      </c>
      <c r="S615" s="8">
        <v>5704595</v>
      </c>
      <c r="U615" s="8">
        <f>282382+291940+16294</f>
        <v>590616</v>
      </c>
      <c r="W615" s="8">
        <v>203363</v>
      </c>
      <c r="Y615" s="8">
        <f>692695+290798+496167+983956</f>
        <v>2463616</v>
      </c>
      <c r="AA615" s="14">
        <f t="shared" si="51"/>
        <v>3257595</v>
      </c>
      <c r="AC615" s="8">
        <f t="shared" si="52"/>
        <v>0</v>
      </c>
    </row>
    <row r="616" spans="1:29">
      <c r="A616" s="13" t="s">
        <v>366</v>
      </c>
      <c r="B616" s="13"/>
      <c r="C616" s="13" t="s">
        <v>27</v>
      </c>
      <c r="D616" s="13"/>
      <c r="E616" s="13">
        <v>45070</v>
      </c>
      <c r="G616" s="8">
        <v>48943709</v>
      </c>
      <c r="I616" s="8">
        <v>158536</v>
      </c>
      <c r="K616" s="3">
        <f t="shared" si="49"/>
        <v>59379442</v>
      </c>
      <c r="M616" s="8">
        <v>108481687</v>
      </c>
      <c r="O616" s="3">
        <f t="shared" si="50"/>
        <v>3451525</v>
      </c>
      <c r="Q616" s="8">
        <f>54691608</f>
        <v>54691608</v>
      </c>
      <c r="S616" s="8">
        <v>58143133</v>
      </c>
      <c r="U616" s="8">
        <f>4248797+64458+3628985+158536</f>
        <v>8100776</v>
      </c>
      <c r="W616" s="8">
        <v>339359</v>
      </c>
      <c r="Y616" s="8">
        <f>11583943+453585+1165886+28695005</f>
        <v>41898419</v>
      </c>
      <c r="AA616" s="14">
        <f t="shared" si="51"/>
        <v>50338554</v>
      </c>
      <c r="AC616" s="8">
        <f t="shared" si="52"/>
        <v>0</v>
      </c>
    </row>
    <row r="617" spans="1:29" hidden="1">
      <c r="A617" s="12" t="s">
        <v>844</v>
      </c>
      <c r="B617" s="13"/>
      <c r="C617" s="13" t="s">
        <v>41</v>
      </c>
      <c r="D617" s="13"/>
      <c r="E617" s="32">
        <v>45088</v>
      </c>
      <c r="K617" s="3">
        <f t="shared" si="49"/>
        <v>0</v>
      </c>
      <c r="O617" s="3">
        <f t="shared" si="50"/>
        <v>0</v>
      </c>
      <c r="W617" s="8">
        <v>0</v>
      </c>
      <c r="AA617" s="14">
        <f t="shared" si="51"/>
        <v>0</v>
      </c>
      <c r="AC617" s="8">
        <f t="shared" si="52"/>
        <v>0</v>
      </c>
    </row>
    <row r="618" spans="1:29">
      <c r="A618" s="13" t="s">
        <v>448</v>
      </c>
      <c r="B618" s="13"/>
      <c r="C618" s="13" t="s">
        <v>37</v>
      </c>
      <c r="D618" s="13"/>
      <c r="E618" s="32">
        <v>45096</v>
      </c>
      <c r="G618" s="8">
        <v>4796250</v>
      </c>
      <c r="I618" s="8">
        <v>0</v>
      </c>
      <c r="K618" s="3">
        <f t="shared" si="49"/>
        <v>5715869</v>
      </c>
      <c r="M618" s="8">
        <v>10512119</v>
      </c>
      <c r="O618" s="3">
        <f t="shared" si="50"/>
        <v>6423968</v>
      </c>
      <c r="Q618" s="8">
        <v>463312</v>
      </c>
      <c r="S618" s="8">
        <v>6887280</v>
      </c>
      <c r="U618" s="8">
        <f>1092785+110000+729728+49358+779</f>
        <v>1982650</v>
      </c>
      <c r="W618" s="8">
        <v>0</v>
      </c>
      <c r="Y618" s="8">
        <f>26387+195691+1266400+153711</f>
        <v>1642189</v>
      </c>
      <c r="AA618" s="14">
        <f t="shared" si="51"/>
        <v>3624839</v>
      </c>
      <c r="AC618" s="8">
        <f t="shared" si="52"/>
        <v>0</v>
      </c>
    </row>
    <row r="619" spans="1:29">
      <c r="A619" s="13" t="s">
        <v>273</v>
      </c>
      <c r="B619" s="13"/>
      <c r="C619" s="13" t="s">
        <v>115</v>
      </c>
      <c r="D619" s="13"/>
      <c r="E619" s="13">
        <v>46367</v>
      </c>
      <c r="G619" s="8">
        <v>3844857</v>
      </c>
      <c r="I619" s="8">
        <v>239089</v>
      </c>
      <c r="K619" s="3">
        <f t="shared" si="49"/>
        <v>4118467</v>
      </c>
      <c r="M619" s="8">
        <v>8202413</v>
      </c>
      <c r="O619" s="3">
        <f t="shared" si="50"/>
        <v>1063061</v>
      </c>
      <c r="Q619" s="8">
        <v>3847604</v>
      </c>
      <c r="S619" s="8">
        <v>4910665</v>
      </c>
      <c r="U619" s="8">
        <f>64990+205000+225918+13171</f>
        <v>509079</v>
      </c>
      <c r="W619" s="8">
        <v>0</v>
      </c>
      <c r="Y619" s="8">
        <f>1945226+190613+646830</f>
        <v>2782669</v>
      </c>
      <c r="AA619" s="14">
        <f t="shared" si="51"/>
        <v>3291748</v>
      </c>
      <c r="AC619" s="8">
        <f t="shared" si="52"/>
        <v>0</v>
      </c>
    </row>
    <row r="620" spans="1:29">
      <c r="A620" s="13" t="s">
        <v>464</v>
      </c>
      <c r="B620" s="13"/>
      <c r="C620" s="13" t="s">
        <v>41</v>
      </c>
      <c r="D620" s="13"/>
      <c r="E620" s="32">
        <v>45104</v>
      </c>
      <c r="G620" s="8">
        <v>23146257</v>
      </c>
      <c r="I620" s="8">
        <v>1073233</v>
      </c>
      <c r="K620" s="3">
        <f t="shared" si="49"/>
        <v>53843213</v>
      </c>
      <c r="M620" s="8">
        <v>78062703</v>
      </c>
      <c r="O620" s="3">
        <f t="shared" si="50"/>
        <v>12800992</v>
      </c>
      <c r="Q620" s="8">
        <v>49438471</v>
      </c>
      <c r="S620" s="8">
        <v>62239463</v>
      </c>
      <c r="U620" s="8">
        <f>928088+3749111+1073233</f>
        <v>5750432</v>
      </c>
      <c r="W620" s="8">
        <v>0</v>
      </c>
      <c r="Y620" s="8">
        <f>6783593+1398218+548815+1342182</f>
        <v>10072808</v>
      </c>
      <c r="AA620" s="14">
        <f t="shared" si="51"/>
        <v>15823240</v>
      </c>
      <c r="AC620" s="8">
        <f t="shared" si="52"/>
        <v>0</v>
      </c>
    </row>
    <row r="621" spans="1:29">
      <c r="A621" s="13" t="s">
        <v>277</v>
      </c>
      <c r="B621" s="13"/>
      <c r="C621" s="13" t="s">
        <v>18</v>
      </c>
      <c r="D621" s="13"/>
      <c r="E621" s="32">
        <v>45112</v>
      </c>
      <c r="G621" s="8">
        <v>8333623</v>
      </c>
      <c r="I621" s="8">
        <v>57982</v>
      </c>
      <c r="K621" s="3">
        <f t="shared" si="49"/>
        <v>21335350</v>
      </c>
      <c r="M621" s="8">
        <v>29726955</v>
      </c>
      <c r="O621" s="3">
        <f t="shared" si="50"/>
        <v>3095762</v>
      </c>
      <c r="Q621" s="8">
        <v>18369936</v>
      </c>
      <c r="S621" s="8">
        <v>21465698</v>
      </c>
      <c r="U621" s="8">
        <f>336242+5481+788252+57982+514918</f>
        <v>1702875</v>
      </c>
      <c r="W621" s="8">
        <v>0</v>
      </c>
      <c r="Y621" s="8">
        <f>3456881+957651+2046243+97607</f>
        <v>6558382</v>
      </c>
      <c r="AA621" s="14">
        <f t="shared" si="51"/>
        <v>8261257</v>
      </c>
      <c r="AC621" s="8">
        <f t="shared" si="52"/>
        <v>0</v>
      </c>
    </row>
    <row r="622" spans="1:29">
      <c r="A622" s="13" t="s">
        <v>597</v>
      </c>
      <c r="B622" s="13"/>
      <c r="C622" s="13" t="s">
        <v>56</v>
      </c>
      <c r="D622" s="13"/>
      <c r="E622" s="32">
        <v>45666</v>
      </c>
      <c r="G622" s="8">
        <v>1507605</v>
      </c>
      <c r="I622" s="8">
        <v>2966</v>
      </c>
      <c r="K622" s="3">
        <f t="shared" si="49"/>
        <v>1919683</v>
      </c>
      <c r="M622" s="8">
        <v>3430254</v>
      </c>
      <c r="O622" s="3">
        <f t="shared" si="50"/>
        <v>1174226</v>
      </c>
      <c r="Q622" s="8">
        <f>163292+1335830</f>
        <v>1499122</v>
      </c>
      <c r="S622" s="8">
        <v>2673348</v>
      </c>
      <c r="U622" s="8">
        <f>55076+2966+19511+63585+141441</f>
        <v>282579</v>
      </c>
      <c r="W622" s="8">
        <v>0</v>
      </c>
      <c r="Y622" s="8">
        <f>306401+49950+117976</f>
        <v>474327</v>
      </c>
      <c r="AA622" s="14">
        <f t="shared" si="51"/>
        <v>756906</v>
      </c>
      <c r="AC622" s="8">
        <f t="shared" si="52"/>
        <v>0</v>
      </c>
    </row>
    <row r="623" spans="1:29">
      <c r="A623" s="13" t="s">
        <v>411</v>
      </c>
      <c r="B623" s="13"/>
      <c r="C623" s="13" t="s">
        <v>32</v>
      </c>
      <c r="D623" s="13"/>
      <c r="E623" s="32">
        <v>44081</v>
      </c>
      <c r="G623" s="8">
        <v>3175790</v>
      </c>
      <c r="I623" s="8">
        <v>0</v>
      </c>
      <c r="K623" s="3">
        <f t="shared" si="49"/>
        <v>22496691</v>
      </c>
      <c r="M623" s="8">
        <v>25672481</v>
      </c>
      <c r="O623" s="3">
        <f t="shared" si="50"/>
        <v>5511971</v>
      </c>
      <c r="Q623" s="8">
        <v>13914279</v>
      </c>
      <c r="S623" s="8">
        <v>19426250</v>
      </c>
      <c r="U623" s="8">
        <f>383830+7266000</f>
        <v>7649830</v>
      </c>
      <c r="W623" s="8">
        <v>0</v>
      </c>
      <c r="Y623" s="8">
        <f>250319+629863-2283781</f>
        <v>-1403599</v>
      </c>
      <c r="AA623" s="14">
        <f t="shared" si="51"/>
        <v>6246231</v>
      </c>
      <c r="AC623" s="8">
        <f t="shared" si="52"/>
        <v>0</v>
      </c>
    </row>
    <row r="624" spans="1:29">
      <c r="A624" s="13" t="s">
        <v>720</v>
      </c>
      <c r="B624" s="13"/>
      <c r="C624" s="13" t="s">
        <v>70</v>
      </c>
      <c r="D624" s="13"/>
      <c r="E624" s="32">
        <v>50518</v>
      </c>
      <c r="G624" s="8">
        <v>6413246</v>
      </c>
      <c r="I624" s="8">
        <v>122697</v>
      </c>
      <c r="K624" s="3">
        <f t="shared" si="49"/>
        <v>4994990</v>
      </c>
      <c r="M624" s="8">
        <v>11530933</v>
      </c>
      <c r="O624" s="3">
        <f t="shared" si="50"/>
        <v>603666</v>
      </c>
      <c r="Q624" s="8">
        <v>4894188</v>
      </c>
      <c r="S624" s="8">
        <v>5497854</v>
      </c>
      <c r="U624" s="8">
        <f>78827+400+36049+7409+114888</f>
        <v>237573</v>
      </c>
      <c r="W624" s="8">
        <v>0</v>
      </c>
      <c r="Y624" s="8">
        <f>4694869+137140+359613+603884</f>
        <v>5795506</v>
      </c>
      <c r="AA624" s="14">
        <f t="shared" si="51"/>
        <v>6033079</v>
      </c>
      <c r="AC624" s="8">
        <f t="shared" si="52"/>
        <v>0</v>
      </c>
    </row>
    <row r="625" spans="1:29">
      <c r="A625" s="13" t="s">
        <v>625</v>
      </c>
      <c r="B625" s="13"/>
      <c r="C625" s="13" t="s">
        <v>79</v>
      </c>
      <c r="D625" s="13"/>
      <c r="E625" s="32">
        <v>49577</v>
      </c>
      <c r="G625" s="8">
        <v>1335897</v>
      </c>
      <c r="I625" s="8">
        <v>430</v>
      </c>
      <c r="K625" s="3">
        <f t="shared" si="49"/>
        <v>4006139</v>
      </c>
      <c r="M625" s="8">
        <v>5342466</v>
      </c>
      <c r="O625" s="3">
        <f t="shared" si="50"/>
        <v>1137913</v>
      </c>
      <c r="Q625" s="8">
        <f>161544+3333866</f>
        <v>3495410</v>
      </c>
      <c r="S625" s="8">
        <v>4633323</v>
      </c>
      <c r="U625" s="8">
        <f>100244+24006+13562+292781+2957+430+118703</f>
        <v>552683</v>
      </c>
      <c r="W625" s="8">
        <v>0</v>
      </c>
      <c r="Y625" s="8">
        <f>150755+52913-47208</f>
        <v>156460</v>
      </c>
      <c r="AA625" s="14">
        <f t="shared" si="51"/>
        <v>709143</v>
      </c>
      <c r="AC625" s="8">
        <f t="shared" si="52"/>
        <v>0</v>
      </c>
    </row>
    <row r="626" spans="1:29">
      <c r="A626" s="13" t="s">
        <v>674</v>
      </c>
      <c r="B626" s="13"/>
      <c r="C626" s="13" t="s">
        <v>63</v>
      </c>
      <c r="D626" s="13"/>
      <c r="E626" s="32">
        <v>49973</v>
      </c>
      <c r="G626" s="8">
        <v>10826993</v>
      </c>
      <c r="I626" s="8">
        <v>102230</v>
      </c>
      <c r="K626" s="3">
        <f t="shared" si="49"/>
        <v>17130147</v>
      </c>
      <c r="M626" s="8">
        <v>28059370</v>
      </c>
      <c r="O626" s="3">
        <f t="shared" si="50"/>
        <v>2880008</v>
      </c>
      <c r="Q626" s="8">
        <v>14886228</v>
      </c>
      <c r="S626" s="8">
        <v>17766236</v>
      </c>
      <c r="U626" s="8">
        <f>610771+102230</f>
        <v>713001</v>
      </c>
      <c r="W626" s="8">
        <v>0</v>
      </c>
      <c r="Y626" s="8">
        <f>8907128-21763+651659+43109</f>
        <v>9580133</v>
      </c>
      <c r="AA626" s="14">
        <f t="shared" si="51"/>
        <v>10293134</v>
      </c>
      <c r="AC626" s="8">
        <f t="shared" si="52"/>
        <v>0</v>
      </c>
    </row>
    <row r="627" spans="1:29">
      <c r="A627" s="13" t="s">
        <v>845</v>
      </c>
      <c r="B627" s="13"/>
      <c r="C627" s="13" t="s">
        <v>71</v>
      </c>
      <c r="D627" s="13"/>
      <c r="E627" s="32">
        <v>45138</v>
      </c>
      <c r="G627" s="8">
        <v>22290332</v>
      </c>
      <c r="I627" s="8">
        <v>0</v>
      </c>
      <c r="K627" s="3">
        <f t="shared" si="49"/>
        <v>26740244</v>
      </c>
      <c r="M627" s="8">
        <v>49030576</v>
      </c>
      <c r="O627" s="3">
        <f t="shared" si="50"/>
        <v>4959616</v>
      </c>
      <c r="Q627" s="8">
        <v>24862719</v>
      </c>
      <c r="S627" s="8">
        <v>29822335</v>
      </c>
      <c r="U627" s="8">
        <f>2519859+1500000</f>
        <v>4019859</v>
      </c>
      <c r="W627" s="8">
        <v>0</v>
      </c>
      <c r="Y627" s="8">
        <f>11499682+321467+2855425+511808</f>
        <v>15188382</v>
      </c>
      <c r="AA627" s="14">
        <f t="shared" si="51"/>
        <v>19208241</v>
      </c>
      <c r="AC627" s="8">
        <f t="shared" si="52"/>
        <v>0</v>
      </c>
    </row>
    <row r="628" spans="1:29">
      <c r="A628" s="13" t="s">
        <v>367</v>
      </c>
      <c r="B628" s="13"/>
      <c r="C628" s="13" t="s">
        <v>27</v>
      </c>
      <c r="D628" s="13"/>
      <c r="E628" s="32">
        <v>46524</v>
      </c>
      <c r="G628" s="8">
        <v>66985419</v>
      </c>
      <c r="I628" s="8">
        <v>0</v>
      </c>
      <c r="K628" s="3">
        <f t="shared" si="49"/>
        <v>70164000</v>
      </c>
      <c r="M628" s="8">
        <v>137149419</v>
      </c>
      <c r="O628" s="3">
        <f t="shared" si="50"/>
        <v>18371693</v>
      </c>
      <c r="Q628" s="8">
        <v>47259161</v>
      </c>
      <c r="S628" s="8">
        <v>65630854</v>
      </c>
      <c r="U628" s="8">
        <f>5858978+211804+30068000</f>
        <v>36138782</v>
      </c>
      <c r="W628" s="8">
        <v>0</v>
      </c>
      <c r="Y628" s="8">
        <f>17964189+2807222+2181201+12427171</f>
        <v>35379783</v>
      </c>
      <c r="AA628" s="14">
        <f t="shared" si="51"/>
        <v>71518565</v>
      </c>
      <c r="AC628" s="8">
        <f t="shared" si="52"/>
        <v>0</v>
      </c>
    </row>
    <row r="629" spans="1:29">
      <c r="A629" s="13" t="s">
        <v>295</v>
      </c>
      <c r="B629" s="13"/>
      <c r="C629" s="13" t="s">
        <v>113</v>
      </c>
      <c r="D629" s="13"/>
      <c r="E629" s="32">
        <v>45146</v>
      </c>
      <c r="G629" s="8">
        <v>2244772</v>
      </c>
      <c r="I629" s="8">
        <v>51618</v>
      </c>
      <c r="K629" s="3">
        <f t="shared" si="49"/>
        <v>4202605</v>
      </c>
      <c r="M629" s="8">
        <v>6498995</v>
      </c>
      <c r="O629" s="3">
        <f t="shared" si="50"/>
        <v>1194703</v>
      </c>
      <c r="Q629" s="8">
        <f>412716+2378199</f>
        <v>2790915</v>
      </c>
      <c r="S629" s="8">
        <v>3985618</v>
      </c>
      <c r="U629" s="8">
        <f>107352+96186+7517+20694+1192533+51618</f>
        <v>1475900</v>
      </c>
      <c r="W629" s="8">
        <v>0</v>
      </c>
      <c r="Y629" s="8">
        <f>630065+3723+403689</f>
        <v>1037477</v>
      </c>
      <c r="AA629" s="14">
        <f t="shared" si="51"/>
        <v>2513377</v>
      </c>
      <c r="AC629" s="8">
        <f t="shared" si="52"/>
        <v>0</v>
      </c>
    </row>
    <row r="630" spans="1:29">
      <c r="A630" s="13" t="s">
        <v>412</v>
      </c>
      <c r="B630" s="13"/>
      <c r="C630" s="13" t="s">
        <v>32</v>
      </c>
      <c r="D630" s="13"/>
      <c r="E630" s="32">
        <v>45153</v>
      </c>
      <c r="G630" s="8">
        <v>12540610</v>
      </c>
      <c r="I630" s="8">
        <v>0</v>
      </c>
      <c r="K630" s="3">
        <f t="shared" si="49"/>
        <v>13716980</v>
      </c>
      <c r="M630" s="8">
        <v>26257590</v>
      </c>
      <c r="O630" s="3">
        <f t="shared" si="50"/>
        <v>3337020</v>
      </c>
      <c r="Q630" s="8">
        <v>6552018</v>
      </c>
      <c r="S630" s="8">
        <v>9889038</v>
      </c>
      <c r="U630" s="8">
        <f>253428+7002+3969000</f>
        <v>4229430</v>
      </c>
      <c r="W630" s="8">
        <v>0</v>
      </c>
      <c r="Y630" s="8">
        <f>9496424+100986+1315887+1225825</f>
        <v>12139122</v>
      </c>
      <c r="AA630" s="14">
        <f t="shared" si="51"/>
        <v>16368552</v>
      </c>
      <c r="AC630" s="8">
        <f t="shared" si="52"/>
        <v>0</v>
      </c>
    </row>
    <row r="631" spans="1:29">
      <c r="A631" s="13" t="s">
        <v>388</v>
      </c>
      <c r="B631" s="13"/>
      <c r="C631" s="13" t="s">
        <v>116</v>
      </c>
      <c r="D631" s="13"/>
      <c r="E631" s="32">
        <v>45674</v>
      </c>
      <c r="G631" s="8">
        <v>3744007</v>
      </c>
      <c r="I631" s="8">
        <v>0</v>
      </c>
      <c r="K631" s="3">
        <f t="shared" si="49"/>
        <v>4045346</v>
      </c>
      <c r="M631" s="8">
        <v>7789353</v>
      </c>
      <c r="O631" s="3">
        <f t="shared" si="50"/>
        <v>970063</v>
      </c>
      <c r="Q631" s="8">
        <v>3278940</v>
      </c>
      <c r="S631" s="8">
        <v>4249003</v>
      </c>
      <c r="U631" s="8">
        <f>11965+2574+267441</f>
        <v>281980</v>
      </c>
      <c r="W631" s="8">
        <v>0</v>
      </c>
      <c r="Y631" s="8">
        <f>2945486+73462+145087+94335</f>
        <v>3258370</v>
      </c>
      <c r="AA631" s="14">
        <f t="shared" si="51"/>
        <v>3540350</v>
      </c>
      <c r="AC631" s="8">
        <f t="shared" si="52"/>
        <v>0</v>
      </c>
    </row>
    <row r="632" spans="1:29">
      <c r="A632" s="13" t="s">
        <v>519</v>
      </c>
      <c r="B632" s="13"/>
      <c r="C632" s="13" t="s">
        <v>45</v>
      </c>
      <c r="D632" s="13"/>
      <c r="E632" s="32">
        <v>45161</v>
      </c>
      <c r="G632" s="8">
        <v>42212513</v>
      </c>
      <c r="I632" s="8">
        <v>740962</v>
      </c>
      <c r="K632" s="3">
        <f t="shared" si="49"/>
        <v>34985371</v>
      </c>
      <c r="M632" s="8">
        <v>77938846</v>
      </c>
      <c r="O632" s="3">
        <f t="shared" si="50"/>
        <v>27482777</v>
      </c>
      <c r="Q632" s="8">
        <v>26302425</v>
      </c>
      <c r="S632" s="8">
        <v>53785202</v>
      </c>
      <c r="U632" s="8">
        <f>16118560+620797+120165+5290000</f>
        <v>22149522</v>
      </c>
      <c r="W632" s="8">
        <v>0</v>
      </c>
      <c r="Y632" s="8">
        <f>8611779+11148+14878851-21497656</f>
        <v>2004122</v>
      </c>
      <c r="AA632" s="14">
        <f t="shared" si="51"/>
        <v>24153644</v>
      </c>
      <c r="AC632" s="8">
        <f t="shared" si="52"/>
        <v>0</v>
      </c>
    </row>
    <row r="633" spans="1:29">
      <c r="A633" s="13" t="s">
        <v>621</v>
      </c>
      <c r="B633" s="13"/>
      <c r="C633" s="13" t="s">
        <v>58</v>
      </c>
      <c r="D633" s="13"/>
      <c r="E633" s="32">
        <v>49544</v>
      </c>
      <c r="G633" s="8">
        <v>6604241</v>
      </c>
      <c r="I633" s="8">
        <v>712634</v>
      </c>
      <c r="K633" s="3">
        <f t="shared" si="49"/>
        <v>4673431</v>
      </c>
      <c r="M633" s="8">
        <v>11990306</v>
      </c>
      <c r="O633" s="3">
        <f t="shared" si="50"/>
        <v>1649688</v>
      </c>
      <c r="Q633" s="8">
        <v>4099771</v>
      </c>
      <c r="S633" s="8">
        <v>5749459</v>
      </c>
      <c r="U633" s="8">
        <f>690561+38495+379805+226738+268759+217137</f>
        <v>1821495</v>
      </c>
      <c r="W633" s="8">
        <v>0</v>
      </c>
      <c r="Y633" s="8">
        <f>3255453+436543+356220+371136</f>
        <v>4419352</v>
      </c>
      <c r="AA633" s="14">
        <f t="shared" si="51"/>
        <v>6240847</v>
      </c>
      <c r="AC633" s="8">
        <f t="shared" si="52"/>
        <v>0</v>
      </c>
    </row>
    <row r="634" spans="1:29">
      <c r="A634" s="13" t="s">
        <v>568</v>
      </c>
      <c r="B634" s="13"/>
      <c r="C634" s="13" t="s">
        <v>51</v>
      </c>
      <c r="D634" s="13"/>
      <c r="E634" s="32">
        <v>45179</v>
      </c>
      <c r="G634" s="8">
        <v>28660735</v>
      </c>
      <c r="I634" s="8">
        <v>108529</v>
      </c>
      <c r="K634" s="3">
        <f t="shared" si="49"/>
        <v>45128511</v>
      </c>
      <c r="M634" s="8">
        <v>73897775</v>
      </c>
      <c r="O634" s="3">
        <f t="shared" si="50"/>
        <v>8342817</v>
      </c>
      <c r="Q634" s="8">
        <v>43792767</v>
      </c>
      <c r="S634" s="8">
        <v>52135584</v>
      </c>
      <c r="U634" s="8">
        <f>39354483+7472+53463+47594+451406</f>
        <v>39914418</v>
      </c>
      <c r="W634" s="8">
        <v>0</v>
      </c>
      <c r="Y634" s="8">
        <f>284016+1078415+2073112-21587770</f>
        <v>-18152227</v>
      </c>
      <c r="AA634" s="14">
        <f t="shared" si="51"/>
        <v>21762191</v>
      </c>
      <c r="AC634" s="8">
        <f t="shared" si="52"/>
        <v>0</v>
      </c>
    </row>
    <row r="635" spans="1:29">
      <c r="A635" s="13"/>
      <c r="B635" s="13"/>
      <c r="C635" s="13"/>
      <c r="D635" s="13"/>
    </row>
  </sheetData>
  <printOptions horizontalCentered="1"/>
  <pageMargins left="0.75" right="0.75" top="0.5" bottom="0.75" header="0.3" footer="0.25"/>
  <pageSetup scale="85" firstPageNumber="144" pageOrder="overThenDown" orientation="portrait" useFirstPageNumber="1" horizontalDpi="1200" verticalDpi="1200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BA659"/>
  <sheetViews>
    <sheetView view="pageBreakPreview" zoomScaleNormal="100" zoomScaleSheetLayoutView="100" workbookViewId="0">
      <pane xSplit="6" ySplit="9" topLeftCell="G10" activePane="bottomRight" state="frozen"/>
      <selection sqref="A1:IV65536"/>
      <selection pane="topRight" sqref="A1:IV65536"/>
      <selection pane="bottomLeft" sqref="A1:IV65536"/>
      <selection pane="bottomRight" activeCell="M43" sqref="M43"/>
    </sheetView>
  </sheetViews>
  <sheetFormatPr defaultColWidth="9.140625" defaultRowHeight="12"/>
  <cols>
    <col min="1" max="1" width="32" style="8" customWidth="1"/>
    <col min="2" max="2" width="1.7109375" style="8" customWidth="1"/>
    <col min="3" max="3" width="11.7109375" style="8" customWidth="1"/>
    <col min="4" max="4" width="1.7109375" style="8" hidden="1" customWidth="1"/>
    <col min="5" max="5" width="11.7109375" style="30" hidden="1" customWidth="1"/>
    <col min="6" max="6" width="1.7109375" style="8" customWidth="1"/>
    <col min="7" max="7" width="11.7109375" style="9" customWidth="1"/>
    <col min="8" max="8" width="1.7109375" style="9" customWidth="1"/>
    <col min="9" max="9" width="11.7109375" style="9" customWidth="1"/>
    <col min="10" max="10" width="1.7109375" style="9" customWidth="1"/>
    <col min="11" max="11" width="11.7109375" style="9" customWidth="1"/>
    <col min="12" max="12" width="1.7109375" style="9" customWidth="1"/>
    <col min="13" max="13" width="13.42578125" style="9" customWidth="1"/>
    <col min="14" max="14" width="1.7109375" style="9" customWidth="1"/>
    <col min="15" max="15" width="11.7109375" style="9" customWidth="1"/>
    <col min="16" max="16" width="1.7109375" style="9" customWidth="1"/>
    <col min="17" max="17" width="11.7109375" style="9" customWidth="1"/>
    <col min="18" max="18" width="1.7109375" style="9" customWidth="1"/>
    <col min="19" max="19" width="11.7109375" style="9" customWidth="1"/>
    <col min="20" max="20" width="1.7109375" style="9" customWidth="1"/>
    <col min="21" max="21" width="11.7109375" style="9" customWidth="1"/>
    <col min="22" max="22" width="1.7109375" style="9" customWidth="1"/>
    <col min="23" max="23" width="11.7109375" style="9" customWidth="1"/>
    <col min="24" max="24" width="1.7109375" style="9" customWidth="1"/>
    <col min="25" max="25" width="11.7109375" style="9" customWidth="1"/>
    <col min="26" max="26" width="1.7109375" style="9" customWidth="1"/>
    <col min="27" max="27" width="11.7109375" style="9" customWidth="1"/>
    <col min="28" max="28" width="1.7109375" style="9" hidden="1" customWidth="1"/>
    <col min="29" max="29" width="11.7109375" style="9" hidden="1" customWidth="1"/>
    <col min="30" max="30" width="1.7109375" style="9" customWidth="1"/>
    <col min="31" max="31" width="11.7109375" style="9" customWidth="1"/>
    <col min="32" max="32" width="1.7109375" style="9" hidden="1" customWidth="1"/>
    <col min="33" max="33" width="11.7109375" style="9" hidden="1" customWidth="1"/>
    <col min="34" max="34" width="1.7109375" style="9" hidden="1" customWidth="1"/>
    <col min="35" max="35" width="11.7109375" style="9" hidden="1" customWidth="1"/>
    <col min="36" max="36" width="1.7109375" style="9" customWidth="1"/>
    <col min="37" max="37" width="11.7109375" style="9" customWidth="1"/>
    <col min="38" max="38" width="1.7109375" style="9" hidden="1" customWidth="1"/>
    <col min="39" max="39" width="11.7109375" style="9" hidden="1" customWidth="1"/>
    <col min="40" max="40" width="1.7109375" style="9" hidden="1" customWidth="1"/>
    <col min="41" max="41" width="10" style="9" hidden="1" customWidth="1"/>
    <col min="42" max="42" width="1.7109375" style="9" customWidth="1"/>
    <col min="43" max="43" width="13.5703125" style="9" customWidth="1"/>
    <col min="44" max="46" width="9.140625" style="8"/>
    <col min="47" max="47" width="9.28515625" style="8" bestFit="1" customWidth="1"/>
    <col min="48" max="168" width="9.140625" style="8"/>
    <col min="169" max="169" width="1" style="8" customWidth="1"/>
    <col min="170" max="179" width="9.140625" style="8"/>
    <col min="180" max="180" width="5.85546875" style="8" customWidth="1"/>
    <col min="181" max="189" width="9.140625" style="8"/>
    <col min="190" max="190" width="5.85546875" style="8" customWidth="1"/>
    <col min="191" max="200" width="9.140625" style="8"/>
    <col min="201" max="201" width="0.42578125" style="8" customWidth="1"/>
    <col min="202" max="210" width="9.140625" style="8"/>
    <col min="211" max="211" width="3.28515625" style="8" customWidth="1"/>
    <col min="212" max="220" width="9.140625" style="8"/>
    <col min="221" max="221" width="8" style="8" customWidth="1"/>
    <col min="222" max="226" width="9.140625" style="8"/>
    <col min="227" max="230" width="6.42578125" style="8" customWidth="1"/>
    <col min="231" max="16384" width="9.140625" style="8"/>
  </cols>
  <sheetData>
    <row r="1" spans="1:44" s="15" customFormat="1">
      <c r="A1" s="27" t="s">
        <v>203</v>
      </c>
      <c r="B1" s="27"/>
      <c r="C1" s="27"/>
      <c r="D1" s="27"/>
      <c r="E1" s="54"/>
      <c r="F1" s="23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</row>
    <row r="2" spans="1:44" s="15" customFormat="1">
      <c r="A2" s="27" t="s">
        <v>895</v>
      </c>
      <c r="B2" s="27"/>
      <c r="C2" s="27"/>
      <c r="D2" s="27"/>
      <c r="E2" s="54"/>
      <c r="F2" s="23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</row>
    <row r="3" spans="1:44" s="15" customFormat="1">
      <c r="A3" s="27"/>
      <c r="B3" s="27"/>
      <c r="C3" s="27"/>
      <c r="D3" s="27"/>
      <c r="E3" s="54"/>
      <c r="F3" s="23"/>
      <c r="G3" s="17"/>
      <c r="H3" s="17"/>
      <c r="I3" s="17"/>
      <c r="J3" s="17"/>
      <c r="K3" s="17"/>
      <c r="L3" s="17"/>
      <c r="M3" s="40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</row>
    <row r="4" spans="1:44">
      <c r="A4" s="27" t="s">
        <v>175</v>
      </c>
      <c r="B4" s="27"/>
      <c r="C4" s="27"/>
      <c r="D4" s="27"/>
      <c r="E4" s="54"/>
      <c r="F4" s="24"/>
      <c r="G4" s="3"/>
      <c r="H4" s="3"/>
      <c r="I4" s="3"/>
      <c r="J4" s="3"/>
      <c r="K4" s="3"/>
      <c r="L4" s="3"/>
      <c r="M4" s="4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Q4" s="16" t="s">
        <v>3</v>
      </c>
    </row>
    <row r="5" spans="1:44">
      <c r="A5" s="15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16" t="s">
        <v>807</v>
      </c>
    </row>
    <row r="6" spans="1:44" s="16" customFormat="1">
      <c r="A6" s="15"/>
      <c r="B6" s="5"/>
      <c r="C6" s="5"/>
      <c r="D6" s="5"/>
      <c r="E6" s="57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142" t="s">
        <v>194</v>
      </c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24"/>
      <c r="AM6" s="5"/>
      <c r="AO6" s="16" t="s">
        <v>3</v>
      </c>
      <c r="AQ6" s="16" t="s">
        <v>850</v>
      </c>
    </row>
    <row r="7" spans="1:44" s="16" customFormat="1">
      <c r="A7" s="132" t="s">
        <v>778</v>
      </c>
      <c r="B7" s="5"/>
      <c r="C7" s="5"/>
      <c r="D7" s="5"/>
      <c r="E7" s="5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 t="s">
        <v>178</v>
      </c>
      <c r="R7" s="5"/>
      <c r="S7" s="5" t="s">
        <v>180</v>
      </c>
      <c r="T7" s="5"/>
      <c r="U7" s="5" t="s">
        <v>111</v>
      </c>
      <c r="V7" s="5"/>
      <c r="W7" s="5"/>
      <c r="X7" s="5"/>
      <c r="Y7" s="5"/>
      <c r="Z7" s="5"/>
      <c r="AI7" s="16" t="s">
        <v>785</v>
      </c>
      <c r="AK7" s="16" t="s">
        <v>132</v>
      </c>
      <c r="AO7" s="16" t="s">
        <v>82</v>
      </c>
      <c r="AQ7" s="16" t="s">
        <v>811</v>
      </c>
    </row>
    <row r="8" spans="1:44" s="16" customFormat="1">
      <c r="A8" s="132" t="s">
        <v>813</v>
      </c>
      <c r="B8" s="5"/>
      <c r="C8" s="5"/>
      <c r="D8" s="5"/>
      <c r="E8" s="57"/>
      <c r="F8" s="5"/>
      <c r="G8" s="5" t="s">
        <v>107</v>
      </c>
      <c r="H8" s="5"/>
      <c r="I8" s="5" t="s">
        <v>758</v>
      </c>
      <c r="J8" s="5"/>
      <c r="K8" s="5" t="s">
        <v>1</v>
      </c>
      <c r="L8" s="5"/>
      <c r="M8" s="5" t="s">
        <v>802</v>
      </c>
      <c r="N8" s="5"/>
      <c r="O8" s="5" t="s">
        <v>176</v>
      </c>
      <c r="P8" s="5"/>
      <c r="Q8" s="5" t="s">
        <v>179</v>
      </c>
      <c r="R8" s="5"/>
      <c r="S8" s="5" t="s">
        <v>181</v>
      </c>
      <c r="T8" s="5"/>
      <c r="U8" s="5" t="s">
        <v>183</v>
      </c>
      <c r="V8" s="5"/>
      <c r="W8" s="5" t="s">
        <v>132</v>
      </c>
      <c r="X8" s="5"/>
      <c r="Y8" s="5" t="s">
        <v>3</v>
      </c>
      <c r="Z8" s="5"/>
      <c r="AA8" s="5"/>
      <c r="AE8" s="16" t="s">
        <v>810</v>
      </c>
      <c r="AG8" s="16" t="s">
        <v>198</v>
      </c>
      <c r="AI8" s="16" t="s">
        <v>770</v>
      </c>
      <c r="AK8" s="16" t="s">
        <v>199</v>
      </c>
      <c r="AM8" s="16" t="s">
        <v>786</v>
      </c>
      <c r="AO8" s="16" t="s">
        <v>199</v>
      </c>
      <c r="AQ8" s="16" t="s">
        <v>786</v>
      </c>
    </row>
    <row r="9" spans="1:44" s="16" customFormat="1">
      <c r="A9" s="124" t="s">
        <v>206</v>
      </c>
      <c r="C9" s="124" t="s">
        <v>4</v>
      </c>
      <c r="E9" s="58" t="s">
        <v>205</v>
      </c>
      <c r="F9" s="5"/>
      <c r="G9" s="124" t="s">
        <v>827</v>
      </c>
      <c r="H9" s="5"/>
      <c r="I9" s="124" t="s">
        <v>5</v>
      </c>
      <c r="J9" s="124"/>
      <c r="K9" s="124" t="s">
        <v>7</v>
      </c>
      <c r="L9" s="5"/>
      <c r="M9" s="124" t="s">
        <v>92</v>
      </c>
      <c r="N9" s="5"/>
      <c r="O9" s="124" t="s">
        <v>177</v>
      </c>
      <c r="P9" s="5"/>
      <c r="Q9" s="124" t="s">
        <v>166</v>
      </c>
      <c r="R9" s="5"/>
      <c r="S9" s="124" t="s">
        <v>182</v>
      </c>
      <c r="T9" s="5"/>
      <c r="U9" s="124" t="s">
        <v>184</v>
      </c>
      <c r="V9" s="5"/>
      <c r="W9" s="124" t="s">
        <v>8</v>
      </c>
      <c r="X9" s="5"/>
      <c r="Y9" s="124" t="s">
        <v>9</v>
      </c>
      <c r="Z9" s="5"/>
      <c r="AA9" s="124" t="s">
        <v>195</v>
      </c>
      <c r="AC9" s="124" t="s">
        <v>196</v>
      </c>
      <c r="AE9" s="124" t="s">
        <v>812</v>
      </c>
      <c r="AG9" s="124" t="s">
        <v>197</v>
      </c>
      <c r="AH9" s="5"/>
      <c r="AI9" s="16" t="s">
        <v>97</v>
      </c>
      <c r="AK9" s="124" t="s">
        <v>200</v>
      </c>
      <c r="AM9" s="124" t="s">
        <v>782</v>
      </c>
      <c r="AO9" s="124" t="s">
        <v>200</v>
      </c>
      <c r="AQ9" s="124" t="s">
        <v>782</v>
      </c>
    </row>
    <row r="10" spans="1:44">
      <c r="A10" s="13"/>
      <c r="B10" s="13"/>
      <c r="C10" s="13"/>
      <c r="D10" s="13"/>
      <c r="E10" s="32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62"/>
      <c r="X10" s="62"/>
      <c r="Y10" s="29"/>
      <c r="Z10" s="29"/>
      <c r="AA10" s="29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</row>
    <row r="11" spans="1:44" s="35" customFormat="1">
      <c r="A11" s="34" t="s">
        <v>207</v>
      </c>
      <c r="B11" s="34"/>
      <c r="C11" s="34" t="s">
        <v>208</v>
      </c>
      <c r="D11" s="34"/>
      <c r="E11" s="34">
        <v>61903</v>
      </c>
      <c r="F11" s="128"/>
      <c r="G11" s="43">
        <v>8905920</v>
      </c>
      <c r="H11" s="43"/>
      <c r="I11" s="43">
        <v>0</v>
      </c>
      <c r="J11" s="43"/>
      <c r="K11" s="43">
        <v>53645082</v>
      </c>
      <c r="L11" s="43"/>
      <c r="M11" s="43">
        <v>1268777</v>
      </c>
      <c r="N11" s="43"/>
      <c r="O11" s="43">
        <v>1536740</v>
      </c>
      <c r="P11" s="43"/>
      <c r="Q11" s="43">
        <v>299280</v>
      </c>
      <c r="R11" s="43"/>
      <c r="S11" s="43">
        <v>0</v>
      </c>
      <c r="T11" s="43"/>
      <c r="U11" s="43">
        <v>0</v>
      </c>
      <c r="V11" s="43"/>
      <c r="W11" s="43">
        <f>748950+262799</f>
        <v>1011749</v>
      </c>
      <c r="X11" s="43"/>
      <c r="Y11" s="43">
        <f>SUM(G11:W11)</f>
        <v>66667548</v>
      </c>
      <c r="Z11" s="43"/>
      <c r="AA11" s="43">
        <v>238304</v>
      </c>
      <c r="AB11" s="43"/>
      <c r="AC11" s="43"/>
      <c r="AD11" s="43"/>
      <c r="AE11" s="43">
        <v>0</v>
      </c>
      <c r="AF11" s="43"/>
      <c r="AG11" s="43"/>
      <c r="AH11" s="43"/>
      <c r="AI11" s="43"/>
      <c r="AJ11" s="43"/>
      <c r="AK11" s="43">
        <v>20756</v>
      </c>
      <c r="AL11" s="43"/>
      <c r="AM11" s="43">
        <v>0</v>
      </c>
      <c r="AN11" s="43"/>
      <c r="AO11" s="129">
        <f t="shared" ref="AO11:AO16" si="0">AK11+AE11+AA11</f>
        <v>259060</v>
      </c>
      <c r="AP11" s="43"/>
      <c r="AQ11" s="129">
        <f t="shared" ref="AQ11:AQ17" si="1">Y11+AO11+AA11</f>
        <v>67164912</v>
      </c>
    </row>
    <row r="12" spans="1:44">
      <c r="A12" s="13" t="s">
        <v>616</v>
      </c>
      <c r="B12" s="13"/>
      <c r="C12" s="13" t="s">
        <v>58</v>
      </c>
      <c r="D12" s="13"/>
      <c r="E12" s="32">
        <v>49494</v>
      </c>
      <c r="F12" s="26"/>
      <c r="G12" s="26">
        <v>3068812</v>
      </c>
      <c r="H12" s="26"/>
      <c r="I12" s="26">
        <v>0</v>
      </c>
      <c r="J12" s="26"/>
      <c r="K12" s="26">
        <v>8631828</v>
      </c>
      <c r="L12" s="26"/>
      <c r="M12" s="26">
        <v>62100</v>
      </c>
      <c r="N12" s="26"/>
      <c r="O12" s="26">
        <v>408902</v>
      </c>
      <c r="P12" s="26"/>
      <c r="Q12" s="26">
        <v>187719</v>
      </c>
      <c r="R12" s="26"/>
      <c r="S12" s="26">
        <v>0</v>
      </c>
      <c r="T12" s="26"/>
      <c r="U12" s="26">
        <v>28702</v>
      </c>
      <c r="V12" s="26"/>
      <c r="W12" s="26">
        <f>264712+67138</f>
        <v>331850</v>
      </c>
      <c r="X12" s="26"/>
      <c r="Y12" s="51">
        <f>SUM(G12:W12)</f>
        <v>12719913</v>
      </c>
      <c r="Z12" s="26"/>
      <c r="AA12" s="26">
        <v>45000</v>
      </c>
      <c r="AB12" s="26"/>
      <c r="AC12" s="26"/>
      <c r="AD12" s="26"/>
      <c r="AE12" s="26">
        <v>0</v>
      </c>
      <c r="AF12" s="26"/>
      <c r="AG12" s="26"/>
      <c r="AH12" s="26"/>
      <c r="AI12" s="26"/>
      <c r="AJ12" s="26"/>
      <c r="AK12" s="26">
        <v>0</v>
      </c>
      <c r="AL12" s="26"/>
      <c r="AM12" s="26">
        <v>0</v>
      </c>
      <c r="AN12" s="26"/>
      <c r="AO12" s="51">
        <f t="shared" si="0"/>
        <v>45000</v>
      </c>
      <c r="AP12" s="26"/>
      <c r="AQ12" s="51">
        <f t="shared" si="1"/>
        <v>12809913</v>
      </c>
    </row>
    <row r="13" spans="1:44">
      <c r="A13" s="13" t="s">
        <v>662</v>
      </c>
      <c r="B13" s="13"/>
      <c r="C13" s="13" t="s">
        <v>63</v>
      </c>
      <c r="D13" s="13"/>
      <c r="E13" s="32">
        <v>43489</v>
      </c>
      <c r="F13" s="26"/>
      <c r="G13" s="26">
        <v>110879289</v>
      </c>
      <c r="H13" s="26"/>
      <c r="I13" s="26">
        <v>0</v>
      </c>
      <c r="J13" s="26"/>
      <c r="K13" s="26">
        <v>267701186</v>
      </c>
      <c r="L13" s="26"/>
      <c r="M13" s="26">
        <v>4458554</v>
      </c>
      <c r="N13" s="26"/>
      <c r="O13" s="26">
        <v>4825894</v>
      </c>
      <c r="P13" s="26"/>
      <c r="Q13" s="26">
        <v>1145534</v>
      </c>
      <c r="R13" s="26"/>
      <c r="S13" s="26">
        <v>0</v>
      </c>
      <c r="T13" s="26"/>
      <c r="U13" s="26">
        <v>316917</v>
      </c>
      <c r="V13" s="26"/>
      <c r="W13" s="26">
        <f>4073483+4079146+1025962+1072847+3451042+161730</f>
        <v>13864210</v>
      </c>
      <c r="X13" s="26"/>
      <c r="Y13" s="51">
        <f t="shared" ref="Y13:Y31" si="2">SUM(G13:W13)</f>
        <v>403191584</v>
      </c>
      <c r="Z13" s="26"/>
      <c r="AA13" s="26">
        <v>1575092</v>
      </c>
      <c r="AB13" s="26"/>
      <c r="AC13" s="26"/>
      <c r="AD13" s="26"/>
      <c r="AE13" s="26">
        <v>0</v>
      </c>
      <c r="AF13" s="26"/>
      <c r="AG13" s="26"/>
      <c r="AH13" s="26"/>
      <c r="AI13" s="26"/>
      <c r="AJ13" s="26"/>
      <c r="AK13" s="26">
        <v>0</v>
      </c>
      <c r="AL13" s="26"/>
      <c r="AM13" s="26">
        <v>0</v>
      </c>
      <c r="AN13" s="26"/>
      <c r="AO13" s="51">
        <f t="shared" si="0"/>
        <v>1575092</v>
      </c>
      <c r="AP13" s="26"/>
      <c r="AQ13" s="51">
        <f t="shared" si="1"/>
        <v>406341768</v>
      </c>
    </row>
    <row r="14" spans="1:44" hidden="1">
      <c r="A14" s="13" t="s">
        <v>837</v>
      </c>
      <c r="B14" s="13"/>
      <c r="C14" s="13" t="s">
        <v>13</v>
      </c>
      <c r="D14" s="13"/>
      <c r="E14" s="32">
        <v>45906</v>
      </c>
      <c r="F14" s="26"/>
      <c r="G14" s="26">
        <v>4339455</v>
      </c>
      <c r="H14" s="26"/>
      <c r="I14" s="26"/>
      <c r="J14" s="26"/>
      <c r="K14" s="26">
        <v>12648834</v>
      </c>
      <c r="L14" s="26"/>
      <c r="M14" s="26">
        <v>89315</v>
      </c>
      <c r="N14" s="26"/>
      <c r="O14" s="26">
        <v>791098</v>
      </c>
      <c r="P14" s="26"/>
      <c r="Q14" s="26">
        <v>54905</v>
      </c>
      <c r="R14" s="26"/>
      <c r="S14" s="26"/>
      <c r="T14" s="26"/>
      <c r="U14" s="26">
        <v>14545</v>
      </c>
      <c r="V14" s="26"/>
      <c r="W14" s="26">
        <f>96543+235027</f>
        <v>331570</v>
      </c>
      <c r="X14" s="26"/>
      <c r="Y14" s="51">
        <f t="shared" si="2"/>
        <v>18269722</v>
      </c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>
        <v>0</v>
      </c>
      <c r="AN14" s="26"/>
      <c r="AO14" s="51">
        <f t="shared" si="0"/>
        <v>0</v>
      </c>
      <c r="AP14" s="26"/>
      <c r="AQ14" s="51">
        <f t="shared" si="1"/>
        <v>18269722</v>
      </c>
      <c r="AR14" s="8" t="s">
        <v>956</v>
      </c>
    </row>
    <row r="15" spans="1:44">
      <c r="A15" s="13" t="s">
        <v>648</v>
      </c>
      <c r="B15" s="13"/>
      <c r="C15" s="13" t="s">
        <v>62</v>
      </c>
      <c r="D15" s="13"/>
      <c r="E15" s="32">
        <v>43497</v>
      </c>
      <c r="F15" s="26"/>
      <c r="G15" s="26">
        <v>7714613</v>
      </c>
      <c r="H15" s="26"/>
      <c r="I15" s="26">
        <v>0</v>
      </c>
      <c r="J15" s="26"/>
      <c r="K15" s="26">
        <v>24117749</v>
      </c>
      <c r="L15" s="26"/>
      <c r="M15" s="26">
        <v>147871</v>
      </c>
      <c r="N15" s="26"/>
      <c r="O15" s="26">
        <v>819657</v>
      </c>
      <c r="P15" s="26"/>
      <c r="Q15" s="26">
        <v>536911</v>
      </c>
      <c r="R15" s="26"/>
      <c r="S15" s="26">
        <v>0</v>
      </c>
      <c r="T15" s="26"/>
      <c r="U15" s="26">
        <v>187141</v>
      </c>
      <c r="V15" s="26"/>
      <c r="W15" s="26">
        <f>16115+340055+23220</f>
        <v>379390</v>
      </c>
      <c r="X15" s="26"/>
      <c r="Y15" s="51">
        <f t="shared" si="2"/>
        <v>33903332</v>
      </c>
      <c r="Z15" s="26"/>
      <c r="AA15" s="26">
        <v>0</v>
      </c>
      <c r="AB15" s="26"/>
      <c r="AC15" s="26"/>
      <c r="AD15" s="26"/>
      <c r="AE15" s="26">
        <v>0</v>
      </c>
      <c r="AF15" s="26"/>
      <c r="AG15" s="26"/>
      <c r="AH15" s="26"/>
      <c r="AI15" s="26"/>
      <c r="AJ15" s="26"/>
      <c r="AK15" s="26">
        <v>262655</v>
      </c>
      <c r="AL15" s="26"/>
      <c r="AM15" s="26">
        <v>0</v>
      </c>
      <c r="AN15" s="26"/>
      <c r="AO15" s="51">
        <f t="shared" si="0"/>
        <v>262655</v>
      </c>
      <c r="AP15" s="26"/>
      <c r="AQ15" s="51">
        <f t="shared" si="1"/>
        <v>34165987</v>
      </c>
    </row>
    <row r="16" spans="1:44">
      <c r="A16" s="13" t="s">
        <v>343</v>
      </c>
      <c r="B16" s="13"/>
      <c r="C16" s="13" t="s">
        <v>25</v>
      </c>
      <c r="D16" s="13"/>
      <c r="E16" s="32">
        <v>46847</v>
      </c>
      <c r="F16" s="26"/>
      <c r="G16" s="26">
        <v>2972356</v>
      </c>
      <c r="H16" s="26"/>
      <c r="I16" s="26">
        <v>0</v>
      </c>
      <c r="J16" s="26"/>
      <c r="K16" s="26">
        <v>10803388</v>
      </c>
      <c r="L16" s="26"/>
      <c r="M16" s="26">
        <v>94269</v>
      </c>
      <c r="N16" s="26"/>
      <c r="O16" s="26">
        <v>529911</v>
      </c>
      <c r="P16" s="26"/>
      <c r="Q16" s="26">
        <v>137258</v>
      </c>
      <c r="R16" s="26"/>
      <c r="S16" s="26">
        <v>0</v>
      </c>
      <c r="T16" s="26"/>
      <c r="U16" s="26">
        <v>27880</v>
      </c>
      <c r="V16" s="26"/>
      <c r="W16" s="26">
        <f>2360+402860+647823</f>
        <v>1053043</v>
      </c>
      <c r="X16" s="26"/>
      <c r="Y16" s="51">
        <f t="shared" si="2"/>
        <v>15618105</v>
      </c>
      <c r="Z16" s="26"/>
      <c r="AA16" s="26">
        <v>0</v>
      </c>
      <c r="AB16" s="26"/>
      <c r="AC16" s="26"/>
      <c r="AD16" s="26"/>
      <c r="AE16" s="26">
        <v>0</v>
      </c>
      <c r="AF16" s="26"/>
      <c r="AG16" s="26"/>
      <c r="AH16" s="26"/>
      <c r="AI16" s="26"/>
      <c r="AJ16" s="26"/>
      <c r="AK16" s="26">
        <v>200000</v>
      </c>
      <c r="AL16" s="26"/>
      <c r="AM16" s="26">
        <v>0</v>
      </c>
      <c r="AN16" s="26"/>
      <c r="AO16" s="51">
        <f t="shared" si="0"/>
        <v>200000</v>
      </c>
      <c r="AP16" s="26"/>
      <c r="AQ16" s="51">
        <f t="shared" si="1"/>
        <v>15818105</v>
      </c>
    </row>
    <row r="17" spans="1:44">
      <c r="A17" s="13" t="s">
        <v>775</v>
      </c>
      <c r="B17" s="13"/>
      <c r="C17" s="13" t="s">
        <v>44</v>
      </c>
      <c r="D17" s="13"/>
      <c r="E17" s="13">
        <v>45195</v>
      </c>
      <c r="F17" s="29"/>
      <c r="G17" s="26">
        <v>15720778</v>
      </c>
      <c r="H17" s="26"/>
      <c r="I17" s="26">
        <v>0</v>
      </c>
      <c r="J17" s="26"/>
      <c r="K17" s="26">
        <v>21522584</v>
      </c>
      <c r="L17" s="26"/>
      <c r="M17" s="26">
        <v>204044</v>
      </c>
      <c r="N17" s="26"/>
      <c r="O17" s="26">
        <v>418961</v>
      </c>
      <c r="P17" s="26"/>
      <c r="Q17" s="26">
        <v>508765</v>
      </c>
      <c r="R17" s="26"/>
      <c r="S17" s="26">
        <v>0</v>
      </c>
      <c r="T17" s="26"/>
      <c r="U17" s="26">
        <v>49119</v>
      </c>
      <c r="V17" s="26"/>
      <c r="W17" s="26">
        <f>1120540+206854</f>
        <v>1327394</v>
      </c>
      <c r="X17" s="26"/>
      <c r="Y17" s="51">
        <f t="shared" si="2"/>
        <v>39751645</v>
      </c>
      <c r="Z17" s="26"/>
      <c r="AA17" s="26">
        <v>23075</v>
      </c>
      <c r="AB17" s="26"/>
      <c r="AC17" s="26">
        <v>0</v>
      </c>
      <c r="AD17" s="26"/>
      <c r="AE17" s="26">
        <v>0</v>
      </c>
      <c r="AF17" s="26"/>
      <c r="AG17" s="26">
        <v>0</v>
      </c>
      <c r="AH17" s="26"/>
      <c r="AI17" s="26">
        <v>0</v>
      </c>
      <c r="AJ17" s="26"/>
      <c r="AK17" s="26">
        <v>0</v>
      </c>
      <c r="AL17" s="26"/>
      <c r="AM17" s="26">
        <v>0</v>
      </c>
      <c r="AN17" s="26"/>
      <c r="AO17" s="51">
        <v>0</v>
      </c>
      <c r="AP17" s="26"/>
      <c r="AQ17" s="51">
        <f t="shared" si="1"/>
        <v>39774720</v>
      </c>
    </row>
    <row r="18" spans="1:44">
      <c r="A18" s="13" t="s">
        <v>641</v>
      </c>
      <c r="B18" s="13"/>
      <c r="C18" s="13" t="s">
        <v>61</v>
      </c>
      <c r="D18" s="13"/>
      <c r="E18" s="32">
        <v>49759</v>
      </c>
      <c r="F18" s="26"/>
      <c r="G18" s="26">
        <v>3451189</v>
      </c>
      <c r="H18" s="26"/>
      <c r="I18" s="26">
        <v>532083</v>
      </c>
      <c r="J18" s="26"/>
      <c r="K18" s="26">
        <v>6482479</v>
      </c>
      <c r="L18" s="26"/>
      <c r="M18" s="26">
        <v>349491</v>
      </c>
      <c r="N18" s="26"/>
      <c r="O18" s="26">
        <v>272411</v>
      </c>
      <c r="P18" s="26"/>
      <c r="Q18" s="26">
        <v>319674</v>
      </c>
      <c r="R18" s="26"/>
      <c r="S18" s="26">
        <v>9529</v>
      </c>
      <c r="T18" s="26"/>
      <c r="U18" s="26">
        <v>10856</v>
      </c>
      <c r="V18" s="26"/>
      <c r="W18" s="26">
        <f>54743+366556+47650+26098</f>
        <v>495047</v>
      </c>
      <c r="X18" s="26"/>
      <c r="Y18" s="51">
        <f t="shared" si="2"/>
        <v>11922759</v>
      </c>
      <c r="Z18" s="26"/>
      <c r="AA18" s="26">
        <v>0</v>
      </c>
      <c r="AB18" s="26"/>
      <c r="AC18" s="26"/>
      <c r="AD18" s="26"/>
      <c r="AE18" s="26">
        <v>0</v>
      </c>
      <c r="AF18" s="26"/>
      <c r="AG18" s="26"/>
      <c r="AH18" s="26"/>
      <c r="AI18" s="26"/>
      <c r="AJ18" s="26"/>
      <c r="AK18" s="26">
        <v>0</v>
      </c>
      <c r="AL18" s="26"/>
      <c r="AM18" s="26">
        <v>0</v>
      </c>
      <c r="AN18" s="26"/>
      <c r="AO18" s="51">
        <f>AK18+AE18+AA18</f>
        <v>0</v>
      </c>
      <c r="AP18" s="26"/>
      <c r="AQ18" s="51">
        <f>Y18+AO18</f>
        <v>11922759</v>
      </c>
    </row>
    <row r="19" spans="1:44" hidden="1">
      <c r="A19" s="13" t="s">
        <v>1019</v>
      </c>
      <c r="B19" s="13"/>
      <c r="C19" s="13" t="s">
        <v>814</v>
      </c>
      <c r="D19" s="13"/>
      <c r="E19" s="32"/>
      <c r="F19" s="26"/>
      <c r="G19" s="26">
        <v>1291049</v>
      </c>
      <c r="H19" s="26"/>
      <c r="I19" s="26">
        <v>428072</v>
      </c>
      <c r="J19" s="26"/>
      <c r="K19" s="26">
        <v>4268313</v>
      </c>
      <c r="L19" s="26"/>
      <c r="M19" s="26">
        <v>26656</v>
      </c>
      <c r="N19" s="26"/>
      <c r="O19" s="26">
        <v>680912</v>
      </c>
      <c r="P19" s="26"/>
      <c r="Q19" s="26">
        <v>136387</v>
      </c>
      <c r="R19" s="26"/>
      <c r="S19" s="26">
        <v>12276</v>
      </c>
      <c r="T19" s="26"/>
      <c r="U19" s="26">
        <v>6270</v>
      </c>
      <c r="V19" s="26"/>
      <c r="W19" s="26">
        <v>23151</v>
      </c>
      <c r="X19" s="26"/>
      <c r="Y19" s="51">
        <f t="shared" si="2"/>
        <v>6873086</v>
      </c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51"/>
      <c r="AP19" s="26"/>
      <c r="AQ19" s="51">
        <f>Y19+AO19</f>
        <v>6873086</v>
      </c>
    </row>
    <row r="20" spans="1:44">
      <c r="A20" s="13" t="s">
        <v>496</v>
      </c>
      <c r="B20" s="13"/>
      <c r="C20" s="13" t="s">
        <v>117</v>
      </c>
      <c r="D20" s="13"/>
      <c r="E20" s="32">
        <v>48207</v>
      </c>
      <c r="F20" s="26"/>
      <c r="G20" s="26">
        <v>24407456</v>
      </c>
      <c r="H20" s="26"/>
      <c r="I20" s="26">
        <v>0</v>
      </c>
      <c r="J20" s="26"/>
      <c r="K20" s="26">
        <f>12711282+1219192</f>
        <v>13930474</v>
      </c>
      <c r="L20" s="26"/>
      <c r="M20" s="26">
        <v>138927</v>
      </c>
      <c r="N20" s="26"/>
      <c r="O20" s="26">
        <v>378562</v>
      </c>
      <c r="P20" s="26"/>
      <c r="Q20" s="26">
        <v>579940</v>
      </c>
      <c r="R20" s="26"/>
      <c r="S20" s="26">
        <v>355484</v>
      </c>
      <c r="T20" s="26"/>
      <c r="U20" s="26">
        <v>0</v>
      </c>
      <c r="V20" s="26"/>
      <c r="W20" s="26">
        <f>920509+227682+422963</f>
        <v>1571154</v>
      </c>
      <c r="X20" s="26"/>
      <c r="Y20" s="51">
        <f t="shared" si="2"/>
        <v>41361997</v>
      </c>
      <c r="Z20" s="26"/>
      <c r="AA20" s="26">
        <v>0</v>
      </c>
      <c r="AB20" s="26"/>
      <c r="AC20" s="26"/>
      <c r="AD20" s="26"/>
      <c r="AE20" s="26">
        <v>0</v>
      </c>
      <c r="AF20" s="26"/>
      <c r="AG20" s="26"/>
      <c r="AH20" s="26"/>
      <c r="AI20" s="26"/>
      <c r="AJ20" s="26"/>
      <c r="AK20" s="26">
        <f>71881+1400000</f>
        <v>1471881</v>
      </c>
      <c r="AL20" s="26"/>
      <c r="AM20" s="26">
        <v>0</v>
      </c>
      <c r="AN20" s="26"/>
      <c r="AO20" s="51">
        <f t="shared" ref="AO20:AO51" si="3">AK20+AE20+AA20</f>
        <v>1471881</v>
      </c>
      <c r="AP20" s="26"/>
      <c r="AQ20" s="51">
        <f>Y20+AO20</f>
        <v>42833878</v>
      </c>
    </row>
    <row r="21" spans="1:44">
      <c r="A21" s="13" t="s">
        <v>413</v>
      </c>
      <c r="B21" s="13"/>
      <c r="C21" s="13" t="s">
        <v>33</v>
      </c>
      <c r="D21" s="13"/>
      <c r="E21" s="32">
        <v>47415</v>
      </c>
      <c r="F21" s="26"/>
      <c r="G21" s="26">
        <v>2113450</v>
      </c>
      <c r="H21" s="26"/>
      <c r="I21" s="26">
        <v>631734</v>
      </c>
      <c r="J21" s="26"/>
      <c r="K21" s="26">
        <v>2705550</v>
      </c>
      <c r="L21" s="26"/>
      <c r="M21" s="26">
        <v>45934</v>
      </c>
      <c r="N21" s="26"/>
      <c r="O21" s="26">
        <v>628369</v>
      </c>
      <c r="P21" s="26"/>
      <c r="Q21" s="26">
        <v>73026</v>
      </c>
      <c r="R21" s="26"/>
      <c r="S21" s="26">
        <v>0</v>
      </c>
      <c r="T21" s="26"/>
      <c r="U21" s="26">
        <v>84302</v>
      </c>
      <c r="V21" s="26"/>
      <c r="W21" s="26">
        <f>171117+20835</f>
        <v>191952</v>
      </c>
      <c r="X21" s="26"/>
      <c r="Y21" s="51">
        <f t="shared" si="2"/>
        <v>6474317</v>
      </c>
      <c r="Z21" s="26"/>
      <c r="AA21" s="26">
        <v>0</v>
      </c>
      <c r="AB21" s="26"/>
      <c r="AC21" s="26"/>
      <c r="AD21" s="26"/>
      <c r="AE21" s="26">
        <v>0</v>
      </c>
      <c r="AF21" s="26"/>
      <c r="AG21" s="26"/>
      <c r="AH21" s="26"/>
      <c r="AI21" s="26"/>
      <c r="AJ21" s="26"/>
      <c r="AK21" s="26">
        <v>0</v>
      </c>
      <c r="AL21" s="26"/>
      <c r="AM21" s="26">
        <v>0</v>
      </c>
      <c r="AN21" s="26"/>
      <c r="AO21" s="51">
        <f t="shared" si="3"/>
        <v>0</v>
      </c>
      <c r="AP21" s="26"/>
      <c r="AQ21" s="51">
        <f>Y21+AO21+AA21</f>
        <v>6474317</v>
      </c>
    </row>
    <row r="22" spans="1:44" hidden="1">
      <c r="A22" s="13" t="s">
        <v>958</v>
      </c>
      <c r="B22" s="13"/>
      <c r="C22" s="13" t="s">
        <v>21</v>
      </c>
      <c r="D22" s="13"/>
      <c r="E22" s="32">
        <v>46631</v>
      </c>
      <c r="F22" s="26"/>
      <c r="G22" s="26">
        <v>2626371</v>
      </c>
      <c r="H22" s="26"/>
      <c r="I22" s="26">
        <v>1712898</v>
      </c>
      <c r="J22" s="26"/>
      <c r="K22" s="26">
        <v>11118820</v>
      </c>
      <c r="L22" s="26"/>
      <c r="M22" s="26">
        <v>774854</v>
      </c>
      <c r="N22" s="26"/>
      <c r="O22" s="26">
        <v>661971</v>
      </c>
      <c r="P22" s="26"/>
      <c r="Q22" s="26">
        <v>128207</v>
      </c>
      <c r="R22" s="26"/>
      <c r="S22" s="26"/>
      <c r="T22" s="26"/>
      <c r="U22" s="26">
        <v>60885</v>
      </c>
      <c r="V22" s="26"/>
      <c r="W22" s="26">
        <f>26620+222815</f>
        <v>249435</v>
      </c>
      <c r="X22" s="26"/>
      <c r="Y22" s="51">
        <f t="shared" si="2"/>
        <v>17333441</v>
      </c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>
        <v>0</v>
      </c>
      <c r="AN22" s="26"/>
      <c r="AO22" s="51">
        <f t="shared" si="3"/>
        <v>0</v>
      </c>
      <c r="AP22" s="26"/>
      <c r="AQ22" s="51">
        <f>Y22+AO22+AA22</f>
        <v>17333441</v>
      </c>
      <c r="AR22" s="8" t="s">
        <v>956</v>
      </c>
    </row>
    <row r="23" spans="1:44">
      <c r="A23" s="13" t="s">
        <v>368</v>
      </c>
      <c r="B23" s="13"/>
      <c r="C23" s="13" t="s">
        <v>28</v>
      </c>
      <c r="D23" s="13"/>
      <c r="E23" s="32">
        <v>47043</v>
      </c>
      <c r="F23" s="26"/>
      <c r="G23" s="26">
        <v>7017724</v>
      </c>
      <c r="H23" s="26"/>
      <c r="I23" s="26">
        <v>0</v>
      </c>
      <c r="J23" s="26"/>
      <c r="K23" s="26">
        <v>6796857</v>
      </c>
      <c r="L23" s="26"/>
      <c r="M23" s="26">
        <v>190046</v>
      </c>
      <c r="N23" s="26"/>
      <c r="O23" s="26">
        <v>316229</v>
      </c>
      <c r="P23" s="26"/>
      <c r="Q23" s="26">
        <v>239480</v>
      </c>
      <c r="R23" s="26"/>
      <c r="S23" s="26">
        <v>223427</v>
      </c>
      <c r="T23" s="26"/>
      <c r="U23" s="26">
        <v>6287</v>
      </c>
      <c r="V23" s="26"/>
      <c r="W23" s="26">
        <f>7168+171880+312318</f>
        <v>491366</v>
      </c>
      <c r="X23" s="26"/>
      <c r="Y23" s="51">
        <f t="shared" si="2"/>
        <v>15281416</v>
      </c>
      <c r="Z23" s="26"/>
      <c r="AA23" s="26">
        <v>2060</v>
      </c>
      <c r="AB23" s="26"/>
      <c r="AC23" s="26"/>
      <c r="AD23" s="26"/>
      <c r="AE23" s="26">
        <v>0</v>
      </c>
      <c r="AF23" s="26"/>
      <c r="AG23" s="26"/>
      <c r="AH23" s="26"/>
      <c r="AI23" s="26"/>
      <c r="AJ23" s="26"/>
      <c r="AK23" s="26">
        <v>0</v>
      </c>
      <c r="AL23" s="26"/>
      <c r="AM23" s="26">
        <v>0</v>
      </c>
      <c r="AN23" s="26"/>
      <c r="AO23" s="51">
        <f t="shared" si="3"/>
        <v>2060</v>
      </c>
      <c r="AP23" s="26"/>
      <c r="AQ23" s="51">
        <f>Y23+AO23+AA23</f>
        <v>15285536</v>
      </c>
    </row>
    <row r="24" spans="1:44">
      <c r="A24" s="13" t="s">
        <v>414</v>
      </c>
      <c r="B24" s="13"/>
      <c r="C24" s="13" t="s">
        <v>33</v>
      </c>
      <c r="D24" s="13"/>
      <c r="E24" s="32">
        <v>47423</v>
      </c>
      <c r="F24" s="26"/>
      <c r="G24" s="26">
        <v>1338453</v>
      </c>
      <c r="H24" s="26"/>
      <c r="I24" s="26">
        <v>859117</v>
      </c>
      <c r="J24" s="26"/>
      <c r="K24" s="26">
        <v>3848650</v>
      </c>
      <c r="L24" s="26"/>
      <c r="M24" s="26">
        <v>80312</v>
      </c>
      <c r="N24" s="26"/>
      <c r="O24" s="26">
        <v>198932</v>
      </c>
      <c r="P24" s="26"/>
      <c r="Q24" s="26">
        <v>101124</v>
      </c>
      <c r="R24" s="26"/>
      <c r="S24" s="26">
        <v>0</v>
      </c>
      <c r="T24" s="26"/>
      <c r="U24" s="26">
        <v>36881</v>
      </c>
      <c r="V24" s="26"/>
      <c r="W24" s="26">
        <f>36326+201537</f>
        <v>237863</v>
      </c>
      <c r="X24" s="26"/>
      <c r="Y24" s="51">
        <f t="shared" si="2"/>
        <v>6701332</v>
      </c>
      <c r="Z24" s="26"/>
      <c r="AA24" s="26">
        <v>0</v>
      </c>
      <c r="AB24" s="26"/>
      <c r="AC24" s="26"/>
      <c r="AD24" s="26"/>
      <c r="AE24" s="26">
        <v>0</v>
      </c>
      <c r="AF24" s="26"/>
      <c r="AG24" s="26"/>
      <c r="AH24" s="26"/>
      <c r="AI24" s="26"/>
      <c r="AJ24" s="26"/>
      <c r="AK24" s="26">
        <v>1609</v>
      </c>
      <c r="AL24" s="26"/>
      <c r="AM24" s="26">
        <v>0</v>
      </c>
      <c r="AN24" s="26"/>
      <c r="AO24" s="51">
        <f t="shared" si="3"/>
        <v>1609</v>
      </c>
      <c r="AP24" s="26"/>
      <c r="AQ24" s="51">
        <f>Y24+AO24+AA24</f>
        <v>6702941</v>
      </c>
    </row>
    <row r="25" spans="1:44">
      <c r="A25" s="13" t="s">
        <v>213</v>
      </c>
      <c r="B25" s="13"/>
      <c r="C25" s="13" t="s">
        <v>11</v>
      </c>
      <c r="D25" s="13"/>
      <c r="E25" s="32">
        <v>43505</v>
      </c>
      <c r="F25" s="26"/>
      <c r="G25" s="26">
        <v>16222507</v>
      </c>
      <c r="H25" s="26"/>
      <c r="I25" s="26">
        <v>0</v>
      </c>
      <c r="J25" s="26"/>
      <c r="K25" s="26">
        <v>17908504</v>
      </c>
      <c r="L25" s="26"/>
      <c r="M25" s="26">
        <v>241909</v>
      </c>
      <c r="N25" s="26"/>
      <c r="O25" s="26">
        <v>969031</v>
      </c>
      <c r="P25" s="26"/>
      <c r="Q25" s="26">
        <v>402535</v>
      </c>
      <c r="R25" s="26"/>
      <c r="S25" s="26">
        <v>0</v>
      </c>
      <c r="T25" s="26"/>
      <c r="U25" s="26">
        <v>0</v>
      </c>
      <c r="V25" s="26"/>
      <c r="W25" s="26">
        <f>9307+644817+47503+385243</f>
        <v>1086870</v>
      </c>
      <c r="X25" s="26"/>
      <c r="Y25" s="51">
        <f t="shared" si="2"/>
        <v>36831356</v>
      </c>
      <c r="Z25" s="26"/>
      <c r="AA25" s="26">
        <v>231519</v>
      </c>
      <c r="AB25" s="26"/>
      <c r="AC25" s="26"/>
      <c r="AD25" s="26"/>
      <c r="AE25" s="26">
        <v>0</v>
      </c>
      <c r="AF25" s="26"/>
      <c r="AG25" s="26"/>
      <c r="AH25" s="26"/>
      <c r="AI25" s="26"/>
      <c r="AJ25" s="26"/>
      <c r="AK25" s="26">
        <f>3800000+312</f>
        <v>3800312</v>
      </c>
      <c r="AL25" s="26"/>
      <c r="AM25" s="26">
        <v>0</v>
      </c>
      <c r="AN25" s="26"/>
      <c r="AO25" s="51">
        <f t="shared" si="3"/>
        <v>4031831</v>
      </c>
      <c r="AP25" s="26"/>
      <c r="AQ25" s="51">
        <f>Y25+AO25+AA25</f>
        <v>41094706</v>
      </c>
    </row>
    <row r="26" spans="1:44">
      <c r="A26" s="13" t="s">
        <v>761</v>
      </c>
      <c r="B26" s="13"/>
      <c r="C26" s="13" t="s">
        <v>12</v>
      </c>
      <c r="D26" s="13"/>
      <c r="E26" s="32">
        <v>43513</v>
      </c>
      <c r="F26" s="26"/>
      <c r="G26" s="26">
        <v>14249075</v>
      </c>
      <c r="H26" s="26"/>
      <c r="I26" s="26">
        <v>0</v>
      </c>
      <c r="J26" s="26"/>
      <c r="K26" s="26">
        <v>53077019</v>
      </c>
      <c r="L26" s="26"/>
      <c r="M26" s="26">
        <v>227533</v>
      </c>
      <c r="N26" s="26"/>
      <c r="O26" s="26">
        <v>418020</v>
      </c>
      <c r="P26" s="26"/>
      <c r="Q26" s="26">
        <v>88588</v>
      </c>
      <c r="R26" s="26"/>
      <c r="S26" s="26">
        <v>0</v>
      </c>
      <c r="T26" s="26"/>
      <c r="U26" s="26">
        <v>0</v>
      </c>
      <c r="V26" s="26"/>
      <c r="W26" s="26">
        <f>304361+324784+34316</f>
        <v>663461</v>
      </c>
      <c r="X26" s="26"/>
      <c r="Y26" s="51">
        <f t="shared" si="2"/>
        <v>68723696</v>
      </c>
      <c r="Z26" s="26"/>
      <c r="AA26" s="26">
        <v>33563</v>
      </c>
      <c r="AB26" s="26"/>
      <c r="AC26" s="26"/>
      <c r="AD26" s="26"/>
      <c r="AE26" s="26">
        <v>0</v>
      </c>
      <c r="AF26" s="26"/>
      <c r="AG26" s="26"/>
      <c r="AH26" s="26"/>
      <c r="AI26" s="26"/>
      <c r="AJ26" s="26"/>
      <c r="AK26" s="26">
        <v>11134</v>
      </c>
      <c r="AL26" s="26"/>
      <c r="AM26" s="26">
        <v>0</v>
      </c>
      <c r="AN26" s="26"/>
      <c r="AO26" s="51">
        <f t="shared" si="3"/>
        <v>44697</v>
      </c>
      <c r="AP26" s="26"/>
      <c r="AQ26" s="51">
        <f>Y26+AO26</f>
        <v>68768393</v>
      </c>
      <c r="AR26" s="8" t="s">
        <v>956</v>
      </c>
    </row>
    <row r="27" spans="1:44">
      <c r="A27" s="13" t="s">
        <v>223</v>
      </c>
      <c r="B27" s="13"/>
      <c r="C27" s="13" t="s">
        <v>13</v>
      </c>
      <c r="D27" s="13"/>
      <c r="E27" s="32">
        <v>43521</v>
      </c>
      <c r="F27" s="26"/>
      <c r="G27" s="26">
        <v>15914806</v>
      </c>
      <c r="H27" s="26"/>
      <c r="I27" s="26">
        <v>2983038</v>
      </c>
      <c r="J27" s="26"/>
      <c r="K27" s="26">
        <v>13710944</v>
      </c>
      <c r="L27" s="26"/>
      <c r="M27" s="26">
        <v>421340</v>
      </c>
      <c r="N27" s="26"/>
      <c r="O27" s="26">
        <v>2804408</v>
      </c>
      <c r="P27" s="26"/>
      <c r="Q27" s="26">
        <v>85783</v>
      </c>
      <c r="R27" s="26"/>
      <c r="S27" s="26">
        <v>441147</v>
      </c>
      <c r="T27" s="26"/>
      <c r="U27" s="26">
        <v>13651</v>
      </c>
      <c r="V27" s="26"/>
      <c r="W27" s="26">
        <f>68385+309879+3621</f>
        <v>381885</v>
      </c>
      <c r="X27" s="26"/>
      <c r="Y27" s="51">
        <f t="shared" si="2"/>
        <v>36757002</v>
      </c>
      <c r="Z27" s="26"/>
      <c r="AA27" s="26">
        <v>348740</v>
      </c>
      <c r="AB27" s="26"/>
      <c r="AC27" s="26"/>
      <c r="AD27" s="26"/>
      <c r="AE27" s="26">
        <v>0</v>
      </c>
      <c r="AF27" s="26"/>
      <c r="AG27" s="26"/>
      <c r="AH27" s="26"/>
      <c r="AI27" s="26"/>
      <c r="AJ27" s="26"/>
      <c r="AK27" s="26">
        <v>0</v>
      </c>
      <c r="AL27" s="26"/>
      <c r="AM27" s="26">
        <v>0</v>
      </c>
      <c r="AN27" s="26"/>
      <c r="AO27" s="51">
        <f t="shared" si="3"/>
        <v>348740</v>
      </c>
      <c r="AP27" s="26"/>
      <c r="AQ27" s="51">
        <f>Y27+AO27</f>
        <v>37105742</v>
      </c>
      <c r="AR27" s="8" t="s">
        <v>956</v>
      </c>
    </row>
    <row r="28" spans="1:44">
      <c r="A28" s="13" t="s">
        <v>588</v>
      </c>
      <c r="B28" s="13"/>
      <c r="C28" s="13" t="s">
        <v>56</v>
      </c>
      <c r="D28" s="13"/>
      <c r="E28" s="32">
        <v>49171</v>
      </c>
      <c r="F28" s="26"/>
      <c r="G28" s="26">
        <v>19815561</v>
      </c>
      <c r="H28" s="26"/>
      <c r="I28" s="26">
        <v>0</v>
      </c>
      <c r="J28" s="26"/>
      <c r="K28" s="26">
        <v>6938202</v>
      </c>
      <c r="L28" s="26"/>
      <c r="M28" s="26">
        <v>273929</v>
      </c>
      <c r="N28" s="26"/>
      <c r="O28" s="26">
        <v>309586</v>
      </c>
      <c r="P28" s="26"/>
      <c r="Q28" s="26">
        <v>228232</v>
      </c>
      <c r="R28" s="26"/>
      <c r="S28" s="26">
        <v>0</v>
      </c>
      <c r="T28" s="26"/>
      <c r="U28" s="26">
        <v>85981</v>
      </c>
      <c r="V28" s="26"/>
      <c r="W28" s="26">
        <f>544497+44628+215579</f>
        <v>804704</v>
      </c>
      <c r="X28" s="26"/>
      <c r="Y28" s="51">
        <f t="shared" si="2"/>
        <v>28456195</v>
      </c>
      <c r="Z28" s="26"/>
      <c r="AA28" s="26">
        <v>90958</v>
      </c>
      <c r="AB28" s="26"/>
      <c r="AC28" s="26"/>
      <c r="AD28" s="26"/>
      <c r="AE28" s="26">
        <v>0</v>
      </c>
      <c r="AF28" s="26"/>
      <c r="AG28" s="26"/>
      <c r="AH28" s="26"/>
      <c r="AI28" s="26"/>
      <c r="AJ28" s="26"/>
      <c r="AK28" s="26">
        <v>0</v>
      </c>
      <c r="AL28" s="26"/>
      <c r="AM28" s="26">
        <v>0</v>
      </c>
      <c r="AN28" s="26"/>
      <c r="AO28" s="51">
        <f t="shared" si="3"/>
        <v>90958</v>
      </c>
      <c r="AP28" s="26"/>
      <c r="AQ28" s="51">
        <f>Y28+AO28+AA28</f>
        <v>28638111</v>
      </c>
    </row>
    <row r="29" spans="1:44">
      <c r="A29" s="13" t="s">
        <v>508</v>
      </c>
      <c r="B29" s="13"/>
      <c r="C29" s="13" t="s">
        <v>45</v>
      </c>
      <c r="D29" s="13"/>
      <c r="E29" s="32">
        <v>48298</v>
      </c>
      <c r="F29" s="26"/>
      <c r="G29" s="26">
        <v>17941733</v>
      </c>
      <c r="H29" s="26"/>
      <c r="I29" s="26">
        <v>0</v>
      </c>
      <c r="J29" s="26"/>
      <c r="K29" s="26">
        <f>49350+22413011+2913014</f>
        <v>25375375</v>
      </c>
      <c r="L29" s="26"/>
      <c r="M29" s="26">
        <v>198218</v>
      </c>
      <c r="N29" s="26"/>
      <c r="O29" s="26">
        <v>85745</v>
      </c>
      <c r="P29" s="26"/>
      <c r="Q29" s="26">
        <v>593200</v>
      </c>
      <c r="R29" s="26"/>
      <c r="S29" s="26">
        <v>0</v>
      </c>
      <c r="T29" s="26"/>
      <c r="U29" s="26">
        <v>0</v>
      </c>
      <c r="V29" s="26"/>
      <c r="W29" s="26">
        <f>171582+131949+902744</f>
        <v>1206275</v>
      </c>
      <c r="X29" s="26"/>
      <c r="Y29" s="51">
        <f t="shared" si="2"/>
        <v>45400546</v>
      </c>
      <c r="Z29" s="26"/>
      <c r="AA29" s="26">
        <v>213425</v>
      </c>
      <c r="AB29" s="26"/>
      <c r="AC29" s="26"/>
      <c r="AD29" s="26"/>
      <c r="AE29" s="26">
        <v>0</v>
      </c>
      <c r="AF29" s="26"/>
      <c r="AG29" s="26"/>
      <c r="AH29" s="26"/>
      <c r="AI29" s="26"/>
      <c r="AJ29" s="26"/>
      <c r="AK29" s="26">
        <v>582</v>
      </c>
      <c r="AL29" s="26"/>
      <c r="AM29" s="26">
        <v>0</v>
      </c>
      <c r="AN29" s="26"/>
      <c r="AO29" s="51">
        <f t="shared" si="3"/>
        <v>214007</v>
      </c>
      <c r="AP29" s="26"/>
      <c r="AQ29" s="51">
        <f>Y29+AO29</f>
        <v>45614553</v>
      </c>
      <c r="AR29" s="8" t="s">
        <v>956</v>
      </c>
    </row>
    <row r="30" spans="1:44">
      <c r="A30" s="13" t="s">
        <v>483</v>
      </c>
      <c r="B30" s="13"/>
      <c r="C30" s="13" t="s">
        <v>44</v>
      </c>
      <c r="D30" s="13"/>
      <c r="E30" s="32">
        <v>48124</v>
      </c>
      <c r="F30" s="26"/>
      <c r="G30" s="26">
        <v>28993866</v>
      </c>
      <c r="H30" s="26"/>
      <c r="I30" s="26">
        <v>0</v>
      </c>
      <c r="J30" s="26"/>
      <c r="K30" s="26">
        <v>11967857</v>
      </c>
      <c r="L30" s="26"/>
      <c r="M30" s="26">
        <v>624928</v>
      </c>
      <c r="N30" s="26"/>
      <c r="O30" s="26">
        <v>637145</v>
      </c>
      <c r="P30" s="26"/>
      <c r="Q30" s="26">
        <v>324217</v>
      </c>
      <c r="R30" s="26"/>
      <c r="S30" s="26">
        <v>0</v>
      </c>
      <c r="T30" s="26"/>
      <c r="U30" s="26">
        <v>0</v>
      </c>
      <c r="V30" s="26"/>
      <c r="W30" s="26">
        <f>946830+313843</f>
        <v>1260673</v>
      </c>
      <c r="X30" s="26"/>
      <c r="Y30" s="51">
        <f t="shared" si="2"/>
        <v>43808686</v>
      </c>
      <c r="Z30" s="26"/>
      <c r="AA30" s="26">
        <v>224604</v>
      </c>
      <c r="AB30" s="26"/>
      <c r="AC30" s="26"/>
      <c r="AD30" s="26"/>
      <c r="AE30" s="26">
        <v>452267</v>
      </c>
      <c r="AF30" s="26"/>
      <c r="AG30" s="26"/>
      <c r="AH30" s="26"/>
      <c r="AI30" s="26"/>
      <c r="AJ30" s="26"/>
      <c r="AK30" s="26">
        <v>0</v>
      </c>
      <c r="AL30" s="26"/>
      <c r="AM30" s="26">
        <v>0</v>
      </c>
      <c r="AN30" s="26"/>
      <c r="AO30" s="51">
        <f t="shared" si="3"/>
        <v>676871</v>
      </c>
      <c r="AP30" s="26"/>
      <c r="AQ30" s="51">
        <f>Y30+AO30</f>
        <v>44485557</v>
      </c>
      <c r="AR30" s="8" t="s">
        <v>956</v>
      </c>
    </row>
    <row r="31" spans="1:44">
      <c r="A31" s="13" t="s">
        <v>484</v>
      </c>
      <c r="B31" s="13"/>
      <c r="C31" s="13" t="s">
        <v>44</v>
      </c>
      <c r="D31" s="13"/>
      <c r="E31" s="32">
        <v>48116</v>
      </c>
      <c r="F31" s="26"/>
      <c r="G31" s="26">
        <v>22603862</v>
      </c>
      <c r="H31" s="26"/>
      <c r="I31" s="26">
        <v>0</v>
      </c>
      <c r="J31" s="26"/>
      <c r="K31" s="26">
        <v>8774132</v>
      </c>
      <c r="L31" s="26"/>
      <c r="M31" s="26">
        <v>314760</v>
      </c>
      <c r="N31" s="26"/>
      <c r="O31" s="26">
        <v>677264</v>
      </c>
      <c r="P31" s="26"/>
      <c r="Q31" s="26">
        <v>218767</v>
      </c>
      <c r="R31" s="26"/>
      <c r="S31" s="26">
        <v>0</v>
      </c>
      <c r="T31" s="26"/>
      <c r="U31" s="26">
        <v>0</v>
      </c>
      <c r="V31" s="26"/>
      <c r="W31" s="26">
        <f>320906+646994</f>
        <v>967900</v>
      </c>
      <c r="X31" s="26"/>
      <c r="Y31" s="51">
        <f t="shared" si="2"/>
        <v>33556685</v>
      </c>
      <c r="Z31" s="26"/>
      <c r="AA31" s="26">
        <v>0</v>
      </c>
      <c r="AB31" s="26"/>
      <c r="AC31" s="26"/>
      <c r="AD31" s="26"/>
      <c r="AE31" s="26">
        <v>0</v>
      </c>
      <c r="AF31" s="26"/>
      <c r="AG31" s="26"/>
      <c r="AH31" s="26"/>
      <c r="AI31" s="26"/>
      <c r="AJ31" s="26"/>
      <c r="AK31" s="26">
        <v>0</v>
      </c>
      <c r="AL31" s="26"/>
      <c r="AM31" s="26">
        <v>0</v>
      </c>
      <c r="AN31" s="26"/>
      <c r="AO31" s="51">
        <f t="shared" si="3"/>
        <v>0</v>
      </c>
      <c r="AP31" s="26"/>
      <c r="AQ31" s="51">
        <f>Y31+AO31+AA31</f>
        <v>33556685</v>
      </c>
      <c r="AR31" s="8" t="s">
        <v>956</v>
      </c>
    </row>
    <row r="32" spans="1:44" ht="12.75" customHeight="1">
      <c r="A32" s="13" t="s">
        <v>330</v>
      </c>
      <c r="B32" s="13"/>
      <c r="C32" s="13" t="s">
        <v>22</v>
      </c>
      <c r="D32" s="13"/>
      <c r="E32" s="32">
        <v>46706</v>
      </c>
      <c r="F32" s="26"/>
      <c r="G32" s="26">
        <v>3195778</v>
      </c>
      <c r="H32" s="26"/>
      <c r="I32" s="26">
        <v>0</v>
      </c>
      <c r="J32" s="26"/>
      <c r="K32" s="26">
        <f>3342433+289140</f>
        <v>3631573</v>
      </c>
      <c r="L32" s="26"/>
      <c r="M32" s="26">
        <v>47841</v>
      </c>
      <c r="N32" s="26"/>
      <c r="O32" s="26">
        <v>1006258</v>
      </c>
      <c r="P32" s="26"/>
      <c r="Q32" s="26">
        <v>110107</v>
      </c>
      <c r="R32" s="26"/>
      <c r="S32" s="26">
        <v>43629</v>
      </c>
      <c r="T32" s="26"/>
      <c r="U32" s="9">
        <v>0</v>
      </c>
      <c r="V32" s="26"/>
      <c r="W32" s="26">
        <f>81255+40593+230185</f>
        <v>352033</v>
      </c>
      <c r="X32" s="26"/>
      <c r="Y32" s="51">
        <f>SUM(G32:W32)</f>
        <v>8387219</v>
      </c>
      <c r="Z32" s="26"/>
      <c r="AA32" s="26">
        <v>107330</v>
      </c>
      <c r="AB32" s="26"/>
      <c r="AC32" s="26"/>
      <c r="AD32" s="26"/>
      <c r="AE32" s="26">
        <v>0</v>
      </c>
      <c r="AF32" s="26"/>
      <c r="AG32" s="26"/>
      <c r="AH32" s="26"/>
      <c r="AI32" s="26"/>
      <c r="AJ32" s="26"/>
      <c r="AK32" s="26">
        <v>68658</v>
      </c>
      <c r="AL32" s="26"/>
      <c r="AM32" s="26">
        <v>0</v>
      </c>
      <c r="AN32" s="26"/>
      <c r="AO32" s="51">
        <f t="shared" si="3"/>
        <v>175988</v>
      </c>
      <c r="AP32" s="26"/>
      <c r="AQ32" s="51">
        <f>Y32+AO32</f>
        <v>8563207</v>
      </c>
      <c r="AR32" s="8" t="s">
        <v>956</v>
      </c>
    </row>
    <row r="33" spans="1:44">
      <c r="A33" s="13" t="s">
        <v>663</v>
      </c>
      <c r="B33" s="13"/>
      <c r="C33" s="13" t="s">
        <v>63</v>
      </c>
      <c r="D33" s="13"/>
      <c r="E33" s="32">
        <v>43539</v>
      </c>
      <c r="F33" s="26"/>
      <c r="G33" s="26">
        <v>12769323</v>
      </c>
      <c r="H33" s="26"/>
      <c r="I33" s="26">
        <v>0</v>
      </c>
      <c r="J33" s="26"/>
      <c r="K33" s="26">
        <f>148780+32867037+6745782</f>
        <v>39761599</v>
      </c>
      <c r="L33" s="26"/>
      <c r="M33" s="26">
        <v>1243219</v>
      </c>
      <c r="N33" s="26"/>
      <c r="O33" s="26">
        <f>675063+98579</f>
        <v>773642</v>
      </c>
      <c r="P33" s="26"/>
      <c r="Q33" s="26">
        <v>284568</v>
      </c>
      <c r="R33" s="26"/>
      <c r="S33" s="26">
        <v>0</v>
      </c>
      <c r="T33" s="26"/>
      <c r="U33" s="26">
        <v>10382957</v>
      </c>
      <c r="V33" s="26"/>
      <c r="W33" s="26">
        <f>658848+544975</f>
        <v>1203823</v>
      </c>
      <c r="X33" s="26"/>
      <c r="Y33" s="51">
        <f t="shared" ref="Y33:Y48" si="4">SUM(G33:X33)</f>
        <v>66419131</v>
      </c>
      <c r="Z33" s="26"/>
      <c r="AA33" s="26">
        <v>2863</v>
      </c>
      <c r="AB33" s="26"/>
      <c r="AC33" s="26"/>
      <c r="AD33" s="26"/>
      <c r="AE33" s="26">
        <v>34249993</v>
      </c>
      <c r="AF33" s="26"/>
      <c r="AG33" s="26"/>
      <c r="AH33" s="26"/>
      <c r="AI33" s="26"/>
      <c r="AJ33" s="26"/>
      <c r="AK33" s="26">
        <v>1043964</v>
      </c>
      <c r="AL33" s="26"/>
      <c r="AM33" s="26">
        <v>0</v>
      </c>
      <c r="AN33" s="26"/>
      <c r="AO33" s="51">
        <f t="shared" si="3"/>
        <v>35296820</v>
      </c>
      <c r="AP33" s="26"/>
      <c r="AQ33" s="51">
        <f>Y33+AO33+AA33</f>
        <v>101718814</v>
      </c>
    </row>
    <row r="34" spans="1:44">
      <c r="A34" s="13" t="s">
        <v>815</v>
      </c>
      <c r="B34" s="13"/>
      <c r="C34" s="13" t="s">
        <v>15</v>
      </c>
      <c r="D34" s="13"/>
      <c r="E34" s="32"/>
      <c r="F34" s="26"/>
      <c r="G34" s="26">
        <v>2218953</v>
      </c>
      <c r="H34" s="26"/>
      <c r="I34" s="26">
        <v>0</v>
      </c>
      <c r="J34" s="26"/>
      <c r="K34" s="26">
        <v>7803253</v>
      </c>
      <c r="L34" s="26"/>
      <c r="M34" s="26">
        <v>77710</v>
      </c>
      <c r="N34" s="26"/>
      <c r="O34" s="26">
        <v>557766</v>
      </c>
      <c r="P34" s="26"/>
      <c r="Q34" s="26">
        <v>129013</v>
      </c>
      <c r="R34" s="26"/>
      <c r="S34" s="26">
        <v>0</v>
      </c>
      <c r="T34" s="26"/>
      <c r="U34" s="26">
        <v>5606</v>
      </c>
      <c r="V34" s="26"/>
      <c r="W34" s="26">
        <f>143163+93523</f>
        <v>236686</v>
      </c>
      <c r="X34" s="26"/>
      <c r="Y34" s="51">
        <f t="shared" si="4"/>
        <v>11028987</v>
      </c>
      <c r="Z34" s="26"/>
      <c r="AA34" s="26">
        <v>0</v>
      </c>
      <c r="AB34" s="26"/>
      <c r="AC34" s="26"/>
      <c r="AD34" s="26"/>
      <c r="AE34" s="26">
        <v>0</v>
      </c>
      <c r="AF34" s="26"/>
      <c r="AG34" s="26"/>
      <c r="AH34" s="26"/>
      <c r="AI34" s="26"/>
      <c r="AJ34" s="26"/>
      <c r="AK34" s="26">
        <v>81422</v>
      </c>
      <c r="AL34" s="26"/>
      <c r="AM34" s="26">
        <v>0</v>
      </c>
      <c r="AN34" s="26"/>
      <c r="AO34" s="51">
        <f t="shared" si="3"/>
        <v>81422</v>
      </c>
      <c r="AP34" s="26"/>
      <c r="AQ34" s="51">
        <f>Y34+AO34+AA34</f>
        <v>11110409</v>
      </c>
    </row>
    <row r="35" spans="1:44">
      <c r="A35" s="13" t="s">
        <v>266</v>
      </c>
      <c r="B35" s="13"/>
      <c r="C35" s="13" t="s">
        <v>115</v>
      </c>
      <c r="D35" s="13"/>
      <c r="E35" s="32">
        <v>46300</v>
      </c>
      <c r="F35" s="26"/>
      <c r="G35" s="26">
        <v>7012606</v>
      </c>
      <c r="H35" s="26"/>
      <c r="I35" s="26">
        <v>0</v>
      </c>
      <c r="J35" s="26"/>
      <c r="K35" s="26">
        <v>9868456</v>
      </c>
      <c r="L35" s="26"/>
      <c r="M35" s="26">
        <v>64762</v>
      </c>
      <c r="N35" s="26"/>
      <c r="O35" s="26">
        <v>786034</v>
      </c>
      <c r="P35" s="26"/>
      <c r="Q35" s="26">
        <v>0</v>
      </c>
      <c r="R35" s="26"/>
      <c r="S35" s="26">
        <v>0</v>
      </c>
      <c r="T35" s="26"/>
      <c r="U35" s="26">
        <v>0</v>
      </c>
      <c r="V35" s="26"/>
      <c r="W35" s="26">
        <v>336137</v>
      </c>
      <c r="X35" s="26"/>
      <c r="Y35" s="51">
        <f t="shared" si="4"/>
        <v>18067995</v>
      </c>
      <c r="Z35" s="26"/>
      <c r="AA35" s="26">
        <v>0</v>
      </c>
      <c r="AB35" s="26"/>
      <c r="AC35" s="26"/>
      <c r="AD35" s="26"/>
      <c r="AE35" s="26">
        <v>0</v>
      </c>
      <c r="AF35" s="26"/>
      <c r="AG35" s="26"/>
      <c r="AH35" s="26"/>
      <c r="AI35" s="26"/>
      <c r="AJ35" s="26"/>
      <c r="AK35" s="26">
        <v>0</v>
      </c>
      <c r="AL35" s="26"/>
      <c r="AM35" s="26">
        <v>0</v>
      </c>
      <c r="AN35" s="26"/>
      <c r="AO35" s="51">
        <f t="shared" si="3"/>
        <v>0</v>
      </c>
      <c r="AP35" s="26"/>
      <c r="AQ35" s="51">
        <f>Y35+AO35+AA35</f>
        <v>18067995</v>
      </c>
    </row>
    <row r="36" spans="1:44" s="130" customFormat="1" hidden="1">
      <c r="A36" s="13" t="s">
        <v>960</v>
      </c>
      <c r="C36" s="130" t="s">
        <v>10</v>
      </c>
      <c r="E36" s="131">
        <v>45765</v>
      </c>
      <c r="F36" s="26"/>
      <c r="G36" s="26">
        <v>7921177</v>
      </c>
      <c r="H36" s="26"/>
      <c r="I36" s="26"/>
      <c r="J36" s="26"/>
      <c r="K36" s="26">
        <v>8135832</v>
      </c>
      <c r="L36" s="26"/>
      <c r="M36" s="26">
        <v>349486</v>
      </c>
      <c r="N36" s="26"/>
      <c r="O36" s="26">
        <v>1156451</v>
      </c>
      <c r="P36" s="26"/>
      <c r="Q36" s="26">
        <v>190450</v>
      </c>
      <c r="R36" s="26"/>
      <c r="S36" s="26"/>
      <c r="T36" s="26"/>
      <c r="U36" s="26"/>
      <c r="V36" s="26"/>
      <c r="W36" s="26">
        <f>542478+1040+197551</f>
        <v>741069</v>
      </c>
      <c r="X36" s="26"/>
      <c r="Y36" s="51">
        <f t="shared" si="4"/>
        <v>18494465</v>
      </c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>
        <v>0</v>
      </c>
      <c r="AN36" s="26"/>
      <c r="AO36" s="51">
        <f t="shared" si="3"/>
        <v>0</v>
      </c>
      <c r="AP36" s="26"/>
      <c r="AQ36" s="51">
        <f>Y36+AO36+AA36</f>
        <v>18494465</v>
      </c>
      <c r="AR36" s="8" t="s">
        <v>956</v>
      </c>
    </row>
    <row r="37" spans="1:44">
      <c r="A37" s="13" t="s">
        <v>296</v>
      </c>
      <c r="B37" s="13"/>
      <c r="C37" s="13" t="s">
        <v>20</v>
      </c>
      <c r="D37" s="13"/>
      <c r="E37" s="32">
        <v>43547</v>
      </c>
      <c r="F37" s="26"/>
      <c r="G37" s="26">
        <v>21511308</v>
      </c>
      <c r="H37" s="26"/>
      <c r="I37" s="26">
        <v>0</v>
      </c>
      <c r="J37" s="26"/>
      <c r="K37" s="26">
        <v>9228118</v>
      </c>
      <c r="L37" s="26"/>
      <c r="M37" s="26">
        <v>250695</v>
      </c>
      <c r="N37" s="26"/>
      <c r="O37" s="26">
        <v>979968</v>
      </c>
      <c r="P37" s="26"/>
      <c r="Q37" s="26">
        <v>336245</v>
      </c>
      <c r="R37" s="26"/>
      <c r="S37" s="26">
        <v>0</v>
      </c>
      <c r="T37" s="26"/>
      <c r="U37" s="26">
        <v>0</v>
      </c>
      <c r="V37" s="26"/>
      <c r="W37" s="26">
        <f>645756+740707</f>
        <v>1386463</v>
      </c>
      <c r="X37" s="26"/>
      <c r="Y37" s="51">
        <f t="shared" si="4"/>
        <v>33692797</v>
      </c>
      <c r="Z37" s="26"/>
      <c r="AA37" s="26">
        <v>49501</v>
      </c>
      <c r="AB37" s="26"/>
      <c r="AC37" s="26"/>
      <c r="AD37" s="26"/>
      <c r="AE37" s="26">
        <v>0</v>
      </c>
      <c r="AF37" s="26"/>
      <c r="AG37" s="26"/>
      <c r="AH37" s="26"/>
      <c r="AI37" s="26"/>
      <c r="AJ37" s="26"/>
      <c r="AK37" s="26">
        <v>0</v>
      </c>
      <c r="AL37" s="26"/>
      <c r="AM37" s="26">
        <v>0</v>
      </c>
      <c r="AN37" s="26"/>
      <c r="AO37" s="51">
        <f t="shared" si="3"/>
        <v>49501</v>
      </c>
      <c r="AP37" s="26"/>
      <c r="AQ37" s="51">
        <f>Y37+AO37+AA37</f>
        <v>33791799</v>
      </c>
    </row>
    <row r="38" spans="1:44">
      <c r="A38" s="13" t="s">
        <v>297</v>
      </c>
      <c r="B38" s="13"/>
      <c r="C38" s="13" t="s">
        <v>20</v>
      </c>
      <c r="D38" s="13"/>
      <c r="E38" s="32">
        <v>43554</v>
      </c>
      <c r="F38" s="26"/>
      <c r="G38" s="26">
        <v>30489433</v>
      </c>
      <c r="H38" s="26"/>
      <c r="I38" s="26">
        <v>0</v>
      </c>
      <c r="J38" s="26"/>
      <c r="K38" s="26">
        <v>8188859</v>
      </c>
      <c r="L38" s="26"/>
      <c r="M38" s="26">
        <v>467348</v>
      </c>
      <c r="N38" s="26"/>
      <c r="O38" s="26">
        <v>3606617</v>
      </c>
      <c r="P38" s="26"/>
      <c r="Q38" s="26">
        <v>35950</v>
      </c>
      <c r="R38" s="26"/>
      <c r="S38" s="26">
        <v>0</v>
      </c>
      <c r="T38" s="26"/>
      <c r="U38" s="26">
        <v>23694</v>
      </c>
      <c r="V38" s="26"/>
      <c r="W38" s="26">
        <f>278055+857006+234508</f>
        <v>1369569</v>
      </c>
      <c r="X38" s="26"/>
      <c r="Y38" s="51">
        <f t="shared" si="4"/>
        <v>44181470</v>
      </c>
      <c r="Z38" s="26"/>
      <c r="AA38" s="26">
        <v>396000</v>
      </c>
      <c r="AB38" s="26"/>
      <c r="AC38" s="26"/>
      <c r="AD38" s="26"/>
      <c r="AE38" s="26">
        <v>0</v>
      </c>
      <c r="AF38" s="26"/>
      <c r="AG38" s="26"/>
      <c r="AH38" s="26"/>
      <c r="AI38" s="26"/>
      <c r="AJ38" s="26"/>
      <c r="AK38" s="26">
        <v>124373</v>
      </c>
      <c r="AL38" s="26"/>
      <c r="AM38" s="26">
        <v>0</v>
      </c>
      <c r="AN38" s="26"/>
      <c r="AO38" s="51">
        <f t="shared" si="3"/>
        <v>520373</v>
      </c>
      <c r="AP38" s="26"/>
      <c r="AQ38" s="51">
        <f>Y38+AO38</f>
        <v>44701843</v>
      </c>
    </row>
    <row r="39" spans="1:44">
      <c r="A39" s="13" t="s">
        <v>278</v>
      </c>
      <c r="B39" s="13"/>
      <c r="C39" s="13" t="s">
        <v>114</v>
      </c>
      <c r="D39" s="13"/>
      <c r="E39" s="32">
        <v>46425</v>
      </c>
      <c r="F39" s="26"/>
      <c r="G39" s="26">
        <v>5582761</v>
      </c>
      <c r="H39" s="26"/>
      <c r="I39" s="26">
        <v>0</v>
      </c>
      <c r="J39" s="26"/>
      <c r="K39" s="26">
        <v>12263617</v>
      </c>
      <c r="L39" s="26"/>
      <c r="M39" s="26">
        <v>15479</v>
      </c>
      <c r="N39" s="26"/>
      <c r="O39" s="26">
        <v>1556610</v>
      </c>
      <c r="P39" s="26"/>
      <c r="Q39" s="26">
        <v>252058</v>
      </c>
      <c r="R39" s="26"/>
      <c r="S39" s="26">
        <v>0</v>
      </c>
      <c r="T39" s="26"/>
      <c r="U39" s="26">
        <v>0</v>
      </c>
      <c r="V39" s="26"/>
      <c r="W39" s="26">
        <f>2539+318367+29844</f>
        <v>350750</v>
      </c>
      <c r="X39" s="26"/>
      <c r="Y39" s="51">
        <f t="shared" si="4"/>
        <v>20021275</v>
      </c>
      <c r="Z39" s="26"/>
      <c r="AA39" s="26">
        <v>0</v>
      </c>
      <c r="AB39" s="26"/>
      <c r="AC39" s="26"/>
      <c r="AD39" s="26"/>
      <c r="AE39" s="26">
        <v>0</v>
      </c>
      <c r="AF39" s="26"/>
      <c r="AG39" s="26"/>
      <c r="AH39" s="26"/>
      <c r="AI39" s="26"/>
      <c r="AJ39" s="26"/>
      <c r="AK39" s="26">
        <v>17095</v>
      </c>
      <c r="AL39" s="26"/>
      <c r="AM39" s="26">
        <v>0</v>
      </c>
      <c r="AN39" s="26"/>
      <c r="AO39" s="51">
        <f t="shared" si="3"/>
        <v>17095</v>
      </c>
      <c r="AP39" s="26"/>
      <c r="AQ39" s="51">
        <f>Y39+AO39+AA39</f>
        <v>20038370</v>
      </c>
    </row>
    <row r="40" spans="1:44">
      <c r="A40" s="13" t="s">
        <v>384</v>
      </c>
      <c r="B40" s="13"/>
      <c r="C40" s="13" t="s">
        <v>116</v>
      </c>
      <c r="D40" s="13"/>
      <c r="E40" s="32">
        <v>47241</v>
      </c>
      <c r="F40" s="26"/>
      <c r="G40" s="26">
        <v>53599594</v>
      </c>
      <c r="H40" s="26"/>
      <c r="I40" s="26">
        <v>0</v>
      </c>
      <c r="J40" s="26"/>
      <c r="K40" s="26">
        <v>24939898</v>
      </c>
      <c r="L40" s="26"/>
      <c r="M40" s="26">
        <v>699093</v>
      </c>
      <c r="N40" s="26"/>
      <c r="O40" s="26">
        <v>993594</v>
      </c>
      <c r="P40" s="26"/>
      <c r="Q40" s="26">
        <v>625982</v>
      </c>
      <c r="R40" s="26"/>
      <c r="S40" s="26">
        <v>0</v>
      </c>
      <c r="T40" s="26"/>
      <c r="U40" s="26">
        <v>0</v>
      </c>
      <c r="V40" s="26"/>
      <c r="W40" s="26">
        <f>11393+122065+2271905+265925</f>
        <v>2671288</v>
      </c>
      <c r="X40" s="26"/>
      <c r="Y40" s="51">
        <f t="shared" si="4"/>
        <v>83529449</v>
      </c>
      <c r="Z40" s="26"/>
      <c r="AA40" s="26">
        <v>2038544</v>
      </c>
      <c r="AB40" s="26"/>
      <c r="AC40" s="26"/>
      <c r="AD40" s="26"/>
      <c r="AE40" s="26">
        <v>169232760</v>
      </c>
      <c r="AF40" s="26"/>
      <c r="AG40" s="26"/>
      <c r="AH40" s="26"/>
      <c r="AI40" s="26"/>
      <c r="AJ40" s="26"/>
      <c r="AK40" s="26">
        <v>0</v>
      </c>
      <c r="AL40" s="26"/>
      <c r="AM40" s="26">
        <v>0</v>
      </c>
      <c r="AN40" s="26"/>
      <c r="AO40" s="51">
        <f t="shared" si="3"/>
        <v>171271304</v>
      </c>
      <c r="AP40" s="26"/>
      <c r="AQ40" s="51">
        <f>Y40+AO40</f>
        <v>254800753</v>
      </c>
    </row>
    <row r="41" spans="1:44">
      <c r="A41" s="13" t="s">
        <v>298</v>
      </c>
      <c r="B41" s="13"/>
      <c r="C41" s="13" t="s">
        <v>20</v>
      </c>
      <c r="D41" s="13"/>
      <c r="E41" s="32">
        <v>43562</v>
      </c>
      <c r="F41" s="26"/>
      <c r="G41" s="26">
        <v>28115325</v>
      </c>
      <c r="H41" s="26"/>
      <c r="I41" s="26">
        <v>0</v>
      </c>
      <c r="J41" s="26"/>
      <c r="K41" s="26">
        <v>20286057</v>
      </c>
      <c r="L41" s="26"/>
      <c r="M41" s="26">
        <v>289072</v>
      </c>
      <c r="N41" s="26"/>
      <c r="O41" s="26">
        <v>1901550</v>
      </c>
      <c r="P41" s="26"/>
      <c r="Q41" s="26">
        <v>201572</v>
      </c>
      <c r="R41" s="26"/>
      <c r="S41" s="26">
        <v>0</v>
      </c>
      <c r="T41" s="26"/>
      <c r="U41" s="26">
        <v>60689</v>
      </c>
      <c r="V41" s="26"/>
      <c r="W41" s="26">
        <f>492000+27107+695664</f>
        <v>1214771</v>
      </c>
      <c r="X41" s="26"/>
      <c r="Y41" s="51">
        <f t="shared" si="4"/>
        <v>52069036</v>
      </c>
      <c r="Z41" s="26"/>
      <c r="AA41" s="26">
        <v>108712</v>
      </c>
      <c r="AB41" s="26"/>
      <c r="AC41" s="26"/>
      <c r="AD41" s="26"/>
      <c r="AE41" s="26">
        <v>0</v>
      </c>
      <c r="AF41" s="26"/>
      <c r="AG41" s="26"/>
      <c r="AH41" s="26"/>
      <c r="AI41" s="26"/>
      <c r="AJ41" s="26"/>
      <c r="AK41" s="26">
        <v>0</v>
      </c>
      <c r="AL41" s="26"/>
      <c r="AM41" s="26">
        <v>0</v>
      </c>
      <c r="AN41" s="26"/>
      <c r="AO41" s="51">
        <f t="shared" si="3"/>
        <v>108712</v>
      </c>
      <c r="AP41" s="26"/>
      <c r="AQ41" s="51">
        <f>Y41+AO41</f>
        <v>52177748</v>
      </c>
    </row>
    <row r="42" spans="1:44">
      <c r="A42" s="13" t="s">
        <v>231</v>
      </c>
      <c r="B42" s="13"/>
      <c r="C42" s="13" t="s">
        <v>15</v>
      </c>
      <c r="D42" s="13"/>
      <c r="E42" s="32">
        <v>43570</v>
      </c>
      <c r="F42" s="26"/>
      <c r="G42" s="26">
        <v>2552113</v>
      </c>
      <c r="H42" s="26"/>
      <c r="I42" s="26">
        <v>0</v>
      </c>
      <c r="J42" s="26"/>
      <c r="K42" s="26">
        <v>12478667</v>
      </c>
      <c r="L42" s="26"/>
      <c r="M42" s="26">
        <v>47188</v>
      </c>
      <c r="N42" s="26"/>
      <c r="O42" s="26">
        <v>881100</v>
      </c>
      <c r="P42" s="26"/>
      <c r="Q42" s="26">
        <v>231389</v>
      </c>
      <c r="R42" s="26"/>
      <c r="S42" s="26">
        <v>0</v>
      </c>
      <c r="T42" s="26"/>
      <c r="U42" s="26">
        <v>1500</v>
      </c>
      <c r="V42" s="26"/>
      <c r="W42" s="26">
        <f>2250+375311+33742</f>
        <v>411303</v>
      </c>
      <c r="X42" s="26"/>
      <c r="Y42" s="51">
        <f t="shared" si="4"/>
        <v>16603260</v>
      </c>
      <c r="Z42" s="26"/>
      <c r="AA42" s="26">
        <v>0</v>
      </c>
      <c r="AB42" s="26"/>
      <c r="AC42" s="26"/>
      <c r="AD42" s="26"/>
      <c r="AE42" s="26">
        <f>1859996+169073</f>
        <v>2029069</v>
      </c>
      <c r="AF42" s="26"/>
      <c r="AG42" s="26"/>
      <c r="AH42" s="26"/>
      <c r="AI42" s="26"/>
      <c r="AJ42" s="26"/>
      <c r="AK42" s="26">
        <v>0</v>
      </c>
      <c r="AL42" s="26"/>
      <c r="AM42" s="26">
        <v>0</v>
      </c>
      <c r="AN42" s="26"/>
      <c r="AO42" s="51">
        <f t="shared" si="3"/>
        <v>2029069</v>
      </c>
      <c r="AP42" s="26"/>
      <c r="AQ42" s="51">
        <f>Y42+AO42+AA42</f>
        <v>18632329</v>
      </c>
    </row>
    <row r="43" spans="1:44">
      <c r="A43" s="13" t="s">
        <v>443</v>
      </c>
      <c r="B43" s="13"/>
      <c r="C43" s="13" t="s">
        <v>37</v>
      </c>
      <c r="D43" s="13"/>
      <c r="E43" s="32">
        <v>43596</v>
      </c>
      <c r="F43" s="26"/>
      <c r="G43" s="26">
        <v>8006079</v>
      </c>
      <c r="H43" s="26"/>
      <c r="I43" s="26">
        <v>0</v>
      </c>
      <c r="J43" s="26"/>
      <c r="K43" s="26">
        <f>11314387+1338244</f>
        <v>12652631</v>
      </c>
      <c r="L43" s="26"/>
      <c r="M43" s="26">
        <v>83923</v>
      </c>
      <c r="N43" s="26"/>
      <c r="O43" s="26">
        <v>268085</v>
      </c>
      <c r="P43" s="26"/>
      <c r="Q43" s="26">
        <v>235938</v>
      </c>
      <c r="R43" s="26"/>
      <c r="S43" s="26">
        <v>0</v>
      </c>
      <c r="T43" s="26"/>
      <c r="U43" s="26">
        <v>7496</v>
      </c>
      <c r="V43" s="26"/>
      <c r="W43" s="26">
        <f>433235+107448+608+293703</f>
        <v>834994</v>
      </c>
      <c r="X43" s="26"/>
      <c r="Y43" s="51">
        <f t="shared" si="4"/>
        <v>22089146</v>
      </c>
      <c r="Z43" s="26"/>
      <c r="AA43" s="26">
        <v>11768</v>
      </c>
      <c r="AB43" s="26"/>
      <c r="AC43" s="26"/>
      <c r="AD43" s="26"/>
      <c r="AE43" s="26">
        <v>0</v>
      </c>
      <c r="AF43" s="26"/>
      <c r="AG43" s="26"/>
      <c r="AH43" s="26"/>
      <c r="AI43" s="26"/>
      <c r="AJ43" s="26"/>
      <c r="AK43" s="26">
        <v>54359</v>
      </c>
      <c r="AL43" s="26"/>
      <c r="AM43" s="26">
        <v>0</v>
      </c>
      <c r="AN43" s="26"/>
      <c r="AO43" s="51">
        <f t="shared" si="3"/>
        <v>66127</v>
      </c>
      <c r="AP43" s="26"/>
      <c r="AQ43" s="51">
        <f t="shared" ref="AQ43:AQ109" si="5">Y43+AO43</f>
        <v>22155273</v>
      </c>
    </row>
    <row r="44" spans="1:44">
      <c r="A44" s="13" t="s">
        <v>715</v>
      </c>
      <c r="B44" s="13"/>
      <c r="C44" s="13" t="s">
        <v>70</v>
      </c>
      <c r="D44" s="13"/>
      <c r="E44" s="32">
        <v>43604</v>
      </c>
      <c r="F44" s="26"/>
      <c r="G44" s="26">
        <v>3940364</v>
      </c>
      <c r="H44" s="26"/>
      <c r="I44" s="26">
        <v>0</v>
      </c>
      <c r="J44" s="26"/>
      <c r="K44" s="26">
        <v>6311103</v>
      </c>
      <c r="L44" s="26"/>
      <c r="M44" s="26">
        <v>81919</v>
      </c>
      <c r="N44" s="26"/>
      <c r="O44" s="26">
        <v>349488</v>
      </c>
      <c r="P44" s="26"/>
      <c r="Q44" s="26">
        <v>107714</v>
      </c>
      <c r="R44" s="26"/>
      <c r="S44" s="26">
        <v>0</v>
      </c>
      <c r="T44" s="26"/>
      <c r="U44" s="26">
        <v>72646</v>
      </c>
      <c r="V44" s="26"/>
      <c r="W44" s="26">
        <v>27850</v>
      </c>
      <c r="X44" s="26"/>
      <c r="Y44" s="51">
        <f t="shared" si="4"/>
        <v>10891084</v>
      </c>
      <c r="Z44" s="26"/>
      <c r="AA44" s="26">
        <v>41694</v>
      </c>
      <c r="AB44" s="26"/>
      <c r="AC44" s="26"/>
      <c r="AD44" s="26"/>
      <c r="AE44" s="26">
        <v>0</v>
      </c>
      <c r="AF44" s="26"/>
      <c r="AG44" s="26"/>
      <c r="AH44" s="26"/>
      <c r="AI44" s="26"/>
      <c r="AJ44" s="26"/>
      <c r="AK44" s="26">
        <v>0</v>
      </c>
      <c r="AL44" s="26"/>
      <c r="AM44" s="26">
        <v>0</v>
      </c>
      <c r="AN44" s="26"/>
      <c r="AO44" s="51">
        <f t="shared" si="3"/>
        <v>41694</v>
      </c>
      <c r="AP44" s="26"/>
      <c r="AQ44" s="51">
        <f t="shared" si="5"/>
        <v>10932778</v>
      </c>
    </row>
    <row r="45" spans="1:44">
      <c r="A45" s="13" t="s">
        <v>571</v>
      </c>
      <c r="B45" s="13"/>
      <c r="C45" s="13" t="s">
        <v>53</v>
      </c>
      <c r="D45" s="13"/>
      <c r="E45" s="32">
        <v>48926</v>
      </c>
      <c r="F45" s="26"/>
      <c r="G45" s="26">
        <v>8315349</v>
      </c>
      <c r="H45" s="26"/>
      <c r="I45" s="26">
        <v>0</v>
      </c>
      <c r="J45" s="26"/>
      <c r="K45" s="26">
        <f>10189807+907859</f>
        <v>11097666</v>
      </c>
      <c r="L45" s="26"/>
      <c r="M45" s="26">
        <v>334922</v>
      </c>
      <c r="N45" s="26"/>
      <c r="O45" s="26">
        <v>537902</v>
      </c>
      <c r="P45" s="26"/>
      <c r="Q45" s="26">
        <v>243630</v>
      </c>
      <c r="R45" s="26"/>
      <c r="S45" s="26">
        <v>0</v>
      </c>
      <c r="T45" s="26"/>
      <c r="U45" s="26">
        <v>42792</v>
      </c>
      <c r="V45" s="26"/>
      <c r="W45" s="26">
        <f>529024+83475+6910+170212</f>
        <v>789621</v>
      </c>
      <c r="X45" s="26"/>
      <c r="Y45" s="51">
        <f t="shared" si="4"/>
        <v>21361882</v>
      </c>
      <c r="Z45" s="26"/>
      <c r="AA45" s="26">
        <v>0</v>
      </c>
      <c r="AB45" s="26"/>
      <c r="AC45" s="26"/>
      <c r="AD45" s="26"/>
      <c r="AE45" s="26">
        <v>0</v>
      </c>
      <c r="AF45" s="26"/>
      <c r="AG45" s="26"/>
      <c r="AH45" s="26"/>
      <c r="AI45" s="26"/>
      <c r="AJ45" s="26"/>
      <c r="AK45" s="26">
        <v>0</v>
      </c>
      <c r="AL45" s="26"/>
      <c r="AM45" s="26">
        <v>0</v>
      </c>
      <c r="AN45" s="26"/>
      <c r="AO45" s="51">
        <f t="shared" si="3"/>
        <v>0</v>
      </c>
      <c r="AP45" s="26"/>
      <c r="AQ45" s="51">
        <f t="shared" si="5"/>
        <v>21361882</v>
      </c>
    </row>
    <row r="46" spans="1:44">
      <c r="A46" s="13" t="s">
        <v>299</v>
      </c>
      <c r="B46" s="13"/>
      <c r="C46" s="13" t="s">
        <v>20</v>
      </c>
      <c r="D46" s="13"/>
      <c r="E46" s="32">
        <v>43612</v>
      </c>
      <c r="F46" s="26"/>
      <c r="G46" s="26">
        <v>57002404</v>
      </c>
      <c r="H46" s="26"/>
      <c r="I46" s="26">
        <v>0</v>
      </c>
      <c r="J46" s="26"/>
      <c r="K46" s="26">
        <v>30097350</v>
      </c>
      <c r="L46" s="26"/>
      <c r="M46" s="26">
        <v>692009</v>
      </c>
      <c r="N46" s="26"/>
      <c r="O46" s="26">
        <v>4018410</v>
      </c>
      <c r="P46" s="26"/>
      <c r="Q46" s="26">
        <v>503326</v>
      </c>
      <c r="R46" s="26"/>
      <c r="S46" s="26">
        <v>0</v>
      </c>
      <c r="T46" s="26"/>
      <c r="U46" s="26">
        <v>192852</v>
      </c>
      <c r="V46" s="26"/>
      <c r="W46" s="26">
        <f>102356+525724+1395370</f>
        <v>2023450</v>
      </c>
      <c r="X46" s="26"/>
      <c r="Y46" s="51">
        <f t="shared" si="4"/>
        <v>94529801</v>
      </c>
      <c r="Z46" s="26"/>
      <c r="AA46" s="26">
        <v>605412</v>
      </c>
      <c r="AB46" s="26"/>
      <c r="AC46" s="26"/>
      <c r="AD46" s="26"/>
      <c r="AE46" s="26">
        <v>0</v>
      </c>
      <c r="AF46" s="26"/>
      <c r="AG46" s="26"/>
      <c r="AH46" s="26"/>
      <c r="AI46" s="26"/>
      <c r="AJ46" s="26"/>
      <c r="AK46" s="26">
        <v>0</v>
      </c>
      <c r="AL46" s="26"/>
      <c r="AM46" s="26">
        <v>0</v>
      </c>
      <c r="AN46" s="26"/>
      <c r="AO46" s="51">
        <f t="shared" si="3"/>
        <v>605412</v>
      </c>
      <c r="AP46" s="26"/>
      <c r="AQ46" s="51">
        <f t="shared" si="5"/>
        <v>95135213</v>
      </c>
    </row>
    <row r="47" spans="1:44">
      <c r="A47" s="13" t="s">
        <v>377</v>
      </c>
      <c r="B47" s="13"/>
      <c r="C47" s="13" t="s">
        <v>30</v>
      </c>
      <c r="D47" s="13"/>
      <c r="E47" s="32">
        <v>47167</v>
      </c>
      <c r="F47" s="26"/>
      <c r="G47" s="26">
        <v>4560815</v>
      </c>
      <c r="H47" s="26"/>
      <c r="I47" s="26">
        <v>1680604</v>
      </c>
      <c r="J47" s="26"/>
      <c r="K47" s="26">
        <v>5125435</v>
      </c>
      <c r="L47" s="26"/>
      <c r="M47" s="26">
        <v>52667</v>
      </c>
      <c r="N47" s="26"/>
      <c r="O47" s="26">
        <v>214059</v>
      </c>
      <c r="P47" s="26"/>
      <c r="Q47" s="26">
        <v>197688</v>
      </c>
      <c r="R47" s="26"/>
      <c r="S47" s="26">
        <v>0</v>
      </c>
      <c r="T47" s="26"/>
      <c r="U47" s="26">
        <v>27295</v>
      </c>
      <c r="V47" s="26"/>
      <c r="W47" s="26">
        <f>174681+4178+14978</f>
        <v>193837</v>
      </c>
      <c r="X47" s="26"/>
      <c r="Y47" s="51">
        <f t="shared" si="4"/>
        <v>12052400</v>
      </c>
      <c r="Z47" s="26"/>
      <c r="AA47" s="26">
        <v>165444</v>
      </c>
      <c r="AB47" s="26"/>
      <c r="AC47" s="26"/>
      <c r="AD47" s="26"/>
      <c r="AE47" s="26">
        <v>0</v>
      </c>
      <c r="AF47" s="26"/>
      <c r="AG47" s="26"/>
      <c r="AH47" s="26"/>
      <c r="AI47" s="26"/>
      <c r="AJ47" s="26"/>
      <c r="AK47" s="26">
        <v>0</v>
      </c>
      <c r="AL47" s="26"/>
      <c r="AM47" s="26">
        <v>0</v>
      </c>
      <c r="AN47" s="26"/>
      <c r="AO47" s="51">
        <f t="shared" si="3"/>
        <v>165444</v>
      </c>
      <c r="AP47" s="26"/>
      <c r="AQ47" s="51">
        <f t="shared" si="5"/>
        <v>12217844</v>
      </c>
    </row>
    <row r="48" spans="1:44">
      <c r="A48" s="13" t="s">
        <v>336</v>
      </c>
      <c r="B48" s="13"/>
      <c r="C48" s="13" t="s">
        <v>24</v>
      </c>
      <c r="D48" s="13"/>
      <c r="E48" s="32">
        <v>46789</v>
      </c>
      <c r="F48" s="26"/>
      <c r="G48" s="26">
        <v>6419020</v>
      </c>
      <c r="H48" s="26"/>
      <c r="I48" s="26">
        <v>0</v>
      </c>
      <c r="J48" s="26"/>
      <c r="K48" s="26">
        <f>76128+8158249+911153</f>
        <v>9145530</v>
      </c>
      <c r="L48" s="26"/>
      <c r="M48" s="26">
        <v>84109</v>
      </c>
      <c r="N48" s="26"/>
      <c r="O48" s="26">
        <v>382100</v>
      </c>
      <c r="P48" s="26"/>
      <c r="Q48" s="26">
        <v>245969</v>
      </c>
      <c r="R48" s="26"/>
      <c r="S48" s="26">
        <v>0</v>
      </c>
      <c r="T48" s="26"/>
      <c r="U48" s="26">
        <v>18964</v>
      </c>
      <c r="V48" s="26"/>
      <c r="W48" s="26">
        <f>396771+7319+39253+46027</f>
        <v>489370</v>
      </c>
      <c r="X48" s="26"/>
      <c r="Y48" s="51">
        <f t="shared" si="4"/>
        <v>16785062</v>
      </c>
      <c r="Z48" s="26"/>
      <c r="AA48" s="26">
        <v>0</v>
      </c>
      <c r="AB48" s="26"/>
      <c r="AC48" s="26"/>
      <c r="AD48" s="26"/>
      <c r="AE48" s="26">
        <v>0</v>
      </c>
      <c r="AF48" s="26"/>
      <c r="AG48" s="26"/>
      <c r="AH48" s="26"/>
      <c r="AI48" s="26"/>
      <c r="AJ48" s="26"/>
      <c r="AK48" s="26">
        <v>0</v>
      </c>
      <c r="AL48" s="26"/>
      <c r="AM48" s="26">
        <v>0</v>
      </c>
      <c r="AN48" s="26"/>
      <c r="AO48" s="51">
        <f t="shared" si="3"/>
        <v>0</v>
      </c>
      <c r="AP48" s="26"/>
      <c r="AQ48" s="51">
        <f t="shared" si="5"/>
        <v>16785062</v>
      </c>
    </row>
    <row r="49" spans="1:44">
      <c r="A49" s="13" t="s">
        <v>344</v>
      </c>
      <c r="B49" s="13"/>
      <c r="C49" s="13" t="s">
        <v>25</v>
      </c>
      <c r="D49" s="13"/>
      <c r="E49" s="32">
        <v>46854</v>
      </c>
      <c r="F49" s="26"/>
      <c r="G49" s="26">
        <v>2821795</v>
      </c>
      <c r="H49" s="26"/>
      <c r="I49" s="26">
        <v>967079</v>
      </c>
      <c r="J49" s="26"/>
      <c r="K49" s="26">
        <v>4425326</v>
      </c>
      <c r="L49" s="26"/>
      <c r="M49" s="26">
        <v>49811</v>
      </c>
      <c r="N49" s="26"/>
      <c r="O49" s="26">
        <v>706508</v>
      </c>
      <c r="P49" s="26"/>
      <c r="Q49" s="26">
        <v>79069</v>
      </c>
      <c r="R49" s="26"/>
      <c r="S49" s="26">
        <v>0</v>
      </c>
      <c r="T49" s="26"/>
      <c r="U49" s="26">
        <v>480</v>
      </c>
      <c r="V49" s="26"/>
      <c r="W49" s="26">
        <f>166903+73685</f>
        <v>240588</v>
      </c>
      <c r="X49" s="26"/>
      <c r="Y49" s="51">
        <f t="shared" ref="Y49:Y78" si="6">SUM(G49:W49)</f>
        <v>9290656</v>
      </c>
      <c r="Z49" s="26"/>
      <c r="AA49" s="26">
        <v>133126</v>
      </c>
      <c r="AB49" s="26"/>
      <c r="AC49" s="26"/>
      <c r="AD49" s="26"/>
      <c r="AE49" s="26">
        <v>0</v>
      </c>
      <c r="AF49" s="26"/>
      <c r="AG49" s="26"/>
      <c r="AH49" s="26"/>
      <c r="AI49" s="26"/>
      <c r="AJ49" s="26"/>
      <c r="AK49" s="26">
        <v>0</v>
      </c>
      <c r="AL49" s="26"/>
      <c r="AM49" s="26">
        <v>0</v>
      </c>
      <c r="AN49" s="26"/>
      <c r="AO49" s="51">
        <f t="shared" si="3"/>
        <v>133126</v>
      </c>
      <c r="AP49" s="26"/>
      <c r="AQ49" s="51">
        <f t="shared" si="5"/>
        <v>9423782</v>
      </c>
    </row>
    <row r="50" spans="1:44">
      <c r="A50" s="13" t="s">
        <v>536</v>
      </c>
      <c r="B50" s="13"/>
      <c r="C50" s="13" t="s">
        <v>48</v>
      </c>
      <c r="D50" s="13"/>
      <c r="E50" s="32">
        <v>48611</v>
      </c>
      <c r="F50" s="26"/>
      <c r="G50" s="26">
        <v>3939690</v>
      </c>
      <c r="H50" s="26"/>
      <c r="I50" s="26">
        <v>0</v>
      </c>
      <c r="J50" s="26"/>
      <c r="K50" s="26">
        <v>3772407</v>
      </c>
      <c r="L50" s="26"/>
      <c r="M50" s="26">
        <v>39656</v>
      </c>
      <c r="N50" s="26"/>
      <c r="O50" s="26">
        <v>370995</v>
      </c>
      <c r="P50" s="26"/>
      <c r="Q50" s="26">
        <v>159120</v>
      </c>
      <c r="R50" s="26"/>
      <c r="S50" s="26">
        <v>0</v>
      </c>
      <c r="T50" s="26"/>
      <c r="U50" s="26">
        <v>0</v>
      </c>
      <c r="V50" s="26"/>
      <c r="W50" s="26">
        <f>194886+122906</f>
        <v>317792</v>
      </c>
      <c r="X50" s="26"/>
      <c r="Y50" s="51">
        <f t="shared" si="6"/>
        <v>8599660</v>
      </c>
      <c r="Z50" s="26"/>
      <c r="AA50" s="26">
        <v>67745</v>
      </c>
      <c r="AB50" s="26"/>
      <c r="AC50" s="26"/>
      <c r="AD50" s="26"/>
      <c r="AE50" s="26">
        <v>0</v>
      </c>
      <c r="AF50" s="26"/>
      <c r="AG50" s="26"/>
      <c r="AH50" s="26"/>
      <c r="AI50" s="26"/>
      <c r="AJ50" s="26"/>
      <c r="AK50" s="26">
        <v>22769</v>
      </c>
      <c r="AL50" s="26"/>
      <c r="AM50" s="26">
        <v>0</v>
      </c>
      <c r="AN50" s="26"/>
      <c r="AO50" s="51">
        <f t="shared" si="3"/>
        <v>90514</v>
      </c>
      <c r="AP50" s="26"/>
      <c r="AQ50" s="51">
        <f t="shared" si="5"/>
        <v>8690174</v>
      </c>
    </row>
    <row r="51" spans="1:44">
      <c r="A51" s="13" t="s">
        <v>267</v>
      </c>
      <c r="B51" s="13"/>
      <c r="C51" s="13" t="s">
        <v>115</v>
      </c>
      <c r="D51" s="13"/>
      <c r="E51" s="32">
        <v>46318</v>
      </c>
      <c r="F51" s="26"/>
      <c r="G51" s="26">
        <v>3374057</v>
      </c>
      <c r="H51" s="26"/>
      <c r="I51" s="26">
        <v>0</v>
      </c>
      <c r="J51" s="26"/>
      <c r="K51" s="26">
        <v>11526007</v>
      </c>
      <c r="L51" s="26"/>
      <c r="M51" s="26">
        <v>64598</v>
      </c>
      <c r="N51" s="26"/>
      <c r="O51" s="26">
        <v>1156373</v>
      </c>
      <c r="P51" s="26"/>
      <c r="Q51" s="26">
        <v>162521</v>
      </c>
      <c r="R51" s="26"/>
      <c r="S51" s="26">
        <v>0</v>
      </c>
      <c r="T51" s="26"/>
      <c r="U51" s="26">
        <v>12545</v>
      </c>
      <c r="V51" s="26"/>
      <c r="W51" s="26">
        <f>6000+333494+102741</f>
        <v>442235</v>
      </c>
      <c r="X51" s="26"/>
      <c r="Y51" s="51">
        <f t="shared" si="6"/>
        <v>16738336</v>
      </c>
      <c r="Z51" s="26"/>
      <c r="AA51" s="26">
        <v>360412</v>
      </c>
      <c r="AB51" s="26"/>
      <c r="AC51" s="26"/>
      <c r="AD51" s="26"/>
      <c r="AE51" s="26">
        <v>0</v>
      </c>
      <c r="AF51" s="26"/>
      <c r="AG51" s="26"/>
      <c r="AH51" s="26"/>
      <c r="AI51" s="26"/>
      <c r="AJ51" s="26"/>
      <c r="AK51" s="26">
        <v>0</v>
      </c>
      <c r="AL51" s="26"/>
      <c r="AM51" s="26">
        <v>0</v>
      </c>
      <c r="AN51" s="26"/>
      <c r="AO51" s="51">
        <f t="shared" si="3"/>
        <v>360412</v>
      </c>
      <c r="AP51" s="26"/>
      <c r="AQ51" s="51">
        <f t="shared" si="5"/>
        <v>17098748</v>
      </c>
    </row>
    <row r="52" spans="1:44" hidden="1">
      <c r="A52" s="13" t="s">
        <v>962</v>
      </c>
      <c r="B52" s="13"/>
      <c r="C52" s="13" t="s">
        <v>60</v>
      </c>
      <c r="D52" s="13"/>
      <c r="E52" s="32">
        <v>49692</v>
      </c>
      <c r="F52" s="26"/>
      <c r="G52" s="26">
        <v>449073</v>
      </c>
      <c r="H52" s="26"/>
      <c r="I52" s="26">
        <v>224991</v>
      </c>
      <c r="J52" s="26"/>
      <c r="K52" s="26">
        <v>1683618</v>
      </c>
      <c r="L52" s="26"/>
      <c r="M52" s="26">
        <v>21797</v>
      </c>
      <c r="N52" s="26"/>
      <c r="O52" s="26">
        <v>235398</v>
      </c>
      <c r="P52" s="26"/>
      <c r="Q52" s="26">
        <v>21256</v>
      </c>
      <c r="R52" s="26"/>
      <c r="S52" s="26"/>
      <c r="T52" s="26"/>
      <c r="U52" s="26">
        <v>10153</v>
      </c>
      <c r="V52" s="26"/>
      <c r="W52" s="26">
        <f>18155+37183+36000</f>
        <v>91338</v>
      </c>
      <c r="X52" s="26"/>
      <c r="Y52" s="51">
        <f t="shared" si="6"/>
        <v>2737624</v>
      </c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>
        <v>0</v>
      </c>
      <c r="AN52" s="26"/>
      <c r="AO52" s="51">
        <f t="shared" ref="AO52:AO83" si="7">AK52+AE52+AA52</f>
        <v>0</v>
      </c>
      <c r="AP52" s="26"/>
      <c r="AQ52" s="51">
        <f t="shared" si="5"/>
        <v>2737624</v>
      </c>
      <c r="AR52" s="8" t="s">
        <v>956</v>
      </c>
    </row>
    <row r="53" spans="1:44">
      <c r="A53" s="13" t="s">
        <v>352</v>
      </c>
      <c r="B53" s="13"/>
      <c r="C53" s="13" t="s">
        <v>27</v>
      </c>
      <c r="D53" s="13"/>
      <c r="E53" s="32">
        <v>43620</v>
      </c>
      <c r="F53" s="26"/>
      <c r="G53" s="26">
        <v>20809523</v>
      </c>
      <c r="H53" s="26"/>
      <c r="I53" s="26">
        <v>5070708</v>
      </c>
      <c r="J53" s="26"/>
      <c r="K53" s="26">
        <f>841870+8829963+890050</f>
        <v>10561883</v>
      </c>
      <c r="L53" s="26"/>
      <c r="M53" s="26">
        <v>666202</v>
      </c>
      <c r="N53" s="26"/>
      <c r="O53" s="26">
        <v>90680</v>
      </c>
      <c r="P53" s="26"/>
      <c r="Q53" s="26">
        <v>234009</v>
      </c>
      <c r="R53" s="26"/>
      <c r="S53" s="26">
        <v>0</v>
      </c>
      <c r="T53" s="26"/>
      <c r="U53" s="26">
        <v>0</v>
      </c>
      <c r="V53" s="26"/>
      <c r="W53" s="26">
        <f>479686+366920</f>
        <v>846606</v>
      </c>
      <c r="X53" s="26"/>
      <c r="Y53" s="51">
        <f t="shared" si="6"/>
        <v>38279611</v>
      </c>
      <c r="Z53" s="26"/>
      <c r="AA53" s="26">
        <v>173000</v>
      </c>
      <c r="AB53" s="26"/>
      <c r="AC53" s="26"/>
      <c r="AD53" s="26"/>
      <c r="AE53" s="26">
        <v>0</v>
      </c>
      <c r="AF53" s="26"/>
      <c r="AG53" s="26"/>
      <c r="AH53" s="26"/>
      <c r="AI53" s="26"/>
      <c r="AJ53" s="26"/>
      <c r="AK53" s="26">
        <v>58744</v>
      </c>
      <c r="AL53" s="26"/>
      <c r="AM53" s="26">
        <v>0</v>
      </c>
      <c r="AN53" s="26"/>
      <c r="AO53" s="51">
        <f t="shared" si="7"/>
        <v>231744</v>
      </c>
      <c r="AP53" s="26"/>
      <c r="AQ53" s="51">
        <f t="shared" si="5"/>
        <v>38511355</v>
      </c>
    </row>
    <row r="54" spans="1:44">
      <c r="A54" s="13" t="s">
        <v>333</v>
      </c>
      <c r="B54" s="13"/>
      <c r="C54" s="13" t="s">
        <v>23</v>
      </c>
      <c r="D54" s="13"/>
      <c r="E54" s="32">
        <v>46748</v>
      </c>
      <c r="F54" s="26"/>
      <c r="G54" s="26">
        <v>13975143</v>
      </c>
      <c r="H54" s="26"/>
      <c r="I54" s="26">
        <v>4367830</v>
      </c>
      <c r="J54" s="26"/>
      <c r="K54" s="26">
        <v>8715851</v>
      </c>
      <c r="L54" s="26"/>
      <c r="M54" s="26">
        <v>287274</v>
      </c>
      <c r="N54" s="26"/>
      <c r="O54" s="26">
        <v>327724</v>
      </c>
      <c r="P54" s="26"/>
      <c r="Q54" s="26">
        <v>206095</v>
      </c>
      <c r="R54" s="26"/>
      <c r="S54" s="26">
        <v>0</v>
      </c>
      <c r="T54" s="26"/>
      <c r="U54" s="26">
        <v>46242</v>
      </c>
      <c r="V54" s="26"/>
      <c r="W54" s="26">
        <f>799013+158125</f>
        <v>957138</v>
      </c>
      <c r="X54" s="26"/>
      <c r="Y54" s="51">
        <f t="shared" si="6"/>
        <v>28883297</v>
      </c>
      <c r="Z54" s="26"/>
      <c r="AA54" s="26">
        <v>163827</v>
      </c>
      <c r="AB54" s="26"/>
      <c r="AC54" s="26"/>
      <c r="AD54" s="26"/>
      <c r="AE54" s="26">
        <f>10000000+9999926+374905</f>
        <v>20374831</v>
      </c>
      <c r="AF54" s="26"/>
      <c r="AG54" s="26"/>
      <c r="AH54" s="26"/>
      <c r="AI54" s="26"/>
      <c r="AJ54" s="26"/>
      <c r="AK54" s="26">
        <v>0</v>
      </c>
      <c r="AL54" s="26"/>
      <c r="AM54" s="26">
        <v>0</v>
      </c>
      <c r="AN54" s="26"/>
      <c r="AO54" s="51">
        <f t="shared" si="7"/>
        <v>20538658</v>
      </c>
      <c r="AP54" s="26"/>
      <c r="AQ54" s="51">
        <f t="shared" si="5"/>
        <v>49421955</v>
      </c>
    </row>
    <row r="55" spans="1:44">
      <c r="A55" s="13" t="s">
        <v>525</v>
      </c>
      <c r="B55" s="13"/>
      <c r="C55" s="13" t="s">
        <v>47</v>
      </c>
      <c r="D55" s="13"/>
      <c r="E55" s="32">
        <v>48462</v>
      </c>
      <c r="F55" s="26"/>
      <c r="G55" s="26">
        <v>4422487</v>
      </c>
      <c r="H55" s="26"/>
      <c r="I55" s="26">
        <v>0</v>
      </c>
      <c r="J55" s="26"/>
      <c r="K55" s="26">
        <v>9739396</v>
      </c>
      <c r="L55" s="26"/>
      <c r="M55" s="26">
        <v>107166</v>
      </c>
      <c r="N55" s="26"/>
      <c r="O55" s="26">
        <v>210646</v>
      </c>
      <c r="P55" s="26"/>
      <c r="Q55" s="26">
        <v>271199</v>
      </c>
      <c r="R55" s="26"/>
      <c r="S55" s="26">
        <v>0</v>
      </c>
      <c r="T55" s="26"/>
      <c r="U55" s="26">
        <v>8278</v>
      </c>
      <c r="V55" s="26"/>
      <c r="W55" s="26">
        <f>228338+70763+8816</f>
        <v>307917</v>
      </c>
      <c r="X55" s="26"/>
      <c r="Y55" s="51">
        <f t="shared" si="6"/>
        <v>15067089</v>
      </c>
      <c r="Z55" s="26"/>
      <c r="AA55" s="26">
        <v>876657</v>
      </c>
      <c r="AB55" s="26"/>
      <c r="AC55" s="26"/>
      <c r="AD55" s="26"/>
      <c r="AE55" s="26">
        <v>2094</v>
      </c>
      <c r="AF55" s="26"/>
      <c r="AG55" s="26"/>
      <c r="AH55" s="26"/>
      <c r="AI55" s="26"/>
      <c r="AJ55" s="26"/>
      <c r="AK55" s="26">
        <v>3175300</v>
      </c>
      <c r="AL55" s="26"/>
      <c r="AM55" s="26">
        <v>0</v>
      </c>
      <c r="AN55" s="26"/>
      <c r="AO55" s="51">
        <f t="shared" si="7"/>
        <v>4054051</v>
      </c>
      <c r="AP55" s="26"/>
      <c r="AQ55" s="51">
        <f t="shared" si="5"/>
        <v>19121140</v>
      </c>
    </row>
    <row r="56" spans="1:44">
      <c r="A56" s="13" t="s">
        <v>274</v>
      </c>
      <c r="B56" s="13"/>
      <c r="C56" s="13" t="s">
        <v>18</v>
      </c>
      <c r="D56" s="13"/>
      <c r="E56" s="32">
        <v>46383</v>
      </c>
      <c r="F56" s="26"/>
      <c r="G56" s="26">
        <v>3097504</v>
      </c>
      <c r="H56" s="26"/>
      <c r="I56" s="26">
        <v>0</v>
      </c>
      <c r="J56" s="26"/>
      <c r="K56" s="26">
        <v>10985115</v>
      </c>
      <c r="L56" s="26"/>
      <c r="M56" s="26">
        <v>98432</v>
      </c>
      <c r="N56" s="26"/>
      <c r="O56" s="26">
        <v>965738</v>
      </c>
      <c r="P56" s="26"/>
      <c r="Q56" s="26">
        <v>122762</v>
      </c>
      <c r="R56" s="26"/>
      <c r="S56" s="26">
        <v>0</v>
      </c>
      <c r="T56" s="26"/>
      <c r="U56" s="26">
        <v>0</v>
      </c>
      <c r="V56" s="26"/>
      <c r="W56" s="26">
        <f>377194+141779</f>
        <v>518973</v>
      </c>
      <c r="X56" s="26"/>
      <c r="Y56" s="51">
        <f t="shared" si="6"/>
        <v>15788524</v>
      </c>
      <c r="Z56" s="26"/>
      <c r="AA56" s="26">
        <v>662</v>
      </c>
      <c r="AB56" s="26"/>
      <c r="AC56" s="26"/>
      <c r="AD56" s="26"/>
      <c r="AE56" s="26">
        <v>0</v>
      </c>
      <c r="AF56" s="26"/>
      <c r="AG56" s="26"/>
      <c r="AH56" s="26"/>
      <c r="AI56" s="26"/>
      <c r="AJ56" s="26"/>
      <c r="AK56" s="26">
        <v>0</v>
      </c>
      <c r="AL56" s="26"/>
      <c r="AM56" s="26">
        <v>0</v>
      </c>
      <c r="AN56" s="26"/>
      <c r="AO56" s="51">
        <f t="shared" si="7"/>
        <v>662</v>
      </c>
      <c r="AP56" s="26"/>
      <c r="AQ56" s="51">
        <f t="shared" si="5"/>
        <v>15789186</v>
      </c>
    </row>
    <row r="57" spans="1:44">
      <c r="A57" s="13" t="s">
        <v>345</v>
      </c>
      <c r="B57" s="13"/>
      <c r="C57" s="13" t="s">
        <v>25</v>
      </c>
      <c r="D57" s="13"/>
      <c r="E57" s="32">
        <v>46862</v>
      </c>
      <c r="F57" s="26"/>
      <c r="G57" s="26">
        <v>5306821</v>
      </c>
      <c r="H57" s="26"/>
      <c r="I57" s="26">
        <v>3387407</v>
      </c>
      <c r="J57" s="26"/>
      <c r="K57" s="26">
        <v>4937727</v>
      </c>
      <c r="L57" s="26"/>
      <c r="M57" s="26">
        <v>66045</v>
      </c>
      <c r="N57" s="26"/>
      <c r="O57" s="26">
        <v>759515</v>
      </c>
      <c r="P57" s="26"/>
      <c r="Q57" s="26">
        <v>131637</v>
      </c>
      <c r="R57" s="26"/>
      <c r="S57" s="26">
        <v>0</v>
      </c>
      <c r="T57" s="26"/>
      <c r="U57" s="26">
        <v>23762</v>
      </c>
      <c r="V57" s="26"/>
      <c r="W57" s="26">
        <f>4260+57601+307078</f>
        <v>368939</v>
      </c>
      <c r="X57" s="26"/>
      <c r="Y57" s="51">
        <f t="shared" si="6"/>
        <v>14981853</v>
      </c>
      <c r="Z57" s="26"/>
      <c r="AA57" s="26">
        <v>53500</v>
      </c>
      <c r="AB57" s="26"/>
      <c r="AC57" s="26"/>
      <c r="AD57" s="26"/>
      <c r="AE57" s="26">
        <v>0</v>
      </c>
      <c r="AF57" s="26"/>
      <c r="AG57" s="26"/>
      <c r="AH57" s="26"/>
      <c r="AI57" s="26"/>
      <c r="AJ57" s="26"/>
      <c r="AK57" s="26">
        <v>2050</v>
      </c>
      <c r="AL57" s="26"/>
      <c r="AM57" s="26">
        <v>0</v>
      </c>
      <c r="AN57" s="26"/>
      <c r="AO57" s="51">
        <f t="shared" si="7"/>
        <v>55550</v>
      </c>
      <c r="AP57" s="26"/>
      <c r="AQ57" s="51">
        <f t="shared" si="5"/>
        <v>15037403</v>
      </c>
    </row>
    <row r="58" spans="1:44">
      <c r="A58" s="13" t="s">
        <v>675</v>
      </c>
      <c r="B58" s="13"/>
      <c r="C58" s="13" t="s">
        <v>64</v>
      </c>
      <c r="D58" s="13"/>
      <c r="E58" s="32">
        <v>50096</v>
      </c>
      <c r="F58" s="26"/>
      <c r="G58" s="26">
        <v>1230601</v>
      </c>
      <c r="H58" s="26"/>
      <c r="I58" s="26">
        <v>0</v>
      </c>
      <c r="J58" s="26"/>
      <c r="K58" s="26">
        <f>1708394+773121</f>
        <v>2481515</v>
      </c>
      <c r="L58" s="26"/>
      <c r="M58" s="26">
        <v>12436</v>
      </c>
      <c r="N58" s="26"/>
      <c r="O58" s="26">
        <v>184090</v>
      </c>
      <c r="P58" s="26"/>
      <c r="Q58" s="26">
        <v>36187</v>
      </c>
      <c r="R58" s="26"/>
      <c r="S58" s="26">
        <v>0</v>
      </c>
      <c r="T58" s="26"/>
      <c r="U58" s="26">
        <v>0</v>
      </c>
      <c r="V58" s="26"/>
      <c r="W58" s="26">
        <f>31868+5341+41665</f>
        <v>78874</v>
      </c>
      <c r="X58" s="26"/>
      <c r="Y58" s="51">
        <f t="shared" si="6"/>
        <v>4023703</v>
      </c>
      <c r="Z58" s="26"/>
      <c r="AA58" s="26">
        <v>0</v>
      </c>
      <c r="AB58" s="26"/>
      <c r="AC58" s="26"/>
      <c r="AD58" s="26"/>
      <c r="AE58" s="26">
        <v>0</v>
      </c>
      <c r="AF58" s="26"/>
      <c r="AG58" s="26"/>
      <c r="AH58" s="26"/>
      <c r="AI58" s="26"/>
      <c r="AJ58" s="26"/>
      <c r="AK58" s="26">
        <v>0</v>
      </c>
      <c r="AL58" s="26"/>
      <c r="AM58" s="26">
        <v>0</v>
      </c>
      <c r="AN58" s="26"/>
      <c r="AO58" s="51">
        <f t="shared" si="7"/>
        <v>0</v>
      </c>
      <c r="AP58" s="26"/>
      <c r="AQ58" s="51">
        <f t="shared" si="5"/>
        <v>4023703</v>
      </c>
    </row>
    <row r="59" spans="1:44">
      <c r="A59" s="13" t="s">
        <v>626</v>
      </c>
      <c r="B59" s="13"/>
      <c r="C59" s="13" t="s">
        <v>59</v>
      </c>
      <c r="D59" s="13"/>
      <c r="E59" s="32">
        <v>49593</v>
      </c>
      <c r="F59" s="26"/>
      <c r="G59" s="26">
        <v>1189805</v>
      </c>
      <c r="H59" s="26"/>
      <c r="I59" s="26">
        <v>0</v>
      </c>
      <c r="J59" s="26"/>
      <c r="K59" s="26">
        <v>7719068</v>
      </c>
      <c r="L59" s="26"/>
      <c r="M59" s="26">
        <v>16935</v>
      </c>
      <c r="N59" s="26"/>
      <c r="O59" s="26">
        <v>766927</v>
      </c>
      <c r="P59" s="26"/>
      <c r="Q59" s="26">
        <v>44428</v>
      </c>
      <c r="R59" s="26"/>
      <c r="S59" s="26">
        <v>0</v>
      </c>
      <c r="T59" s="26"/>
      <c r="U59" s="26">
        <v>1809</v>
      </c>
      <c r="V59" s="26"/>
      <c r="W59" s="26">
        <f>165988+217138+100</f>
        <v>383226</v>
      </c>
      <c r="X59" s="26"/>
      <c r="Y59" s="51">
        <f>SUM(G59:W59)</f>
        <v>10122198</v>
      </c>
      <c r="Z59" s="26"/>
      <c r="AA59" s="26">
        <v>103056</v>
      </c>
      <c r="AB59" s="26"/>
      <c r="AC59" s="26"/>
      <c r="AD59" s="26"/>
      <c r="AE59" s="26">
        <v>1502</v>
      </c>
      <c r="AF59" s="26"/>
      <c r="AG59" s="26"/>
      <c r="AH59" s="26"/>
      <c r="AI59" s="26"/>
      <c r="AJ59" s="26"/>
      <c r="AK59" s="26">
        <v>0</v>
      </c>
      <c r="AL59" s="26"/>
      <c r="AM59" s="26">
        <v>0</v>
      </c>
      <c r="AN59" s="26"/>
      <c r="AO59" s="51">
        <f t="shared" si="7"/>
        <v>104558</v>
      </c>
      <c r="AP59" s="26"/>
      <c r="AQ59" s="51">
        <f t="shared" si="5"/>
        <v>10226756</v>
      </c>
    </row>
    <row r="60" spans="1:44" hidden="1">
      <c r="A60" s="13" t="s">
        <v>898</v>
      </c>
      <c r="B60" s="13"/>
      <c r="C60" s="13" t="s">
        <v>10</v>
      </c>
      <c r="D60" s="13"/>
      <c r="E60" s="32">
        <v>49593</v>
      </c>
      <c r="F60" s="26"/>
      <c r="G60" s="26">
        <v>3213707</v>
      </c>
      <c r="H60" s="26"/>
      <c r="I60" s="26">
        <v>417166</v>
      </c>
      <c r="J60" s="26"/>
      <c r="K60" s="26">
        <v>5403034</v>
      </c>
      <c r="L60" s="26"/>
      <c r="M60" s="26">
        <v>68178</v>
      </c>
      <c r="N60" s="26"/>
      <c r="O60" s="26">
        <v>570993</v>
      </c>
      <c r="P60" s="26"/>
      <c r="Q60" s="26">
        <v>89624</v>
      </c>
      <c r="R60" s="26"/>
      <c r="S60" s="26">
        <v>8822</v>
      </c>
      <c r="T60" s="26"/>
      <c r="V60" s="26"/>
      <c r="W60" s="26">
        <f>54364+311470+63219</f>
        <v>429053</v>
      </c>
      <c r="X60" s="26"/>
      <c r="Y60" s="51">
        <f>SUM(G60:W60)</f>
        <v>10200577</v>
      </c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>
        <v>0</v>
      </c>
      <c r="AN60" s="26"/>
      <c r="AO60" s="51">
        <f t="shared" si="7"/>
        <v>0</v>
      </c>
      <c r="AP60" s="26"/>
      <c r="AQ60" s="51">
        <f t="shared" si="5"/>
        <v>10200577</v>
      </c>
      <c r="AR60" s="8" t="s">
        <v>956</v>
      </c>
    </row>
    <row r="61" spans="1:44">
      <c r="A61" s="13" t="s">
        <v>509</v>
      </c>
      <c r="B61" s="13"/>
      <c r="C61" s="13" t="s">
        <v>45</v>
      </c>
      <c r="D61" s="13"/>
      <c r="E61" s="32">
        <v>48306</v>
      </c>
      <c r="F61" s="26"/>
      <c r="G61" s="26">
        <v>27292293</v>
      </c>
      <c r="H61" s="26"/>
      <c r="I61" s="26">
        <v>0</v>
      </c>
      <c r="J61" s="26"/>
      <c r="K61" s="26">
        <v>14737306</v>
      </c>
      <c r="L61" s="26"/>
      <c r="M61" s="26">
        <v>368479</v>
      </c>
      <c r="N61" s="26"/>
      <c r="O61" s="26">
        <v>641991</v>
      </c>
      <c r="P61" s="26"/>
      <c r="Q61" s="26">
        <v>572185</v>
      </c>
      <c r="R61" s="26"/>
      <c r="S61" s="26">
        <v>0</v>
      </c>
      <c r="T61" s="26"/>
      <c r="U61" s="26">
        <v>32098</v>
      </c>
      <c r="V61" s="26"/>
      <c r="W61" s="26">
        <f>55553+235626+809389</f>
        <v>1100568</v>
      </c>
      <c r="X61" s="26"/>
      <c r="Y61" s="51">
        <f t="shared" si="6"/>
        <v>44744920</v>
      </c>
      <c r="Z61" s="26"/>
      <c r="AA61" s="26">
        <v>768134</v>
      </c>
      <c r="AB61" s="26"/>
      <c r="AC61" s="26"/>
      <c r="AD61" s="26"/>
      <c r="AE61" s="26">
        <v>6050000</v>
      </c>
      <c r="AF61" s="26"/>
      <c r="AG61" s="26"/>
      <c r="AH61" s="26"/>
      <c r="AI61" s="26"/>
      <c r="AJ61" s="26"/>
      <c r="AK61" s="26">
        <v>0</v>
      </c>
      <c r="AL61" s="26"/>
      <c r="AM61" s="26">
        <v>0</v>
      </c>
      <c r="AN61" s="26"/>
      <c r="AO61" s="51">
        <f t="shared" si="7"/>
        <v>6818134</v>
      </c>
      <c r="AP61" s="26"/>
      <c r="AQ61" s="51">
        <f t="shared" si="5"/>
        <v>51563054</v>
      </c>
    </row>
    <row r="62" spans="1:44">
      <c r="A62" s="13" t="s">
        <v>642</v>
      </c>
      <c r="B62" s="13"/>
      <c r="C62" s="13" t="s">
        <v>61</v>
      </c>
      <c r="D62" s="13"/>
      <c r="E62" s="32">
        <v>49767</v>
      </c>
      <c r="F62" s="26"/>
      <c r="G62" s="26">
        <v>1034501</v>
      </c>
      <c r="H62" s="26"/>
      <c r="I62" s="26">
        <v>136486</v>
      </c>
      <c r="J62" s="26"/>
      <c r="K62" s="26">
        <v>2824770</v>
      </c>
      <c r="L62" s="26"/>
      <c r="M62" s="26">
        <v>17131</v>
      </c>
      <c r="N62" s="26"/>
      <c r="O62" s="26">
        <v>706304</v>
      </c>
      <c r="P62" s="26"/>
      <c r="Q62" s="26">
        <v>110496</v>
      </c>
      <c r="R62" s="26"/>
      <c r="S62" s="26">
        <v>0</v>
      </c>
      <c r="T62" s="26"/>
      <c r="U62" s="26">
        <v>40021</v>
      </c>
      <c r="V62" s="26"/>
      <c r="W62" s="26">
        <f>154651+27192+7333</f>
        <v>189176</v>
      </c>
      <c r="X62" s="26"/>
      <c r="Y62" s="51">
        <f t="shared" si="6"/>
        <v>5058885</v>
      </c>
      <c r="Z62" s="26"/>
      <c r="AA62" s="26">
        <v>15000</v>
      </c>
      <c r="AB62" s="26"/>
      <c r="AC62" s="26"/>
      <c r="AD62" s="26"/>
      <c r="AE62" s="26">
        <v>0</v>
      </c>
      <c r="AF62" s="26"/>
      <c r="AG62" s="26"/>
      <c r="AH62" s="26"/>
      <c r="AI62" s="26"/>
      <c r="AJ62" s="26"/>
      <c r="AK62" s="26">
        <f>128901+3500</f>
        <v>132401</v>
      </c>
      <c r="AL62" s="26"/>
      <c r="AM62" s="26">
        <v>0</v>
      </c>
      <c r="AN62" s="26"/>
      <c r="AO62" s="51">
        <f t="shared" si="7"/>
        <v>147401</v>
      </c>
      <c r="AP62" s="26"/>
      <c r="AQ62" s="51">
        <f t="shared" si="5"/>
        <v>5206286</v>
      </c>
    </row>
    <row r="63" spans="1:44">
      <c r="A63" s="13" t="s">
        <v>733</v>
      </c>
      <c r="B63" s="13"/>
      <c r="C63" s="13" t="s">
        <v>72</v>
      </c>
      <c r="D63" s="13"/>
      <c r="E63" s="32">
        <v>43638</v>
      </c>
      <c r="F63" s="26"/>
      <c r="G63" s="26">
        <v>16975163</v>
      </c>
      <c r="H63" s="26"/>
      <c r="I63" s="26">
        <v>2883846</v>
      </c>
      <c r="J63" s="26"/>
      <c r="K63" s="26">
        <v>12542211</v>
      </c>
      <c r="L63" s="26"/>
      <c r="M63" s="26">
        <v>926137</v>
      </c>
      <c r="N63" s="26"/>
      <c r="O63" s="26">
        <v>545425</v>
      </c>
      <c r="P63" s="26"/>
      <c r="Q63" s="26">
        <v>257817</v>
      </c>
      <c r="R63" s="26"/>
      <c r="S63" s="26">
        <v>0</v>
      </c>
      <c r="T63" s="26"/>
      <c r="U63" s="26">
        <v>31320</v>
      </c>
      <c r="V63" s="26"/>
      <c r="W63" s="26">
        <v>343791</v>
      </c>
      <c r="X63" s="26"/>
      <c r="Y63" s="51">
        <f t="shared" si="6"/>
        <v>34505710</v>
      </c>
      <c r="Z63" s="26"/>
      <c r="AA63" s="26">
        <v>379000</v>
      </c>
      <c r="AB63" s="26"/>
      <c r="AC63" s="26"/>
      <c r="AD63" s="26"/>
      <c r="AE63" s="26">
        <v>0</v>
      </c>
      <c r="AF63" s="26"/>
      <c r="AG63" s="26"/>
      <c r="AH63" s="26"/>
      <c r="AI63" s="26"/>
      <c r="AJ63" s="26"/>
      <c r="AK63" s="26">
        <v>39230</v>
      </c>
      <c r="AL63" s="26"/>
      <c r="AM63" s="26">
        <v>0</v>
      </c>
      <c r="AN63" s="26"/>
      <c r="AO63" s="51">
        <f t="shared" si="7"/>
        <v>418230</v>
      </c>
      <c r="AP63" s="26"/>
      <c r="AQ63" s="51">
        <f t="shared" si="5"/>
        <v>34923940</v>
      </c>
    </row>
    <row r="64" spans="1:44" ht="12" hidden="1" customHeight="1">
      <c r="A64" s="13" t="s">
        <v>961</v>
      </c>
      <c r="B64" s="13"/>
      <c r="C64" s="13" t="s">
        <v>48</v>
      </c>
      <c r="D64" s="13"/>
      <c r="E64" s="32">
        <v>43646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51">
        <f>SUM(G64:W64)</f>
        <v>0</v>
      </c>
      <c r="Z64" s="26"/>
      <c r="AA64" s="26"/>
      <c r="AB64" s="26"/>
      <c r="AC64" s="26"/>
      <c r="AD64" s="26"/>
      <c r="AE64" s="26"/>
      <c r="AF64" s="26"/>
      <c r="AG64" s="26"/>
      <c r="AH64" s="26" t="s">
        <v>876</v>
      </c>
      <c r="AI64" s="26"/>
      <c r="AJ64" s="26"/>
      <c r="AK64" s="26"/>
      <c r="AL64" s="26"/>
      <c r="AM64" s="26">
        <v>0</v>
      </c>
      <c r="AN64" s="26"/>
      <c r="AO64" s="51">
        <f t="shared" si="7"/>
        <v>0</v>
      </c>
      <c r="AP64" s="26"/>
      <c r="AQ64" s="51">
        <f t="shared" si="5"/>
        <v>0</v>
      </c>
    </row>
    <row r="65" spans="1:44">
      <c r="A65" s="13" t="s">
        <v>873</v>
      </c>
      <c r="B65" s="13"/>
      <c r="C65" s="13" t="s">
        <v>20</v>
      </c>
      <c r="D65" s="13"/>
      <c r="E65" s="32">
        <v>43646</v>
      </c>
      <c r="F65" s="26"/>
      <c r="G65" s="26">
        <v>34617997</v>
      </c>
      <c r="H65" s="26"/>
      <c r="I65" s="26">
        <v>0</v>
      </c>
      <c r="J65" s="26"/>
      <c r="K65" s="26">
        <v>15309199</v>
      </c>
      <c r="L65" s="26"/>
      <c r="M65" s="26">
        <v>421339</v>
      </c>
      <c r="N65" s="26"/>
      <c r="O65" s="26">
        <v>937749</v>
      </c>
      <c r="P65" s="26"/>
      <c r="Q65" s="26">
        <v>788523</v>
      </c>
      <c r="R65" s="26"/>
      <c r="S65" s="26">
        <v>83857</v>
      </c>
      <c r="T65" s="26"/>
      <c r="U65" s="26">
        <v>144323</v>
      </c>
      <c r="V65" s="26"/>
      <c r="W65" s="26">
        <f>37367+1430767+55713</f>
        <v>1523847</v>
      </c>
      <c r="X65" s="26"/>
      <c r="Y65" s="51">
        <f t="shared" si="6"/>
        <v>53826834</v>
      </c>
      <c r="Z65" s="26"/>
      <c r="AA65" s="26">
        <v>119038</v>
      </c>
      <c r="AB65" s="26"/>
      <c r="AC65" s="26"/>
      <c r="AD65" s="26"/>
      <c r="AE65" s="26">
        <v>0</v>
      </c>
      <c r="AF65" s="26"/>
      <c r="AG65" s="26"/>
      <c r="AH65" s="26"/>
      <c r="AI65" s="26"/>
      <c r="AJ65" s="26"/>
      <c r="AK65" s="26">
        <v>0</v>
      </c>
      <c r="AL65" s="26"/>
      <c r="AM65" s="26">
        <v>0</v>
      </c>
      <c r="AN65" s="26"/>
      <c r="AO65" s="51">
        <f t="shared" si="7"/>
        <v>119038</v>
      </c>
      <c r="AP65" s="26"/>
      <c r="AQ65" s="51">
        <f t="shared" si="5"/>
        <v>53945872</v>
      </c>
    </row>
    <row r="66" spans="1:44">
      <c r="A66" s="12" t="s">
        <v>963</v>
      </c>
      <c r="B66" s="13"/>
      <c r="C66" s="13" t="s">
        <v>15</v>
      </c>
      <c r="D66" s="13"/>
      <c r="E66" s="32">
        <v>45237</v>
      </c>
      <c r="F66" s="26"/>
      <c r="G66" s="26">
        <v>1549860</v>
      </c>
      <c r="H66" s="26"/>
      <c r="I66" s="26">
        <v>0</v>
      </c>
      <c r="J66" s="26"/>
      <c r="K66" s="26">
        <f>5378139+769453</f>
        <v>6147592</v>
      </c>
      <c r="L66" s="26"/>
      <c r="M66" s="26">
        <v>23031</v>
      </c>
      <c r="N66" s="26"/>
      <c r="O66" s="26">
        <v>269142</v>
      </c>
      <c r="P66" s="26"/>
      <c r="Q66" s="26">
        <v>56775</v>
      </c>
      <c r="R66" s="26"/>
      <c r="S66" s="26">
        <v>0</v>
      </c>
      <c r="T66" s="26"/>
      <c r="U66" s="26">
        <v>0</v>
      </c>
      <c r="V66" s="26"/>
      <c r="W66" s="26">
        <f>10927+123573+14937</f>
        <v>149437</v>
      </c>
      <c r="X66" s="26"/>
      <c r="Y66" s="51">
        <f t="shared" si="6"/>
        <v>8195837</v>
      </c>
      <c r="Z66" s="26"/>
      <c r="AA66" s="26">
        <v>44526</v>
      </c>
      <c r="AB66" s="26"/>
      <c r="AC66" s="26"/>
      <c r="AD66" s="26"/>
      <c r="AE66" s="26">
        <v>110000</v>
      </c>
      <c r="AF66" s="26"/>
      <c r="AG66" s="26"/>
      <c r="AH66" s="26"/>
      <c r="AI66" s="26"/>
      <c r="AJ66" s="26"/>
      <c r="AK66" s="26">
        <v>0</v>
      </c>
      <c r="AL66" s="26"/>
      <c r="AM66" s="26">
        <v>0</v>
      </c>
      <c r="AN66" s="26"/>
      <c r="AO66" s="51">
        <f t="shared" si="7"/>
        <v>154526</v>
      </c>
      <c r="AP66" s="26"/>
      <c r="AQ66" s="51">
        <f t="shared" si="5"/>
        <v>8350363</v>
      </c>
      <c r="AR66" s="8" t="s">
        <v>956</v>
      </c>
    </row>
    <row r="67" spans="1:44">
      <c r="A67" s="13" t="s">
        <v>434</v>
      </c>
      <c r="B67" s="13"/>
      <c r="C67" s="13" t="s">
        <v>435</v>
      </c>
      <c r="D67" s="13"/>
      <c r="E67" s="32">
        <v>47613</v>
      </c>
      <c r="F67" s="26"/>
      <c r="G67" s="26">
        <v>1447148</v>
      </c>
      <c r="H67" s="26"/>
      <c r="I67" s="26">
        <v>0</v>
      </c>
      <c r="J67" s="26"/>
      <c r="K67" s="26">
        <v>5933420</v>
      </c>
      <c r="L67" s="26"/>
      <c r="M67" s="26">
        <v>26105</v>
      </c>
      <c r="N67" s="26"/>
      <c r="O67" s="26">
        <v>436089</v>
      </c>
      <c r="P67" s="26"/>
      <c r="Q67" s="26">
        <v>24527</v>
      </c>
      <c r="R67" s="26"/>
      <c r="S67" s="26">
        <v>0</v>
      </c>
      <c r="T67" s="26"/>
      <c r="U67" s="26">
        <v>2330</v>
      </c>
      <c r="V67" s="26"/>
      <c r="W67" s="26">
        <f>8384+132700+67569</f>
        <v>208653</v>
      </c>
      <c r="X67" s="26"/>
      <c r="Y67" s="51">
        <f t="shared" si="6"/>
        <v>8078272</v>
      </c>
      <c r="Z67" s="26"/>
      <c r="AA67" s="26">
        <v>0</v>
      </c>
      <c r="AB67" s="26"/>
      <c r="AC67" s="26"/>
      <c r="AD67" s="26"/>
      <c r="AE67" s="26">
        <v>0</v>
      </c>
      <c r="AF67" s="26"/>
      <c r="AG67" s="26"/>
      <c r="AH67" s="26"/>
      <c r="AI67" s="26"/>
      <c r="AJ67" s="26" t="s">
        <v>134</v>
      </c>
      <c r="AK67" s="26">
        <v>0</v>
      </c>
      <c r="AL67" s="26"/>
      <c r="AM67" s="26">
        <v>0</v>
      </c>
      <c r="AN67" s="26"/>
      <c r="AO67" s="51">
        <f t="shared" si="7"/>
        <v>0</v>
      </c>
      <c r="AP67" s="26"/>
      <c r="AQ67" s="51">
        <f t="shared" si="5"/>
        <v>8078272</v>
      </c>
    </row>
    <row r="68" spans="1:44">
      <c r="A68" s="13" t="s">
        <v>676</v>
      </c>
      <c r="B68" s="13"/>
      <c r="C68" s="13" t="s">
        <v>64</v>
      </c>
      <c r="D68" s="13"/>
      <c r="E68" s="32">
        <v>50112</v>
      </c>
      <c r="F68" s="26"/>
      <c r="G68" s="26">
        <v>2496925</v>
      </c>
      <c r="H68" s="26"/>
      <c r="I68" s="26">
        <v>0</v>
      </c>
      <c r="J68" s="26"/>
      <c r="K68" s="26">
        <f>4029115+456041</f>
        <v>4485156</v>
      </c>
      <c r="L68" s="26"/>
      <c r="M68" s="26">
        <v>29919</v>
      </c>
      <c r="N68" s="26"/>
      <c r="O68" s="26">
        <v>250868</v>
      </c>
      <c r="P68" s="26"/>
      <c r="Q68" s="26">
        <v>98759</v>
      </c>
      <c r="R68" s="26"/>
      <c r="S68" s="26">
        <v>0</v>
      </c>
      <c r="T68" s="26"/>
      <c r="U68" s="26">
        <v>0</v>
      </c>
      <c r="V68" s="26"/>
      <c r="W68" s="26">
        <f>136409+11155+505115</f>
        <v>652679</v>
      </c>
      <c r="X68" s="26"/>
      <c r="Y68" s="51">
        <f t="shared" si="6"/>
        <v>8014306</v>
      </c>
      <c r="Z68" s="26"/>
      <c r="AA68" s="26">
        <v>94433</v>
      </c>
      <c r="AB68" s="26"/>
      <c r="AC68" s="26"/>
      <c r="AD68" s="26"/>
      <c r="AE68" s="26">
        <v>0</v>
      </c>
      <c r="AF68" s="26"/>
      <c r="AG68" s="26"/>
      <c r="AH68" s="26"/>
      <c r="AI68" s="26"/>
      <c r="AJ68" s="26"/>
      <c r="AK68" s="26">
        <v>0</v>
      </c>
      <c r="AL68" s="26"/>
      <c r="AM68" s="26">
        <v>0</v>
      </c>
      <c r="AN68" s="26"/>
      <c r="AO68" s="51">
        <f t="shared" si="7"/>
        <v>94433</v>
      </c>
      <c r="AP68" s="26"/>
      <c r="AQ68" s="51">
        <f t="shared" si="5"/>
        <v>8108739</v>
      </c>
    </row>
    <row r="69" spans="1:44">
      <c r="A69" s="13" t="s">
        <v>677</v>
      </c>
      <c r="B69" s="13"/>
      <c r="C69" s="13" t="s">
        <v>64</v>
      </c>
      <c r="D69" s="13"/>
      <c r="E69" s="32">
        <v>50120</v>
      </c>
      <c r="F69" s="26"/>
      <c r="G69" s="26">
        <v>3639549</v>
      </c>
      <c r="H69" s="26"/>
      <c r="I69" s="26">
        <v>0</v>
      </c>
      <c r="J69" s="26"/>
      <c r="K69" s="26">
        <f>16649215+978727</f>
        <v>17627942</v>
      </c>
      <c r="L69" s="26"/>
      <c r="M69" s="26">
        <v>567828</v>
      </c>
      <c r="N69" s="26"/>
      <c r="O69" s="26">
        <v>232005</v>
      </c>
      <c r="P69" s="26"/>
      <c r="Q69" s="26">
        <v>131578</v>
      </c>
      <c r="R69" s="26"/>
      <c r="S69" s="26">
        <v>0</v>
      </c>
      <c r="T69" s="26"/>
      <c r="U69" s="26">
        <v>0</v>
      </c>
      <c r="V69" s="26"/>
      <c r="W69" s="26">
        <f>104952+7332+208682+1950</f>
        <v>322916</v>
      </c>
      <c r="X69" s="26"/>
      <c r="Y69" s="51">
        <f t="shared" si="6"/>
        <v>22521818</v>
      </c>
      <c r="Z69" s="26"/>
      <c r="AA69" s="26">
        <v>0</v>
      </c>
      <c r="AB69" s="26"/>
      <c r="AC69" s="26"/>
      <c r="AD69" s="26"/>
      <c r="AE69" s="26">
        <v>97959</v>
      </c>
      <c r="AF69" s="26"/>
      <c r="AG69" s="26"/>
      <c r="AH69" s="26"/>
      <c r="AI69" s="26"/>
      <c r="AJ69" s="26"/>
      <c r="AK69" s="26">
        <v>0</v>
      </c>
      <c r="AL69" s="26"/>
      <c r="AM69" s="26">
        <v>0</v>
      </c>
      <c r="AN69" s="26"/>
      <c r="AO69" s="51">
        <f t="shared" si="7"/>
        <v>97959</v>
      </c>
      <c r="AP69" s="26"/>
      <c r="AQ69" s="51">
        <f t="shared" si="5"/>
        <v>22619777</v>
      </c>
      <c r="AR69" s="8" t="s">
        <v>956</v>
      </c>
    </row>
    <row r="70" spans="1:44">
      <c r="A70" s="13" t="s">
        <v>301</v>
      </c>
      <c r="B70" s="13"/>
      <c r="C70" s="13" t="s">
        <v>20</v>
      </c>
      <c r="D70" s="13"/>
      <c r="E70" s="32">
        <v>43653</v>
      </c>
      <c r="F70" s="26"/>
      <c r="G70" s="26">
        <v>11411277</v>
      </c>
      <c r="H70" s="26"/>
      <c r="I70" s="26">
        <v>0</v>
      </c>
      <c r="J70" s="26"/>
      <c r="K70" s="26">
        <v>5040895</v>
      </c>
      <c r="L70" s="26"/>
      <c r="M70" s="26">
        <v>18993</v>
      </c>
      <c r="N70" s="26"/>
      <c r="O70" s="26">
        <v>357637</v>
      </c>
      <c r="P70" s="26"/>
      <c r="Q70" s="26">
        <v>118743</v>
      </c>
      <c r="R70" s="26"/>
      <c r="S70" s="26">
        <v>0</v>
      </c>
      <c r="T70" s="26"/>
      <c r="U70" s="26">
        <v>7087</v>
      </c>
      <c r="V70" s="26"/>
      <c r="W70" s="26">
        <f>332726+2485+145454</f>
        <v>480665</v>
      </c>
      <c r="X70" s="26"/>
      <c r="Y70" s="51">
        <f t="shared" si="6"/>
        <v>17435297</v>
      </c>
      <c r="Z70" s="26"/>
      <c r="AA70" s="26">
        <v>0</v>
      </c>
      <c r="AB70" s="26"/>
      <c r="AC70" s="26"/>
      <c r="AD70" s="26"/>
      <c r="AE70" s="26">
        <v>0</v>
      </c>
      <c r="AF70" s="26"/>
      <c r="AG70" s="26"/>
      <c r="AH70" s="26"/>
      <c r="AI70" s="26"/>
      <c r="AJ70" s="26"/>
      <c r="AK70" s="26">
        <v>0</v>
      </c>
      <c r="AL70" s="26"/>
      <c r="AM70" s="26">
        <v>0</v>
      </c>
      <c r="AN70" s="26"/>
      <c r="AO70" s="51">
        <f t="shared" si="7"/>
        <v>0</v>
      </c>
      <c r="AP70" s="26"/>
      <c r="AQ70" s="51">
        <f t="shared" si="5"/>
        <v>17435297</v>
      </c>
    </row>
    <row r="71" spans="1:44">
      <c r="A71" s="13" t="s">
        <v>544</v>
      </c>
      <c r="B71" s="13"/>
      <c r="C71" s="13" t="s">
        <v>50</v>
      </c>
      <c r="D71" s="13"/>
      <c r="E71" s="32">
        <v>48678</v>
      </c>
      <c r="F71" s="26"/>
      <c r="G71" s="26">
        <v>6405288</v>
      </c>
      <c r="H71" s="26"/>
      <c r="I71" s="26">
        <v>0</v>
      </c>
      <c r="J71" s="26"/>
      <c r="K71" s="26">
        <v>12358554</v>
      </c>
      <c r="L71" s="26"/>
      <c r="M71" s="26">
        <v>141124</v>
      </c>
      <c r="N71" s="26"/>
      <c r="O71" s="26">
        <v>247972</v>
      </c>
      <c r="P71" s="26"/>
      <c r="Q71" s="26">
        <v>330977</v>
      </c>
      <c r="R71" s="26"/>
      <c r="S71" s="26">
        <v>27227</v>
      </c>
      <c r="T71" s="26"/>
      <c r="U71" s="26">
        <v>0</v>
      </c>
      <c r="V71" s="26"/>
      <c r="W71" s="26">
        <f>601576+119264</f>
        <v>720840</v>
      </c>
      <c r="X71" s="26"/>
      <c r="Y71" s="51">
        <f t="shared" si="6"/>
        <v>20231982</v>
      </c>
      <c r="Z71" s="26"/>
      <c r="AA71" s="26">
        <v>213895</v>
      </c>
      <c r="AB71" s="26"/>
      <c r="AC71" s="26"/>
      <c r="AD71" s="26"/>
      <c r="AE71" s="26">
        <v>0</v>
      </c>
      <c r="AF71" s="26"/>
      <c r="AG71" s="26"/>
      <c r="AH71" s="26"/>
      <c r="AI71" s="26"/>
      <c r="AJ71" s="26"/>
      <c r="AK71" s="26">
        <v>0</v>
      </c>
      <c r="AL71" s="26"/>
      <c r="AM71" s="26">
        <v>0</v>
      </c>
      <c r="AN71" s="26"/>
      <c r="AO71" s="51">
        <f t="shared" si="7"/>
        <v>213895</v>
      </c>
      <c r="AP71" s="26"/>
      <c r="AQ71" s="51">
        <f t="shared" si="5"/>
        <v>20445877</v>
      </c>
      <c r="AR71" s="8" t="s">
        <v>956</v>
      </c>
    </row>
    <row r="72" spans="1:44">
      <c r="A72" s="13" t="s">
        <v>252</v>
      </c>
      <c r="B72" s="13"/>
      <c r="C72" s="13" t="s">
        <v>16</v>
      </c>
      <c r="D72" s="13"/>
      <c r="E72" s="32">
        <v>46177</v>
      </c>
      <c r="F72" s="26"/>
      <c r="G72" s="26">
        <v>3366547</v>
      </c>
      <c r="H72" s="26"/>
      <c r="I72" s="26">
        <v>0</v>
      </c>
      <c r="J72" s="26"/>
      <c r="K72" s="26">
        <v>4034057</v>
      </c>
      <c r="L72" s="26"/>
      <c r="M72" s="26">
        <v>59798</v>
      </c>
      <c r="N72" s="26"/>
      <c r="O72" s="26">
        <v>344218</v>
      </c>
      <c r="P72" s="26"/>
      <c r="Q72" s="26">
        <v>146145</v>
      </c>
      <c r="R72" s="26"/>
      <c r="S72" s="26">
        <v>6137</v>
      </c>
      <c r="T72" s="26"/>
      <c r="U72" s="26">
        <v>109</v>
      </c>
      <c r="V72" s="26"/>
      <c r="W72" s="26">
        <f>5000+125391+34198</f>
        <v>164589</v>
      </c>
      <c r="X72" s="26"/>
      <c r="Y72" s="51">
        <f t="shared" si="6"/>
        <v>8121600</v>
      </c>
      <c r="Z72" s="26"/>
      <c r="AA72" s="26">
        <v>0</v>
      </c>
      <c r="AB72" s="26"/>
      <c r="AC72" s="26"/>
      <c r="AD72" s="26"/>
      <c r="AE72" s="26">
        <v>71043</v>
      </c>
      <c r="AF72" s="26"/>
      <c r="AG72" s="26"/>
      <c r="AH72" s="26"/>
      <c r="AI72" s="26"/>
      <c r="AJ72" s="26"/>
      <c r="AK72" s="26">
        <v>0</v>
      </c>
      <c r="AL72" s="26"/>
      <c r="AM72" s="26">
        <v>0</v>
      </c>
      <c r="AN72" s="26"/>
      <c r="AO72" s="51">
        <f t="shared" si="7"/>
        <v>71043</v>
      </c>
      <c r="AP72" s="26"/>
      <c r="AQ72" s="51">
        <f t="shared" si="5"/>
        <v>8192643</v>
      </c>
    </row>
    <row r="73" spans="1:44">
      <c r="A73" s="13" t="s">
        <v>526</v>
      </c>
      <c r="B73" s="13"/>
      <c r="C73" s="13" t="s">
        <v>47</v>
      </c>
      <c r="D73" s="13"/>
      <c r="E73" s="32">
        <v>43661</v>
      </c>
      <c r="F73" s="26"/>
      <c r="G73" s="26">
        <v>39701532</v>
      </c>
      <c r="H73" s="26"/>
      <c r="I73" s="26">
        <v>0</v>
      </c>
      <c r="J73" s="26"/>
      <c r="K73" s="26">
        <v>35269952</v>
      </c>
      <c r="L73" s="26"/>
      <c r="M73" s="26">
        <v>197649</v>
      </c>
      <c r="N73" s="26"/>
      <c r="O73" s="26">
        <v>720839</v>
      </c>
      <c r="P73" s="26"/>
      <c r="Q73" s="26">
        <v>1072423</v>
      </c>
      <c r="R73" s="26"/>
      <c r="S73" s="26">
        <v>0</v>
      </c>
      <c r="T73" s="26"/>
      <c r="U73" s="26">
        <v>27842</v>
      </c>
      <c r="V73" s="26"/>
      <c r="W73" s="26">
        <f>51034+1160900+241006</f>
        <v>1452940</v>
      </c>
      <c r="X73" s="26"/>
      <c r="Y73" s="51">
        <f t="shared" si="6"/>
        <v>78443177</v>
      </c>
      <c r="Z73" s="26"/>
      <c r="AA73" s="8">
        <v>31372</v>
      </c>
      <c r="AB73" s="26"/>
      <c r="AC73" s="26"/>
      <c r="AD73" s="26"/>
      <c r="AE73" s="26">
        <f>6534993+343305+34146+452210</f>
        <v>7364654</v>
      </c>
      <c r="AF73" s="26"/>
      <c r="AG73" s="26"/>
      <c r="AH73" s="26"/>
      <c r="AI73" s="26"/>
      <c r="AJ73" s="26"/>
      <c r="AK73" s="26">
        <v>0</v>
      </c>
      <c r="AL73" s="26"/>
      <c r="AM73" s="26">
        <v>0</v>
      </c>
      <c r="AN73" s="26"/>
      <c r="AO73" s="51">
        <f t="shared" si="7"/>
        <v>7396026</v>
      </c>
      <c r="AP73" s="26"/>
      <c r="AQ73" s="51">
        <f t="shared" si="5"/>
        <v>85839203</v>
      </c>
    </row>
    <row r="74" spans="1:44" hidden="1">
      <c r="A74" s="13" t="s">
        <v>966</v>
      </c>
      <c r="B74" s="13"/>
      <c r="C74" s="13" t="s">
        <v>727</v>
      </c>
      <c r="D74" s="13"/>
      <c r="E74" s="32">
        <v>43679</v>
      </c>
      <c r="F74" s="26"/>
      <c r="G74" s="26">
        <v>8304094</v>
      </c>
      <c r="H74" s="26"/>
      <c r="I74" s="26">
        <v>2968997</v>
      </c>
      <c r="J74" s="26"/>
      <c r="K74" s="26">
        <v>9452929</v>
      </c>
      <c r="L74" s="26"/>
      <c r="M74" s="26">
        <v>159451</v>
      </c>
      <c r="N74" s="26"/>
      <c r="O74" s="26">
        <v>1559020</v>
      </c>
      <c r="P74" s="26"/>
      <c r="Q74" s="26">
        <v>416363</v>
      </c>
      <c r="R74" s="26"/>
      <c r="S74" s="26"/>
      <c r="T74" s="26"/>
      <c r="U74" s="26">
        <v>45299</v>
      </c>
      <c r="V74" s="26"/>
      <c r="W74" s="26">
        <f>51412+472032+128455</f>
        <v>651899</v>
      </c>
      <c r="X74" s="26"/>
      <c r="Y74" s="51">
        <f t="shared" si="6"/>
        <v>23558052</v>
      </c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>
        <v>0</v>
      </c>
      <c r="AN74" s="26"/>
      <c r="AO74" s="51">
        <f t="shared" si="7"/>
        <v>0</v>
      </c>
      <c r="AP74" s="26"/>
      <c r="AQ74" s="51">
        <f t="shared" si="5"/>
        <v>23558052</v>
      </c>
      <c r="AR74" s="8" t="s">
        <v>956</v>
      </c>
    </row>
    <row r="75" spans="1:44">
      <c r="A75" s="13" t="s">
        <v>290</v>
      </c>
      <c r="B75" s="13"/>
      <c r="C75" s="13" t="s">
        <v>113</v>
      </c>
      <c r="D75" s="13"/>
      <c r="E75" s="32">
        <v>46508</v>
      </c>
      <c r="F75" s="26"/>
      <c r="G75" s="26">
        <v>2187812</v>
      </c>
      <c r="H75" s="26"/>
      <c r="I75" s="26">
        <v>1402945</v>
      </c>
      <c r="J75" s="26"/>
      <c r="K75" s="26">
        <f>13969613+417180</f>
        <v>14386793</v>
      </c>
      <c r="L75" s="26"/>
      <c r="M75" s="26">
        <v>382734</v>
      </c>
      <c r="N75" s="26"/>
      <c r="O75" s="26">
        <v>225663</v>
      </c>
      <c r="P75" s="26"/>
      <c r="Q75" s="26">
        <v>73804</v>
      </c>
      <c r="R75" s="26"/>
      <c r="S75" s="26">
        <v>0</v>
      </c>
      <c r="T75" s="26"/>
      <c r="U75" s="26">
        <v>3000</v>
      </c>
      <c r="V75" s="26"/>
      <c r="W75" s="26">
        <f>180920+14839+100+57326</f>
        <v>253185</v>
      </c>
      <c r="X75" s="26"/>
      <c r="Y75" s="51">
        <f t="shared" si="6"/>
        <v>18915936</v>
      </c>
      <c r="Z75" s="26"/>
      <c r="AA75" s="26">
        <v>56500</v>
      </c>
      <c r="AB75" s="26"/>
      <c r="AC75" s="26"/>
      <c r="AD75" s="26"/>
      <c r="AE75" s="26">
        <v>0</v>
      </c>
      <c r="AF75" s="26"/>
      <c r="AG75" s="26"/>
      <c r="AH75" s="26"/>
      <c r="AI75" s="26"/>
      <c r="AJ75" s="26"/>
      <c r="AK75" s="26">
        <v>0</v>
      </c>
      <c r="AL75" s="26"/>
      <c r="AM75" s="26">
        <v>0</v>
      </c>
      <c r="AN75" s="26"/>
      <c r="AO75" s="51">
        <f t="shared" si="7"/>
        <v>56500</v>
      </c>
      <c r="AP75" s="26"/>
      <c r="AQ75" s="51">
        <f t="shared" si="5"/>
        <v>18972436</v>
      </c>
    </row>
    <row r="76" spans="1:44">
      <c r="A76" s="13" t="s">
        <v>217</v>
      </c>
      <c r="B76" s="13"/>
      <c r="C76" s="13" t="s">
        <v>12</v>
      </c>
      <c r="D76" s="13"/>
      <c r="E76" s="32">
        <v>45856</v>
      </c>
      <c r="F76" s="26"/>
      <c r="G76" s="26">
        <v>7978633</v>
      </c>
      <c r="H76" s="26"/>
      <c r="I76" s="26">
        <v>0</v>
      </c>
      <c r="J76" s="26"/>
      <c r="K76" s="26">
        <v>11061502</v>
      </c>
      <c r="L76" s="26"/>
      <c r="M76" s="26">
        <v>90651</v>
      </c>
      <c r="N76" s="26"/>
      <c r="O76" s="26">
        <v>1199626</v>
      </c>
      <c r="P76" s="26"/>
      <c r="Q76" s="26">
        <v>143510</v>
      </c>
      <c r="R76" s="26"/>
      <c r="S76" s="26">
        <v>0</v>
      </c>
      <c r="T76" s="26"/>
      <c r="U76" s="26">
        <v>18533</v>
      </c>
      <c r="V76" s="26"/>
      <c r="W76" s="26">
        <f>2883+56067+427084</f>
        <v>486034</v>
      </c>
      <c r="X76" s="26"/>
      <c r="Y76" s="51">
        <f t="shared" si="6"/>
        <v>20978489</v>
      </c>
      <c r="Z76" s="26"/>
      <c r="AA76" s="26">
        <v>0</v>
      </c>
      <c r="AB76" s="26"/>
      <c r="AC76" s="26"/>
      <c r="AD76" s="26"/>
      <c r="AE76" s="26">
        <v>0</v>
      </c>
      <c r="AF76" s="26"/>
      <c r="AG76" s="26"/>
      <c r="AH76" s="26"/>
      <c r="AI76" s="26"/>
      <c r="AJ76" s="26"/>
      <c r="AK76" s="26">
        <v>0</v>
      </c>
      <c r="AL76" s="26"/>
      <c r="AM76" s="26">
        <v>0</v>
      </c>
      <c r="AN76" s="26"/>
      <c r="AO76" s="51">
        <f t="shared" si="7"/>
        <v>0</v>
      </c>
      <c r="AP76" s="26"/>
      <c r="AQ76" s="51">
        <f t="shared" si="5"/>
        <v>20978489</v>
      </c>
    </row>
    <row r="77" spans="1:44">
      <c r="A77" s="13" t="s">
        <v>217</v>
      </c>
      <c r="B77" s="13"/>
      <c r="C77" s="13" t="s">
        <v>39</v>
      </c>
      <c r="D77" s="13"/>
      <c r="E77" s="32">
        <v>47787</v>
      </c>
      <c r="F77" s="26"/>
      <c r="G77" s="26">
        <v>6821485</v>
      </c>
      <c r="H77" s="26"/>
      <c r="I77" s="26">
        <v>0</v>
      </c>
      <c r="J77" s="26"/>
      <c r="K77" s="26">
        <v>14049258</v>
      </c>
      <c r="L77" s="26"/>
      <c r="M77" s="26">
        <v>51870</v>
      </c>
      <c r="N77" s="26"/>
      <c r="O77" s="26">
        <v>483006</v>
      </c>
      <c r="P77" s="26"/>
      <c r="Q77" s="26">
        <v>156859</v>
      </c>
      <c r="R77" s="26"/>
      <c r="S77" s="26">
        <v>0</v>
      </c>
      <c r="T77" s="26"/>
      <c r="U77" s="26">
        <v>78376</v>
      </c>
      <c r="V77" s="26"/>
      <c r="W77" s="26">
        <f>303927+48057</f>
        <v>351984</v>
      </c>
      <c r="X77" s="26"/>
      <c r="Y77" s="51">
        <f t="shared" si="6"/>
        <v>21992838</v>
      </c>
      <c r="Z77" s="26"/>
      <c r="AA77" s="26">
        <v>255893</v>
      </c>
      <c r="AB77" s="26"/>
      <c r="AC77" s="26"/>
      <c r="AD77" s="26"/>
      <c r="AE77" s="26">
        <v>0</v>
      </c>
      <c r="AF77" s="26"/>
      <c r="AG77" s="26"/>
      <c r="AH77" s="26"/>
      <c r="AI77" s="26"/>
      <c r="AJ77" s="26"/>
      <c r="AK77" s="26">
        <v>1100</v>
      </c>
      <c r="AL77" s="26"/>
      <c r="AM77" s="26">
        <v>0</v>
      </c>
      <c r="AN77" s="26"/>
      <c r="AO77" s="51">
        <f t="shared" si="7"/>
        <v>256993</v>
      </c>
      <c r="AP77" s="26"/>
      <c r="AQ77" s="51">
        <f t="shared" si="5"/>
        <v>22249831</v>
      </c>
    </row>
    <row r="78" spans="1:44">
      <c r="A78" s="13" t="s">
        <v>968</v>
      </c>
      <c r="B78" s="13"/>
      <c r="C78" s="13" t="s">
        <v>47</v>
      </c>
      <c r="D78" s="13"/>
      <c r="E78" s="32">
        <v>48470</v>
      </c>
      <c r="F78" s="26"/>
      <c r="G78" s="26">
        <v>11389875</v>
      </c>
      <c r="H78" s="26"/>
      <c r="I78" s="26">
        <v>0</v>
      </c>
      <c r="J78" s="26"/>
      <c r="K78" s="26">
        <v>10419537</v>
      </c>
      <c r="L78" s="26"/>
      <c r="M78" s="26">
        <v>91805</v>
      </c>
      <c r="N78" s="26"/>
      <c r="O78" s="26">
        <v>227909</v>
      </c>
      <c r="P78" s="26"/>
      <c r="Q78" s="26">
        <v>457240</v>
      </c>
      <c r="R78" s="26"/>
      <c r="S78" s="26">
        <v>34475</v>
      </c>
      <c r="T78" s="26"/>
      <c r="U78" s="26">
        <v>0</v>
      </c>
      <c r="V78" s="26"/>
      <c r="W78" s="26">
        <f>153462+303370</f>
        <v>456832</v>
      </c>
      <c r="X78" s="26"/>
      <c r="Y78" s="51">
        <f t="shared" si="6"/>
        <v>23077673</v>
      </c>
      <c r="Z78" s="26"/>
      <c r="AA78" s="26">
        <v>154561</v>
      </c>
      <c r="AB78" s="26"/>
      <c r="AC78" s="26"/>
      <c r="AD78" s="26"/>
      <c r="AE78" s="26">
        <v>171217</v>
      </c>
      <c r="AF78" s="26"/>
      <c r="AG78" s="26"/>
      <c r="AH78" s="26"/>
      <c r="AI78" s="26"/>
      <c r="AJ78" s="26"/>
      <c r="AK78" s="26">
        <v>0</v>
      </c>
      <c r="AL78" s="26"/>
      <c r="AM78" s="26">
        <v>0</v>
      </c>
      <c r="AN78" s="26"/>
      <c r="AO78" s="51">
        <f t="shared" si="7"/>
        <v>325778</v>
      </c>
      <c r="AP78" s="26"/>
      <c r="AQ78" s="51">
        <f t="shared" si="5"/>
        <v>23403451</v>
      </c>
    </row>
    <row r="79" spans="1:44" hidden="1">
      <c r="A79" s="8" t="s">
        <v>901</v>
      </c>
      <c r="B79" s="13"/>
      <c r="C79" s="13" t="s">
        <v>114</v>
      </c>
      <c r="D79" s="13"/>
      <c r="E79" s="32">
        <v>46755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51">
        <f>SUM(G79:W79)</f>
        <v>0</v>
      </c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>
        <v>0</v>
      </c>
      <c r="AN79" s="26"/>
      <c r="AO79" s="51">
        <f t="shared" si="7"/>
        <v>0</v>
      </c>
      <c r="AP79" s="26"/>
      <c r="AQ79" s="51">
        <f t="shared" si="5"/>
        <v>0</v>
      </c>
      <c r="AR79" s="8" t="s">
        <v>967</v>
      </c>
    </row>
    <row r="80" spans="1:44">
      <c r="A80" s="13" t="s">
        <v>334</v>
      </c>
      <c r="B80" s="13"/>
      <c r="C80" s="13" t="s">
        <v>23</v>
      </c>
      <c r="D80" s="13"/>
      <c r="E80" s="32">
        <v>46755</v>
      </c>
      <c r="F80" s="26"/>
      <c r="G80" s="26">
        <v>10269535</v>
      </c>
      <c r="H80" s="26"/>
      <c r="I80" s="26">
        <v>4537934</v>
      </c>
      <c r="J80" s="26"/>
      <c r="K80" s="26">
        <f>6937403+987710</f>
        <v>7925113</v>
      </c>
      <c r="L80" s="26"/>
      <c r="M80" s="26">
        <v>259996</v>
      </c>
      <c r="N80" s="26"/>
      <c r="O80" s="26">
        <v>962550</v>
      </c>
      <c r="P80" s="26"/>
      <c r="Q80" s="26">
        <v>213274</v>
      </c>
      <c r="R80" s="26"/>
      <c r="S80" s="26">
        <v>0</v>
      </c>
      <c r="T80" s="26"/>
      <c r="U80" s="26">
        <v>28591</v>
      </c>
      <c r="V80" s="26"/>
      <c r="W80" s="26">
        <f>538705+145433+6754+4425+79412</f>
        <v>774729</v>
      </c>
      <c r="X80" s="26"/>
      <c r="Y80" s="51">
        <f>SUM(G80:W80)</f>
        <v>24971722</v>
      </c>
      <c r="Z80" s="26"/>
      <c r="AA80" s="26">
        <v>0</v>
      </c>
      <c r="AB80" s="26"/>
      <c r="AC80" s="26"/>
      <c r="AD80" s="26"/>
      <c r="AE80" s="26">
        <v>31539721</v>
      </c>
      <c r="AF80" s="26"/>
      <c r="AG80" s="26"/>
      <c r="AH80" s="26"/>
      <c r="AI80" s="26"/>
      <c r="AJ80" s="26"/>
      <c r="AK80" s="26">
        <v>0</v>
      </c>
      <c r="AL80" s="26"/>
      <c r="AM80" s="26">
        <v>0</v>
      </c>
      <c r="AN80" s="26"/>
      <c r="AO80" s="51">
        <f t="shared" si="7"/>
        <v>31539721</v>
      </c>
      <c r="AP80" s="26"/>
      <c r="AQ80" s="51">
        <f t="shared" si="5"/>
        <v>56511443</v>
      </c>
    </row>
    <row r="81" spans="1:43">
      <c r="A81" s="13" t="s">
        <v>291</v>
      </c>
      <c r="B81" s="13"/>
      <c r="C81" s="13" t="s">
        <v>113</v>
      </c>
      <c r="D81" s="13"/>
      <c r="E81" s="32">
        <v>43687</v>
      </c>
      <c r="F81" s="26"/>
      <c r="G81" s="26">
        <v>5241826</v>
      </c>
      <c r="H81" s="26"/>
      <c r="I81" s="26">
        <v>0</v>
      </c>
      <c r="J81" s="26"/>
      <c r="K81" s="26">
        <v>17993929</v>
      </c>
      <c r="L81" s="26"/>
      <c r="M81" s="26">
        <v>674117</v>
      </c>
      <c r="N81" s="26"/>
      <c r="O81" s="26">
        <v>518918</v>
      </c>
      <c r="P81" s="26"/>
      <c r="Q81" s="26">
        <v>80424</v>
      </c>
      <c r="R81" s="26"/>
      <c r="S81" s="26">
        <v>46414</v>
      </c>
      <c r="T81" s="26"/>
      <c r="U81" s="26">
        <v>9282</v>
      </c>
      <c r="V81" s="26"/>
      <c r="W81" s="26">
        <f>319590+220006</f>
        <v>539596</v>
      </c>
      <c r="X81" s="26"/>
      <c r="Y81" s="51">
        <f>SUM(G81:W81)</f>
        <v>25104506</v>
      </c>
      <c r="Z81" s="26"/>
      <c r="AA81" s="26">
        <v>100000</v>
      </c>
      <c r="AB81" s="26"/>
      <c r="AC81" s="26"/>
      <c r="AD81" s="26"/>
      <c r="AE81" s="26">
        <v>0</v>
      </c>
      <c r="AF81" s="26"/>
      <c r="AG81" s="26"/>
      <c r="AH81" s="26"/>
      <c r="AI81" s="26"/>
      <c r="AJ81" s="26"/>
      <c r="AK81" s="26">
        <v>0</v>
      </c>
      <c r="AL81" s="26"/>
      <c r="AM81" s="26">
        <v>0</v>
      </c>
      <c r="AN81" s="26"/>
      <c r="AO81" s="51">
        <f t="shared" si="7"/>
        <v>100000</v>
      </c>
      <c r="AP81" s="26"/>
      <c r="AQ81" s="51">
        <f t="shared" si="5"/>
        <v>25204506</v>
      </c>
    </row>
    <row r="82" spans="1:43">
      <c r="A82" s="13" t="s">
        <v>569</v>
      </c>
      <c r="B82" s="13"/>
      <c r="C82" s="13" t="s">
        <v>52</v>
      </c>
      <c r="D82" s="13"/>
      <c r="E82" s="32">
        <v>45252</v>
      </c>
      <c r="F82" s="26"/>
      <c r="G82" s="26">
        <v>2385755</v>
      </c>
      <c r="H82" s="26"/>
      <c r="I82" s="26">
        <v>0</v>
      </c>
      <c r="J82" s="26"/>
      <c r="K82" s="26">
        <v>5391108</v>
      </c>
      <c r="L82" s="26"/>
      <c r="M82" s="26">
        <v>40363</v>
      </c>
      <c r="N82" s="26"/>
      <c r="O82" s="26">
        <v>318475</v>
      </c>
      <c r="P82" s="26"/>
      <c r="Q82" s="26">
        <v>188194</v>
      </c>
      <c r="R82" s="26"/>
      <c r="S82" s="26">
        <v>0</v>
      </c>
      <c r="T82" s="26"/>
      <c r="U82" s="26">
        <v>5155</v>
      </c>
      <c r="V82" s="26"/>
      <c r="W82" s="26">
        <f>1473+135313+12263</f>
        <v>149049</v>
      </c>
      <c r="X82" s="26"/>
      <c r="Y82" s="51">
        <f t="shared" ref="Y82:Y83" si="8">SUM(G82:W82)</f>
        <v>8478099</v>
      </c>
      <c r="Z82" s="26"/>
      <c r="AA82" s="26">
        <v>44000</v>
      </c>
      <c r="AB82" s="26"/>
      <c r="AC82" s="26"/>
      <c r="AD82" s="26"/>
      <c r="AE82" s="26">
        <v>0</v>
      </c>
      <c r="AF82" s="26"/>
      <c r="AG82" s="26"/>
      <c r="AH82" s="26"/>
      <c r="AI82" s="26"/>
      <c r="AJ82" s="26"/>
      <c r="AK82" s="26">
        <v>0</v>
      </c>
      <c r="AL82" s="26"/>
      <c r="AM82" s="26">
        <v>0</v>
      </c>
      <c r="AN82" s="26"/>
      <c r="AO82" s="51">
        <f t="shared" si="7"/>
        <v>44000</v>
      </c>
      <c r="AP82" s="26"/>
      <c r="AQ82" s="51">
        <f t="shared" si="5"/>
        <v>8522099</v>
      </c>
    </row>
    <row r="83" spans="1:43">
      <c r="A83" s="13" t="s">
        <v>389</v>
      </c>
      <c r="B83" s="13"/>
      <c r="C83" s="13" t="s">
        <v>31</v>
      </c>
      <c r="D83" s="13"/>
      <c r="E83" s="32">
        <v>43695</v>
      </c>
      <c r="F83" s="26"/>
      <c r="G83" s="26">
        <v>6672989</v>
      </c>
      <c r="H83" s="26"/>
      <c r="I83" s="26">
        <v>0</v>
      </c>
      <c r="J83" s="26"/>
      <c r="K83" s="26">
        <v>17328126</v>
      </c>
      <c r="L83" s="26"/>
      <c r="M83" s="26">
        <v>81019</v>
      </c>
      <c r="N83" s="26"/>
      <c r="O83" s="26">
        <v>757319</v>
      </c>
      <c r="P83" s="26"/>
      <c r="Q83" s="26">
        <v>158584</v>
      </c>
      <c r="R83" s="26"/>
      <c r="S83" s="26">
        <v>0</v>
      </c>
      <c r="T83" s="26"/>
      <c r="U83" s="26">
        <v>20252</v>
      </c>
      <c r="V83" s="26"/>
      <c r="W83" s="26">
        <f>1470+390391+242263</f>
        <v>634124</v>
      </c>
      <c r="X83" s="26"/>
      <c r="Y83" s="51">
        <f t="shared" si="8"/>
        <v>25652413</v>
      </c>
      <c r="Z83" s="26"/>
      <c r="AA83" s="26">
        <v>0</v>
      </c>
      <c r="AB83" s="26"/>
      <c r="AC83" s="26"/>
      <c r="AD83" s="26"/>
      <c r="AE83" s="26">
        <v>52690</v>
      </c>
      <c r="AF83" s="26"/>
      <c r="AG83" s="26"/>
      <c r="AH83" s="26"/>
      <c r="AI83" s="26"/>
      <c r="AJ83" s="26"/>
      <c r="AK83" s="26">
        <v>0</v>
      </c>
      <c r="AL83" s="26"/>
      <c r="AM83" s="26">
        <v>0</v>
      </c>
      <c r="AN83" s="26"/>
      <c r="AO83" s="51">
        <f t="shared" si="7"/>
        <v>52690</v>
      </c>
      <c r="AP83" s="26"/>
      <c r="AQ83" s="51">
        <f t="shared" si="5"/>
        <v>25705103</v>
      </c>
    </row>
    <row r="84" spans="1:43">
      <c r="A84" s="13" t="s">
        <v>510</v>
      </c>
      <c r="B84" s="13"/>
      <c r="C84" s="13" t="s">
        <v>45</v>
      </c>
      <c r="D84" s="13"/>
      <c r="E84" s="32">
        <v>43703</v>
      </c>
      <c r="F84" s="26"/>
      <c r="G84" s="26">
        <v>2267761</v>
      </c>
      <c r="H84" s="26"/>
      <c r="I84" s="26">
        <v>0</v>
      </c>
      <c r="J84" s="26"/>
      <c r="K84" s="26">
        <v>12349843</v>
      </c>
      <c r="L84" s="26"/>
      <c r="M84" s="26">
        <v>23411</v>
      </c>
      <c r="N84" s="26"/>
      <c r="O84" s="26">
        <v>30945</v>
      </c>
      <c r="P84" s="26"/>
      <c r="Q84" s="26">
        <v>163062</v>
      </c>
      <c r="R84" s="26"/>
      <c r="S84" s="26">
        <v>0</v>
      </c>
      <c r="T84" s="26"/>
      <c r="U84" s="26">
        <v>15746</v>
      </c>
      <c r="V84" s="26"/>
      <c r="W84" s="26">
        <f>71650+34184</f>
        <v>105834</v>
      </c>
      <c r="X84" s="26"/>
      <c r="Y84" s="51">
        <f t="shared" ref="Y84:Y151" si="9">SUM(G84:W84)</f>
        <v>14956602</v>
      </c>
      <c r="Z84" s="26"/>
      <c r="AA84" s="26">
        <v>263230</v>
      </c>
      <c r="AB84" s="26"/>
      <c r="AC84" s="26"/>
      <c r="AD84" s="26"/>
      <c r="AE84" s="26">
        <v>0</v>
      </c>
      <c r="AF84" s="26"/>
      <c r="AG84" s="26"/>
      <c r="AH84" s="26"/>
      <c r="AI84" s="26"/>
      <c r="AJ84" s="26"/>
      <c r="AK84" s="26">
        <v>0</v>
      </c>
      <c r="AL84" s="26"/>
      <c r="AM84" s="26">
        <v>0</v>
      </c>
      <c r="AN84" s="26"/>
      <c r="AO84" s="51">
        <f t="shared" ref="AO84:AO120" si="10">AK84+AE84+AA84</f>
        <v>263230</v>
      </c>
      <c r="AP84" s="26"/>
      <c r="AQ84" s="51">
        <f t="shared" si="5"/>
        <v>15219832</v>
      </c>
    </row>
    <row r="85" spans="1:43">
      <c r="A85" s="13" t="s">
        <v>353</v>
      </c>
      <c r="B85" s="13"/>
      <c r="C85" s="13" t="s">
        <v>27</v>
      </c>
      <c r="D85" s="13"/>
      <c r="E85" s="32">
        <v>46946</v>
      </c>
      <c r="F85" s="26"/>
      <c r="G85" s="26">
        <v>17016294</v>
      </c>
      <c r="H85" s="26"/>
      <c r="I85" s="26">
        <v>0</v>
      </c>
      <c r="J85" s="26"/>
      <c r="K85" s="26">
        <f>16383458+1002286</f>
        <v>17385744</v>
      </c>
      <c r="L85" s="26"/>
      <c r="M85" s="26">
        <v>226305</v>
      </c>
      <c r="N85" s="26"/>
      <c r="O85" s="26">
        <v>83871</v>
      </c>
      <c r="P85" s="26"/>
      <c r="Q85" s="26">
        <v>543542</v>
      </c>
      <c r="R85" s="26"/>
      <c r="S85" s="26">
        <v>0</v>
      </c>
      <c r="T85" s="26"/>
      <c r="U85" s="26">
        <v>0</v>
      </c>
      <c r="V85" s="26"/>
      <c r="W85" s="26">
        <f>54884+159568+249309</f>
        <v>463761</v>
      </c>
      <c r="X85" s="26"/>
      <c r="Y85" s="51">
        <f t="shared" si="9"/>
        <v>35719517</v>
      </c>
      <c r="Z85" s="26"/>
      <c r="AA85" s="26">
        <v>0</v>
      </c>
      <c r="AB85" s="26"/>
      <c r="AC85" s="26"/>
      <c r="AD85" s="26"/>
      <c r="AE85" s="26">
        <v>3224713</v>
      </c>
      <c r="AF85" s="26"/>
      <c r="AG85" s="26"/>
      <c r="AH85" s="26"/>
      <c r="AI85" s="26"/>
      <c r="AJ85" s="26"/>
      <c r="AK85" s="26">
        <v>0</v>
      </c>
      <c r="AL85" s="26"/>
      <c r="AM85" s="26">
        <v>0</v>
      </c>
      <c r="AN85" s="26"/>
      <c r="AO85" s="51">
        <f t="shared" si="10"/>
        <v>3224713</v>
      </c>
      <c r="AP85" s="26"/>
      <c r="AQ85" s="51">
        <f t="shared" si="5"/>
        <v>38944230</v>
      </c>
    </row>
    <row r="86" spans="1:43">
      <c r="A86" s="13" t="s">
        <v>511</v>
      </c>
      <c r="B86" s="13"/>
      <c r="C86" s="13" t="s">
        <v>45</v>
      </c>
      <c r="D86" s="13"/>
      <c r="E86" s="32">
        <v>48314</v>
      </c>
      <c r="F86" s="26"/>
      <c r="G86" s="26">
        <v>15948892</v>
      </c>
      <c r="H86" s="26"/>
      <c r="I86" s="26">
        <v>0</v>
      </c>
      <c r="J86" s="26"/>
      <c r="K86" s="26">
        <v>10472018</v>
      </c>
      <c r="L86" s="26"/>
      <c r="M86" s="26">
        <v>207688</v>
      </c>
      <c r="N86" s="26"/>
      <c r="O86" s="26">
        <v>132327</v>
      </c>
      <c r="P86" s="26"/>
      <c r="Q86" s="26">
        <v>394661</v>
      </c>
      <c r="R86" s="26"/>
      <c r="S86" s="26">
        <v>0</v>
      </c>
      <c r="T86" s="26"/>
      <c r="U86" s="26">
        <v>55174</v>
      </c>
      <c r="V86" s="26"/>
      <c r="W86" s="26">
        <f>750564+55019+42108</f>
        <v>847691</v>
      </c>
      <c r="X86" s="26"/>
      <c r="Y86" s="51">
        <f t="shared" si="9"/>
        <v>28058451</v>
      </c>
      <c r="Z86" s="26"/>
      <c r="AA86" s="26">
        <v>85000</v>
      </c>
      <c r="AB86" s="26"/>
      <c r="AC86" s="26"/>
      <c r="AD86" s="26"/>
      <c r="AE86" s="26">
        <f>4730000+26085</f>
        <v>4756085</v>
      </c>
      <c r="AF86" s="26"/>
      <c r="AG86" s="26"/>
      <c r="AH86" s="26"/>
      <c r="AI86" s="26"/>
      <c r="AJ86" s="26"/>
      <c r="AK86" s="26">
        <v>0</v>
      </c>
      <c r="AL86" s="26"/>
      <c r="AM86" s="26">
        <v>0</v>
      </c>
      <c r="AN86" s="26"/>
      <c r="AO86" s="51">
        <f t="shared" si="10"/>
        <v>4841085</v>
      </c>
      <c r="AP86" s="26"/>
      <c r="AQ86" s="51">
        <f t="shared" si="5"/>
        <v>32899536</v>
      </c>
    </row>
    <row r="87" spans="1:43">
      <c r="A87" s="13" t="s">
        <v>650</v>
      </c>
      <c r="B87" s="13"/>
      <c r="C87" s="13" t="s">
        <v>62</v>
      </c>
      <c r="D87" s="13"/>
      <c r="E87" s="32">
        <v>43711</v>
      </c>
      <c r="F87" s="26"/>
      <c r="G87" s="26">
        <v>8989928</v>
      </c>
      <c r="H87" s="26"/>
      <c r="I87" s="26">
        <v>0</v>
      </c>
      <c r="J87" s="26"/>
      <c r="K87" s="26">
        <f>13009671+1960305</f>
        <v>14969976</v>
      </c>
      <c r="L87" s="26"/>
      <c r="M87" s="26">
        <v>20493</v>
      </c>
      <c r="N87" s="26"/>
      <c r="O87" s="26">
        <v>1581441</v>
      </c>
      <c r="P87" s="26"/>
      <c r="Q87" s="26">
        <v>156478</v>
      </c>
      <c r="R87" s="26"/>
      <c r="S87" s="26">
        <v>0</v>
      </c>
      <c r="T87" s="26"/>
      <c r="U87" s="26">
        <v>379143</v>
      </c>
      <c r="V87" s="26"/>
      <c r="W87" s="26">
        <f>496618+72250+56738+476555+482999</f>
        <v>1585160</v>
      </c>
      <c r="X87" s="26"/>
      <c r="Y87" s="51">
        <f t="shared" si="9"/>
        <v>27682619</v>
      </c>
      <c r="Z87" s="26"/>
      <c r="AA87" s="26">
        <v>0</v>
      </c>
      <c r="AB87" s="26"/>
      <c r="AC87" s="26"/>
      <c r="AD87" s="26"/>
      <c r="AE87" s="26">
        <v>0</v>
      </c>
      <c r="AF87" s="26"/>
      <c r="AG87" s="26"/>
      <c r="AH87" s="26"/>
      <c r="AI87" s="26"/>
      <c r="AJ87" s="26"/>
      <c r="AK87" s="26">
        <v>0</v>
      </c>
      <c r="AL87" s="26"/>
      <c r="AM87" s="26">
        <v>0</v>
      </c>
      <c r="AN87" s="26"/>
      <c r="AO87" s="51">
        <f t="shared" si="10"/>
        <v>0</v>
      </c>
      <c r="AP87" s="26"/>
      <c r="AQ87" s="51">
        <f t="shared" si="5"/>
        <v>27682619</v>
      </c>
    </row>
    <row r="88" spans="1:43">
      <c r="A88" s="13" t="s">
        <v>649</v>
      </c>
      <c r="B88" s="13"/>
      <c r="C88" s="13" t="s">
        <v>62</v>
      </c>
      <c r="D88" s="13"/>
      <c r="E88" s="32">
        <v>49833</v>
      </c>
      <c r="F88" s="26"/>
      <c r="G88" s="26">
        <v>28054000</v>
      </c>
      <c r="H88" s="26"/>
      <c r="I88" s="26">
        <v>0</v>
      </c>
      <c r="J88" s="26"/>
      <c r="K88" s="26">
        <f>1396000+81672000+10307000</f>
        <v>93375000</v>
      </c>
      <c r="L88" s="26"/>
      <c r="M88" s="26">
        <v>1254000</v>
      </c>
      <c r="N88" s="26"/>
      <c r="O88" s="26">
        <v>560000</v>
      </c>
      <c r="P88" s="26"/>
      <c r="Q88" s="26">
        <v>861000</v>
      </c>
      <c r="R88" s="26"/>
      <c r="S88" s="26">
        <v>0</v>
      </c>
      <c r="T88" s="26"/>
      <c r="U88" s="26">
        <v>61000</v>
      </c>
      <c r="V88" s="26"/>
      <c r="W88" s="26">
        <f>30000+329000+130000+1117000</f>
        <v>1606000</v>
      </c>
      <c r="X88" s="26"/>
      <c r="Y88" s="51">
        <f t="shared" si="9"/>
        <v>125771000</v>
      </c>
      <c r="Z88" s="26"/>
      <c r="AA88" s="26">
        <v>2230000</v>
      </c>
      <c r="AB88" s="26"/>
      <c r="AC88" s="26"/>
      <c r="AD88" s="26"/>
      <c r="AE88" s="26">
        <v>528000</v>
      </c>
      <c r="AF88" s="26"/>
      <c r="AG88" s="26"/>
      <c r="AH88" s="26"/>
      <c r="AI88" s="26"/>
      <c r="AJ88" s="26"/>
      <c r="AK88" s="26">
        <v>0</v>
      </c>
      <c r="AL88" s="26"/>
      <c r="AM88" s="26">
        <v>0</v>
      </c>
      <c r="AN88" s="26"/>
      <c r="AO88" s="51">
        <f t="shared" si="10"/>
        <v>2758000</v>
      </c>
      <c r="AP88" s="26"/>
      <c r="AQ88" s="51">
        <f t="shared" si="5"/>
        <v>128529000</v>
      </c>
    </row>
    <row r="89" spans="1:43">
      <c r="A89" s="13" t="s">
        <v>378</v>
      </c>
      <c r="B89" s="13"/>
      <c r="C89" s="13" t="s">
        <v>30</v>
      </c>
      <c r="D89" s="13"/>
      <c r="E89" s="32">
        <v>47175</v>
      </c>
      <c r="F89" s="26"/>
      <c r="G89" s="26">
        <v>7846326</v>
      </c>
      <c r="H89" s="26"/>
      <c r="I89" s="26">
        <v>0</v>
      </c>
      <c r="J89" s="26"/>
      <c r="K89" s="26">
        <v>7191687</v>
      </c>
      <c r="L89" s="26"/>
      <c r="M89" s="26">
        <v>45404</v>
      </c>
      <c r="N89" s="26"/>
      <c r="O89" s="26">
        <v>567422</v>
      </c>
      <c r="P89" s="26"/>
      <c r="Q89" s="26">
        <v>283085</v>
      </c>
      <c r="R89" s="26"/>
      <c r="S89" s="26">
        <v>0</v>
      </c>
      <c r="T89" s="26"/>
      <c r="U89" s="26">
        <v>17916</v>
      </c>
      <c r="V89" s="26"/>
      <c r="W89" s="26">
        <f>186938+150328+98174</f>
        <v>435440</v>
      </c>
      <c r="X89" s="26"/>
      <c r="Y89" s="51">
        <f t="shared" si="9"/>
        <v>16387280</v>
      </c>
      <c r="Z89" s="26"/>
      <c r="AA89" s="26">
        <v>99165</v>
      </c>
      <c r="AB89" s="26"/>
      <c r="AC89" s="26"/>
      <c r="AD89" s="26"/>
      <c r="AE89" s="26">
        <v>220974</v>
      </c>
      <c r="AF89" s="26"/>
      <c r="AG89" s="26"/>
      <c r="AH89" s="26"/>
      <c r="AI89" s="26"/>
      <c r="AJ89" s="26"/>
      <c r="AK89" s="26">
        <v>0</v>
      </c>
      <c r="AL89" s="26"/>
      <c r="AM89" s="26">
        <v>0</v>
      </c>
      <c r="AN89" s="26"/>
      <c r="AO89" s="51">
        <f t="shared" si="10"/>
        <v>320139</v>
      </c>
      <c r="AP89" s="26"/>
      <c r="AQ89" s="51">
        <f t="shared" si="5"/>
        <v>16707419</v>
      </c>
    </row>
    <row r="90" spans="1:43">
      <c r="A90" s="13" t="s">
        <v>560</v>
      </c>
      <c r="B90" s="13"/>
      <c r="C90" s="13" t="s">
        <v>78</v>
      </c>
      <c r="D90" s="13"/>
      <c r="E90" s="32">
        <v>48793</v>
      </c>
      <c r="F90" s="26"/>
      <c r="G90" s="26">
        <v>2319335</v>
      </c>
      <c r="H90" s="26"/>
      <c r="I90" s="26">
        <v>0</v>
      </c>
      <c r="J90" s="26"/>
      <c r="K90" s="26">
        <f>7567699+668181</f>
        <v>8235880</v>
      </c>
      <c r="L90" s="26"/>
      <c r="M90" s="26">
        <v>51341</v>
      </c>
      <c r="N90" s="26"/>
      <c r="O90" s="26">
        <v>585475</v>
      </c>
      <c r="P90" s="26"/>
      <c r="Q90" s="26">
        <v>170026</v>
      </c>
      <c r="R90" s="26"/>
      <c r="S90" s="26">
        <v>160294</v>
      </c>
      <c r="T90" s="26"/>
      <c r="U90" s="26">
        <v>3252</v>
      </c>
      <c r="V90" s="26"/>
      <c r="W90" s="26">
        <f>160+47052+224077</f>
        <v>271289</v>
      </c>
      <c r="X90" s="26"/>
      <c r="Y90" s="51">
        <f t="shared" si="9"/>
        <v>11796892</v>
      </c>
      <c r="Z90" s="26"/>
      <c r="AA90" s="26">
        <v>0</v>
      </c>
      <c r="AB90" s="26"/>
      <c r="AC90" s="26"/>
      <c r="AD90" s="26"/>
      <c r="AE90" s="26">
        <v>0</v>
      </c>
      <c r="AF90" s="26"/>
      <c r="AG90" s="26"/>
      <c r="AH90" s="26"/>
      <c r="AI90" s="26"/>
      <c r="AJ90" s="26"/>
      <c r="AK90" s="26">
        <v>0</v>
      </c>
      <c r="AL90" s="26"/>
      <c r="AM90" s="26">
        <v>0</v>
      </c>
      <c r="AN90" s="26"/>
      <c r="AO90" s="51">
        <f t="shared" si="10"/>
        <v>0</v>
      </c>
      <c r="AP90" s="26"/>
      <c r="AQ90" s="51">
        <f t="shared" si="5"/>
        <v>11796892</v>
      </c>
    </row>
    <row r="91" spans="1:43" hidden="1">
      <c r="A91" s="13" t="s">
        <v>838</v>
      </c>
      <c r="B91" s="13"/>
      <c r="C91" s="13" t="s">
        <v>740</v>
      </c>
      <c r="D91" s="13"/>
      <c r="E91" s="32">
        <v>45260</v>
      </c>
      <c r="F91" s="26"/>
      <c r="G91" s="26">
        <v>1883132</v>
      </c>
      <c r="H91" s="26"/>
      <c r="I91" s="26">
        <v>950732</v>
      </c>
      <c r="J91" s="26"/>
      <c r="K91" s="26">
        <f>1475+4775146+495678</f>
        <v>5272299</v>
      </c>
      <c r="L91" s="26"/>
      <c r="M91" s="26">
        <v>146474</v>
      </c>
      <c r="N91" s="26"/>
      <c r="O91" s="26">
        <v>395071</v>
      </c>
      <c r="P91" s="26"/>
      <c r="Q91" s="26">
        <v>153273</v>
      </c>
      <c r="R91" s="26"/>
      <c r="S91" s="26"/>
      <c r="T91" s="26"/>
      <c r="U91" s="26">
        <v>4021</v>
      </c>
      <c r="V91" s="26"/>
      <c r="W91" s="26">
        <f>1159+190325+48469+185+51319+45399</f>
        <v>336856</v>
      </c>
      <c r="X91" s="26"/>
      <c r="Y91" s="51">
        <f t="shared" si="9"/>
        <v>9141858</v>
      </c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>
        <v>0</v>
      </c>
      <c r="AN91" s="26"/>
      <c r="AO91" s="51">
        <f t="shared" si="10"/>
        <v>0</v>
      </c>
      <c r="AP91" s="26"/>
      <c r="AQ91" s="51">
        <f t="shared" si="5"/>
        <v>9141858</v>
      </c>
    </row>
    <row r="92" spans="1:43">
      <c r="A92" s="13"/>
      <c r="B92" s="13"/>
      <c r="C92" s="13"/>
      <c r="D92" s="13"/>
      <c r="E92" s="32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51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51"/>
      <c r="AP92" s="26"/>
      <c r="AQ92" s="51"/>
    </row>
    <row r="93" spans="1:43">
      <c r="A93" s="13"/>
      <c r="B93" s="13"/>
      <c r="C93" s="13"/>
      <c r="D93" s="13"/>
      <c r="E93" s="32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51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51"/>
      <c r="AP93" s="26"/>
      <c r="AQ93" s="135" t="s">
        <v>805</v>
      </c>
    </row>
    <row r="94" spans="1:43">
      <c r="A94" s="13"/>
      <c r="B94" s="13"/>
      <c r="C94" s="13"/>
      <c r="D94" s="13"/>
      <c r="E94" s="32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51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51"/>
      <c r="AP94" s="26"/>
      <c r="AQ94" s="51"/>
    </row>
    <row r="95" spans="1:43">
      <c r="A95" s="13" t="s">
        <v>708</v>
      </c>
      <c r="B95" s="13"/>
      <c r="C95" s="13" t="s">
        <v>69</v>
      </c>
      <c r="D95" s="13"/>
      <c r="E95" s="32">
        <v>50419</v>
      </c>
      <c r="F95" s="26"/>
      <c r="G95" s="43">
        <v>4748874</v>
      </c>
      <c r="H95" s="43"/>
      <c r="I95" s="43">
        <v>1791316</v>
      </c>
      <c r="J95" s="43"/>
      <c r="K95" s="43">
        <v>9612881</v>
      </c>
      <c r="L95" s="43"/>
      <c r="M95" s="43">
        <v>28509</v>
      </c>
      <c r="N95" s="43"/>
      <c r="O95" s="43">
        <v>104446</v>
      </c>
      <c r="P95" s="43"/>
      <c r="Q95" s="43">
        <v>114621</v>
      </c>
      <c r="R95" s="43"/>
      <c r="S95" s="43">
        <v>84009</v>
      </c>
      <c r="T95" s="43"/>
      <c r="U95" s="43">
        <v>20089</v>
      </c>
      <c r="V95" s="43"/>
      <c r="W95" s="43">
        <f>12700+75369+412167</f>
        <v>500236</v>
      </c>
      <c r="X95" s="43"/>
      <c r="Y95" s="129">
        <f t="shared" si="9"/>
        <v>17004981</v>
      </c>
      <c r="Z95" s="43"/>
      <c r="AA95" s="43">
        <v>0</v>
      </c>
      <c r="AB95" s="43"/>
      <c r="AC95" s="43"/>
      <c r="AD95" s="43"/>
      <c r="AE95" s="43">
        <v>0</v>
      </c>
      <c r="AF95" s="43"/>
      <c r="AG95" s="43"/>
      <c r="AH95" s="43"/>
      <c r="AI95" s="43"/>
      <c r="AJ95" s="43"/>
      <c r="AK95" s="43">
        <v>0</v>
      </c>
      <c r="AL95" s="43"/>
      <c r="AM95" s="43">
        <v>0</v>
      </c>
      <c r="AN95" s="43"/>
      <c r="AO95" s="129">
        <f t="shared" si="10"/>
        <v>0</v>
      </c>
      <c r="AP95" s="43"/>
      <c r="AQ95" s="129">
        <f t="shared" si="5"/>
        <v>17004981</v>
      </c>
    </row>
    <row r="96" spans="1:43">
      <c r="A96" s="13" t="s">
        <v>253</v>
      </c>
      <c r="B96" s="13"/>
      <c r="C96" s="13" t="s">
        <v>16</v>
      </c>
      <c r="D96" s="13"/>
      <c r="E96" s="32">
        <v>45278</v>
      </c>
      <c r="F96" s="26"/>
      <c r="G96" s="26">
        <v>4324907</v>
      </c>
      <c r="H96" s="26"/>
      <c r="I96" s="26">
        <v>0</v>
      </c>
      <c r="J96" s="26"/>
      <c r="K96" s="26">
        <v>15097182</v>
      </c>
      <c r="L96" s="26"/>
      <c r="M96" s="26">
        <v>33036</v>
      </c>
      <c r="N96" s="26"/>
      <c r="O96" s="26">
        <v>667753</v>
      </c>
      <c r="P96" s="26"/>
      <c r="Q96" s="26">
        <v>140065</v>
      </c>
      <c r="R96" s="26"/>
      <c r="S96" s="26">
        <v>0</v>
      </c>
      <c r="T96" s="26"/>
      <c r="U96" s="26">
        <v>39246</v>
      </c>
      <c r="V96" s="26"/>
      <c r="W96" s="26">
        <f>4045+267001+44386</f>
        <v>315432</v>
      </c>
      <c r="X96" s="26"/>
      <c r="Y96" s="51">
        <f t="shared" si="9"/>
        <v>20617621</v>
      </c>
      <c r="Z96" s="26"/>
      <c r="AA96" s="26">
        <v>88650</v>
      </c>
      <c r="AB96" s="26"/>
      <c r="AC96" s="26"/>
      <c r="AD96" s="26"/>
      <c r="AE96" s="26">
        <v>0</v>
      </c>
      <c r="AF96" s="26"/>
      <c r="AG96" s="26"/>
      <c r="AH96" s="26"/>
      <c r="AI96" s="26"/>
      <c r="AJ96" s="26"/>
      <c r="AK96" s="26">
        <v>4989</v>
      </c>
      <c r="AL96" s="26"/>
      <c r="AM96" s="26">
        <v>0</v>
      </c>
      <c r="AN96" s="26"/>
      <c r="AO96" s="51">
        <f t="shared" si="10"/>
        <v>93639</v>
      </c>
      <c r="AP96" s="26"/>
      <c r="AQ96" s="51">
        <f t="shared" si="5"/>
        <v>20711260</v>
      </c>
    </row>
    <row r="97" spans="1:44">
      <c r="A97" s="13" t="s">
        <v>385</v>
      </c>
      <c r="B97" s="13"/>
      <c r="C97" s="13" t="s">
        <v>116</v>
      </c>
      <c r="D97" s="13"/>
      <c r="E97" s="32">
        <v>47258</v>
      </c>
      <c r="F97" s="26"/>
      <c r="G97" s="26">
        <v>1998083</v>
      </c>
      <c r="H97" s="26"/>
      <c r="I97" s="26">
        <v>789628</v>
      </c>
      <c r="J97" s="26"/>
      <c r="K97" s="26">
        <v>3438772</v>
      </c>
      <c r="L97" s="26"/>
      <c r="M97" s="26">
        <v>19633</v>
      </c>
      <c r="N97" s="26"/>
      <c r="O97" s="26">
        <v>210911</v>
      </c>
      <c r="P97" s="26"/>
      <c r="Q97" s="26">
        <v>121322</v>
      </c>
      <c r="R97" s="26"/>
      <c r="S97" s="26">
        <v>0</v>
      </c>
      <c r="T97" s="26"/>
      <c r="U97" s="26">
        <v>5854</v>
      </c>
      <c r="V97" s="26"/>
      <c r="W97" s="26">
        <f>108041+2700+32799</f>
        <v>143540</v>
      </c>
      <c r="X97" s="26"/>
      <c r="Y97" s="51">
        <f t="shared" si="9"/>
        <v>6727743</v>
      </c>
      <c r="Z97" s="26"/>
      <c r="AA97" s="26">
        <v>17000</v>
      </c>
      <c r="AB97" s="26"/>
      <c r="AC97" s="26"/>
      <c r="AD97" s="26"/>
      <c r="AE97" s="26">
        <v>0</v>
      </c>
      <c r="AF97" s="26"/>
      <c r="AG97" s="26"/>
      <c r="AH97" s="26"/>
      <c r="AI97" s="26"/>
      <c r="AJ97" s="26"/>
      <c r="AK97" s="26">
        <v>3025</v>
      </c>
      <c r="AL97" s="26"/>
      <c r="AM97" s="26">
        <v>0</v>
      </c>
      <c r="AN97" s="26"/>
      <c r="AO97" s="51">
        <f t="shared" si="10"/>
        <v>20025</v>
      </c>
      <c r="AP97" s="26"/>
      <c r="AQ97" s="51">
        <f t="shared" si="5"/>
        <v>6747768</v>
      </c>
    </row>
    <row r="98" spans="1:44" hidden="1">
      <c r="A98" s="13" t="s">
        <v>839</v>
      </c>
      <c r="B98" s="13"/>
      <c r="C98" s="13" t="s">
        <v>534</v>
      </c>
      <c r="D98" s="13"/>
      <c r="E98" s="32">
        <v>43729</v>
      </c>
      <c r="F98" s="26"/>
      <c r="G98" s="26">
        <v>11787791</v>
      </c>
      <c r="H98" s="26"/>
      <c r="I98" s="26">
        <v>2543471</v>
      </c>
      <c r="J98" s="26"/>
      <c r="K98" s="26">
        <v>16652741</v>
      </c>
      <c r="L98" s="26"/>
      <c r="M98" s="26">
        <v>382155</v>
      </c>
      <c r="N98" s="26"/>
      <c r="O98" s="26">
        <v>1036444</v>
      </c>
      <c r="P98" s="26"/>
      <c r="Q98" s="26">
        <v>294492</v>
      </c>
      <c r="R98" s="26"/>
      <c r="S98" s="26">
        <v>167413</v>
      </c>
      <c r="T98" s="26"/>
      <c r="U98" s="26">
        <v>77698</v>
      </c>
      <c r="V98" s="26"/>
      <c r="W98" s="26">
        <f>373038+1193820</f>
        <v>1566858</v>
      </c>
      <c r="X98" s="26"/>
      <c r="Y98" s="51">
        <f t="shared" si="9"/>
        <v>34509063</v>
      </c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>
        <v>0</v>
      </c>
      <c r="AN98" s="26"/>
      <c r="AO98" s="51">
        <f t="shared" si="10"/>
        <v>0</v>
      </c>
      <c r="AP98" s="26"/>
      <c r="AQ98" s="51">
        <f t="shared" si="5"/>
        <v>34509063</v>
      </c>
      <c r="AR98" s="8" t="s">
        <v>956</v>
      </c>
    </row>
    <row r="99" spans="1:44">
      <c r="A99" s="13" t="s">
        <v>906</v>
      </c>
      <c r="B99" s="13"/>
      <c r="C99" s="13" t="s">
        <v>40</v>
      </c>
      <c r="D99" s="13"/>
      <c r="E99" s="32">
        <v>47829</v>
      </c>
      <c r="F99" s="26"/>
      <c r="G99" s="26">
        <v>3092395</v>
      </c>
      <c r="H99" s="26"/>
      <c r="I99" s="26">
        <v>1018764</v>
      </c>
      <c r="J99" s="26"/>
      <c r="K99" s="26">
        <v>6479659</v>
      </c>
      <c r="L99" s="26"/>
      <c r="M99" s="26">
        <v>85204</v>
      </c>
      <c r="N99" s="26"/>
      <c r="O99" s="26">
        <v>69092</v>
      </c>
      <c r="P99" s="26"/>
      <c r="Q99" s="26">
        <v>126092</v>
      </c>
      <c r="R99" s="26"/>
      <c r="S99" s="26">
        <v>0</v>
      </c>
      <c r="T99" s="26"/>
      <c r="U99" s="26">
        <v>18440</v>
      </c>
      <c r="V99" s="26"/>
      <c r="W99" s="26">
        <f>172261+5155+6435</f>
        <v>183851</v>
      </c>
      <c r="X99" s="26"/>
      <c r="Y99" s="51">
        <f t="shared" si="9"/>
        <v>11073497</v>
      </c>
      <c r="Z99" s="26"/>
      <c r="AA99" s="26">
        <v>0</v>
      </c>
      <c r="AB99" s="26"/>
      <c r="AC99" s="26"/>
      <c r="AD99" s="26"/>
      <c r="AE99" s="26">
        <v>0</v>
      </c>
      <c r="AF99" s="26"/>
      <c r="AG99" s="26"/>
      <c r="AH99" s="26"/>
      <c r="AI99" s="26"/>
      <c r="AJ99" s="26"/>
      <c r="AK99" s="26">
        <v>0</v>
      </c>
      <c r="AL99" s="26"/>
      <c r="AM99" s="26">
        <v>0</v>
      </c>
      <c r="AN99" s="26"/>
      <c r="AO99" s="51">
        <f t="shared" si="10"/>
        <v>0</v>
      </c>
      <c r="AP99" s="26"/>
      <c r="AQ99" s="51">
        <f t="shared" si="5"/>
        <v>11073497</v>
      </c>
    </row>
    <row r="100" spans="1:44" s="35" customFormat="1">
      <c r="A100" s="34" t="s">
        <v>907</v>
      </c>
      <c r="B100" s="34"/>
      <c r="C100" s="34" t="s">
        <v>50</v>
      </c>
      <c r="D100" s="34"/>
      <c r="E100" s="32">
        <v>43737</v>
      </c>
      <c r="F100" s="43"/>
      <c r="G100" s="26">
        <v>55744271</v>
      </c>
      <c r="H100" s="26"/>
      <c r="I100" s="26">
        <v>0</v>
      </c>
      <c r="J100" s="26"/>
      <c r="K100" s="26">
        <v>26571011</v>
      </c>
      <c r="L100" s="26"/>
      <c r="M100" s="26">
        <v>1334585</v>
      </c>
      <c r="N100" s="26"/>
      <c r="O100" s="26">
        <v>1061332</v>
      </c>
      <c r="P100" s="26"/>
      <c r="Q100" s="26">
        <v>1191862</v>
      </c>
      <c r="R100" s="26"/>
      <c r="S100" s="26">
        <v>0</v>
      </c>
      <c r="T100" s="26"/>
      <c r="U100" s="26">
        <v>0</v>
      </c>
      <c r="V100" s="26"/>
      <c r="W100" s="26">
        <f>2427631+261375</f>
        <v>2689006</v>
      </c>
      <c r="X100" s="26"/>
      <c r="Y100" s="51">
        <f t="shared" si="9"/>
        <v>88592067</v>
      </c>
      <c r="Z100" s="26"/>
      <c r="AA100" s="26">
        <v>0</v>
      </c>
      <c r="AB100" s="26"/>
      <c r="AC100" s="26"/>
      <c r="AD100" s="26"/>
      <c r="AE100" s="26">
        <v>0</v>
      </c>
      <c r="AF100" s="26"/>
      <c r="AG100" s="26"/>
      <c r="AH100" s="26"/>
      <c r="AI100" s="26"/>
      <c r="AJ100" s="26"/>
      <c r="AK100" s="26">
        <v>0</v>
      </c>
      <c r="AL100" s="26"/>
      <c r="AM100" s="26">
        <v>0</v>
      </c>
      <c r="AN100" s="26"/>
      <c r="AO100" s="51">
        <f t="shared" si="10"/>
        <v>0</v>
      </c>
      <c r="AP100" s="26"/>
      <c r="AQ100" s="51">
        <f t="shared" si="5"/>
        <v>88592067</v>
      </c>
    </row>
    <row r="101" spans="1:44">
      <c r="A101" s="13" t="s">
        <v>794</v>
      </c>
      <c r="B101" s="13"/>
      <c r="C101" s="13" t="s">
        <v>22</v>
      </c>
      <c r="D101" s="13"/>
      <c r="E101" s="32">
        <v>46714</v>
      </c>
      <c r="F101" s="26"/>
      <c r="G101" s="26">
        <v>2569194</v>
      </c>
      <c r="H101" s="26"/>
      <c r="I101" s="26">
        <v>779985</v>
      </c>
      <c r="J101" s="26"/>
      <c r="K101" s="26">
        <v>7432506</v>
      </c>
      <c r="L101" s="26"/>
      <c r="M101" s="26">
        <v>77105</v>
      </c>
      <c r="N101" s="26"/>
      <c r="O101" s="26">
        <v>64102</v>
      </c>
      <c r="P101" s="26"/>
      <c r="Q101" s="26">
        <v>247455</v>
      </c>
      <c r="R101" s="26"/>
      <c r="S101" s="26">
        <v>0</v>
      </c>
      <c r="T101" s="26"/>
      <c r="U101" s="26">
        <v>60808</v>
      </c>
      <c r="V101" s="26"/>
      <c r="W101" s="26">
        <f>1187+308898+13720</f>
        <v>323805</v>
      </c>
      <c r="X101" s="26"/>
      <c r="Y101" s="51">
        <f t="shared" si="9"/>
        <v>11554960</v>
      </c>
      <c r="Z101" s="26"/>
      <c r="AA101" s="26">
        <v>0</v>
      </c>
      <c r="AB101" s="26"/>
      <c r="AC101" s="26"/>
      <c r="AD101" s="26"/>
      <c r="AE101" s="26">
        <v>218355</v>
      </c>
      <c r="AF101" s="26"/>
      <c r="AG101" s="26"/>
      <c r="AH101" s="26"/>
      <c r="AI101" s="26"/>
      <c r="AJ101" s="26"/>
      <c r="AK101" s="26">
        <v>1661</v>
      </c>
      <c r="AL101" s="26"/>
      <c r="AM101" s="26">
        <v>0</v>
      </c>
      <c r="AN101" s="26"/>
      <c r="AO101" s="51">
        <f t="shared" si="10"/>
        <v>220016</v>
      </c>
      <c r="AP101" s="26"/>
      <c r="AQ101" s="51">
        <f t="shared" si="5"/>
        <v>11774976</v>
      </c>
    </row>
    <row r="102" spans="1:44">
      <c r="A102" s="13" t="s">
        <v>302</v>
      </c>
      <c r="B102" s="13"/>
      <c r="C102" s="13" t="s">
        <v>20</v>
      </c>
      <c r="D102" s="13"/>
      <c r="E102" s="13">
        <v>45286</v>
      </c>
      <c r="F102" s="26"/>
      <c r="G102" s="26">
        <v>21480808</v>
      </c>
      <c r="H102" s="26"/>
      <c r="I102" s="26">
        <v>0</v>
      </c>
      <c r="J102" s="26"/>
      <c r="K102" s="26">
        <v>5992945</v>
      </c>
      <c r="L102" s="26"/>
      <c r="M102" s="26">
        <v>108926</v>
      </c>
      <c r="N102" s="26"/>
      <c r="O102" s="26">
        <v>314147</v>
      </c>
      <c r="P102" s="26"/>
      <c r="Q102" s="26">
        <v>215933</v>
      </c>
      <c r="R102" s="26"/>
      <c r="S102" s="26">
        <v>0</v>
      </c>
      <c r="T102" s="26"/>
      <c r="U102" s="26">
        <v>91937</v>
      </c>
      <c r="V102" s="26"/>
      <c r="W102" s="26">
        <f>17863+42625</f>
        <v>60488</v>
      </c>
      <c r="X102" s="26"/>
      <c r="Y102" s="51">
        <f t="shared" si="9"/>
        <v>28265184</v>
      </c>
      <c r="Z102" s="26"/>
      <c r="AA102" s="26">
        <v>417600</v>
      </c>
      <c r="AB102" s="26"/>
      <c r="AC102" s="26"/>
      <c r="AD102" s="26"/>
      <c r="AE102" s="26">
        <v>0</v>
      </c>
      <c r="AF102" s="26"/>
      <c r="AG102" s="26"/>
      <c r="AH102" s="26"/>
      <c r="AI102" s="26"/>
      <c r="AJ102" s="26"/>
      <c r="AK102" s="26">
        <v>0</v>
      </c>
      <c r="AL102" s="26"/>
      <c r="AM102" s="26">
        <v>0</v>
      </c>
      <c r="AN102" s="26"/>
      <c r="AO102" s="51">
        <f t="shared" si="10"/>
        <v>417600</v>
      </c>
      <c r="AP102" s="26"/>
      <c r="AQ102" s="51">
        <f t="shared" si="5"/>
        <v>28682784</v>
      </c>
    </row>
    <row r="103" spans="1:44">
      <c r="A103" s="13" t="s">
        <v>678</v>
      </c>
      <c r="B103" s="13"/>
      <c r="C103" s="13" t="s">
        <v>64</v>
      </c>
      <c r="D103" s="13"/>
      <c r="E103" s="32">
        <v>50138</v>
      </c>
      <c r="F103" s="26"/>
      <c r="G103" s="26">
        <v>4814413</v>
      </c>
      <c r="H103" s="26"/>
      <c r="I103" s="26">
        <v>0</v>
      </c>
      <c r="J103" s="26"/>
      <c r="K103" s="26">
        <f>8104225+625659</f>
        <v>8729884</v>
      </c>
      <c r="L103" s="26"/>
      <c r="M103" s="26">
        <v>9976</v>
      </c>
      <c r="N103" s="26"/>
      <c r="O103" s="26">
        <v>715866</v>
      </c>
      <c r="P103" s="26"/>
      <c r="Q103" s="26">
        <v>97910</v>
      </c>
      <c r="R103" s="26"/>
      <c r="S103" s="26">
        <v>0</v>
      </c>
      <c r="T103" s="26"/>
      <c r="U103" s="26">
        <v>0</v>
      </c>
      <c r="V103" s="26"/>
      <c r="W103" s="26">
        <f>287352+35732+246058+771</f>
        <v>569913</v>
      </c>
      <c r="X103" s="26"/>
      <c r="Y103" s="51">
        <f t="shared" si="9"/>
        <v>14937962</v>
      </c>
      <c r="Z103" s="26"/>
      <c r="AA103" s="26">
        <v>34692</v>
      </c>
      <c r="AB103" s="26"/>
      <c r="AC103" s="26"/>
      <c r="AD103" s="26"/>
      <c r="AE103" s="26">
        <v>0</v>
      </c>
      <c r="AF103" s="26"/>
      <c r="AG103" s="26"/>
      <c r="AH103" s="26"/>
      <c r="AI103" s="26"/>
      <c r="AJ103" s="26"/>
      <c r="AK103" s="26">
        <v>546</v>
      </c>
      <c r="AL103" s="26"/>
      <c r="AM103" s="26">
        <v>0</v>
      </c>
      <c r="AN103" s="26"/>
      <c r="AO103" s="51">
        <f t="shared" si="10"/>
        <v>35238</v>
      </c>
      <c r="AP103" s="26"/>
      <c r="AQ103" s="51">
        <f t="shared" si="5"/>
        <v>14973200</v>
      </c>
    </row>
    <row r="104" spans="1:44">
      <c r="A104" s="13" t="s">
        <v>379</v>
      </c>
      <c r="B104" s="13"/>
      <c r="C104" s="13" t="s">
        <v>30</v>
      </c>
      <c r="D104" s="13"/>
      <c r="E104" s="32">
        <v>47183</v>
      </c>
      <c r="F104" s="26"/>
      <c r="G104" s="26">
        <v>22110105</v>
      </c>
      <c r="H104" s="26"/>
      <c r="I104" s="26">
        <v>0</v>
      </c>
      <c r="J104" s="26"/>
      <c r="K104" s="26">
        <v>12332270</v>
      </c>
      <c r="L104" s="26"/>
      <c r="M104" s="26">
        <v>117596</v>
      </c>
      <c r="N104" s="26"/>
      <c r="O104" s="26">
        <v>424365</v>
      </c>
      <c r="P104" s="26"/>
      <c r="Q104" s="26">
        <v>256319</v>
      </c>
      <c r="R104" s="26"/>
      <c r="S104" s="26">
        <v>17072</v>
      </c>
      <c r="T104" s="26"/>
      <c r="U104" s="26">
        <v>39288</v>
      </c>
      <c r="V104" s="26"/>
      <c r="W104" s="26">
        <f>572553+12155+312094</f>
        <v>896802</v>
      </c>
      <c r="X104" s="26"/>
      <c r="Y104" s="51">
        <f t="shared" si="9"/>
        <v>36193817</v>
      </c>
      <c r="Z104" s="26"/>
      <c r="AA104" s="26">
        <v>190840</v>
      </c>
      <c r="AB104" s="26"/>
      <c r="AC104" s="26"/>
      <c r="AD104" s="26"/>
      <c r="AE104" s="26">
        <v>156776</v>
      </c>
      <c r="AF104" s="26"/>
      <c r="AG104" s="26"/>
      <c r="AH104" s="26"/>
      <c r="AI104" s="26"/>
      <c r="AJ104" s="26"/>
      <c r="AK104" s="26">
        <v>3710</v>
      </c>
      <c r="AL104" s="26"/>
      <c r="AM104" s="26">
        <v>0</v>
      </c>
      <c r="AN104" s="26"/>
      <c r="AO104" s="51">
        <f t="shared" si="10"/>
        <v>351326</v>
      </c>
      <c r="AP104" s="26"/>
      <c r="AQ104" s="51">
        <f t="shared" si="5"/>
        <v>36545143</v>
      </c>
    </row>
    <row r="105" spans="1:44">
      <c r="A105" s="13" t="s">
        <v>465</v>
      </c>
      <c r="B105" s="13"/>
      <c r="C105" s="13" t="s">
        <v>466</v>
      </c>
      <c r="D105" s="13"/>
      <c r="E105" s="32">
        <v>45294</v>
      </c>
      <c r="F105" s="26"/>
      <c r="G105" s="26">
        <v>2298777</v>
      </c>
      <c r="H105" s="26"/>
      <c r="I105" s="26">
        <v>0</v>
      </c>
      <c r="J105" s="26"/>
      <c r="K105" s="26">
        <v>10522231</v>
      </c>
      <c r="L105" s="26"/>
      <c r="M105" s="26">
        <v>19083</v>
      </c>
      <c r="N105" s="26"/>
      <c r="O105" s="26">
        <v>974605</v>
      </c>
      <c r="P105" s="26"/>
      <c r="Q105" s="26">
        <v>84733</v>
      </c>
      <c r="R105" s="26"/>
      <c r="S105" s="26">
        <v>0</v>
      </c>
      <c r="T105" s="26"/>
      <c r="U105" s="26">
        <v>89549</v>
      </c>
      <c r="V105" s="26"/>
      <c r="W105" s="26">
        <f>171414+12537</f>
        <v>183951</v>
      </c>
      <c r="X105" s="26"/>
      <c r="Y105" s="51">
        <f t="shared" si="9"/>
        <v>14172929</v>
      </c>
      <c r="Z105" s="26"/>
      <c r="AA105" s="26">
        <v>139525</v>
      </c>
      <c r="AB105" s="26"/>
      <c r="AC105" s="26"/>
      <c r="AD105" s="26"/>
      <c r="AE105" s="26">
        <v>39795</v>
      </c>
      <c r="AF105" s="26"/>
      <c r="AG105" s="26"/>
      <c r="AH105" s="26"/>
      <c r="AI105" s="26"/>
      <c r="AJ105" s="26"/>
      <c r="AK105" s="26">
        <v>0</v>
      </c>
      <c r="AL105" s="26"/>
      <c r="AM105" s="26">
        <v>0</v>
      </c>
      <c r="AN105" s="26"/>
      <c r="AO105" s="51">
        <f t="shared" si="10"/>
        <v>179320</v>
      </c>
      <c r="AP105" s="26"/>
      <c r="AQ105" s="51">
        <f t="shared" si="5"/>
        <v>14352249</v>
      </c>
    </row>
    <row r="106" spans="1:44">
      <c r="A106" s="13" t="s">
        <v>617</v>
      </c>
      <c r="B106" s="13"/>
      <c r="C106" s="13" t="s">
        <v>58</v>
      </c>
      <c r="D106" s="13"/>
      <c r="E106" s="32">
        <v>43745</v>
      </c>
      <c r="F106" s="26"/>
      <c r="G106" s="26">
        <v>12782914</v>
      </c>
      <c r="H106" s="26"/>
      <c r="I106" s="26">
        <v>0</v>
      </c>
      <c r="J106" s="26"/>
      <c r="K106" s="26">
        <v>19043020</v>
      </c>
      <c r="L106" s="26"/>
      <c r="M106" s="26">
        <v>216183</v>
      </c>
      <c r="N106" s="26"/>
      <c r="O106" s="26">
        <v>1349506</v>
      </c>
      <c r="P106" s="26"/>
      <c r="Q106" s="26">
        <v>149632</v>
      </c>
      <c r="R106" s="26"/>
      <c r="S106" s="26">
        <v>54518</v>
      </c>
      <c r="T106" s="26"/>
      <c r="U106" s="26">
        <v>22806</v>
      </c>
      <c r="V106" s="26"/>
      <c r="W106" s="26">
        <f>39599+527256+121442</f>
        <v>688297</v>
      </c>
      <c r="X106" s="26"/>
      <c r="Y106" s="51">
        <f t="shared" si="9"/>
        <v>34306876</v>
      </c>
      <c r="Z106" s="26"/>
      <c r="AA106" s="26">
        <v>2634</v>
      </c>
      <c r="AB106" s="26"/>
      <c r="AC106" s="26"/>
      <c r="AD106" s="26"/>
      <c r="AE106" s="26">
        <v>524000</v>
      </c>
      <c r="AF106" s="26"/>
      <c r="AG106" s="26"/>
      <c r="AH106" s="26"/>
      <c r="AI106" s="26"/>
      <c r="AJ106" s="26"/>
      <c r="AK106" s="26">
        <v>0</v>
      </c>
      <c r="AL106" s="26"/>
      <c r="AM106" s="26">
        <v>0</v>
      </c>
      <c r="AN106" s="26"/>
      <c r="AO106" s="51">
        <f t="shared" si="10"/>
        <v>526634</v>
      </c>
      <c r="AP106" s="26"/>
      <c r="AQ106" s="51">
        <f t="shared" si="5"/>
        <v>34833510</v>
      </c>
    </row>
    <row r="107" spans="1:44">
      <c r="A107" s="13" t="s">
        <v>721</v>
      </c>
      <c r="B107" s="13"/>
      <c r="C107" s="13" t="s">
        <v>71</v>
      </c>
      <c r="D107" s="13"/>
      <c r="E107" s="32">
        <v>50534</v>
      </c>
      <c r="F107" s="26"/>
      <c r="G107" s="26">
        <v>4565860</v>
      </c>
      <c r="H107" s="26"/>
      <c r="I107" s="26">
        <v>1395670</v>
      </c>
      <c r="J107" s="26"/>
      <c r="K107" s="26">
        <f>7500+5848682+476028</f>
        <v>6332210</v>
      </c>
      <c r="L107" s="26"/>
      <c r="M107" s="26">
        <v>53056</v>
      </c>
      <c r="N107" s="26"/>
      <c r="O107" s="26">
        <v>0</v>
      </c>
      <c r="P107" s="26"/>
      <c r="Q107" s="26">
        <v>218776</v>
      </c>
      <c r="R107" s="26"/>
      <c r="S107" s="26">
        <v>0</v>
      </c>
      <c r="T107" s="26"/>
      <c r="U107" s="26">
        <v>0</v>
      </c>
      <c r="V107" s="26"/>
      <c r="W107" s="26">
        <f>126791+8374+327036+103678</f>
        <v>565879</v>
      </c>
      <c r="X107" s="26"/>
      <c r="Y107" s="51">
        <f t="shared" si="9"/>
        <v>13131451</v>
      </c>
      <c r="Z107" s="26"/>
      <c r="AA107" s="26">
        <v>0</v>
      </c>
      <c r="AB107" s="26"/>
      <c r="AC107" s="26"/>
      <c r="AD107" s="26"/>
      <c r="AE107" s="26">
        <v>0</v>
      </c>
      <c r="AF107" s="26"/>
      <c r="AG107" s="26"/>
      <c r="AH107" s="26"/>
      <c r="AI107" s="26"/>
      <c r="AJ107" s="26"/>
      <c r="AK107" s="26">
        <v>0</v>
      </c>
      <c r="AL107" s="26"/>
      <c r="AM107" s="26">
        <v>0</v>
      </c>
      <c r="AN107" s="26"/>
      <c r="AO107" s="51">
        <f t="shared" si="10"/>
        <v>0</v>
      </c>
      <c r="AP107" s="26"/>
      <c r="AQ107" s="51">
        <f t="shared" si="5"/>
        <v>13131451</v>
      </c>
    </row>
    <row r="108" spans="1:44">
      <c r="A108" s="13" t="s">
        <v>910</v>
      </c>
      <c r="B108" s="13"/>
      <c r="C108" s="13" t="s">
        <v>32</v>
      </c>
      <c r="D108" s="13"/>
      <c r="E108" s="32">
        <v>43752</v>
      </c>
      <c r="F108" s="26"/>
      <c r="G108" s="26">
        <v>277728502</v>
      </c>
      <c r="H108" s="26"/>
      <c r="I108" s="26">
        <v>0</v>
      </c>
      <c r="J108" s="26"/>
      <c r="K108" s="26">
        <f>252144552+68590338</f>
        <v>320734890</v>
      </c>
      <c r="L108" s="26"/>
      <c r="M108" s="26">
        <v>10996692</v>
      </c>
      <c r="N108" s="26"/>
      <c r="O108" s="26">
        <v>1750008</v>
      </c>
      <c r="P108" s="26"/>
      <c r="Q108" s="26">
        <v>0</v>
      </c>
      <c r="R108" s="26"/>
      <c r="S108" s="26">
        <v>10919337</v>
      </c>
      <c r="T108" s="26"/>
      <c r="U108" s="26">
        <v>0</v>
      </c>
      <c r="V108" s="26"/>
      <c r="W108" s="26">
        <f>2116608+15545489</f>
        <v>17662097</v>
      </c>
      <c r="X108" s="26"/>
      <c r="Y108" s="51">
        <f t="shared" si="9"/>
        <v>639791526</v>
      </c>
      <c r="Z108" s="26"/>
      <c r="AA108" s="26">
        <v>152935825</v>
      </c>
      <c r="AB108" s="26"/>
      <c r="AC108" s="26"/>
      <c r="AD108" s="26"/>
      <c r="AE108" s="26">
        <v>0</v>
      </c>
      <c r="AF108" s="26"/>
      <c r="AG108" s="26"/>
      <c r="AH108" s="26"/>
      <c r="AI108" s="26"/>
      <c r="AJ108" s="26"/>
      <c r="AK108" s="26">
        <v>0</v>
      </c>
      <c r="AL108" s="26"/>
      <c r="AM108" s="26">
        <v>0</v>
      </c>
      <c r="AN108" s="26"/>
      <c r="AO108" s="51">
        <f t="shared" si="10"/>
        <v>152935825</v>
      </c>
      <c r="AP108" s="26"/>
      <c r="AQ108" s="51">
        <f t="shared" si="5"/>
        <v>792727351</v>
      </c>
    </row>
    <row r="109" spans="1:44">
      <c r="A109" s="13" t="s">
        <v>581</v>
      </c>
      <c r="B109" s="13"/>
      <c r="C109" s="13" t="s">
        <v>54</v>
      </c>
      <c r="D109" s="13"/>
      <c r="E109" s="32">
        <v>43760</v>
      </c>
      <c r="F109" s="26"/>
      <c r="G109" s="26">
        <v>10186296</v>
      </c>
      <c r="H109" s="26"/>
      <c r="I109" s="26">
        <v>0</v>
      </c>
      <c r="J109" s="26"/>
      <c r="K109" s="26">
        <f>12169507+2335819</f>
        <v>14505326</v>
      </c>
      <c r="L109" s="26"/>
      <c r="M109" s="26">
        <v>386523</v>
      </c>
      <c r="N109" s="26"/>
      <c r="O109" s="26">
        <v>296814</v>
      </c>
      <c r="P109" s="26"/>
      <c r="Q109" s="26">
        <v>146046</v>
      </c>
      <c r="R109" s="26"/>
      <c r="S109" s="26">
        <v>173191</v>
      </c>
      <c r="T109" s="26"/>
      <c r="U109" s="26">
        <v>0</v>
      </c>
      <c r="V109" s="26"/>
      <c r="W109" s="26">
        <f>412538+57967+207903</f>
        <v>678408</v>
      </c>
      <c r="X109" s="26"/>
      <c r="Y109" s="51">
        <f t="shared" si="9"/>
        <v>26372604</v>
      </c>
      <c r="Z109" s="26"/>
      <c r="AA109" s="26">
        <v>134607</v>
      </c>
      <c r="AB109" s="26"/>
      <c r="AC109" s="26"/>
      <c r="AD109" s="26"/>
      <c r="AE109" s="26">
        <v>770583</v>
      </c>
      <c r="AF109" s="26"/>
      <c r="AG109" s="26"/>
      <c r="AH109" s="26"/>
      <c r="AI109" s="26"/>
      <c r="AJ109" s="26"/>
      <c r="AK109" s="26">
        <v>0</v>
      </c>
      <c r="AL109" s="26"/>
      <c r="AM109" s="26">
        <v>0</v>
      </c>
      <c r="AN109" s="26"/>
      <c r="AO109" s="51">
        <f t="shared" si="10"/>
        <v>905190</v>
      </c>
      <c r="AP109" s="26"/>
      <c r="AQ109" s="51">
        <f t="shared" si="5"/>
        <v>27277794</v>
      </c>
    </row>
    <row r="110" spans="1:44">
      <c r="A110" s="13" t="s">
        <v>260</v>
      </c>
      <c r="B110" s="13"/>
      <c r="C110" s="13" t="s">
        <v>17</v>
      </c>
      <c r="D110" s="13"/>
      <c r="E110" s="32">
        <v>46284</v>
      </c>
      <c r="F110" s="26"/>
      <c r="G110" s="26">
        <v>9183320</v>
      </c>
      <c r="H110" s="26"/>
      <c r="I110" s="26">
        <v>0</v>
      </c>
      <c r="J110" s="26"/>
      <c r="K110" s="26">
        <v>8823537</v>
      </c>
      <c r="L110" s="26"/>
      <c r="M110" s="26">
        <v>85769</v>
      </c>
      <c r="N110" s="26"/>
      <c r="O110" s="26">
        <v>2635251</v>
      </c>
      <c r="P110" s="26"/>
      <c r="Q110" s="26">
        <v>292558</v>
      </c>
      <c r="R110" s="26"/>
      <c r="S110" s="26">
        <v>0</v>
      </c>
      <c r="T110" s="26"/>
      <c r="U110" s="26">
        <v>17897</v>
      </c>
      <c r="V110" s="26"/>
      <c r="W110" s="26">
        <f>659410+9175+90387</f>
        <v>758972</v>
      </c>
      <c r="X110" s="26"/>
      <c r="Y110" s="51">
        <f t="shared" si="9"/>
        <v>21797304</v>
      </c>
      <c r="Z110" s="26"/>
      <c r="AA110" s="26">
        <v>0</v>
      </c>
      <c r="AB110" s="26"/>
      <c r="AC110" s="26"/>
      <c r="AD110" s="26"/>
      <c r="AE110" s="26">
        <v>50325</v>
      </c>
      <c r="AF110" s="26"/>
      <c r="AG110" s="26"/>
      <c r="AH110" s="26"/>
      <c r="AI110" s="26"/>
      <c r="AJ110" s="26"/>
      <c r="AK110" s="26">
        <v>0</v>
      </c>
      <c r="AL110" s="26"/>
      <c r="AM110" s="26">
        <v>0</v>
      </c>
      <c r="AN110" s="26"/>
      <c r="AO110" s="51">
        <f t="shared" si="10"/>
        <v>50325</v>
      </c>
      <c r="AP110" s="26"/>
      <c r="AQ110" s="51">
        <f t="shared" ref="AQ110:AQ173" si="11">Y110+AO110</f>
        <v>21847629</v>
      </c>
    </row>
    <row r="111" spans="1:44" s="35" customFormat="1">
      <c r="A111" s="34" t="s">
        <v>627</v>
      </c>
      <c r="B111" s="34"/>
      <c r="C111" s="34" t="s">
        <v>59</v>
      </c>
      <c r="D111" s="34"/>
      <c r="E111" s="34">
        <v>49601</v>
      </c>
      <c r="F111" s="43"/>
      <c r="G111" s="26">
        <v>1222148</v>
      </c>
      <c r="H111" s="26"/>
      <c r="I111" s="26">
        <v>0</v>
      </c>
      <c r="J111" s="26"/>
      <c r="K111" s="26">
        <v>5515673</v>
      </c>
      <c r="L111" s="26"/>
      <c r="M111" s="26">
        <v>119890</v>
      </c>
      <c r="N111" s="26"/>
      <c r="O111" s="26">
        <v>1084824</v>
      </c>
      <c r="P111" s="26"/>
      <c r="Q111" s="26">
        <v>58653</v>
      </c>
      <c r="R111" s="26"/>
      <c r="S111" s="26">
        <v>0</v>
      </c>
      <c r="T111" s="26"/>
      <c r="U111" s="26">
        <v>20934</v>
      </c>
      <c r="V111" s="26"/>
      <c r="W111" s="26">
        <f>26569+92193+180679</f>
        <v>299441</v>
      </c>
      <c r="X111" s="26"/>
      <c r="Y111" s="51">
        <f t="shared" si="9"/>
        <v>8321563</v>
      </c>
      <c r="Z111" s="26"/>
      <c r="AA111" s="26">
        <v>233486</v>
      </c>
      <c r="AB111" s="26"/>
      <c r="AC111" s="26"/>
      <c r="AD111" s="26"/>
      <c r="AE111" s="26">
        <f>5265000+221712</f>
        <v>5486712</v>
      </c>
      <c r="AF111" s="26"/>
      <c r="AG111" s="26"/>
      <c r="AH111" s="26"/>
      <c r="AI111" s="26"/>
      <c r="AJ111" s="26"/>
      <c r="AK111" s="26">
        <v>0</v>
      </c>
      <c r="AL111" s="26"/>
      <c r="AM111" s="26">
        <v>0</v>
      </c>
      <c r="AN111" s="26"/>
      <c r="AO111" s="51">
        <f t="shared" si="10"/>
        <v>5720198</v>
      </c>
      <c r="AP111" s="26"/>
      <c r="AQ111" s="51">
        <f t="shared" si="11"/>
        <v>14041761</v>
      </c>
    </row>
    <row r="112" spans="1:44">
      <c r="A112" s="13" t="s">
        <v>694</v>
      </c>
      <c r="B112" s="13"/>
      <c r="C112" s="13" t="s">
        <v>65</v>
      </c>
      <c r="D112" s="13"/>
      <c r="E112" s="32">
        <v>43778</v>
      </c>
      <c r="F112" s="26"/>
      <c r="G112" s="26">
        <v>3492910</v>
      </c>
      <c r="H112" s="26"/>
      <c r="I112" s="26">
        <v>0</v>
      </c>
      <c r="J112" s="26"/>
      <c r="K112" s="26">
        <f>13856520+1934855</f>
        <v>15791375</v>
      </c>
      <c r="L112" s="26"/>
      <c r="M112" s="26">
        <v>68181</v>
      </c>
      <c r="N112" s="26"/>
      <c r="O112" s="26">
        <v>795333</v>
      </c>
      <c r="P112" s="26"/>
      <c r="Q112" s="26">
        <v>209690</v>
      </c>
      <c r="R112" s="26"/>
      <c r="S112" s="26">
        <v>0</v>
      </c>
      <c r="T112" s="26"/>
      <c r="U112" s="26">
        <v>36177</v>
      </c>
      <c r="V112" s="26"/>
      <c r="W112" s="26">
        <f>7047+188757+66497+4317+6211+351554</f>
        <v>624383</v>
      </c>
      <c r="X112" s="26"/>
      <c r="Y112" s="51">
        <f t="shared" si="9"/>
        <v>21018049</v>
      </c>
      <c r="Z112" s="26"/>
      <c r="AA112" s="26">
        <v>0</v>
      </c>
      <c r="AB112" s="26"/>
      <c r="AC112" s="26"/>
      <c r="AD112" s="26"/>
      <c r="AE112" s="26">
        <v>0</v>
      </c>
      <c r="AF112" s="26"/>
      <c r="AG112" s="26"/>
      <c r="AH112" s="26"/>
      <c r="AI112" s="26"/>
      <c r="AJ112" s="26"/>
      <c r="AK112" s="26">
        <v>0</v>
      </c>
      <c r="AL112" s="26"/>
      <c r="AM112" s="26">
        <v>0</v>
      </c>
      <c r="AN112" s="26"/>
      <c r="AO112" s="51">
        <f t="shared" si="10"/>
        <v>0</v>
      </c>
      <c r="AP112" s="26"/>
      <c r="AQ112" s="51">
        <f t="shared" si="11"/>
        <v>21018049</v>
      </c>
    </row>
    <row r="113" spans="1:43">
      <c r="A113" s="13" t="s">
        <v>609</v>
      </c>
      <c r="B113" s="13"/>
      <c r="C113" s="13" t="s">
        <v>112</v>
      </c>
      <c r="D113" s="13"/>
      <c r="E113" s="32">
        <v>49411</v>
      </c>
      <c r="F113" s="26"/>
      <c r="G113" s="26">
        <v>4478944</v>
      </c>
      <c r="H113" s="26"/>
      <c r="I113" s="26">
        <v>0</v>
      </c>
      <c r="J113" s="26"/>
      <c r="K113" s="26">
        <f>9320839+967542</f>
        <v>10288381</v>
      </c>
      <c r="L113" s="26"/>
      <c r="M113" s="26">
        <v>223391</v>
      </c>
      <c r="N113" s="26"/>
      <c r="O113" s="26">
        <v>637269</v>
      </c>
      <c r="P113" s="26"/>
      <c r="Q113" s="26">
        <v>177352</v>
      </c>
      <c r="R113" s="26"/>
      <c r="S113" s="26">
        <v>0</v>
      </c>
      <c r="T113" s="26"/>
      <c r="U113" s="26">
        <v>26751</v>
      </c>
      <c r="V113" s="26"/>
      <c r="W113" s="26">
        <f>425190+59786+7975+30820</f>
        <v>523771</v>
      </c>
      <c r="X113" s="26"/>
      <c r="Y113" s="51">
        <f t="shared" si="9"/>
        <v>16355859</v>
      </c>
      <c r="Z113" s="26"/>
      <c r="AA113" s="26">
        <v>25000</v>
      </c>
      <c r="AB113" s="26"/>
      <c r="AC113" s="26"/>
      <c r="AD113" s="26"/>
      <c r="AE113" s="26">
        <v>0</v>
      </c>
      <c r="AF113" s="26"/>
      <c r="AG113" s="26"/>
      <c r="AH113" s="26"/>
      <c r="AI113" s="26"/>
      <c r="AJ113" s="26"/>
      <c r="AK113" s="26">
        <v>1272</v>
      </c>
      <c r="AL113" s="26"/>
      <c r="AM113" s="26">
        <v>0</v>
      </c>
      <c r="AN113" s="26"/>
      <c r="AO113" s="51">
        <f t="shared" si="10"/>
        <v>26272</v>
      </c>
      <c r="AP113" s="26"/>
      <c r="AQ113" s="51">
        <f t="shared" si="11"/>
        <v>16382131</v>
      </c>
    </row>
    <row r="114" spans="1:43">
      <c r="A114" s="13" t="s">
        <v>485</v>
      </c>
      <c r="B114" s="13"/>
      <c r="C114" s="13" t="s">
        <v>44</v>
      </c>
      <c r="D114" s="13"/>
      <c r="E114" s="32">
        <v>48132</v>
      </c>
      <c r="F114" s="26"/>
      <c r="G114" s="26">
        <v>2742470</v>
      </c>
      <c r="H114" s="26"/>
      <c r="I114" s="26">
        <v>0</v>
      </c>
      <c r="J114" s="26"/>
      <c r="K114" s="26">
        <v>9165510</v>
      </c>
      <c r="L114" s="26"/>
      <c r="M114" s="26">
        <v>27188</v>
      </c>
      <c r="N114" s="26"/>
      <c r="O114" s="26">
        <v>3014994</v>
      </c>
      <c r="P114" s="26"/>
      <c r="Q114" s="26">
        <v>213052</v>
      </c>
      <c r="R114" s="26"/>
      <c r="S114" s="26">
        <v>0</v>
      </c>
      <c r="T114" s="26"/>
      <c r="U114" s="26">
        <v>0</v>
      </c>
      <c r="V114" s="26"/>
      <c r="W114" s="26">
        <f>190971+206710</f>
        <v>397681</v>
      </c>
      <c r="X114" s="26"/>
      <c r="Y114" s="51">
        <f t="shared" si="9"/>
        <v>15560895</v>
      </c>
      <c r="Z114" s="26"/>
      <c r="AA114" s="26">
        <v>153939</v>
      </c>
      <c r="AB114" s="26"/>
      <c r="AC114" s="26"/>
      <c r="AD114" s="26"/>
      <c r="AE114" s="26">
        <v>0</v>
      </c>
      <c r="AF114" s="26"/>
      <c r="AG114" s="26"/>
      <c r="AH114" s="26"/>
      <c r="AI114" s="26"/>
      <c r="AJ114" s="26"/>
      <c r="AK114" s="26">
        <v>0</v>
      </c>
      <c r="AL114" s="26"/>
      <c r="AM114" s="26">
        <v>0</v>
      </c>
      <c r="AN114" s="26"/>
      <c r="AO114" s="51">
        <f t="shared" si="10"/>
        <v>153939</v>
      </c>
      <c r="AP114" s="26"/>
      <c r="AQ114" s="51">
        <f t="shared" si="11"/>
        <v>15714834</v>
      </c>
    </row>
    <row r="115" spans="1:43">
      <c r="A115" s="13" t="s">
        <v>911</v>
      </c>
      <c r="B115" s="13"/>
      <c r="C115" s="13" t="s">
        <v>115</v>
      </c>
      <c r="D115" s="13"/>
      <c r="E115" s="32"/>
      <c r="F115" s="26"/>
      <c r="G115" s="26">
        <v>8610833</v>
      </c>
      <c r="H115" s="26"/>
      <c r="I115" s="26">
        <v>0</v>
      </c>
      <c r="J115" s="26"/>
      <c r="K115" s="26">
        <v>8051429</v>
      </c>
      <c r="L115" s="26"/>
      <c r="M115" s="26">
        <v>153951</v>
      </c>
      <c r="N115" s="26"/>
      <c r="O115" s="26">
        <v>565535</v>
      </c>
      <c r="P115" s="26"/>
      <c r="Q115" s="26">
        <v>0</v>
      </c>
      <c r="R115" s="26"/>
      <c r="S115" s="26">
        <v>0</v>
      </c>
      <c r="T115" s="26"/>
      <c r="U115" s="26">
        <v>0</v>
      </c>
      <c r="V115" s="26"/>
      <c r="W115" s="26">
        <f>431406+473350</f>
        <v>904756</v>
      </c>
      <c r="X115" s="26"/>
      <c r="Y115" s="51">
        <f t="shared" si="9"/>
        <v>18286504</v>
      </c>
      <c r="Z115" s="26"/>
      <c r="AA115" s="26">
        <v>533236</v>
      </c>
      <c r="AB115" s="26"/>
      <c r="AC115" s="26"/>
      <c r="AD115" s="26"/>
      <c r="AE115" s="26">
        <v>0</v>
      </c>
      <c r="AF115" s="26"/>
      <c r="AG115" s="26"/>
      <c r="AH115" s="26"/>
      <c r="AI115" s="26"/>
      <c r="AJ115" s="26"/>
      <c r="AK115" s="26">
        <v>0</v>
      </c>
      <c r="AL115" s="26"/>
      <c r="AM115" s="26"/>
      <c r="AN115" s="26"/>
      <c r="AO115" s="51">
        <f t="shared" si="10"/>
        <v>533236</v>
      </c>
      <c r="AP115" s="26"/>
      <c r="AQ115" s="51">
        <f t="shared" si="11"/>
        <v>18819740</v>
      </c>
    </row>
    <row r="116" spans="1:43">
      <c r="A116" s="13" t="s">
        <v>908</v>
      </c>
      <c r="B116" s="13"/>
      <c r="C116" s="13" t="s">
        <v>20</v>
      </c>
      <c r="D116" s="13"/>
      <c r="E116" s="13">
        <v>43794</v>
      </c>
      <c r="F116" s="26"/>
      <c r="G116" s="26">
        <v>65374496</v>
      </c>
      <c r="H116" s="26"/>
      <c r="I116" s="26">
        <v>0</v>
      </c>
      <c r="J116" s="26"/>
      <c r="K116" s="26">
        <v>38219178</v>
      </c>
      <c r="L116" s="26"/>
      <c r="M116" s="26">
        <v>1200992</v>
      </c>
      <c r="N116" s="26"/>
      <c r="O116" s="26">
        <v>1084330</v>
      </c>
      <c r="P116" s="26"/>
      <c r="Q116" s="26">
        <v>243331</v>
      </c>
      <c r="R116" s="26"/>
      <c r="S116" s="26">
        <v>110775</v>
      </c>
      <c r="T116" s="26"/>
      <c r="U116" s="26">
        <v>0</v>
      </c>
      <c r="V116" s="26"/>
      <c r="W116" s="26">
        <f>36870+1805193</f>
        <v>1842063</v>
      </c>
      <c r="X116" s="26"/>
      <c r="Y116" s="51">
        <f t="shared" si="9"/>
        <v>108075165</v>
      </c>
      <c r="Z116" s="26"/>
      <c r="AA116" s="26">
        <v>2077014</v>
      </c>
      <c r="AB116" s="26"/>
      <c r="AC116" s="26"/>
      <c r="AD116" s="26"/>
      <c r="AE116" s="26">
        <v>678728</v>
      </c>
      <c r="AF116" s="26"/>
      <c r="AG116" s="26"/>
      <c r="AH116" s="26"/>
      <c r="AI116" s="26"/>
      <c r="AJ116" s="26"/>
      <c r="AK116" s="26">
        <v>0</v>
      </c>
      <c r="AL116" s="26"/>
      <c r="AM116" s="26">
        <v>0</v>
      </c>
      <c r="AN116" s="26"/>
      <c r="AO116" s="51">
        <f t="shared" si="10"/>
        <v>2755742</v>
      </c>
      <c r="AP116" s="26"/>
      <c r="AQ116" s="51">
        <f t="shared" si="11"/>
        <v>110830907</v>
      </c>
    </row>
    <row r="117" spans="1:43">
      <c r="A117" s="13" t="s">
        <v>303</v>
      </c>
      <c r="B117" s="13"/>
      <c r="C117" s="13" t="s">
        <v>20</v>
      </c>
      <c r="D117" s="13"/>
      <c r="E117" s="32">
        <v>43786</v>
      </c>
      <c r="F117" s="26"/>
      <c r="G117" s="26">
        <v>198637233</v>
      </c>
      <c r="H117" s="26"/>
      <c r="I117" s="26">
        <v>0</v>
      </c>
      <c r="J117" s="26"/>
      <c r="K117" s="26">
        <f>415513502+135128629+3947025+131068187</f>
        <v>685657343</v>
      </c>
      <c r="L117" s="26"/>
      <c r="M117" s="26">
        <v>9507759</v>
      </c>
      <c r="N117" s="26"/>
      <c r="O117" s="26">
        <v>1341693</v>
      </c>
      <c r="P117" s="26"/>
      <c r="Q117" s="26">
        <v>790764</v>
      </c>
      <c r="R117" s="26"/>
      <c r="S117" s="26">
        <v>0</v>
      </c>
      <c r="T117" s="26"/>
      <c r="U117" s="26">
        <v>7984141</v>
      </c>
      <c r="V117" s="26"/>
      <c r="W117" s="26">
        <v>10669482</v>
      </c>
      <c r="X117" s="26"/>
      <c r="Y117" s="51">
        <f t="shared" si="9"/>
        <v>914588415</v>
      </c>
      <c r="Z117" s="26"/>
      <c r="AA117" s="26">
        <v>3770394</v>
      </c>
      <c r="AB117" s="26"/>
      <c r="AC117" s="26"/>
      <c r="AD117" s="26"/>
      <c r="AE117" s="26">
        <v>0</v>
      </c>
      <c r="AF117" s="26"/>
      <c r="AG117" s="26"/>
      <c r="AH117" s="26"/>
      <c r="AI117" s="26"/>
      <c r="AJ117" s="26"/>
      <c r="AK117" s="26">
        <v>0</v>
      </c>
      <c r="AL117" s="26"/>
      <c r="AM117" s="26">
        <v>0</v>
      </c>
      <c r="AN117" s="26"/>
      <c r="AO117" s="51">
        <f t="shared" si="10"/>
        <v>3770394</v>
      </c>
      <c r="AP117" s="26"/>
      <c r="AQ117" s="51">
        <f t="shared" si="11"/>
        <v>918358809</v>
      </c>
    </row>
    <row r="118" spans="1:43">
      <c r="A118" s="13" t="s">
        <v>275</v>
      </c>
      <c r="B118" s="13"/>
      <c r="C118" s="13" t="s">
        <v>18</v>
      </c>
      <c r="D118" s="13"/>
      <c r="E118" s="32">
        <v>46391</v>
      </c>
      <c r="F118" s="26"/>
      <c r="G118" s="26">
        <v>5480720</v>
      </c>
      <c r="H118" s="26"/>
      <c r="I118" s="26">
        <v>0</v>
      </c>
      <c r="J118" s="26"/>
      <c r="K118" s="26">
        <f>4593+18855586+721179</f>
        <v>19581358</v>
      </c>
      <c r="L118" s="26"/>
      <c r="M118" s="26">
        <v>387743</v>
      </c>
      <c r="N118" s="26"/>
      <c r="O118" s="26">
        <v>114185</v>
      </c>
      <c r="P118" s="26"/>
      <c r="Q118" s="26">
        <v>274531</v>
      </c>
      <c r="R118" s="26"/>
      <c r="S118" s="26">
        <v>0</v>
      </c>
      <c r="T118" s="26"/>
      <c r="U118" s="26">
        <v>26724</v>
      </c>
      <c r="V118" s="26"/>
      <c r="W118" s="26">
        <f>477319+102211+93014</f>
        <v>672544</v>
      </c>
      <c r="X118" s="26"/>
      <c r="Y118" s="51">
        <f t="shared" si="9"/>
        <v>26537805</v>
      </c>
      <c r="Z118" s="26"/>
      <c r="AA118" s="26">
        <v>302319</v>
      </c>
      <c r="AB118" s="26"/>
      <c r="AC118" s="26"/>
      <c r="AD118" s="26"/>
      <c r="AE118" s="26">
        <v>281387</v>
      </c>
      <c r="AF118" s="26"/>
      <c r="AG118" s="26"/>
      <c r="AH118" s="26"/>
      <c r="AI118" s="26"/>
      <c r="AJ118" s="26"/>
      <c r="AK118" s="26">
        <v>0</v>
      </c>
      <c r="AL118" s="26"/>
      <c r="AM118" s="26">
        <v>0</v>
      </c>
      <c r="AN118" s="26"/>
      <c r="AO118" s="51">
        <f t="shared" si="10"/>
        <v>583706</v>
      </c>
      <c r="AP118" s="26"/>
      <c r="AQ118" s="51">
        <f t="shared" si="11"/>
        <v>27121511</v>
      </c>
    </row>
    <row r="119" spans="1:43">
      <c r="A119" s="13" t="s">
        <v>527</v>
      </c>
      <c r="B119" s="13"/>
      <c r="C119" s="13" t="s">
        <v>47</v>
      </c>
      <c r="D119" s="13"/>
      <c r="E119" s="13">
        <v>48488</v>
      </c>
      <c r="F119" s="26"/>
      <c r="G119" s="26">
        <v>15252809</v>
      </c>
      <c r="H119" s="26"/>
      <c r="I119" s="26">
        <v>0</v>
      </c>
      <c r="J119" s="26"/>
      <c r="K119" s="26">
        <v>15229223</v>
      </c>
      <c r="L119" s="26"/>
      <c r="M119" s="26">
        <v>43354</v>
      </c>
      <c r="N119" s="26"/>
      <c r="O119" s="26">
        <v>491808</v>
      </c>
      <c r="P119" s="26"/>
      <c r="Q119" s="26">
        <v>327991</v>
      </c>
      <c r="R119" s="26"/>
      <c r="S119" s="26">
        <v>0</v>
      </c>
      <c r="T119" s="26"/>
      <c r="U119" s="26">
        <v>63905</v>
      </c>
      <c r="V119" s="26"/>
      <c r="W119" s="26">
        <f>864788+75922+115101</f>
        <v>1055811</v>
      </c>
      <c r="X119" s="26"/>
      <c r="Y119" s="51">
        <f t="shared" si="9"/>
        <v>32464901</v>
      </c>
      <c r="Z119" s="26"/>
      <c r="AA119" s="26">
        <v>287552</v>
      </c>
      <c r="AB119" s="26"/>
      <c r="AC119" s="26"/>
      <c r="AD119" s="26"/>
      <c r="AE119" s="26">
        <v>0</v>
      </c>
      <c r="AF119" s="26"/>
      <c r="AG119" s="26"/>
      <c r="AH119" s="26"/>
      <c r="AI119" s="26"/>
      <c r="AJ119" s="26"/>
      <c r="AK119" s="26">
        <v>70481</v>
      </c>
      <c r="AL119" s="26"/>
      <c r="AM119" s="26">
        <v>0</v>
      </c>
      <c r="AN119" s="26"/>
      <c r="AO119" s="51">
        <f t="shared" si="10"/>
        <v>358033</v>
      </c>
      <c r="AP119" s="26"/>
      <c r="AQ119" s="51">
        <f t="shared" si="11"/>
        <v>32822934</v>
      </c>
    </row>
    <row r="120" spans="1:43">
      <c r="A120" s="13" t="s">
        <v>622</v>
      </c>
      <c r="B120" s="13"/>
      <c r="C120" s="13" t="s">
        <v>79</v>
      </c>
      <c r="D120" s="13"/>
      <c r="E120" s="32">
        <v>45302</v>
      </c>
      <c r="F120" s="26"/>
      <c r="G120" s="26">
        <v>6957909</v>
      </c>
      <c r="H120" s="26"/>
      <c r="I120" s="26">
        <v>0</v>
      </c>
      <c r="J120" s="26"/>
      <c r="K120" s="26">
        <f>29636306+1453149</f>
        <v>31089455</v>
      </c>
      <c r="L120" s="26"/>
      <c r="M120" s="26">
        <v>673286</v>
      </c>
      <c r="N120" s="26"/>
      <c r="O120" s="26">
        <v>530654</v>
      </c>
      <c r="P120" s="26"/>
      <c r="Q120" s="26">
        <v>280630</v>
      </c>
      <c r="R120" s="26"/>
      <c r="S120" s="26">
        <v>0</v>
      </c>
      <c r="T120" s="26"/>
      <c r="U120" s="26">
        <v>0</v>
      </c>
      <c r="V120" s="26"/>
      <c r="W120" s="26">
        <f>631855+59131+409684</f>
        <v>1100670</v>
      </c>
      <c r="X120" s="26"/>
      <c r="Y120" s="51">
        <f t="shared" si="9"/>
        <v>40632604</v>
      </c>
      <c r="Z120" s="26"/>
      <c r="AA120" s="26">
        <v>115000</v>
      </c>
      <c r="AB120" s="26"/>
      <c r="AC120" s="26"/>
      <c r="AD120" s="26"/>
      <c r="AE120" s="26">
        <f>2828893+38252</f>
        <v>2867145</v>
      </c>
      <c r="AF120" s="26"/>
      <c r="AG120" s="26"/>
      <c r="AH120" s="26"/>
      <c r="AI120" s="26"/>
      <c r="AJ120" s="26"/>
      <c r="AK120" s="26">
        <v>11742</v>
      </c>
      <c r="AL120" s="26"/>
      <c r="AM120" s="26">
        <v>0</v>
      </c>
      <c r="AN120" s="26"/>
      <c r="AO120" s="51">
        <f t="shared" si="10"/>
        <v>2993887</v>
      </c>
      <c r="AP120" s="26"/>
      <c r="AQ120" s="51">
        <f t="shared" si="11"/>
        <v>43626491</v>
      </c>
    </row>
    <row r="121" spans="1:43" hidden="1">
      <c r="A121" s="13" t="s">
        <v>914</v>
      </c>
      <c r="B121" s="13"/>
      <c r="C121" s="13" t="s">
        <v>534</v>
      </c>
      <c r="D121" s="13"/>
      <c r="E121" s="32"/>
      <c r="F121" s="26"/>
      <c r="G121" s="26">
        <v>3836229</v>
      </c>
      <c r="H121" s="26"/>
      <c r="I121" s="26">
        <v>729252</v>
      </c>
      <c r="J121" s="26"/>
      <c r="K121" s="26">
        <v>8979888</v>
      </c>
      <c r="L121" s="26"/>
      <c r="M121" s="26">
        <v>103439</v>
      </c>
      <c r="N121" s="26"/>
      <c r="O121" s="26">
        <v>318058</v>
      </c>
      <c r="P121" s="26"/>
      <c r="Q121" s="26">
        <v>333945</v>
      </c>
      <c r="R121" s="26"/>
      <c r="S121" s="26">
        <v>7563</v>
      </c>
      <c r="T121" s="26"/>
      <c r="U121" s="26">
        <v>17361</v>
      </c>
      <c r="V121" s="26"/>
      <c r="W121" s="26">
        <f>12634+379280+91488</f>
        <v>483402</v>
      </c>
      <c r="X121" s="26"/>
      <c r="Y121" s="51">
        <f t="shared" si="9"/>
        <v>14809137</v>
      </c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51"/>
      <c r="AP121" s="26"/>
      <c r="AQ121" s="51">
        <f t="shared" si="11"/>
        <v>14809137</v>
      </c>
    </row>
    <row r="122" spans="1:43" hidden="1">
      <c r="A122" s="12" t="s">
        <v>829</v>
      </c>
      <c r="B122" s="13"/>
      <c r="C122" s="13" t="s">
        <v>57</v>
      </c>
      <c r="D122" s="13"/>
      <c r="E122" s="32">
        <v>64964</v>
      </c>
      <c r="F122" s="26"/>
      <c r="G122" s="26">
        <v>200921</v>
      </c>
      <c r="H122" s="26"/>
      <c r="I122" s="26"/>
      <c r="J122" s="26"/>
      <c r="K122" s="26">
        <v>806668</v>
      </c>
      <c r="L122" s="26"/>
      <c r="M122" s="26">
        <v>26404</v>
      </c>
      <c r="N122" s="26"/>
      <c r="O122" s="26">
        <v>112920</v>
      </c>
      <c r="P122" s="26"/>
      <c r="Q122" s="26"/>
      <c r="R122" s="26"/>
      <c r="S122" s="26"/>
      <c r="T122" s="26"/>
      <c r="U122" s="26"/>
      <c r="V122" s="26"/>
      <c r="W122" s="26">
        <f>67000+105503</f>
        <v>172503</v>
      </c>
      <c r="X122" s="26"/>
      <c r="Y122" s="51">
        <f t="shared" si="9"/>
        <v>1319416</v>
      </c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>
        <v>0</v>
      </c>
      <c r="AN122" s="26"/>
      <c r="AO122" s="51">
        <f t="shared" ref="AO122:AO138" si="12">AK122+AE122+AA122</f>
        <v>0</v>
      </c>
      <c r="AP122" s="26"/>
      <c r="AQ122" s="51">
        <f t="shared" si="11"/>
        <v>1319416</v>
      </c>
    </row>
    <row r="123" spans="1:43">
      <c r="A123" s="13" t="s">
        <v>292</v>
      </c>
      <c r="B123" s="13"/>
      <c r="C123" s="13" t="s">
        <v>113</v>
      </c>
      <c r="D123" s="13"/>
      <c r="E123" s="32">
        <v>46516</v>
      </c>
      <c r="F123" s="26"/>
      <c r="G123" s="26">
        <v>3074446</v>
      </c>
      <c r="H123" s="26"/>
      <c r="I123" s="26">
        <v>1331020</v>
      </c>
      <c r="J123" s="26"/>
      <c r="K123" s="26">
        <f>14139+4224472+440307</f>
        <v>4678918</v>
      </c>
      <c r="L123" s="26"/>
      <c r="M123" s="26">
        <v>45387</v>
      </c>
      <c r="N123" s="26"/>
      <c r="O123" s="26">
        <v>865720</v>
      </c>
      <c r="P123" s="26"/>
      <c r="Q123" s="26">
        <v>89833</v>
      </c>
      <c r="R123" s="26"/>
      <c r="S123" s="26">
        <v>0</v>
      </c>
      <c r="T123" s="26"/>
      <c r="U123" s="26">
        <v>7985</v>
      </c>
      <c r="V123" s="26"/>
      <c r="W123" s="26">
        <f>29355+231647+63109+1110+20693+27239</f>
        <v>373153</v>
      </c>
      <c r="X123" s="26"/>
      <c r="Y123" s="51">
        <f t="shared" si="9"/>
        <v>10466462</v>
      </c>
      <c r="Z123" s="26"/>
      <c r="AA123" s="26">
        <v>226464</v>
      </c>
      <c r="AB123" s="26"/>
      <c r="AC123" s="26"/>
      <c r="AD123" s="26"/>
      <c r="AE123" s="26">
        <v>100327</v>
      </c>
      <c r="AF123" s="26"/>
      <c r="AG123" s="26"/>
      <c r="AH123" s="26"/>
      <c r="AI123" s="26"/>
      <c r="AJ123" s="26"/>
      <c r="AK123" s="26">
        <v>1742</v>
      </c>
      <c r="AL123" s="26"/>
      <c r="AM123" s="26">
        <v>0</v>
      </c>
      <c r="AN123" s="26"/>
      <c r="AO123" s="51">
        <f t="shared" si="12"/>
        <v>328533</v>
      </c>
      <c r="AP123" s="26"/>
      <c r="AQ123" s="51">
        <f t="shared" si="11"/>
        <v>10794995</v>
      </c>
    </row>
    <row r="124" spans="1:43">
      <c r="A124" s="13" t="s">
        <v>486</v>
      </c>
      <c r="B124" s="13"/>
      <c r="C124" s="13" t="s">
        <v>44</v>
      </c>
      <c r="D124" s="13"/>
      <c r="E124" s="32">
        <v>48140</v>
      </c>
      <c r="F124" s="26"/>
      <c r="G124" s="26">
        <v>5796770</v>
      </c>
      <c r="H124" s="26"/>
      <c r="I124" s="26">
        <v>0</v>
      </c>
      <c r="J124" s="26"/>
      <c r="K124" s="26">
        <f>5551+3549953+542400</f>
        <v>4097904</v>
      </c>
      <c r="L124" s="26"/>
      <c r="M124" s="26">
        <v>34330</v>
      </c>
      <c r="N124" s="26"/>
      <c r="O124" s="26">
        <v>582602</v>
      </c>
      <c r="P124" s="26"/>
      <c r="Q124" s="26">
        <v>91995</v>
      </c>
      <c r="R124" s="26"/>
      <c r="S124" s="26">
        <v>0</v>
      </c>
      <c r="T124" s="26"/>
      <c r="U124" s="26">
        <v>0</v>
      </c>
      <c r="V124" s="26"/>
      <c r="W124" s="26">
        <f>245816+63491+103342</f>
        <v>412649</v>
      </c>
      <c r="X124" s="26"/>
      <c r="Y124" s="51">
        <f t="shared" si="9"/>
        <v>11016250</v>
      </c>
      <c r="Z124" s="26"/>
      <c r="AA124" s="26">
        <v>67600</v>
      </c>
      <c r="AB124" s="26"/>
      <c r="AC124" s="26"/>
      <c r="AD124" s="26"/>
      <c r="AE124" s="26">
        <v>77320</v>
      </c>
      <c r="AF124" s="26"/>
      <c r="AG124" s="26"/>
      <c r="AH124" s="26"/>
      <c r="AI124" s="26"/>
      <c r="AJ124" s="26"/>
      <c r="AK124" s="26">
        <v>0</v>
      </c>
      <c r="AL124" s="26"/>
      <c r="AM124" s="26">
        <v>0</v>
      </c>
      <c r="AN124" s="26"/>
      <c r="AO124" s="51">
        <f t="shared" si="12"/>
        <v>144920</v>
      </c>
      <c r="AP124" s="26"/>
      <c r="AQ124" s="51">
        <f t="shared" si="11"/>
        <v>11161170</v>
      </c>
    </row>
    <row r="125" spans="1:43">
      <c r="A125" s="13" t="s">
        <v>279</v>
      </c>
      <c r="B125" s="13"/>
      <c r="C125" s="13" t="s">
        <v>114</v>
      </c>
      <c r="D125" s="13"/>
      <c r="E125" s="32">
        <v>45328</v>
      </c>
      <c r="F125" s="26"/>
      <c r="G125" s="26">
        <v>3952145</v>
      </c>
      <c r="H125" s="26"/>
      <c r="I125" s="26">
        <v>1467354</v>
      </c>
      <c r="J125" s="26"/>
      <c r="K125" s="26">
        <v>4077746</v>
      </c>
      <c r="L125" s="26"/>
      <c r="M125" s="26">
        <v>191237</v>
      </c>
      <c r="N125" s="26"/>
      <c r="O125" s="26">
        <v>988912</v>
      </c>
      <c r="P125" s="26"/>
      <c r="Q125" s="26">
        <v>185251</v>
      </c>
      <c r="R125" s="26"/>
      <c r="S125" s="26">
        <v>0</v>
      </c>
      <c r="T125" s="26"/>
      <c r="U125" s="26">
        <v>40877</v>
      </c>
      <c r="V125" s="26"/>
      <c r="W125" s="26">
        <f>11465+239802+14786</f>
        <v>266053</v>
      </c>
      <c r="X125" s="26"/>
      <c r="Y125" s="51">
        <f t="shared" si="9"/>
        <v>11169575</v>
      </c>
      <c r="Z125" s="26"/>
      <c r="AA125" s="26">
        <v>0</v>
      </c>
      <c r="AB125" s="26"/>
      <c r="AC125" s="26"/>
      <c r="AD125" s="26"/>
      <c r="AE125" s="26">
        <v>0</v>
      </c>
      <c r="AF125" s="26"/>
      <c r="AG125" s="26"/>
      <c r="AH125" s="26"/>
      <c r="AI125" s="26"/>
      <c r="AJ125" s="26"/>
      <c r="AK125" s="26">
        <v>0</v>
      </c>
      <c r="AL125" s="26"/>
      <c r="AM125" s="26">
        <v>0</v>
      </c>
      <c r="AN125" s="26"/>
      <c r="AO125" s="51">
        <f t="shared" si="12"/>
        <v>0</v>
      </c>
      <c r="AP125" s="26"/>
      <c r="AQ125" s="51">
        <f t="shared" si="11"/>
        <v>11169575</v>
      </c>
    </row>
    <row r="126" spans="1:43">
      <c r="A126" s="13" t="s">
        <v>354</v>
      </c>
      <c r="B126" s="13"/>
      <c r="C126" s="13" t="s">
        <v>27</v>
      </c>
      <c r="D126" s="13"/>
      <c r="E126" s="32">
        <v>43802</v>
      </c>
      <c r="F126" s="26"/>
      <c r="G126" s="26">
        <v>456312294</v>
      </c>
      <c r="H126" s="26"/>
      <c r="I126" s="26">
        <v>0</v>
      </c>
      <c r="J126" s="26"/>
      <c r="K126" s="26">
        <v>452368764</v>
      </c>
      <c r="L126" s="26"/>
      <c r="M126" s="26">
        <v>6495669</v>
      </c>
      <c r="N126" s="26"/>
      <c r="O126" s="26">
        <v>6592871</v>
      </c>
      <c r="P126" s="26"/>
      <c r="Q126" s="26">
        <v>1630822</v>
      </c>
      <c r="R126" s="26"/>
      <c r="S126" s="26">
        <v>4798815</v>
      </c>
      <c r="T126" s="26"/>
      <c r="U126" s="26">
        <v>1741523</v>
      </c>
      <c r="V126" s="26"/>
      <c r="W126" s="26">
        <f>546044+5685889+7305914</f>
        <v>13537847</v>
      </c>
      <c r="X126" s="26"/>
      <c r="Y126" s="51">
        <f t="shared" si="9"/>
        <v>943478605</v>
      </c>
      <c r="Z126" s="26"/>
      <c r="AA126" s="26">
        <v>4639185</v>
      </c>
      <c r="AB126" s="26"/>
      <c r="AC126" s="26"/>
      <c r="AD126" s="26"/>
      <c r="AE126" s="26">
        <f>89889998+60000000+3312262</f>
        <v>153202260</v>
      </c>
      <c r="AF126" s="26"/>
      <c r="AG126" s="26"/>
      <c r="AH126" s="26"/>
      <c r="AI126" s="26"/>
      <c r="AJ126" s="26"/>
      <c r="AK126" s="26">
        <v>74884</v>
      </c>
      <c r="AL126" s="26"/>
      <c r="AM126" s="26">
        <v>0</v>
      </c>
      <c r="AN126" s="26"/>
      <c r="AO126" s="51">
        <f t="shared" si="12"/>
        <v>157916329</v>
      </c>
      <c r="AP126" s="26"/>
      <c r="AQ126" s="51">
        <f t="shared" si="11"/>
        <v>1101394934</v>
      </c>
    </row>
    <row r="127" spans="1:43" hidden="1">
      <c r="A127" s="13" t="s">
        <v>830</v>
      </c>
      <c r="B127" s="13"/>
      <c r="C127" s="13" t="s">
        <v>603</v>
      </c>
      <c r="D127" s="13"/>
      <c r="E127" s="32">
        <v>49312</v>
      </c>
      <c r="F127" s="26"/>
      <c r="G127" s="26">
        <v>1929425</v>
      </c>
      <c r="H127" s="26"/>
      <c r="I127" s="26">
        <v>734638</v>
      </c>
      <c r="J127" s="26"/>
      <c r="K127" s="26">
        <v>4903857</v>
      </c>
      <c r="L127" s="26"/>
      <c r="M127" s="26">
        <v>64411</v>
      </c>
      <c r="N127" s="26"/>
      <c r="O127" s="26">
        <v>250863</v>
      </c>
      <c r="P127" s="26"/>
      <c r="Q127" s="26">
        <v>224661</v>
      </c>
      <c r="R127" s="26"/>
      <c r="S127" s="26"/>
      <c r="T127" s="26"/>
      <c r="U127" s="26">
        <v>21297</v>
      </c>
      <c r="V127" s="26"/>
      <c r="W127" s="26">
        <f>223792+5677+69206</f>
        <v>298675</v>
      </c>
      <c r="X127" s="26"/>
      <c r="Y127" s="51">
        <f t="shared" si="9"/>
        <v>8427827</v>
      </c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>
        <v>0</v>
      </c>
      <c r="AN127" s="26"/>
      <c r="AO127" s="51">
        <f t="shared" si="12"/>
        <v>0</v>
      </c>
      <c r="AP127" s="26"/>
      <c r="AQ127" s="51">
        <f t="shared" si="11"/>
        <v>8427827</v>
      </c>
    </row>
    <row r="128" spans="1:43">
      <c r="A128" s="13" t="s">
        <v>218</v>
      </c>
      <c r="B128" s="13"/>
      <c r="C128" s="13" t="s">
        <v>12</v>
      </c>
      <c r="D128" s="13"/>
      <c r="E128" s="32">
        <v>43810</v>
      </c>
      <c r="F128" s="26"/>
      <c r="G128" s="26">
        <v>4635460</v>
      </c>
      <c r="H128" s="26"/>
      <c r="I128" s="26">
        <v>0</v>
      </c>
      <c r="J128" s="26"/>
      <c r="K128" s="26">
        <v>15735559</v>
      </c>
      <c r="L128" s="26"/>
      <c r="M128" s="26">
        <v>104216</v>
      </c>
      <c r="N128" s="26"/>
      <c r="O128" s="26">
        <v>273890</v>
      </c>
      <c r="P128" s="26"/>
      <c r="Q128" s="26">
        <v>85009</v>
      </c>
      <c r="R128" s="26"/>
      <c r="S128" s="26">
        <v>0</v>
      </c>
      <c r="T128" s="26"/>
      <c r="U128" s="26">
        <v>15003</v>
      </c>
      <c r="V128" s="26"/>
      <c r="W128" s="26">
        <f>255503+375+272412</f>
        <v>528290</v>
      </c>
      <c r="X128" s="26"/>
      <c r="Y128" s="51">
        <f t="shared" si="9"/>
        <v>21377427</v>
      </c>
      <c r="Z128" s="26"/>
      <c r="AA128" s="26">
        <v>10858</v>
      </c>
      <c r="AB128" s="26"/>
      <c r="AC128" s="26"/>
      <c r="AD128" s="26"/>
      <c r="AE128" s="26">
        <v>0</v>
      </c>
      <c r="AF128" s="26"/>
      <c r="AG128" s="26"/>
      <c r="AH128" s="26"/>
      <c r="AI128" s="26"/>
      <c r="AJ128" s="26"/>
      <c r="AK128" s="26">
        <v>51295</v>
      </c>
      <c r="AL128" s="26"/>
      <c r="AM128" s="26">
        <v>0</v>
      </c>
      <c r="AN128" s="26"/>
      <c r="AO128" s="51">
        <f t="shared" si="12"/>
        <v>62153</v>
      </c>
      <c r="AP128" s="26"/>
      <c r="AQ128" s="51">
        <f t="shared" si="11"/>
        <v>21439580</v>
      </c>
    </row>
    <row r="129" spans="1:44">
      <c r="A129" s="13" t="s">
        <v>427</v>
      </c>
      <c r="B129" s="13"/>
      <c r="C129" s="13" t="s">
        <v>428</v>
      </c>
      <c r="D129" s="13"/>
      <c r="E129" s="32">
        <v>47548</v>
      </c>
      <c r="F129" s="26"/>
      <c r="G129" s="26">
        <v>1712149</v>
      </c>
      <c r="H129" s="26"/>
      <c r="I129" s="26">
        <v>0</v>
      </c>
      <c r="J129" s="26"/>
      <c r="K129" s="26">
        <f>2778430+458609</f>
        <v>3237039</v>
      </c>
      <c r="L129" s="26"/>
      <c r="M129" s="26">
        <v>24938</v>
      </c>
      <c r="N129" s="26"/>
      <c r="O129" s="26">
        <v>276423</v>
      </c>
      <c r="P129" s="26"/>
      <c r="Q129" s="26">
        <v>63623</v>
      </c>
      <c r="R129" s="26"/>
      <c r="S129" s="26">
        <v>0</v>
      </c>
      <c r="T129" s="26"/>
      <c r="U129" s="26">
        <v>0</v>
      </c>
      <c r="V129" s="26"/>
      <c r="W129" s="26">
        <f>73452+26925</f>
        <v>100377</v>
      </c>
      <c r="X129" s="26"/>
      <c r="Y129" s="51">
        <f t="shared" si="9"/>
        <v>5414549</v>
      </c>
      <c r="Z129" s="26"/>
      <c r="AA129" s="26">
        <v>470900</v>
      </c>
      <c r="AB129" s="26"/>
      <c r="AC129" s="26"/>
      <c r="AD129" s="26"/>
      <c r="AE129" s="26">
        <v>0</v>
      </c>
      <c r="AF129" s="26"/>
      <c r="AG129" s="26"/>
      <c r="AH129" s="26"/>
      <c r="AI129" s="26"/>
      <c r="AJ129" s="26"/>
      <c r="AK129" s="26">
        <v>0</v>
      </c>
      <c r="AL129" s="26"/>
      <c r="AM129" s="26">
        <v>0</v>
      </c>
      <c r="AN129" s="26"/>
      <c r="AO129" s="51">
        <f t="shared" si="12"/>
        <v>470900</v>
      </c>
      <c r="AP129" s="26"/>
      <c r="AQ129" s="51">
        <f t="shared" si="11"/>
        <v>5885449</v>
      </c>
    </row>
    <row r="130" spans="1:44" hidden="1">
      <c r="A130" s="13" t="s">
        <v>969</v>
      </c>
      <c r="B130" s="13"/>
      <c r="C130" s="13" t="s">
        <v>603</v>
      </c>
      <c r="D130" s="13"/>
      <c r="E130" s="32">
        <v>49320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51">
        <f t="shared" si="9"/>
        <v>0</v>
      </c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>
        <v>0</v>
      </c>
      <c r="AN130" s="26"/>
      <c r="AO130" s="51">
        <f t="shared" si="12"/>
        <v>0</v>
      </c>
      <c r="AP130" s="26"/>
      <c r="AQ130" s="51">
        <f t="shared" si="11"/>
        <v>0</v>
      </c>
    </row>
    <row r="131" spans="1:44">
      <c r="A131" s="13" t="s">
        <v>664</v>
      </c>
      <c r="B131" s="13"/>
      <c r="C131" s="13" t="s">
        <v>63</v>
      </c>
      <c r="D131" s="13"/>
      <c r="E131" s="32">
        <v>49981</v>
      </c>
      <c r="F131" s="26"/>
      <c r="G131" s="26">
        <v>23999055</v>
      </c>
      <c r="H131" s="26"/>
      <c r="I131" s="26">
        <v>0</v>
      </c>
      <c r="J131" s="26"/>
      <c r="K131" s="26">
        <v>8654442</v>
      </c>
      <c r="L131" s="26"/>
      <c r="M131" s="26">
        <v>174274</v>
      </c>
      <c r="N131" s="26"/>
      <c r="O131" s="26">
        <v>521980</v>
      </c>
      <c r="P131" s="26"/>
      <c r="Q131" s="26">
        <v>136170</v>
      </c>
      <c r="R131" s="26"/>
      <c r="S131" s="26">
        <v>0</v>
      </c>
      <c r="T131" s="26"/>
      <c r="U131" s="26">
        <v>165438</v>
      </c>
      <c r="V131" s="26"/>
      <c r="W131" s="26">
        <f>680353+33094+390569</f>
        <v>1104016</v>
      </c>
      <c r="X131" s="26"/>
      <c r="Y131" s="51">
        <f t="shared" si="9"/>
        <v>34755375</v>
      </c>
      <c r="Z131" s="26"/>
      <c r="AA131" s="26">
        <v>58000</v>
      </c>
      <c r="AB131" s="26"/>
      <c r="AC131" s="26"/>
      <c r="AD131" s="26"/>
      <c r="AE131" s="26">
        <v>0</v>
      </c>
      <c r="AF131" s="26"/>
      <c r="AG131" s="26"/>
      <c r="AH131" s="26"/>
      <c r="AI131" s="26"/>
      <c r="AJ131" s="26"/>
      <c r="AK131" s="26">
        <v>0</v>
      </c>
      <c r="AL131" s="26"/>
      <c r="AM131" s="26">
        <v>0</v>
      </c>
      <c r="AN131" s="26"/>
      <c r="AO131" s="51">
        <f t="shared" si="12"/>
        <v>58000</v>
      </c>
      <c r="AP131" s="26"/>
      <c r="AQ131" s="51">
        <f t="shared" si="11"/>
        <v>34813375</v>
      </c>
    </row>
    <row r="132" spans="1:44">
      <c r="A132" s="13" t="s">
        <v>415</v>
      </c>
      <c r="B132" s="13"/>
      <c r="C132" s="13" t="s">
        <v>33</v>
      </c>
      <c r="D132" s="13"/>
      <c r="E132" s="32">
        <v>47431</v>
      </c>
      <c r="F132" s="26"/>
      <c r="G132" s="26">
        <v>1669538</v>
      </c>
      <c r="H132" s="26"/>
      <c r="I132" s="26">
        <v>1331717</v>
      </c>
      <c r="J132" s="26"/>
      <c r="K132" s="26">
        <v>3582938</v>
      </c>
      <c r="L132" s="26"/>
      <c r="M132" s="26">
        <v>11168</v>
      </c>
      <c r="N132" s="26"/>
      <c r="O132" s="26">
        <v>281021</v>
      </c>
      <c r="P132" s="26"/>
      <c r="Q132" s="26">
        <v>96655</v>
      </c>
      <c r="R132" s="26"/>
      <c r="S132" s="26">
        <v>40759</v>
      </c>
      <c r="T132" s="26"/>
      <c r="U132" s="26">
        <v>42568</v>
      </c>
      <c r="V132" s="26"/>
      <c r="W132" s="26">
        <f>144558+23515</f>
        <v>168073</v>
      </c>
      <c r="X132" s="26"/>
      <c r="Y132" s="51">
        <f t="shared" si="9"/>
        <v>7224437</v>
      </c>
      <c r="Z132" s="26"/>
      <c r="AA132" s="26">
        <v>47828</v>
      </c>
      <c r="AB132" s="26"/>
      <c r="AC132" s="26"/>
      <c r="AD132" s="26"/>
      <c r="AE132" s="26">
        <v>0</v>
      </c>
      <c r="AF132" s="26"/>
      <c r="AG132" s="26"/>
      <c r="AH132" s="26"/>
      <c r="AI132" s="26"/>
      <c r="AJ132" s="26"/>
      <c r="AK132" s="26">
        <v>500</v>
      </c>
      <c r="AL132" s="26"/>
      <c r="AM132" s="26">
        <v>0</v>
      </c>
      <c r="AN132" s="26"/>
      <c r="AO132" s="51">
        <f t="shared" si="12"/>
        <v>48328</v>
      </c>
      <c r="AP132" s="26"/>
      <c r="AQ132" s="51">
        <f t="shared" si="11"/>
        <v>7272765</v>
      </c>
    </row>
    <row r="133" spans="1:44">
      <c r="A133" s="13" t="s">
        <v>287</v>
      </c>
      <c r="B133" s="13"/>
      <c r="C133" s="13" t="s">
        <v>19</v>
      </c>
      <c r="D133" s="13"/>
      <c r="E133" s="32">
        <v>43828</v>
      </c>
      <c r="F133" s="26"/>
      <c r="G133" s="26">
        <v>4583072</v>
      </c>
      <c r="H133" s="26"/>
      <c r="I133" s="26">
        <v>0</v>
      </c>
      <c r="J133" s="26"/>
      <c r="K133" s="26">
        <f>10268758+1352991</f>
        <v>11621749</v>
      </c>
      <c r="L133" s="26"/>
      <c r="M133" s="26">
        <v>178223</v>
      </c>
      <c r="N133" s="26"/>
      <c r="O133" s="26">
        <v>846715</v>
      </c>
      <c r="P133" s="26"/>
      <c r="Q133" s="26">
        <v>190971</v>
      </c>
      <c r="R133" s="26"/>
      <c r="S133" s="26">
        <v>0</v>
      </c>
      <c r="T133" s="26"/>
      <c r="U133" s="26">
        <v>0</v>
      </c>
      <c r="V133" s="26"/>
      <c r="W133" s="26">
        <f>268762+52395+144689</f>
        <v>465846</v>
      </c>
      <c r="X133" s="26"/>
      <c r="Y133" s="51">
        <f t="shared" si="9"/>
        <v>17886576</v>
      </c>
      <c r="Z133" s="26"/>
      <c r="AA133" s="26">
        <v>240</v>
      </c>
      <c r="AB133" s="26"/>
      <c r="AC133" s="26"/>
      <c r="AD133" s="26"/>
      <c r="AE133" s="26">
        <v>0</v>
      </c>
      <c r="AF133" s="26"/>
      <c r="AG133" s="26"/>
      <c r="AH133" s="26"/>
      <c r="AI133" s="26"/>
      <c r="AJ133" s="26"/>
      <c r="AK133" s="26">
        <v>0</v>
      </c>
      <c r="AL133" s="26"/>
      <c r="AM133" s="26">
        <v>0</v>
      </c>
      <c r="AN133" s="26"/>
      <c r="AO133" s="51">
        <f t="shared" si="12"/>
        <v>240</v>
      </c>
      <c r="AP133" s="26"/>
      <c r="AQ133" s="51">
        <f t="shared" si="11"/>
        <v>17886816</v>
      </c>
    </row>
    <row r="134" spans="1:44">
      <c r="A134" s="13" t="s">
        <v>816</v>
      </c>
      <c r="B134" s="13"/>
      <c r="C134" s="13" t="s">
        <v>63</v>
      </c>
      <c r="D134" s="13"/>
      <c r="E134" s="32"/>
      <c r="F134" s="26"/>
      <c r="G134" s="26">
        <v>9400554</v>
      </c>
      <c r="H134" s="26"/>
      <c r="I134" s="26">
        <v>0</v>
      </c>
      <c r="J134" s="26"/>
      <c r="K134" s="26">
        <v>7093258</v>
      </c>
      <c r="L134" s="26"/>
      <c r="M134" s="26">
        <v>19915</v>
      </c>
      <c r="N134" s="26"/>
      <c r="O134" s="26">
        <v>4458273</v>
      </c>
      <c r="P134" s="26"/>
      <c r="Q134" s="26">
        <v>137236</v>
      </c>
      <c r="R134" s="26"/>
      <c r="S134" s="26">
        <v>0</v>
      </c>
      <c r="T134" s="26"/>
      <c r="U134" s="26">
        <v>56222</v>
      </c>
      <c r="V134" s="26"/>
      <c r="W134" s="26">
        <f>454003+8323+70383</f>
        <v>532709</v>
      </c>
      <c r="X134" s="26"/>
      <c r="Y134" s="51">
        <f t="shared" si="9"/>
        <v>21698167</v>
      </c>
      <c r="Z134" s="26"/>
      <c r="AA134" s="26">
        <v>36121</v>
      </c>
      <c r="AB134" s="26"/>
      <c r="AC134" s="26"/>
      <c r="AD134" s="26"/>
      <c r="AE134" s="26">
        <v>0</v>
      </c>
      <c r="AF134" s="26"/>
      <c r="AG134" s="26"/>
      <c r="AH134" s="26"/>
      <c r="AI134" s="26"/>
      <c r="AJ134" s="26"/>
      <c r="AK134" s="26">
        <v>0</v>
      </c>
      <c r="AL134" s="26"/>
      <c r="AM134" s="26">
        <v>0</v>
      </c>
      <c r="AN134" s="26"/>
      <c r="AO134" s="51">
        <f t="shared" si="12"/>
        <v>36121</v>
      </c>
      <c r="AP134" s="26"/>
      <c r="AQ134" s="51">
        <f t="shared" si="11"/>
        <v>21734288</v>
      </c>
    </row>
    <row r="135" spans="1:44">
      <c r="A135" s="13" t="s">
        <v>915</v>
      </c>
      <c r="B135" s="13"/>
      <c r="C135" s="13" t="s">
        <v>48</v>
      </c>
      <c r="D135" s="13"/>
      <c r="E135" s="32">
        <v>45336</v>
      </c>
      <c r="F135" s="26"/>
      <c r="G135" s="26">
        <v>3275497</v>
      </c>
      <c r="H135" s="26"/>
      <c r="I135" s="26">
        <v>0</v>
      </c>
      <c r="J135" s="26"/>
      <c r="K135" s="26">
        <f>3669062+380387</f>
        <v>4049449</v>
      </c>
      <c r="L135" s="26"/>
      <c r="M135" s="26">
        <v>38900</v>
      </c>
      <c r="N135" s="26"/>
      <c r="O135" s="26">
        <v>376003</v>
      </c>
      <c r="P135" s="26"/>
      <c r="Q135" s="26">
        <v>191216</v>
      </c>
      <c r="R135" s="26"/>
      <c r="S135" s="26">
        <v>0</v>
      </c>
      <c r="T135" s="26"/>
      <c r="U135" s="26">
        <v>148506</v>
      </c>
      <c r="V135" s="26"/>
      <c r="W135" s="26">
        <f>193542+36753+5296+16276</f>
        <v>251867</v>
      </c>
      <c r="X135" s="26"/>
      <c r="Y135" s="51">
        <f t="shared" si="9"/>
        <v>8331438</v>
      </c>
      <c r="Z135" s="26"/>
      <c r="AA135" s="26">
        <v>0</v>
      </c>
      <c r="AB135" s="26"/>
      <c r="AC135" s="26"/>
      <c r="AD135" s="26"/>
      <c r="AE135" s="26">
        <v>46010</v>
      </c>
      <c r="AF135" s="26"/>
      <c r="AG135" s="26"/>
      <c r="AH135" s="26"/>
      <c r="AI135" s="26"/>
      <c r="AJ135" s="26"/>
      <c r="AK135" s="26">
        <v>0</v>
      </c>
      <c r="AL135" s="26"/>
      <c r="AM135" s="26">
        <v>0</v>
      </c>
      <c r="AN135" s="26"/>
      <c r="AO135" s="51">
        <f t="shared" si="12"/>
        <v>46010</v>
      </c>
      <c r="AP135" s="26"/>
      <c r="AQ135" s="51">
        <f t="shared" si="11"/>
        <v>8377448</v>
      </c>
    </row>
    <row r="136" spans="1:44">
      <c r="A136" s="13" t="s">
        <v>916</v>
      </c>
      <c r="B136" s="13"/>
      <c r="C136" s="13" t="s">
        <v>113</v>
      </c>
      <c r="D136" s="13"/>
      <c r="E136" s="32">
        <v>45344</v>
      </c>
      <c r="F136" s="26"/>
      <c r="G136" s="26">
        <v>2310002</v>
      </c>
      <c r="H136" s="26"/>
      <c r="I136" s="26">
        <v>0</v>
      </c>
      <c r="J136" s="26"/>
      <c r="K136" s="26">
        <f>4883463+896253</f>
        <v>5779716</v>
      </c>
      <c r="L136" s="26"/>
      <c r="M136" s="26">
        <v>32121</v>
      </c>
      <c r="N136" s="26"/>
      <c r="O136" s="26">
        <v>207292</v>
      </c>
      <c r="P136" s="26"/>
      <c r="Q136" s="26">
        <v>73773</v>
      </c>
      <c r="R136" s="26"/>
      <c r="S136" s="26">
        <v>0</v>
      </c>
      <c r="T136" s="26"/>
      <c r="U136" s="26">
        <v>0</v>
      </c>
      <c r="V136" s="26"/>
      <c r="W136" s="26">
        <f>77067+28107+58306</f>
        <v>163480</v>
      </c>
      <c r="X136" s="26"/>
      <c r="Y136" s="51">
        <f t="shared" si="9"/>
        <v>8566384</v>
      </c>
      <c r="Z136" s="26"/>
      <c r="AA136" s="26">
        <v>0</v>
      </c>
      <c r="AB136" s="26"/>
      <c r="AC136" s="26"/>
      <c r="AD136" s="26"/>
      <c r="AE136" s="26">
        <v>0</v>
      </c>
      <c r="AF136" s="26"/>
      <c r="AG136" s="26"/>
      <c r="AH136" s="26"/>
      <c r="AI136" s="26"/>
      <c r="AJ136" s="26"/>
      <c r="AK136" s="26">
        <v>8275</v>
      </c>
      <c r="AL136" s="26"/>
      <c r="AM136" s="26">
        <v>0</v>
      </c>
      <c r="AN136" s="26"/>
      <c r="AO136" s="51">
        <f t="shared" si="12"/>
        <v>8275</v>
      </c>
      <c r="AP136" s="26"/>
      <c r="AQ136" s="51">
        <f t="shared" si="11"/>
        <v>8574659</v>
      </c>
    </row>
    <row r="137" spans="1:44">
      <c r="A137" s="13" t="s">
        <v>280</v>
      </c>
      <c r="B137" s="13"/>
      <c r="C137" s="13" t="s">
        <v>114</v>
      </c>
      <c r="D137" s="13"/>
      <c r="E137" s="32">
        <v>46433</v>
      </c>
      <c r="F137" s="26"/>
      <c r="G137" s="26">
        <v>2343327</v>
      </c>
      <c r="H137" s="26"/>
      <c r="I137" s="26">
        <v>1039402</v>
      </c>
      <c r="J137" s="26"/>
      <c r="K137" s="26">
        <v>5759420</v>
      </c>
      <c r="L137" s="26"/>
      <c r="M137" s="26">
        <v>67905</v>
      </c>
      <c r="N137" s="26"/>
      <c r="O137" s="26">
        <v>1700367</v>
      </c>
      <c r="P137" s="26"/>
      <c r="Q137" s="26">
        <v>193989</v>
      </c>
      <c r="R137" s="26"/>
      <c r="S137" s="26">
        <v>0</v>
      </c>
      <c r="T137" s="26"/>
      <c r="U137" s="26">
        <v>6881</v>
      </c>
      <c r="V137" s="26"/>
      <c r="W137" s="26">
        <f>286301+2526+37347</f>
        <v>326174</v>
      </c>
      <c r="X137" s="26"/>
      <c r="Y137" s="51">
        <f t="shared" si="9"/>
        <v>11437465</v>
      </c>
      <c r="Z137" s="26"/>
      <c r="AA137" s="26">
        <v>0</v>
      </c>
      <c r="AB137" s="26"/>
      <c r="AC137" s="26"/>
      <c r="AD137" s="26"/>
      <c r="AE137" s="26">
        <v>0</v>
      </c>
      <c r="AF137" s="26"/>
      <c r="AG137" s="26"/>
      <c r="AH137" s="26"/>
      <c r="AI137" s="26"/>
      <c r="AJ137" s="26"/>
      <c r="AK137" s="26">
        <v>1221</v>
      </c>
      <c r="AL137" s="26"/>
      <c r="AM137" s="26">
        <v>0</v>
      </c>
      <c r="AN137" s="26"/>
      <c r="AO137" s="51">
        <f t="shared" si="12"/>
        <v>1221</v>
      </c>
      <c r="AP137" s="26"/>
      <c r="AQ137" s="51">
        <f t="shared" si="11"/>
        <v>11438686</v>
      </c>
    </row>
    <row r="138" spans="1:44">
      <c r="A138" s="13" t="s">
        <v>280</v>
      </c>
      <c r="B138" s="13"/>
      <c r="C138" s="13" t="s">
        <v>112</v>
      </c>
      <c r="D138" s="13"/>
      <c r="E138" s="32">
        <v>49429</v>
      </c>
      <c r="F138" s="26"/>
      <c r="G138" s="26">
        <v>3008024</v>
      </c>
      <c r="H138" s="26"/>
      <c r="I138" s="26">
        <v>0</v>
      </c>
      <c r="J138" s="26"/>
      <c r="K138" s="26">
        <f>7599152+929514</f>
        <v>8528666</v>
      </c>
      <c r="L138" s="26"/>
      <c r="M138" s="26">
        <v>235901</v>
      </c>
      <c r="N138" s="26"/>
      <c r="O138" s="26">
        <v>136730</v>
      </c>
      <c r="P138" s="26"/>
      <c r="Q138" s="26">
        <v>179839</v>
      </c>
      <c r="R138" s="26"/>
      <c r="S138" s="26">
        <v>0</v>
      </c>
      <c r="T138" s="26"/>
      <c r="U138" s="26">
        <v>23713</v>
      </c>
      <c r="V138" s="26"/>
      <c r="W138" s="26">
        <f>237668+55939+26390+1180</f>
        <v>321177</v>
      </c>
      <c r="X138" s="26"/>
      <c r="Y138" s="51">
        <f t="shared" si="9"/>
        <v>12434050</v>
      </c>
      <c r="Z138" s="26"/>
      <c r="AA138" s="8">
        <v>308171</v>
      </c>
      <c r="AB138" s="26"/>
      <c r="AC138" s="26"/>
      <c r="AD138" s="26"/>
      <c r="AE138" s="26">
        <v>0</v>
      </c>
      <c r="AF138" s="26"/>
      <c r="AG138" s="26"/>
      <c r="AH138" s="26"/>
      <c r="AI138" s="26"/>
      <c r="AJ138" s="26"/>
      <c r="AK138" s="26">
        <v>0</v>
      </c>
      <c r="AL138" s="26"/>
      <c r="AM138" s="26">
        <v>0</v>
      </c>
      <c r="AN138" s="26"/>
      <c r="AO138" s="51">
        <f t="shared" si="12"/>
        <v>308171</v>
      </c>
      <c r="AP138" s="26"/>
      <c r="AQ138" s="51">
        <f t="shared" si="11"/>
        <v>12742221</v>
      </c>
    </row>
    <row r="139" spans="1:44" hidden="1">
      <c r="A139" s="73" t="s">
        <v>917</v>
      </c>
      <c r="B139" s="73"/>
      <c r="C139" s="73" t="s">
        <v>67</v>
      </c>
      <c r="D139" s="73"/>
      <c r="E139" s="74"/>
      <c r="F139" s="75"/>
      <c r="G139" s="75">
        <v>2229586</v>
      </c>
      <c r="H139" s="75"/>
      <c r="I139" s="75">
        <v>875688</v>
      </c>
      <c r="J139" s="75"/>
      <c r="K139" s="75">
        <v>8936125</v>
      </c>
      <c r="L139" s="75"/>
      <c r="M139" s="75">
        <v>323321</v>
      </c>
      <c r="N139" s="75"/>
      <c r="O139" s="75">
        <v>578298</v>
      </c>
      <c r="P139" s="75"/>
      <c r="Q139" s="75">
        <v>310347</v>
      </c>
      <c r="R139" s="75"/>
      <c r="S139" s="75">
        <v>229004</v>
      </c>
      <c r="T139" s="75"/>
      <c r="U139" s="75">
        <v>67495</v>
      </c>
      <c r="V139" s="75"/>
      <c r="W139" s="75">
        <f>1606+283817+4695</f>
        <v>290118</v>
      </c>
      <c r="X139" s="75"/>
      <c r="Y139" s="76">
        <f t="shared" si="9"/>
        <v>13839982</v>
      </c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6"/>
      <c r="AP139" s="75"/>
      <c r="AQ139" s="51">
        <f t="shared" si="11"/>
        <v>13839982</v>
      </c>
      <c r="AR139" s="15" t="s">
        <v>918</v>
      </c>
    </row>
    <row r="140" spans="1:44">
      <c r="A140" s="13" t="s">
        <v>589</v>
      </c>
      <c r="B140" s="13"/>
      <c r="C140" s="13" t="s">
        <v>56</v>
      </c>
      <c r="D140" s="13"/>
      <c r="E140" s="32">
        <v>49189</v>
      </c>
      <c r="F140" s="26"/>
      <c r="G140" s="26">
        <v>7167905</v>
      </c>
      <c r="H140" s="26"/>
      <c r="I140" s="26">
        <v>0</v>
      </c>
      <c r="J140" s="26"/>
      <c r="K140" s="26">
        <f>13590430+1028396</f>
        <v>14618826</v>
      </c>
      <c r="L140" s="26"/>
      <c r="M140" s="26">
        <v>77432</v>
      </c>
      <c r="N140" s="26"/>
      <c r="O140" s="26">
        <v>769685</v>
      </c>
      <c r="P140" s="26"/>
      <c r="Q140" s="26">
        <v>91277</v>
      </c>
      <c r="R140" s="26"/>
      <c r="S140" s="26">
        <v>0</v>
      </c>
      <c r="T140" s="26"/>
      <c r="U140" s="26">
        <v>0</v>
      </c>
      <c r="V140" s="26"/>
      <c r="W140" s="26">
        <f>3281+402343+117173+412782</f>
        <v>935579</v>
      </c>
      <c r="X140" s="26"/>
      <c r="Y140" s="51">
        <f t="shared" si="9"/>
        <v>23660704</v>
      </c>
      <c r="Z140" s="26"/>
      <c r="AA140" s="26">
        <v>377364</v>
      </c>
      <c r="AB140" s="26"/>
      <c r="AC140" s="26"/>
      <c r="AD140" s="26"/>
      <c r="AE140" s="26">
        <v>0</v>
      </c>
      <c r="AF140" s="26"/>
      <c r="AG140" s="26"/>
      <c r="AH140" s="26"/>
      <c r="AI140" s="26"/>
      <c r="AJ140" s="26"/>
      <c r="AK140" s="26">
        <v>0</v>
      </c>
      <c r="AL140" s="26"/>
      <c r="AM140" s="26">
        <v>0</v>
      </c>
      <c r="AN140" s="26"/>
      <c r="AO140" s="51">
        <f t="shared" ref="AO140:AO158" si="13">AK140+AE140+AA140</f>
        <v>377364</v>
      </c>
      <c r="AP140" s="26"/>
      <c r="AQ140" s="51">
        <f t="shared" si="11"/>
        <v>24038068</v>
      </c>
    </row>
    <row r="141" spans="1:44">
      <c r="A141" s="13" t="s">
        <v>817</v>
      </c>
      <c r="B141" s="13"/>
      <c r="C141" s="13" t="s">
        <v>579</v>
      </c>
      <c r="D141" s="13"/>
      <c r="E141" s="32"/>
      <c r="F141" s="26"/>
      <c r="G141" s="26">
        <v>1120092</v>
      </c>
      <c r="H141" s="26"/>
      <c r="I141" s="26">
        <v>0</v>
      </c>
      <c r="J141" s="26"/>
      <c r="K141" s="26">
        <f>7702341+1284350</f>
        <v>8986691</v>
      </c>
      <c r="L141" s="26"/>
      <c r="M141" s="26">
        <v>56952</v>
      </c>
      <c r="N141" s="26"/>
      <c r="O141" s="26">
        <v>539581</v>
      </c>
      <c r="P141" s="26"/>
      <c r="Q141" s="26">
        <v>213185</v>
      </c>
      <c r="R141" s="26"/>
      <c r="S141" s="26">
        <v>0</v>
      </c>
      <c r="T141" s="26"/>
      <c r="U141" s="26">
        <v>0</v>
      </c>
      <c r="V141" s="26"/>
      <c r="W141" s="26">
        <f>123197+4206+168768</f>
        <v>296171</v>
      </c>
      <c r="X141" s="26"/>
      <c r="Y141" s="51">
        <f t="shared" si="9"/>
        <v>11212672</v>
      </c>
      <c r="Z141" s="26"/>
      <c r="AA141" s="26">
        <v>0</v>
      </c>
      <c r="AB141" s="26"/>
      <c r="AC141" s="26"/>
      <c r="AD141" s="26"/>
      <c r="AE141" s="26">
        <v>0</v>
      </c>
      <c r="AF141" s="26"/>
      <c r="AG141" s="26"/>
      <c r="AH141" s="26"/>
      <c r="AI141" s="26"/>
      <c r="AJ141" s="26"/>
      <c r="AK141" s="26">
        <v>0</v>
      </c>
      <c r="AL141" s="26"/>
      <c r="AM141" s="26">
        <v>0</v>
      </c>
      <c r="AN141" s="26"/>
      <c r="AO141" s="51">
        <f t="shared" si="13"/>
        <v>0</v>
      </c>
      <c r="AP141" s="26"/>
      <c r="AQ141" s="51">
        <f t="shared" si="11"/>
        <v>11212672</v>
      </c>
    </row>
    <row r="142" spans="1:44">
      <c r="A142" s="13" t="s">
        <v>665</v>
      </c>
      <c r="B142" s="13"/>
      <c r="C142" s="13" t="s">
        <v>63</v>
      </c>
      <c r="D142" s="13"/>
      <c r="E142" s="32">
        <v>43836</v>
      </c>
      <c r="F142" s="26"/>
      <c r="G142" s="26">
        <v>26898339</v>
      </c>
      <c r="H142" s="26"/>
      <c r="I142" s="26">
        <v>0</v>
      </c>
      <c r="J142" s="26"/>
      <c r="K142" s="26">
        <f>20681+18963837+2900107</f>
        <v>21884625</v>
      </c>
      <c r="L142" s="26"/>
      <c r="M142" s="26">
        <v>167596</v>
      </c>
      <c r="N142" s="26"/>
      <c r="O142" s="26">
        <v>3465932</v>
      </c>
      <c r="P142" s="26"/>
      <c r="Q142" s="26">
        <v>505889</v>
      </c>
      <c r="R142" s="26"/>
      <c r="S142" s="26">
        <v>0</v>
      </c>
      <c r="T142" s="26"/>
      <c r="U142" s="26">
        <v>89</v>
      </c>
      <c r="V142" s="26"/>
      <c r="W142" s="26">
        <f>387579+11843+333148+155832+27597+791390</f>
        <v>1707389</v>
      </c>
      <c r="X142" s="26"/>
      <c r="Y142" s="51">
        <f t="shared" si="9"/>
        <v>54629859</v>
      </c>
      <c r="Z142" s="26"/>
      <c r="AA142" s="26">
        <v>852537</v>
      </c>
      <c r="AB142" s="26"/>
      <c r="AC142" s="26"/>
      <c r="AD142" s="26"/>
      <c r="AE142" s="26">
        <v>0</v>
      </c>
      <c r="AF142" s="26"/>
      <c r="AG142" s="26"/>
      <c r="AH142" s="26"/>
      <c r="AI142" s="26"/>
      <c r="AJ142" s="26"/>
      <c r="AK142" s="26">
        <v>0</v>
      </c>
      <c r="AL142" s="26"/>
      <c r="AM142" s="26">
        <v>0</v>
      </c>
      <c r="AN142" s="26"/>
      <c r="AO142" s="51">
        <f t="shared" si="13"/>
        <v>852537</v>
      </c>
      <c r="AP142" s="26"/>
      <c r="AQ142" s="51">
        <f t="shared" si="11"/>
        <v>55482396</v>
      </c>
    </row>
    <row r="143" spans="1:44">
      <c r="A143" s="13" t="s">
        <v>1053</v>
      </c>
      <c r="B143" s="13"/>
      <c r="C143" s="13" t="s">
        <v>20</v>
      </c>
      <c r="D143" s="13"/>
      <c r="E143" s="32">
        <v>46557</v>
      </c>
      <c r="F143" s="26"/>
      <c r="G143" s="26">
        <v>10973616</v>
      </c>
      <c r="H143" s="26"/>
      <c r="I143" s="26">
        <v>0</v>
      </c>
      <c r="J143" s="26"/>
      <c r="K143" s="26">
        <v>4688396</v>
      </c>
      <c r="L143" s="26"/>
      <c r="M143" s="26">
        <v>253128</v>
      </c>
      <c r="N143" s="26"/>
      <c r="O143" s="26">
        <v>507202</v>
      </c>
      <c r="P143" s="26"/>
      <c r="Q143" s="26">
        <v>115575</v>
      </c>
      <c r="R143" s="26"/>
      <c r="S143" s="26">
        <v>0</v>
      </c>
      <c r="T143" s="26"/>
      <c r="U143" s="26">
        <v>72</v>
      </c>
      <c r="V143" s="26"/>
      <c r="W143" s="26">
        <f>252898+154800+230773</f>
        <v>638471</v>
      </c>
      <c r="X143" s="26"/>
      <c r="Y143" s="51">
        <f t="shared" si="9"/>
        <v>17176460</v>
      </c>
      <c r="Z143" s="26"/>
      <c r="AA143" s="26">
        <v>93451</v>
      </c>
      <c r="AB143" s="26"/>
      <c r="AC143" s="26"/>
      <c r="AD143" s="26"/>
      <c r="AE143" s="26">
        <v>0</v>
      </c>
      <c r="AF143" s="26"/>
      <c r="AG143" s="26"/>
      <c r="AH143" s="26"/>
      <c r="AI143" s="26"/>
      <c r="AJ143" s="26"/>
      <c r="AK143" s="26">
        <v>0</v>
      </c>
      <c r="AL143" s="26"/>
      <c r="AM143" s="26">
        <v>0</v>
      </c>
      <c r="AN143" s="26"/>
      <c r="AO143" s="51">
        <f t="shared" si="13"/>
        <v>93451</v>
      </c>
      <c r="AP143" s="26"/>
      <c r="AQ143" s="51">
        <f t="shared" si="11"/>
        <v>17269911</v>
      </c>
      <c r="AR143" s="15" t="s">
        <v>919</v>
      </c>
    </row>
    <row r="144" spans="1:44">
      <c r="A144" s="13" t="s">
        <v>828</v>
      </c>
      <c r="B144" s="13"/>
      <c r="C144" s="13" t="s">
        <v>71</v>
      </c>
      <c r="D144" s="13"/>
      <c r="E144" s="32">
        <v>48934</v>
      </c>
      <c r="F144" s="26"/>
      <c r="G144" s="26">
        <v>2826937</v>
      </c>
      <c r="H144" s="26"/>
      <c r="I144" s="26">
        <v>1015927</v>
      </c>
      <c r="J144" s="26"/>
      <c r="K144" s="26">
        <f>4115831+571277</f>
        <v>4687108</v>
      </c>
      <c r="L144" s="26"/>
      <c r="M144" s="26">
        <v>18829</v>
      </c>
      <c r="N144" s="26"/>
      <c r="O144" s="26">
        <v>219416</v>
      </c>
      <c r="P144" s="26"/>
      <c r="Q144" s="26">
        <v>139857</v>
      </c>
      <c r="R144" s="26"/>
      <c r="S144" s="26">
        <v>0</v>
      </c>
      <c r="T144" s="26"/>
      <c r="U144" s="26">
        <v>0</v>
      </c>
      <c r="V144" s="26"/>
      <c r="W144" s="26">
        <f>145774+1753+62400</f>
        <v>209927</v>
      </c>
      <c r="X144" s="26"/>
      <c r="Y144" s="51">
        <f t="shared" si="9"/>
        <v>9118001</v>
      </c>
      <c r="Z144" s="26"/>
      <c r="AA144" s="26">
        <v>132411</v>
      </c>
      <c r="AB144" s="26"/>
      <c r="AC144" s="26"/>
      <c r="AD144" s="26"/>
      <c r="AE144" s="26">
        <v>0</v>
      </c>
      <c r="AF144" s="26"/>
      <c r="AG144" s="26"/>
      <c r="AH144" s="26"/>
      <c r="AI144" s="26"/>
      <c r="AJ144" s="26"/>
      <c r="AK144" s="26">
        <v>800</v>
      </c>
      <c r="AL144" s="26"/>
      <c r="AM144" s="26">
        <v>0</v>
      </c>
      <c r="AN144" s="26"/>
      <c r="AO144" s="51">
        <f t="shared" si="13"/>
        <v>133211</v>
      </c>
      <c r="AP144" s="26"/>
      <c r="AQ144" s="51">
        <f t="shared" si="11"/>
        <v>9251212</v>
      </c>
    </row>
    <row r="145" spans="1:44">
      <c r="A145" s="13" t="s">
        <v>572</v>
      </c>
      <c r="B145" s="13"/>
      <c r="C145" s="13" t="s">
        <v>53</v>
      </c>
      <c r="D145" s="13"/>
      <c r="E145" s="32">
        <v>48934</v>
      </c>
      <c r="F145" s="26"/>
      <c r="G145" s="26">
        <v>7263639</v>
      </c>
      <c r="H145" s="26"/>
      <c r="I145" s="26">
        <v>0</v>
      </c>
      <c r="J145" s="26"/>
      <c r="K145" s="26">
        <f>218+1762406+313122</f>
        <v>2075746</v>
      </c>
      <c r="L145" s="26"/>
      <c r="M145" s="26">
        <v>86786</v>
      </c>
      <c r="N145" s="26"/>
      <c r="O145" s="26">
        <v>196507</v>
      </c>
      <c r="P145" s="26"/>
      <c r="Q145" s="26">
        <v>119557</v>
      </c>
      <c r="R145" s="26"/>
      <c r="S145" s="26">
        <v>0</v>
      </c>
      <c r="T145" s="26"/>
      <c r="U145" s="26">
        <v>0</v>
      </c>
      <c r="V145" s="26"/>
      <c r="W145" s="26">
        <f>52710+28679+153706</f>
        <v>235095</v>
      </c>
      <c r="X145" s="26"/>
      <c r="Y145" s="51">
        <f t="shared" si="9"/>
        <v>9977330</v>
      </c>
      <c r="Z145" s="26"/>
      <c r="AA145" s="26">
        <v>82317</v>
      </c>
      <c r="AB145" s="26"/>
      <c r="AC145" s="26"/>
      <c r="AD145" s="26"/>
      <c r="AE145" s="26">
        <v>0</v>
      </c>
      <c r="AF145" s="26"/>
      <c r="AG145" s="26"/>
      <c r="AH145" s="26"/>
      <c r="AI145" s="26"/>
      <c r="AJ145" s="26"/>
      <c r="AK145" s="26">
        <v>0</v>
      </c>
      <c r="AL145" s="26"/>
      <c r="AM145" s="26">
        <v>0</v>
      </c>
      <c r="AN145" s="26"/>
      <c r="AO145" s="51">
        <f t="shared" si="13"/>
        <v>82317</v>
      </c>
      <c r="AP145" s="26"/>
      <c r="AQ145" s="51">
        <f t="shared" si="11"/>
        <v>10059647</v>
      </c>
    </row>
    <row r="146" spans="1:44" hidden="1">
      <c r="A146" s="13" t="s">
        <v>921</v>
      </c>
      <c r="B146" s="13"/>
      <c r="C146" s="13" t="s">
        <v>40</v>
      </c>
      <c r="D146" s="13"/>
      <c r="E146" s="32">
        <v>47837</v>
      </c>
      <c r="F146" s="26"/>
      <c r="G146" s="26">
        <v>1218888</v>
      </c>
      <c r="H146" s="26"/>
      <c r="I146" s="26">
        <v>1009090</v>
      </c>
      <c r="J146" s="26"/>
      <c r="K146" s="26">
        <v>4211432</v>
      </c>
      <c r="L146" s="26"/>
      <c r="M146" s="26">
        <v>64479</v>
      </c>
      <c r="N146" s="26"/>
      <c r="O146" s="26">
        <v>600003</v>
      </c>
      <c r="P146" s="26"/>
      <c r="Q146" s="26">
        <v>73073</v>
      </c>
      <c r="R146" s="26"/>
      <c r="S146" s="26"/>
      <c r="T146" s="26"/>
      <c r="U146" s="26">
        <v>500</v>
      </c>
      <c r="V146" s="26"/>
      <c r="W146" s="26">
        <f>116993+14564+73126</f>
        <v>204683</v>
      </c>
      <c r="X146" s="26"/>
      <c r="Y146" s="51">
        <f t="shared" si="9"/>
        <v>7382148</v>
      </c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>
        <v>0</v>
      </c>
      <c r="AN146" s="26"/>
      <c r="AO146" s="51">
        <f t="shared" si="13"/>
        <v>0</v>
      </c>
      <c r="AP146" s="26"/>
      <c r="AQ146" s="51">
        <f t="shared" si="11"/>
        <v>7382148</v>
      </c>
    </row>
    <row r="147" spans="1:44">
      <c r="A147" s="13" t="s">
        <v>467</v>
      </c>
      <c r="B147" s="13"/>
      <c r="C147" s="13" t="s">
        <v>466</v>
      </c>
      <c r="D147" s="13"/>
      <c r="E147" s="32">
        <v>47928</v>
      </c>
      <c r="F147" s="26"/>
      <c r="G147" s="26">
        <v>1333947</v>
      </c>
      <c r="H147" s="26"/>
      <c r="I147" s="26">
        <v>0</v>
      </c>
      <c r="J147" s="26"/>
      <c r="K147" s="26">
        <v>10374421</v>
      </c>
      <c r="L147" s="26"/>
      <c r="M147" s="26">
        <v>58436</v>
      </c>
      <c r="N147" s="26"/>
      <c r="O147" s="26">
        <v>859701</v>
      </c>
      <c r="P147" s="26"/>
      <c r="Q147" s="26">
        <v>168290</v>
      </c>
      <c r="R147" s="26"/>
      <c r="S147" s="26">
        <v>0</v>
      </c>
      <c r="T147" s="26"/>
      <c r="U147" s="26">
        <v>54260</v>
      </c>
      <c r="V147" s="26"/>
      <c r="W147" s="26">
        <f>30645+174300</f>
        <v>204945</v>
      </c>
      <c r="X147" s="26"/>
      <c r="Y147" s="51">
        <f t="shared" si="9"/>
        <v>13054000</v>
      </c>
      <c r="Z147" s="26"/>
      <c r="AA147" s="26">
        <v>796090</v>
      </c>
      <c r="AB147" s="26"/>
      <c r="AC147" s="26"/>
      <c r="AD147" s="26"/>
      <c r="AE147" s="26">
        <v>9000</v>
      </c>
      <c r="AF147" s="26"/>
      <c r="AG147" s="26"/>
      <c r="AH147" s="26"/>
      <c r="AI147" s="26"/>
      <c r="AJ147" s="26"/>
      <c r="AK147" s="26">
        <v>1002</v>
      </c>
      <c r="AL147" s="26"/>
      <c r="AM147" s="26">
        <v>0</v>
      </c>
      <c r="AN147" s="26"/>
      <c r="AO147" s="51">
        <f t="shared" si="13"/>
        <v>806092</v>
      </c>
      <c r="AP147" s="26"/>
      <c r="AQ147" s="51">
        <f t="shared" si="11"/>
        <v>13860092</v>
      </c>
    </row>
    <row r="148" spans="1:44">
      <c r="A148" s="13" t="s">
        <v>546</v>
      </c>
      <c r="B148" s="13"/>
      <c r="C148" s="13" t="s">
        <v>50</v>
      </c>
      <c r="D148" s="13"/>
      <c r="E148" s="32">
        <v>43844</v>
      </c>
      <c r="F148" s="26"/>
      <c r="G148" s="26">
        <v>76223293</v>
      </c>
      <c r="H148" s="26"/>
      <c r="I148" s="26">
        <v>0</v>
      </c>
      <c r="J148" s="26"/>
      <c r="K148" s="26">
        <v>233641391</v>
      </c>
      <c r="L148" s="26"/>
      <c r="M148" s="26">
        <v>5782612</v>
      </c>
      <c r="N148" s="26"/>
      <c r="O148" s="26">
        <v>2105684</v>
      </c>
      <c r="P148" s="26"/>
      <c r="Q148" s="26">
        <v>955504</v>
      </c>
      <c r="R148" s="26"/>
      <c r="S148" s="26">
        <v>0</v>
      </c>
      <c r="T148" s="26"/>
      <c r="U148" s="26">
        <v>470</v>
      </c>
      <c r="V148" s="26"/>
      <c r="W148" s="26">
        <f>4758589+1752792+265464</f>
        <v>6776845</v>
      </c>
      <c r="X148" s="26"/>
      <c r="Y148" s="51">
        <f t="shared" si="9"/>
        <v>325485799</v>
      </c>
      <c r="Z148" s="26"/>
      <c r="AA148" s="26">
        <v>23006814</v>
      </c>
      <c r="AB148" s="26"/>
      <c r="AC148" s="26"/>
      <c r="AD148" s="26"/>
      <c r="AE148" s="26">
        <v>0</v>
      </c>
      <c r="AF148" s="26"/>
      <c r="AG148" s="26"/>
      <c r="AH148" s="26"/>
      <c r="AI148" s="26"/>
      <c r="AJ148" s="26"/>
      <c r="AK148" s="26">
        <v>98849</v>
      </c>
      <c r="AL148" s="26"/>
      <c r="AM148" s="26">
        <v>0</v>
      </c>
      <c r="AN148" s="26"/>
      <c r="AO148" s="51">
        <f t="shared" si="13"/>
        <v>23105663</v>
      </c>
      <c r="AP148" s="26"/>
      <c r="AQ148" s="51">
        <f t="shared" si="11"/>
        <v>348591462</v>
      </c>
    </row>
    <row r="149" spans="1:44">
      <c r="A149" s="13" t="s">
        <v>924</v>
      </c>
      <c r="B149" s="13"/>
      <c r="C149" s="13" t="s">
        <v>32</v>
      </c>
      <c r="D149" s="13"/>
      <c r="E149" s="32">
        <v>43851</v>
      </c>
      <c r="F149" s="26"/>
      <c r="G149" s="26">
        <v>8853554</v>
      </c>
      <c r="H149" s="26"/>
      <c r="I149" s="26">
        <v>0</v>
      </c>
      <c r="J149" s="26"/>
      <c r="K149" s="26">
        <v>5878128</v>
      </c>
      <c r="L149" s="26"/>
      <c r="M149" s="26">
        <v>100368</v>
      </c>
      <c r="N149" s="26"/>
      <c r="O149" s="26">
        <v>135134</v>
      </c>
      <c r="P149" s="26"/>
      <c r="Q149" s="26">
        <v>200193</v>
      </c>
      <c r="R149" s="26"/>
      <c r="S149" s="26">
        <v>0</v>
      </c>
      <c r="T149" s="26"/>
      <c r="U149" s="26">
        <v>0</v>
      </c>
      <c r="V149" s="26"/>
      <c r="W149" s="26">
        <f>240249+318378</f>
        <v>558627</v>
      </c>
      <c r="X149" s="26"/>
      <c r="Y149" s="51">
        <f t="shared" si="9"/>
        <v>15726004</v>
      </c>
      <c r="Z149" s="26"/>
      <c r="AA149" s="26">
        <v>31380</v>
      </c>
      <c r="AB149" s="26"/>
      <c r="AC149" s="26"/>
      <c r="AD149" s="26"/>
      <c r="AE149" s="26">
        <v>0</v>
      </c>
      <c r="AF149" s="26"/>
      <c r="AG149" s="26"/>
      <c r="AH149" s="26"/>
      <c r="AI149" s="26"/>
      <c r="AJ149" s="26"/>
      <c r="AK149" s="26">
        <v>2500</v>
      </c>
      <c r="AL149" s="26"/>
      <c r="AM149" s="26">
        <v>0</v>
      </c>
      <c r="AN149" s="26"/>
      <c r="AO149" s="51">
        <f t="shared" si="13"/>
        <v>33880</v>
      </c>
      <c r="AP149" s="26"/>
      <c r="AQ149" s="51">
        <f t="shared" si="11"/>
        <v>15759884</v>
      </c>
    </row>
    <row r="150" spans="1:44" hidden="1">
      <c r="A150" s="13" t="s">
        <v>925</v>
      </c>
      <c r="B150" s="13"/>
      <c r="C150" s="13" t="s">
        <v>22</v>
      </c>
      <c r="D150" s="13"/>
      <c r="E150" s="32">
        <v>43869</v>
      </c>
      <c r="F150" s="26"/>
      <c r="G150" s="26">
        <v>6697806</v>
      </c>
      <c r="H150" s="26"/>
      <c r="I150" s="26">
        <v>1572654</v>
      </c>
      <c r="J150" s="26"/>
      <c r="K150" s="26">
        <v>16743954</v>
      </c>
      <c r="L150" s="26"/>
      <c r="M150" s="26">
        <v>259648</v>
      </c>
      <c r="N150" s="26"/>
      <c r="O150" s="26">
        <v>1049150</v>
      </c>
      <c r="P150" s="26"/>
      <c r="Q150" s="26">
        <v>235998</v>
      </c>
      <c r="R150" s="26"/>
      <c r="S150" s="26">
        <v>13832</v>
      </c>
      <c r="T150" s="26"/>
      <c r="U150" s="26">
        <v>106117</v>
      </c>
      <c r="V150" s="26"/>
      <c r="W150" s="26">
        <f>13740+562194+9724</f>
        <v>585658</v>
      </c>
      <c r="X150" s="26"/>
      <c r="Y150" s="51">
        <f t="shared" si="9"/>
        <v>27264817</v>
      </c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>
        <v>0</v>
      </c>
      <c r="AN150" s="26"/>
      <c r="AO150" s="51">
        <f t="shared" si="13"/>
        <v>0</v>
      </c>
      <c r="AP150" s="26"/>
      <c r="AQ150" s="51">
        <f t="shared" si="11"/>
        <v>27264817</v>
      </c>
    </row>
    <row r="151" spans="1:44">
      <c r="A151" s="13" t="s">
        <v>926</v>
      </c>
      <c r="B151" s="13"/>
      <c r="C151" s="13" t="s">
        <v>23</v>
      </c>
      <c r="D151" s="13"/>
      <c r="E151" s="32"/>
      <c r="F151" s="26"/>
      <c r="G151" s="26">
        <v>26533798</v>
      </c>
      <c r="H151" s="26"/>
      <c r="I151" s="26">
        <v>0</v>
      </c>
      <c r="J151" s="26"/>
      <c r="K151" s="26">
        <v>21451994</v>
      </c>
      <c r="L151" s="26"/>
      <c r="M151" s="26">
        <v>269720</v>
      </c>
      <c r="N151" s="26"/>
      <c r="O151" s="26">
        <v>1170425</v>
      </c>
      <c r="P151" s="26"/>
      <c r="Q151" s="26">
        <v>351456</v>
      </c>
      <c r="R151" s="26"/>
      <c r="S151" s="26">
        <v>0</v>
      </c>
      <c r="T151" s="26"/>
      <c r="U151" s="26">
        <v>153210</v>
      </c>
      <c r="V151" s="26"/>
      <c r="W151" s="26">
        <f>7690+1205888+322404</f>
        <v>1535982</v>
      </c>
      <c r="X151" s="26"/>
      <c r="Y151" s="51">
        <f t="shared" si="9"/>
        <v>51466585</v>
      </c>
      <c r="Z151" s="26"/>
      <c r="AA151" s="26">
        <v>30000</v>
      </c>
      <c r="AB151" s="26"/>
      <c r="AC151" s="26"/>
      <c r="AD151" s="26"/>
      <c r="AE151" s="26">
        <v>0</v>
      </c>
      <c r="AF151" s="26"/>
      <c r="AG151" s="26"/>
      <c r="AH151" s="26"/>
      <c r="AI151" s="26"/>
      <c r="AJ151" s="26"/>
      <c r="AK151" s="26">
        <v>0</v>
      </c>
      <c r="AL151" s="26"/>
      <c r="AM151" s="26"/>
      <c r="AN151" s="26"/>
      <c r="AO151" s="51">
        <f t="shared" si="13"/>
        <v>30000</v>
      </c>
      <c r="AP151" s="26"/>
      <c r="AQ151" s="51">
        <f t="shared" si="11"/>
        <v>51496585</v>
      </c>
    </row>
    <row r="152" spans="1:44">
      <c r="A152" s="13" t="s">
        <v>210</v>
      </c>
      <c r="B152" s="13"/>
      <c r="C152" s="13" t="s">
        <v>10</v>
      </c>
      <c r="D152" s="13"/>
      <c r="E152" s="32">
        <v>43885</v>
      </c>
      <c r="F152" s="26"/>
      <c r="G152" s="26">
        <v>4352320</v>
      </c>
      <c r="H152" s="26"/>
      <c r="I152" s="26">
        <v>0</v>
      </c>
      <c r="J152" s="26"/>
      <c r="K152" s="26">
        <v>5379525</v>
      </c>
      <c r="L152" s="26"/>
      <c r="M152" s="26">
        <v>34151</v>
      </c>
      <c r="N152" s="26"/>
      <c r="O152" s="26">
        <v>710594</v>
      </c>
      <c r="P152" s="26"/>
      <c r="Q152" s="26">
        <v>118815</v>
      </c>
      <c r="R152" s="26"/>
      <c r="S152" s="26">
        <v>41958</v>
      </c>
      <c r="T152" s="26"/>
      <c r="U152" s="26">
        <v>97657</v>
      </c>
      <c r="V152" s="26"/>
      <c r="W152" s="26">
        <f>62979+266242</f>
        <v>329221</v>
      </c>
      <c r="X152" s="26"/>
      <c r="Y152" s="51">
        <f t="shared" ref="Y152:Y153" si="14">SUM(G152:W152)</f>
        <v>11064241</v>
      </c>
      <c r="Z152" s="26"/>
      <c r="AA152" s="26">
        <v>0</v>
      </c>
      <c r="AB152" s="26"/>
      <c r="AC152" s="26"/>
      <c r="AD152" s="26"/>
      <c r="AE152" s="26">
        <v>0</v>
      </c>
      <c r="AF152" s="26"/>
      <c r="AG152" s="26"/>
      <c r="AH152" s="26"/>
      <c r="AI152" s="26"/>
      <c r="AJ152" s="26"/>
      <c r="AK152" s="26">
        <v>0</v>
      </c>
      <c r="AL152" s="26"/>
      <c r="AM152" s="26">
        <v>0</v>
      </c>
      <c r="AN152" s="26"/>
      <c r="AO152" s="51">
        <f t="shared" si="13"/>
        <v>0</v>
      </c>
      <c r="AP152" s="26"/>
      <c r="AQ152" s="51">
        <f t="shared" si="11"/>
        <v>11064241</v>
      </c>
    </row>
    <row r="153" spans="1:44">
      <c r="A153" s="13" t="s">
        <v>695</v>
      </c>
      <c r="B153" s="13"/>
      <c r="C153" s="13" t="s">
        <v>65</v>
      </c>
      <c r="D153" s="13"/>
      <c r="E153" s="32">
        <v>43893</v>
      </c>
      <c r="F153" s="26"/>
      <c r="G153" s="26">
        <v>11460061</v>
      </c>
      <c r="H153" s="26"/>
      <c r="I153" s="26">
        <v>0</v>
      </c>
      <c r="J153" s="26"/>
      <c r="K153" s="26">
        <v>11109103</v>
      </c>
      <c r="L153" s="26"/>
      <c r="M153" s="26">
        <v>70945</v>
      </c>
      <c r="N153" s="26"/>
      <c r="O153" s="26">
        <v>134648</v>
      </c>
      <c r="P153" s="26"/>
      <c r="Q153" s="26">
        <v>452623</v>
      </c>
      <c r="R153" s="26"/>
      <c r="S153" s="26">
        <v>39549</v>
      </c>
      <c r="T153" s="26"/>
      <c r="U153" s="26">
        <v>101667</v>
      </c>
      <c r="V153" s="26"/>
      <c r="W153" s="26">
        <f>520031+75071</f>
        <v>595102</v>
      </c>
      <c r="X153" s="26"/>
      <c r="Y153" s="51">
        <f t="shared" si="14"/>
        <v>23963698</v>
      </c>
      <c r="Z153" s="26"/>
      <c r="AA153" s="26">
        <v>138000</v>
      </c>
      <c r="AB153" s="26"/>
      <c r="AC153" s="26"/>
      <c r="AD153" s="26"/>
      <c r="AE153" s="26">
        <v>0</v>
      </c>
      <c r="AF153" s="26"/>
      <c r="AG153" s="26"/>
      <c r="AH153" s="26"/>
      <c r="AI153" s="26"/>
      <c r="AJ153" s="26"/>
      <c r="AK153" s="26">
        <v>0</v>
      </c>
      <c r="AL153" s="26"/>
      <c r="AM153" s="26">
        <v>0</v>
      </c>
      <c r="AN153" s="26"/>
      <c r="AO153" s="51">
        <f t="shared" si="13"/>
        <v>138000</v>
      </c>
      <c r="AP153" s="26"/>
      <c r="AQ153" s="51">
        <f t="shared" si="11"/>
        <v>24101698</v>
      </c>
    </row>
    <row r="154" spans="1:44">
      <c r="A154" s="13" t="s">
        <v>355</v>
      </c>
      <c r="B154" s="13"/>
      <c r="C154" s="13" t="s">
        <v>27</v>
      </c>
      <c r="D154" s="13"/>
      <c r="E154" s="32">
        <v>47027</v>
      </c>
      <c r="F154" s="26"/>
      <c r="G154" s="26">
        <v>126622722</v>
      </c>
      <c r="H154" s="26"/>
      <c r="I154" s="26">
        <v>0</v>
      </c>
      <c r="J154" s="26"/>
      <c r="K154" s="26">
        <f>34369104+3241764</f>
        <v>37610868</v>
      </c>
      <c r="L154" s="26"/>
      <c r="M154" s="26">
        <v>2575727</v>
      </c>
      <c r="N154" s="26"/>
      <c r="O154" s="26">
        <v>528856</v>
      </c>
      <c r="P154" s="26"/>
      <c r="Q154" s="26">
        <v>0</v>
      </c>
      <c r="R154" s="26"/>
      <c r="S154" s="26">
        <v>0</v>
      </c>
      <c r="T154" s="26"/>
      <c r="U154" s="26">
        <v>0</v>
      </c>
      <c r="V154" s="26"/>
      <c r="W154" s="26">
        <f>2340736+151505</f>
        <v>2492241</v>
      </c>
      <c r="X154" s="26"/>
      <c r="Y154" s="51">
        <f>SUM(G154:W154)</f>
        <v>169830414</v>
      </c>
      <c r="Z154" s="26"/>
      <c r="AA154" s="26">
        <v>64350</v>
      </c>
      <c r="AB154" s="26"/>
      <c r="AC154" s="26"/>
      <c r="AD154" s="26"/>
      <c r="AE154" s="26">
        <f>18000000+15000000+1016288</f>
        <v>34016288</v>
      </c>
      <c r="AF154" s="26"/>
      <c r="AG154" s="26"/>
      <c r="AH154" s="26"/>
      <c r="AI154" s="26"/>
      <c r="AJ154" s="26"/>
      <c r="AK154" s="26">
        <v>0</v>
      </c>
      <c r="AL154" s="26"/>
      <c r="AM154" s="26">
        <v>0</v>
      </c>
      <c r="AN154" s="26"/>
      <c r="AO154" s="51">
        <f t="shared" si="13"/>
        <v>34080638</v>
      </c>
      <c r="AP154" s="26"/>
      <c r="AQ154" s="51">
        <f t="shared" si="11"/>
        <v>203911052</v>
      </c>
    </row>
    <row r="155" spans="1:44">
      <c r="A155" s="13" t="s">
        <v>305</v>
      </c>
      <c r="B155" s="13"/>
      <c r="C155" s="13" t="s">
        <v>20</v>
      </c>
      <c r="D155" s="13"/>
      <c r="E155" s="32">
        <v>43901</v>
      </c>
      <c r="F155" s="26"/>
      <c r="G155" s="26">
        <v>9818476</v>
      </c>
      <c r="H155" s="26"/>
      <c r="I155" s="26">
        <v>0</v>
      </c>
      <c r="J155" s="26"/>
      <c r="K155" s="26">
        <v>48715345</v>
      </c>
      <c r="L155" s="26"/>
      <c r="M155" s="26">
        <v>516993</v>
      </c>
      <c r="N155" s="26"/>
      <c r="O155" s="26">
        <v>3835721</v>
      </c>
      <c r="P155" s="26"/>
      <c r="Q155" s="26">
        <v>29667</v>
      </c>
      <c r="R155" s="26"/>
      <c r="S155" s="26">
        <v>0</v>
      </c>
      <c r="T155" s="26"/>
      <c r="U155" s="26">
        <v>304008</v>
      </c>
      <c r="V155" s="26"/>
      <c r="W155" s="26">
        <f>571027+2222+98998</f>
        <v>672247</v>
      </c>
      <c r="X155" s="26"/>
      <c r="Y155" s="51">
        <f>SUM(G155:W155)</f>
        <v>63892457</v>
      </c>
      <c r="Z155" s="26"/>
      <c r="AA155" s="26">
        <v>376779</v>
      </c>
      <c r="AB155" s="26"/>
      <c r="AC155" s="26"/>
      <c r="AD155" s="26"/>
      <c r="AE155" s="26">
        <v>0</v>
      </c>
      <c r="AF155" s="26"/>
      <c r="AG155" s="26"/>
      <c r="AH155" s="26"/>
      <c r="AI155" s="26"/>
      <c r="AJ155" s="26"/>
      <c r="AK155" s="26">
        <v>0</v>
      </c>
      <c r="AL155" s="26"/>
      <c r="AM155" s="26">
        <v>0</v>
      </c>
      <c r="AN155" s="26"/>
      <c r="AO155" s="51">
        <f t="shared" si="13"/>
        <v>376779</v>
      </c>
      <c r="AP155" s="26"/>
      <c r="AQ155" s="51">
        <f t="shared" si="11"/>
        <v>64269236</v>
      </c>
      <c r="AR155" s="8" t="s">
        <v>956</v>
      </c>
    </row>
    <row r="156" spans="1:44">
      <c r="A156" s="13" t="s">
        <v>276</v>
      </c>
      <c r="B156" s="13"/>
      <c r="C156" s="13" t="s">
        <v>18</v>
      </c>
      <c r="D156" s="13"/>
      <c r="E156" s="32">
        <v>46409</v>
      </c>
      <c r="F156" s="26"/>
      <c r="G156" s="26">
        <v>3013374</v>
      </c>
      <c r="H156" s="26"/>
      <c r="I156" s="26">
        <v>0</v>
      </c>
      <c r="J156" s="26"/>
      <c r="K156" s="26">
        <v>9593407</v>
      </c>
      <c r="L156" s="26"/>
      <c r="M156" s="26">
        <v>99112</v>
      </c>
      <c r="N156" s="26"/>
      <c r="O156" s="26">
        <v>513567</v>
      </c>
      <c r="P156" s="26"/>
      <c r="Q156" s="26">
        <v>90838</v>
      </c>
      <c r="R156" s="26"/>
      <c r="S156" s="26">
        <v>0</v>
      </c>
      <c r="T156" s="26"/>
      <c r="U156" s="26">
        <v>1400</v>
      </c>
      <c r="V156" s="26"/>
      <c r="W156" s="26">
        <f>500+307183+104895</f>
        <v>412578</v>
      </c>
      <c r="X156" s="26"/>
      <c r="Y156" s="51">
        <f>SUM(G156:W156)</f>
        <v>13724276</v>
      </c>
      <c r="Z156" s="26"/>
      <c r="AA156" s="26">
        <v>0</v>
      </c>
      <c r="AB156" s="26"/>
      <c r="AC156" s="26"/>
      <c r="AD156" s="26"/>
      <c r="AE156" s="26">
        <v>0</v>
      </c>
      <c r="AF156" s="26"/>
      <c r="AG156" s="26"/>
      <c r="AH156" s="26"/>
      <c r="AI156" s="26"/>
      <c r="AJ156" s="26"/>
      <c r="AK156" s="26">
        <v>30000</v>
      </c>
      <c r="AL156" s="26"/>
      <c r="AM156" s="26">
        <v>0</v>
      </c>
      <c r="AN156" s="26"/>
      <c r="AO156" s="51">
        <f t="shared" si="13"/>
        <v>30000</v>
      </c>
      <c r="AP156" s="26"/>
      <c r="AQ156" s="51">
        <f t="shared" si="11"/>
        <v>13754276</v>
      </c>
    </row>
    <row r="157" spans="1:44">
      <c r="A157" s="13" t="s">
        <v>390</v>
      </c>
      <c r="B157" s="13"/>
      <c r="C157" s="13" t="s">
        <v>31</v>
      </c>
      <c r="D157" s="13"/>
      <c r="E157" s="32">
        <v>69682</v>
      </c>
      <c r="F157" s="26"/>
      <c r="G157" s="26">
        <v>2482068</v>
      </c>
      <c r="H157" s="26"/>
      <c r="I157" s="26">
        <v>0</v>
      </c>
      <c r="J157" s="26"/>
      <c r="K157" s="26">
        <v>8049323</v>
      </c>
      <c r="L157" s="26"/>
      <c r="M157" s="26">
        <v>68708</v>
      </c>
      <c r="N157" s="26"/>
      <c r="O157" s="26">
        <v>870835</v>
      </c>
      <c r="P157" s="26"/>
      <c r="Q157" s="26">
        <v>187878</v>
      </c>
      <c r="R157" s="26"/>
      <c r="S157" s="26">
        <v>0</v>
      </c>
      <c r="T157" s="26"/>
      <c r="U157" s="26">
        <v>40742</v>
      </c>
      <c r="V157" s="26"/>
      <c r="W157" s="26">
        <f>1225+146321+40614</f>
        <v>188160</v>
      </c>
      <c r="X157" s="26"/>
      <c r="Y157" s="51">
        <f t="shared" ref="Y157:Y222" si="15">SUM(G157:W157)</f>
        <v>11887714</v>
      </c>
      <c r="Z157" s="26"/>
      <c r="AA157" s="26">
        <v>38969</v>
      </c>
      <c r="AB157" s="26"/>
      <c r="AC157" s="26"/>
      <c r="AD157" s="26"/>
      <c r="AE157" s="26">
        <v>173080</v>
      </c>
      <c r="AF157" s="26"/>
      <c r="AG157" s="26"/>
      <c r="AH157" s="26"/>
      <c r="AI157" s="26"/>
      <c r="AJ157" s="26"/>
      <c r="AK157" s="26">
        <v>0</v>
      </c>
      <c r="AL157" s="26"/>
      <c r="AM157" s="26">
        <v>0</v>
      </c>
      <c r="AN157" s="26"/>
      <c r="AO157" s="51">
        <f t="shared" si="13"/>
        <v>212049</v>
      </c>
      <c r="AP157" s="26"/>
      <c r="AQ157" s="51">
        <f t="shared" si="11"/>
        <v>12099763</v>
      </c>
    </row>
    <row r="158" spans="1:44">
      <c r="A158" s="13" t="s">
        <v>441</v>
      </c>
      <c r="B158" s="13"/>
      <c r="C158" s="13" t="s">
        <v>36</v>
      </c>
      <c r="D158" s="13"/>
      <c r="E158" s="32">
        <v>47688</v>
      </c>
      <c r="F158" s="26"/>
      <c r="G158" s="26">
        <v>8109203</v>
      </c>
      <c r="H158" s="26"/>
      <c r="I158" s="26">
        <v>0</v>
      </c>
      <c r="J158" s="26"/>
      <c r="K158" s="26">
        <v>8629452</v>
      </c>
      <c r="L158" s="26"/>
      <c r="M158" s="26">
        <v>192847</v>
      </c>
      <c r="N158" s="26"/>
      <c r="O158" s="26">
        <v>582048</v>
      </c>
      <c r="P158" s="26"/>
      <c r="Q158" s="26">
        <v>373143</v>
      </c>
      <c r="R158" s="26"/>
      <c r="S158" s="26">
        <v>0</v>
      </c>
      <c r="T158" s="26"/>
      <c r="U158" s="26">
        <v>48725</v>
      </c>
      <c r="V158" s="26"/>
      <c r="W158" s="26">
        <f>15259+363974+143072</f>
        <v>522305</v>
      </c>
      <c r="X158" s="26"/>
      <c r="Y158" s="51">
        <f t="shared" si="15"/>
        <v>18457723</v>
      </c>
      <c r="Z158" s="26"/>
      <c r="AA158" s="26">
        <v>0</v>
      </c>
      <c r="AB158" s="26"/>
      <c r="AC158" s="26"/>
      <c r="AD158" s="26"/>
      <c r="AE158" s="26">
        <v>0</v>
      </c>
      <c r="AF158" s="26"/>
      <c r="AG158" s="26"/>
      <c r="AH158" s="26"/>
      <c r="AI158" s="26"/>
      <c r="AJ158" s="26"/>
      <c r="AK158" s="26">
        <v>250</v>
      </c>
      <c r="AL158" s="26"/>
      <c r="AM158" s="26">
        <v>0</v>
      </c>
      <c r="AN158" s="26"/>
      <c r="AO158" s="51">
        <f t="shared" si="13"/>
        <v>250</v>
      </c>
      <c r="AP158" s="26"/>
      <c r="AQ158" s="51">
        <f t="shared" si="11"/>
        <v>18457973</v>
      </c>
    </row>
    <row r="159" spans="1:44" hidden="1">
      <c r="A159" s="13" t="s">
        <v>929</v>
      </c>
      <c r="B159" s="13"/>
      <c r="C159" s="13" t="s">
        <v>40</v>
      </c>
      <c r="D159" s="13"/>
      <c r="E159" s="32"/>
      <c r="F159" s="26"/>
      <c r="G159" s="26">
        <v>5666958</v>
      </c>
      <c r="H159" s="26"/>
      <c r="I159" s="26"/>
      <c r="J159" s="26"/>
      <c r="K159" s="26">
        <v>6229655</v>
      </c>
      <c r="L159" s="26"/>
      <c r="M159" s="26">
        <v>173340</v>
      </c>
      <c r="N159" s="26"/>
      <c r="O159" s="26">
        <v>510416</v>
      </c>
      <c r="P159" s="26"/>
      <c r="Q159" s="26">
        <v>66498</v>
      </c>
      <c r="R159" s="26"/>
      <c r="S159" s="26"/>
      <c r="T159" s="26"/>
      <c r="U159" s="26">
        <v>6200</v>
      </c>
      <c r="V159" s="26"/>
      <c r="W159" s="26">
        <f>73127+252030</f>
        <v>325157</v>
      </c>
      <c r="X159" s="26"/>
      <c r="Y159" s="51">
        <f t="shared" si="15"/>
        <v>12978224</v>
      </c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51"/>
      <c r="AP159" s="26"/>
      <c r="AQ159" s="51">
        <f t="shared" si="11"/>
        <v>12978224</v>
      </c>
    </row>
    <row r="160" spans="1:44">
      <c r="A160" s="13" t="s">
        <v>281</v>
      </c>
      <c r="B160" s="13"/>
      <c r="C160" s="13" t="s">
        <v>114</v>
      </c>
      <c r="D160" s="13"/>
      <c r="E160" s="32">
        <v>43919</v>
      </c>
      <c r="F160" s="26"/>
      <c r="G160" s="26">
        <v>4252874</v>
      </c>
      <c r="H160" s="26"/>
      <c r="I160" s="26">
        <v>0</v>
      </c>
      <c r="J160" s="26"/>
      <c r="K160" s="26">
        <v>39085089</v>
      </c>
      <c r="L160" s="26"/>
      <c r="M160" s="26">
        <v>540446</v>
      </c>
      <c r="N160" s="26"/>
      <c r="O160" s="26">
        <v>625329</v>
      </c>
      <c r="P160" s="26"/>
      <c r="Q160" s="26">
        <v>138847</v>
      </c>
      <c r="R160" s="26"/>
      <c r="S160" s="26">
        <v>0</v>
      </c>
      <c r="T160" s="26"/>
      <c r="U160" s="26">
        <v>1250</v>
      </c>
      <c r="V160" s="26"/>
      <c r="W160" s="26">
        <f>72180+20569+217116</f>
        <v>309865</v>
      </c>
      <c r="X160" s="26"/>
      <c r="Y160" s="51">
        <f t="shared" si="15"/>
        <v>44953700</v>
      </c>
      <c r="Z160" s="26"/>
      <c r="AA160" s="26">
        <v>97888</v>
      </c>
      <c r="AB160" s="26"/>
      <c r="AC160" s="26"/>
      <c r="AD160" s="26"/>
      <c r="AE160" s="26">
        <v>370000</v>
      </c>
      <c r="AF160" s="26"/>
      <c r="AG160" s="26"/>
      <c r="AH160" s="26"/>
      <c r="AI160" s="26"/>
      <c r="AJ160" s="26"/>
      <c r="AK160" s="26">
        <v>0</v>
      </c>
      <c r="AL160" s="26"/>
      <c r="AM160" s="26">
        <v>0</v>
      </c>
      <c r="AN160" s="26"/>
      <c r="AO160" s="51">
        <f t="shared" ref="AO160:AO171" si="16">AK160+AE160+AA160</f>
        <v>467888</v>
      </c>
      <c r="AP160" s="26"/>
      <c r="AQ160" s="51">
        <f t="shared" si="11"/>
        <v>45421588</v>
      </c>
    </row>
    <row r="161" spans="1:44">
      <c r="A161" s="13" t="s">
        <v>563</v>
      </c>
      <c r="B161" s="13"/>
      <c r="C161" s="13" t="s">
        <v>51</v>
      </c>
      <c r="D161" s="13"/>
      <c r="E161" s="32">
        <v>48835</v>
      </c>
      <c r="F161" s="26"/>
      <c r="G161" s="26">
        <v>5861764</v>
      </c>
      <c r="H161" s="26"/>
      <c r="I161" s="26">
        <v>0</v>
      </c>
      <c r="J161" s="26"/>
      <c r="K161" s="26">
        <v>11613562</v>
      </c>
      <c r="L161" s="26"/>
      <c r="M161" s="26">
        <v>133636</v>
      </c>
      <c r="N161" s="26"/>
      <c r="O161" s="26">
        <v>1215077</v>
      </c>
      <c r="P161" s="26"/>
      <c r="Q161" s="26">
        <v>181185</v>
      </c>
      <c r="R161" s="26"/>
      <c r="S161" s="26">
        <v>78542</v>
      </c>
      <c r="T161" s="26"/>
      <c r="U161" s="26">
        <v>4547</v>
      </c>
      <c r="V161" s="26"/>
      <c r="W161" s="26">
        <f>152263+521800+9005</f>
        <v>683068</v>
      </c>
      <c r="X161" s="26"/>
      <c r="Y161" s="51">
        <f t="shared" si="15"/>
        <v>19771381</v>
      </c>
      <c r="Z161" s="26"/>
      <c r="AA161" s="26">
        <v>0</v>
      </c>
      <c r="AB161" s="26"/>
      <c r="AC161" s="26"/>
      <c r="AD161" s="26"/>
      <c r="AE161" s="26">
        <v>0</v>
      </c>
      <c r="AF161" s="26"/>
      <c r="AG161" s="26"/>
      <c r="AH161" s="26"/>
      <c r="AI161" s="26"/>
      <c r="AJ161" s="26"/>
      <c r="AK161" s="26">
        <v>0</v>
      </c>
      <c r="AL161" s="26"/>
      <c r="AM161" s="26">
        <v>0</v>
      </c>
      <c r="AN161" s="26"/>
      <c r="AO161" s="51">
        <f t="shared" si="16"/>
        <v>0</v>
      </c>
      <c r="AP161" s="26"/>
      <c r="AQ161" s="51">
        <f t="shared" si="11"/>
        <v>19771381</v>
      </c>
    </row>
    <row r="162" spans="1:44">
      <c r="A162" s="13" t="s">
        <v>282</v>
      </c>
      <c r="B162" s="13"/>
      <c r="C162" s="13" t="s">
        <v>114</v>
      </c>
      <c r="D162" s="13"/>
      <c r="E162" s="32">
        <v>43927</v>
      </c>
      <c r="F162" s="26"/>
      <c r="G162" s="26">
        <v>3171022</v>
      </c>
      <c r="H162" s="26"/>
      <c r="I162" s="26">
        <v>0</v>
      </c>
      <c r="J162" s="26"/>
      <c r="K162" s="26">
        <v>8565411</v>
      </c>
      <c r="L162" s="26"/>
      <c r="M162" s="26">
        <v>19643</v>
      </c>
      <c r="N162" s="26"/>
      <c r="O162" s="26">
        <v>392439</v>
      </c>
      <c r="P162" s="26"/>
      <c r="Q162" s="26">
        <v>157608</v>
      </c>
      <c r="R162" s="26"/>
      <c r="S162" s="26">
        <v>0</v>
      </c>
      <c r="T162" s="26"/>
      <c r="U162" s="26">
        <v>22821</v>
      </c>
      <c r="V162" s="26"/>
      <c r="W162" s="26">
        <f>235972+2993</f>
        <v>238965</v>
      </c>
      <c r="X162" s="26"/>
      <c r="Y162" s="51">
        <f t="shared" si="15"/>
        <v>12567909</v>
      </c>
      <c r="Z162" s="26"/>
      <c r="AA162" s="26">
        <v>0</v>
      </c>
      <c r="AB162" s="26"/>
      <c r="AC162" s="26"/>
      <c r="AD162" s="26"/>
      <c r="AE162" s="26">
        <v>0</v>
      </c>
      <c r="AF162" s="26"/>
      <c r="AG162" s="26"/>
      <c r="AH162" s="26"/>
      <c r="AI162" s="26"/>
      <c r="AJ162" s="26"/>
      <c r="AK162" s="26">
        <v>613036</v>
      </c>
      <c r="AL162" s="26"/>
      <c r="AM162" s="26">
        <v>0</v>
      </c>
      <c r="AN162" s="26"/>
      <c r="AO162" s="51">
        <f t="shared" si="16"/>
        <v>613036</v>
      </c>
      <c r="AP162" s="26"/>
      <c r="AQ162" s="51">
        <f t="shared" si="11"/>
        <v>13180945</v>
      </c>
    </row>
    <row r="163" spans="1:44">
      <c r="A163" s="13" t="s">
        <v>237</v>
      </c>
      <c r="B163" s="13"/>
      <c r="C163" s="13" t="s">
        <v>77</v>
      </c>
      <c r="D163" s="13"/>
      <c r="E163" s="32">
        <v>46037</v>
      </c>
      <c r="F163" s="26"/>
      <c r="G163" s="26">
        <v>3615628</v>
      </c>
      <c r="H163" s="26"/>
      <c r="I163" s="26">
        <v>0</v>
      </c>
      <c r="J163" s="26"/>
      <c r="K163" s="26">
        <v>16588187</v>
      </c>
      <c r="L163" s="26"/>
      <c r="M163" s="26">
        <v>361791</v>
      </c>
      <c r="N163" s="26"/>
      <c r="O163" s="26">
        <v>633294</v>
      </c>
      <c r="P163" s="26"/>
      <c r="Q163" s="26">
        <v>76920</v>
      </c>
      <c r="R163" s="26"/>
      <c r="S163" s="26">
        <v>54118</v>
      </c>
      <c r="T163" s="26"/>
      <c r="U163" s="26">
        <v>45512</v>
      </c>
      <c r="V163" s="26"/>
      <c r="W163" s="26">
        <f>82947+290343+11568</f>
        <v>384858</v>
      </c>
      <c r="X163" s="26"/>
      <c r="Y163" s="51">
        <f t="shared" si="15"/>
        <v>21760308</v>
      </c>
      <c r="Z163" s="26"/>
      <c r="AA163" s="26">
        <v>2472</v>
      </c>
      <c r="AB163" s="26"/>
      <c r="AC163" s="26"/>
      <c r="AD163" s="26"/>
      <c r="AE163" s="26">
        <v>0</v>
      </c>
      <c r="AF163" s="26"/>
      <c r="AG163" s="26"/>
      <c r="AH163" s="26"/>
      <c r="AI163" s="26"/>
      <c r="AJ163" s="26"/>
      <c r="AK163" s="26">
        <v>1037</v>
      </c>
      <c r="AL163" s="26"/>
      <c r="AM163" s="26">
        <v>0</v>
      </c>
      <c r="AN163" s="26"/>
      <c r="AO163" s="51">
        <f t="shared" si="16"/>
        <v>3509</v>
      </c>
      <c r="AP163" s="26"/>
      <c r="AQ163" s="51">
        <f t="shared" si="11"/>
        <v>21763817</v>
      </c>
    </row>
    <row r="164" spans="1:44">
      <c r="A164" s="13" t="s">
        <v>237</v>
      </c>
      <c r="B164" s="13"/>
      <c r="C164" s="13" t="s">
        <v>531</v>
      </c>
      <c r="D164" s="13"/>
      <c r="E164" s="32">
        <v>48512</v>
      </c>
      <c r="F164" s="26"/>
      <c r="G164" s="26">
        <v>1879801</v>
      </c>
      <c r="H164" s="26"/>
      <c r="I164" s="26">
        <v>0</v>
      </c>
      <c r="J164" s="26"/>
      <c r="K164" s="26">
        <v>6224187</v>
      </c>
      <c r="L164" s="26"/>
      <c r="M164" s="26">
        <v>29986</v>
      </c>
      <c r="N164" s="26"/>
      <c r="O164" s="26">
        <v>599993</v>
      </c>
      <c r="P164" s="26"/>
      <c r="Q164" s="26">
        <v>44382</v>
      </c>
      <c r="R164" s="26"/>
      <c r="S164" s="26">
        <v>0</v>
      </c>
      <c r="T164" s="26"/>
      <c r="U164" s="26">
        <v>112565</v>
      </c>
      <c r="V164" s="26"/>
      <c r="W164" s="26">
        <f>5984+212660+23339</f>
        <v>241983</v>
      </c>
      <c r="X164" s="26"/>
      <c r="Y164" s="51">
        <f t="shared" si="15"/>
        <v>9132897</v>
      </c>
      <c r="Z164" s="26"/>
      <c r="AA164" s="26">
        <v>1058</v>
      </c>
      <c r="AB164" s="26"/>
      <c r="AC164" s="26"/>
      <c r="AD164" s="26"/>
      <c r="AE164" s="26">
        <v>0</v>
      </c>
      <c r="AF164" s="26"/>
      <c r="AG164" s="26"/>
      <c r="AH164" s="26"/>
      <c r="AI164" s="26"/>
      <c r="AJ164" s="26"/>
      <c r="AK164" s="26">
        <v>7435</v>
      </c>
      <c r="AL164" s="26"/>
      <c r="AM164" s="26">
        <v>0</v>
      </c>
      <c r="AN164" s="26"/>
      <c r="AO164" s="51">
        <f t="shared" si="16"/>
        <v>8493</v>
      </c>
      <c r="AP164" s="26"/>
      <c r="AQ164" s="51">
        <f t="shared" si="11"/>
        <v>9141390</v>
      </c>
    </row>
    <row r="165" spans="1:44" hidden="1">
      <c r="A165" s="13" t="s">
        <v>931</v>
      </c>
      <c r="B165" s="13"/>
      <c r="C165" s="13" t="s">
        <v>55</v>
      </c>
      <c r="D165" s="13"/>
      <c r="E165" s="32">
        <v>49122</v>
      </c>
      <c r="F165" s="26"/>
      <c r="G165" s="26">
        <v>988936</v>
      </c>
      <c r="H165" s="26"/>
      <c r="I165" s="26"/>
      <c r="J165" s="26"/>
      <c r="K165" s="26">
        <v>7450581</v>
      </c>
      <c r="L165" s="26"/>
      <c r="M165" s="26">
        <v>69830</v>
      </c>
      <c r="N165" s="26"/>
      <c r="O165" s="26">
        <v>305140</v>
      </c>
      <c r="P165" s="26"/>
      <c r="Q165" s="26">
        <v>33681</v>
      </c>
      <c r="R165" s="26"/>
      <c r="S165" s="26"/>
      <c r="T165" s="26"/>
      <c r="U165" s="26">
        <v>3984</v>
      </c>
      <c r="V165" s="26"/>
      <c r="W165" s="26">
        <f>32436+75752</f>
        <v>108188</v>
      </c>
      <c r="X165" s="26"/>
      <c r="Y165" s="51">
        <f t="shared" si="15"/>
        <v>8960340</v>
      </c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>
        <v>0</v>
      </c>
      <c r="AN165" s="26"/>
      <c r="AO165" s="51">
        <f t="shared" si="16"/>
        <v>0</v>
      </c>
      <c r="AP165" s="26"/>
      <c r="AQ165" s="51">
        <f t="shared" si="11"/>
        <v>8960340</v>
      </c>
    </row>
    <row r="166" spans="1:44">
      <c r="A166" s="13" t="s">
        <v>734</v>
      </c>
      <c r="B166" s="13"/>
      <c r="C166" s="13" t="s">
        <v>72</v>
      </c>
      <c r="D166" s="13"/>
      <c r="E166" s="32">
        <v>50674</v>
      </c>
      <c r="F166" s="26"/>
      <c r="G166" s="26">
        <v>5032377</v>
      </c>
      <c r="H166" s="26"/>
      <c r="I166" s="26">
        <v>1782159</v>
      </c>
      <c r="J166" s="26"/>
      <c r="K166" s="26">
        <v>8541332</v>
      </c>
      <c r="L166" s="26"/>
      <c r="M166" s="26">
        <v>228781</v>
      </c>
      <c r="N166" s="26"/>
      <c r="O166" s="26">
        <v>587977</v>
      </c>
      <c r="P166" s="26"/>
      <c r="Q166" s="26">
        <v>332458</v>
      </c>
      <c r="R166" s="26"/>
      <c r="S166" s="26">
        <v>480000</v>
      </c>
      <c r="T166" s="26"/>
      <c r="U166" s="26">
        <v>35150</v>
      </c>
      <c r="V166" s="26"/>
      <c r="W166" s="26">
        <f>480098+51044+6883</f>
        <v>538025</v>
      </c>
      <c r="X166" s="26"/>
      <c r="Y166" s="51">
        <f t="shared" si="15"/>
        <v>17558259</v>
      </c>
      <c r="Z166" s="26"/>
      <c r="AA166" s="26">
        <v>39526</v>
      </c>
      <c r="AB166" s="26"/>
      <c r="AC166" s="26"/>
      <c r="AD166" s="26"/>
      <c r="AE166" s="26">
        <v>0</v>
      </c>
      <c r="AF166" s="26"/>
      <c r="AG166" s="26"/>
      <c r="AH166" s="26"/>
      <c r="AI166" s="26"/>
      <c r="AJ166" s="26"/>
      <c r="AK166" s="26">
        <v>0</v>
      </c>
      <c r="AL166" s="26"/>
      <c r="AM166" s="26">
        <v>0</v>
      </c>
      <c r="AN166" s="26"/>
      <c r="AO166" s="51">
        <f t="shared" si="16"/>
        <v>39526</v>
      </c>
      <c r="AP166" s="26"/>
      <c r="AQ166" s="51">
        <f t="shared" si="11"/>
        <v>17597785</v>
      </c>
    </row>
    <row r="167" spans="1:44">
      <c r="A167" s="12" t="s">
        <v>974</v>
      </c>
      <c r="B167" s="13"/>
      <c r="C167" s="13" t="s">
        <v>57</v>
      </c>
      <c r="D167" s="13"/>
      <c r="E167" s="32">
        <v>43935</v>
      </c>
      <c r="F167" s="26"/>
      <c r="G167" s="26">
        <v>11091193</v>
      </c>
      <c r="H167" s="26"/>
      <c r="I167" s="26">
        <v>0</v>
      </c>
      <c r="J167" s="26"/>
      <c r="K167" s="26">
        <f>9966703+649904</f>
        <v>10616607</v>
      </c>
      <c r="L167" s="26"/>
      <c r="M167" s="26">
        <v>305865</v>
      </c>
      <c r="N167" s="26"/>
      <c r="O167" s="26">
        <v>215348</v>
      </c>
      <c r="P167" s="26"/>
      <c r="Q167" s="26">
        <v>276308</v>
      </c>
      <c r="R167" s="26"/>
      <c r="S167" s="26">
        <v>0</v>
      </c>
      <c r="T167" s="26"/>
      <c r="U167" s="26">
        <v>0</v>
      </c>
      <c r="V167" s="26"/>
      <c r="W167" s="26">
        <f>185958+29805+136396+9956</f>
        <v>362115</v>
      </c>
      <c r="X167" s="26"/>
      <c r="Y167" s="51">
        <f t="shared" si="15"/>
        <v>22867436</v>
      </c>
      <c r="Z167" s="26"/>
      <c r="AA167" s="26">
        <v>225</v>
      </c>
      <c r="AB167" s="26"/>
      <c r="AC167" s="26"/>
      <c r="AD167" s="26"/>
      <c r="AE167" s="26">
        <v>0</v>
      </c>
      <c r="AF167" s="26"/>
      <c r="AG167" s="26"/>
      <c r="AH167" s="26"/>
      <c r="AI167" s="26"/>
      <c r="AJ167" s="26"/>
      <c r="AK167" s="26">
        <v>13541</v>
      </c>
      <c r="AL167" s="26"/>
      <c r="AM167" s="26">
        <v>0</v>
      </c>
      <c r="AN167" s="26"/>
      <c r="AO167" s="51">
        <f t="shared" si="16"/>
        <v>13766</v>
      </c>
      <c r="AP167" s="26"/>
      <c r="AQ167" s="51">
        <f t="shared" si="11"/>
        <v>22881202</v>
      </c>
      <c r="AR167" s="8" t="s">
        <v>956</v>
      </c>
    </row>
    <row r="168" spans="1:44" hidden="1">
      <c r="A168" s="12" t="s">
        <v>932</v>
      </c>
      <c r="B168" s="13"/>
      <c r="C168" s="13" t="s">
        <v>727</v>
      </c>
      <c r="D168" s="13"/>
      <c r="E168" s="32">
        <v>50617</v>
      </c>
      <c r="F168" s="26"/>
      <c r="G168" s="26">
        <v>1989849</v>
      </c>
      <c r="H168" s="26"/>
      <c r="I168" s="26">
        <v>726162</v>
      </c>
      <c r="J168" s="26"/>
      <c r="K168" s="26">
        <v>6354170</v>
      </c>
      <c r="L168" s="26"/>
      <c r="M168" s="26">
        <v>43513</v>
      </c>
      <c r="N168" s="26"/>
      <c r="O168" s="26">
        <v>225552</v>
      </c>
      <c r="P168" s="26"/>
      <c r="Q168" s="26">
        <v>80590</v>
      </c>
      <c r="R168" s="26"/>
      <c r="S168" s="26"/>
      <c r="T168" s="26"/>
      <c r="U168" s="26"/>
      <c r="V168" s="26"/>
      <c r="W168" s="26">
        <f>144489+77687</f>
        <v>222176</v>
      </c>
      <c r="X168" s="26"/>
      <c r="Y168" s="51">
        <f t="shared" si="15"/>
        <v>9642012</v>
      </c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>
        <v>0</v>
      </c>
      <c r="AN168" s="26"/>
      <c r="AO168" s="51">
        <f t="shared" si="16"/>
        <v>0</v>
      </c>
      <c r="AP168" s="26"/>
      <c r="AQ168" s="51">
        <f t="shared" si="11"/>
        <v>9642012</v>
      </c>
    </row>
    <row r="169" spans="1:44">
      <c r="A169" s="13" t="s">
        <v>241</v>
      </c>
      <c r="B169" s="13"/>
      <c r="C169" s="13" t="s">
        <v>242</v>
      </c>
      <c r="D169" s="13"/>
      <c r="E169" s="32">
        <v>46094</v>
      </c>
      <c r="F169" s="26"/>
      <c r="G169" s="26">
        <v>13285018</v>
      </c>
      <c r="H169" s="26"/>
      <c r="I169" s="26">
        <v>0</v>
      </c>
      <c r="J169" s="26"/>
      <c r="K169" s="26">
        <f>17770278+1647026</f>
        <v>19417304</v>
      </c>
      <c r="L169" s="26"/>
      <c r="M169" s="26">
        <v>121328</v>
      </c>
      <c r="N169" s="26"/>
      <c r="O169" s="26">
        <v>132729</v>
      </c>
      <c r="P169" s="26"/>
      <c r="Q169" s="26">
        <v>204092</v>
      </c>
      <c r="R169" s="26"/>
      <c r="S169" s="26">
        <v>716031</v>
      </c>
      <c r="T169" s="26"/>
      <c r="U169" s="26">
        <v>0</v>
      </c>
      <c r="V169" s="26"/>
      <c r="W169" s="26">
        <f>319864+290150+831240+2955</f>
        <v>1444209</v>
      </c>
      <c r="X169" s="26"/>
      <c r="Y169" s="51">
        <f t="shared" si="15"/>
        <v>35320711</v>
      </c>
      <c r="Z169" s="26"/>
      <c r="AA169" s="26">
        <v>39836</v>
      </c>
      <c r="AB169" s="26"/>
      <c r="AC169" s="26"/>
      <c r="AD169" s="26"/>
      <c r="AE169" s="26">
        <f>19110+3000000+24325</f>
        <v>3043435</v>
      </c>
      <c r="AF169" s="26"/>
      <c r="AG169" s="26"/>
      <c r="AH169" s="26"/>
      <c r="AI169" s="26"/>
      <c r="AJ169" s="26"/>
      <c r="AK169" s="26">
        <f>1200+59664</f>
        <v>60864</v>
      </c>
      <c r="AL169" s="26"/>
      <c r="AM169" s="26">
        <v>0</v>
      </c>
      <c r="AN169" s="26"/>
      <c r="AO169" s="51">
        <f t="shared" si="16"/>
        <v>3144135</v>
      </c>
      <c r="AP169" s="26"/>
      <c r="AQ169" s="51">
        <f t="shared" si="11"/>
        <v>38464846</v>
      </c>
    </row>
    <row r="170" spans="1:44">
      <c r="A170" s="13" t="s">
        <v>450</v>
      </c>
      <c r="B170" s="13"/>
      <c r="C170" s="13" t="s">
        <v>39</v>
      </c>
      <c r="D170" s="13"/>
      <c r="E170" s="32">
        <v>47795</v>
      </c>
      <c r="F170" s="26"/>
      <c r="G170" s="26">
        <v>7798742</v>
      </c>
      <c r="H170" s="26"/>
      <c r="I170" s="26">
        <v>0</v>
      </c>
      <c r="J170" s="26"/>
      <c r="K170" s="26">
        <f>10147603+1793367</f>
        <v>11940970</v>
      </c>
      <c r="L170" s="26"/>
      <c r="M170" s="26">
        <v>1315</v>
      </c>
      <c r="N170" s="26"/>
      <c r="O170" s="26">
        <v>684685</v>
      </c>
      <c r="P170" s="26"/>
      <c r="Q170" s="26">
        <v>149137</v>
      </c>
      <c r="R170" s="26"/>
      <c r="S170" s="26">
        <v>0</v>
      </c>
      <c r="T170" s="26"/>
      <c r="U170" s="26">
        <v>0</v>
      </c>
      <c r="V170" s="26"/>
      <c r="W170" s="26">
        <f>143151+71832+236829</f>
        <v>451812</v>
      </c>
      <c r="X170" s="26"/>
      <c r="Y170" s="51">
        <f t="shared" si="15"/>
        <v>21026661</v>
      </c>
      <c r="Z170" s="26"/>
      <c r="AA170" s="26">
        <v>1842142</v>
      </c>
      <c r="AB170" s="26"/>
      <c r="AC170" s="26"/>
      <c r="AD170" s="26"/>
      <c r="AE170" s="26">
        <v>0</v>
      </c>
      <c r="AF170" s="26"/>
      <c r="AG170" s="26"/>
      <c r="AH170" s="26"/>
      <c r="AI170" s="26"/>
      <c r="AJ170" s="26"/>
      <c r="AK170" s="26">
        <v>0</v>
      </c>
      <c r="AL170" s="26"/>
      <c r="AM170" s="26">
        <v>0</v>
      </c>
      <c r="AN170" s="26"/>
      <c r="AO170" s="51">
        <f t="shared" si="16"/>
        <v>1842142</v>
      </c>
      <c r="AP170" s="26"/>
      <c r="AQ170" s="51">
        <f t="shared" si="11"/>
        <v>22868803</v>
      </c>
    </row>
    <row r="171" spans="1:44">
      <c r="A171" s="13" t="s">
        <v>729</v>
      </c>
      <c r="B171" s="13"/>
      <c r="C171" s="13" t="s">
        <v>727</v>
      </c>
      <c r="D171" s="13"/>
      <c r="E171" s="32">
        <v>50625</v>
      </c>
      <c r="F171" s="26"/>
      <c r="G171" s="26">
        <v>1667757</v>
      </c>
      <c r="H171" s="26"/>
      <c r="I171" s="26">
        <v>0</v>
      </c>
      <c r="J171" s="26"/>
      <c r="K171" s="26">
        <v>3984116</v>
      </c>
      <c r="L171" s="26"/>
      <c r="M171" s="26">
        <v>85815</v>
      </c>
      <c r="N171" s="26"/>
      <c r="O171" s="26">
        <v>506183</v>
      </c>
      <c r="P171" s="26"/>
      <c r="Q171" s="26">
        <v>75038</v>
      </c>
      <c r="R171" s="26"/>
      <c r="S171" s="26">
        <v>0</v>
      </c>
      <c r="T171" s="26"/>
      <c r="U171" s="26">
        <v>16756</v>
      </c>
      <c r="V171" s="26"/>
      <c r="W171" s="26">
        <f>50502+151241+5700-22298</f>
        <v>185145</v>
      </c>
      <c r="X171" s="26"/>
      <c r="Y171" s="51">
        <f t="shared" si="15"/>
        <v>6520810</v>
      </c>
      <c r="Z171" s="26"/>
      <c r="AA171" s="26">
        <v>0</v>
      </c>
      <c r="AB171" s="26"/>
      <c r="AC171" s="26"/>
      <c r="AD171" s="26"/>
      <c r="AE171" s="26">
        <v>0</v>
      </c>
      <c r="AF171" s="26"/>
      <c r="AG171" s="26"/>
      <c r="AH171" s="26"/>
      <c r="AI171" s="26"/>
      <c r="AJ171" s="26"/>
      <c r="AK171" s="26">
        <v>15414</v>
      </c>
      <c r="AL171" s="26"/>
      <c r="AM171" s="26">
        <v>0</v>
      </c>
      <c r="AN171" s="26"/>
      <c r="AO171" s="51">
        <f t="shared" si="16"/>
        <v>15414</v>
      </c>
      <c r="AP171" s="26"/>
      <c r="AQ171" s="51">
        <f t="shared" si="11"/>
        <v>6536224</v>
      </c>
    </row>
    <row r="172" spans="1:44" hidden="1">
      <c r="A172" s="13" t="s">
        <v>934</v>
      </c>
      <c r="B172" s="13"/>
      <c r="C172" s="13" t="s">
        <v>10</v>
      </c>
      <c r="D172" s="13"/>
      <c r="E172" s="32"/>
      <c r="F172" s="26"/>
      <c r="G172" s="26">
        <v>10253048</v>
      </c>
      <c r="H172" s="26"/>
      <c r="I172" s="26"/>
      <c r="J172" s="26"/>
      <c r="K172" s="26">
        <v>11346885</v>
      </c>
      <c r="L172" s="26"/>
      <c r="M172" s="26">
        <v>1232294</v>
      </c>
      <c r="N172" s="26"/>
      <c r="O172" s="26">
        <v>1349413</v>
      </c>
      <c r="P172" s="26"/>
      <c r="Q172" s="26">
        <v>219234</v>
      </c>
      <c r="R172" s="26"/>
      <c r="S172" s="26"/>
      <c r="T172" s="26"/>
      <c r="U172" s="26"/>
      <c r="V172" s="26"/>
      <c r="W172" s="26">
        <f>546187+316234</f>
        <v>862421</v>
      </c>
      <c r="X172" s="26"/>
      <c r="Y172" s="51">
        <f t="shared" si="15"/>
        <v>25263295</v>
      </c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51"/>
      <c r="AP172" s="26"/>
      <c r="AQ172" s="51">
        <f t="shared" si="11"/>
        <v>25263295</v>
      </c>
    </row>
    <row r="173" spans="1:44" hidden="1">
      <c r="A173" s="12" t="s">
        <v>1020</v>
      </c>
      <c r="B173" s="12"/>
      <c r="C173" s="12" t="s">
        <v>72</v>
      </c>
      <c r="D173" s="13"/>
      <c r="E173" s="32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51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51"/>
      <c r="AP173" s="26"/>
      <c r="AQ173" s="51">
        <f t="shared" si="11"/>
        <v>0</v>
      </c>
      <c r="AR173" s="8" t="s">
        <v>967</v>
      </c>
    </row>
    <row r="174" spans="1:44">
      <c r="A174" s="12" t="s">
        <v>520</v>
      </c>
      <c r="B174" s="13"/>
      <c r="C174" s="13" t="s">
        <v>46</v>
      </c>
      <c r="D174" s="13"/>
      <c r="E174" s="32">
        <v>48413</v>
      </c>
      <c r="F174" s="26"/>
      <c r="G174" s="26">
        <v>3452886</v>
      </c>
      <c r="H174" s="26"/>
      <c r="I174" s="26">
        <v>0</v>
      </c>
      <c r="J174" s="26"/>
      <c r="K174" s="26">
        <v>8109630</v>
      </c>
      <c r="L174" s="26"/>
      <c r="M174" s="26">
        <v>42004</v>
      </c>
      <c r="N174" s="26"/>
      <c r="O174" s="26">
        <v>1558776</v>
      </c>
      <c r="P174" s="26"/>
      <c r="Q174" s="26">
        <v>81841</v>
      </c>
      <c r="R174" s="26"/>
      <c r="S174" s="26">
        <v>28000</v>
      </c>
      <c r="T174" s="26"/>
      <c r="U174" s="26">
        <v>27168</v>
      </c>
      <c r="V174" s="26"/>
      <c r="W174" s="26">
        <f>324753+48440</f>
        <v>373193</v>
      </c>
      <c r="X174" s="26"/>
      <c r="Y174" s="51">
        <f t="shared" si="15"/>
        <v>13673498</v>
      </c>
      <c r="Z174" s="26"/>
      <c r="AA174" s="26">
        <v>0</v>
      </c>
      <c r="AB174" s="26"/>
      <c r="AC174" s="26"/>
      <c r="AD174" s="26"/>
      <c r="AE174" s="26">
        <v>0</v>
      </c>
      <c r="AF174" s="26"/>
      <c r="AG174" s="26"/>
      <c r="AH174" s="26"/>
      <c r="AI174" s="26"/>
      <c r="AJ174" s="26"/>
      <c r="AK174" s="26">
        <v>0</v>
      </c>
      <c r="AL174" s="26"/>
      <c r="AM174" s="26">
        <v>0</v>
      </c>
      <c r="AN174" s="26"/>
      <c r="AO174" s="51">
        <f t="shared" ref="AO174:AO201" si="17">AK174+AE174+AA174</f>
        <v>0</v>
      </c>
      <c r="AP174" s="26"/>
      <c r="AQ174" s="51">
        <f t="shared" ref="AQ174:AQ240" si="18">Y174+AO174</f>
        <v>13673498</v>
      </c>
    </row>
    <row r="175" spans="1:44">
      <c r="A175" s="13" t="s">
        <v>487</v>
      </c>
      <c r="B175" s="13"/>
      <c r="C175" s="13" t="s">
        <v>44</v>
      </c>
      <c r="D175" s="13"/>
      <c r="E175" s="32">
        <v>43943</v>
      </c>
      <c r="F175" s="26"/>
      <c r="G175" s="26">
        <v>29165954</v>
      </c>
      <c r="H175" s="26"/>
      <c r="I175" s="26">
        <v>0</v>
      </c>
      <c r="J175" s="26"/>
      <c r="K175" s="26">
        <v>67102367</v>
      </c>
      <c r="L175" s="26"/>
      <c r="M175" s="26">
        <v>1504388</v>
      </c>
      <c r="N175" s="26"/>
      <c r="O175" s="26">
        <v>1488391</v>
      </c>
      <c r="P175" s="26"/>
      <c r="Q175" s="26">
        <v>304241</v>
      </c>
      <c r="R175" s="26"/>
      <c r="S175" s="26">
        <v>0</v>
      </c>
      <c r="T175" s="26"/>
      <c r="U175" s="26">
        <v>244968</v>
      </c>
      <c r="V175" s="26"/>
      <c r="W175" s="26">
        <f>2692766+76178</f>
        <v>2768944</v>
      </c>
      <c r="X175" s="26"/>
      <c r="Y175" s="51">
        <f t="shared" si="15"/>
        <v>102579253</v>
      </c>
      <c r="Z175" s="26"/>
      <c r="AA175" s="26">
        <v>4376275</v>
      </c>
      <c r="AB175" s="26"/>
      <c r="AC175" s="26"/>
      <c r="AD175" s="26"/>
      <c r="AE175" s="26">
        <v>0</v>
      </c>
      <c r="AF175" s="26"/>
      <c r="AG175" s="26"/>
      <c r="AH175" s="26"/>
      <c r="AI175" s="26"/>
      <c r="AJ175" s="26"/>
      <c r="AK175" s="26">
        <v>2328</v>
      </c>
      <c r="AL175" s="26"/>
      <c r="AM175" s="26">
        <v>0</v>
      </c>
      <c r="AN175" s="26"/>
      <c r="AO175" s="51">
        <f t="shared" si="17"/>
        <v>4378603</v>
      </c>
      <c r="AP175" s="26"/>
      <c r="AQ175" s="51">
        <f t="shared" si="18"/>
        <v>106957856</v>
      </c>
    </row>
    <row r="176" spans="1:44">
      <c r="A176" s="13" t="s">
        <v>306</v>
      </c>
      <c r="B176" s="13"/>
      <c r="C176" s="13" t="s">
        <v>20</v>
      </c>
      <c r="D176" s="13"/>
      <c r="E176" s="32">
        <v>43950</v>
      </c>
      <c r="F176" s="26"/>
      <c r="G176" s="26">
        <v>44053337</v>
      </c>
      <c r="H176" s="26"/>
      <c r="I176" s="26">
        <v>0</v>
      </c>
      <c r="J176" s="26"/>
      <c r="K176" s="26">
        <v>38813475</v>
      </c>
      <c r="L176" s="26"/>
      <c r="M176" s="26">
        <v>332880</v>
      </c>
      <c r="N176" s="26"/>
      <c r="O176" s="26">
        <v>424084</v>
      </c>
      <c r="P176" s="26"/>
      <c r="Q176" s="26">
        <v>271422</v>
      </c>
      <c r="R176" s="26"/>
      <c r="S176" s="26">
        <v>0</v>
      </c>
      <c r="T176" s="26"/>
      <c r="U176" s="26">
        <v>0</v>
      </c>
      <c r="V176" s="26"/>
      <c r="W176" s="26">
        <f>212285+69017+138005+362663</f>
        <v>781970</v>
      </c>
      <c r="X176" s="26"/>
      <c r="Y176" s="51">
        <f t="shared" si="15"/>
        <v>84677168</v>
      </c>
      <c r="Z176" s="26"/>
      <c r="AA176" s="26">
        <v>1710505</v>
      </c>
      <c r="AB176" s="26"/>
      <c r="AC176" s="26"/>
      <c r="AD176" s="26"/>
      <c r="AE176" s="26">
        <v>1253000</v>
      </c>
      <c r="AF176" s="26"/>
      <c r="AG176" s="26"/>
      <c r="AH176" s="26"/>
      <c r="AI176" s="26"/>
      <c r="AJ176" s="26"/>
      <c r="AK176" s="26">
        <v>12744</v>
      </c>
      <c r="AL176" s="26"/>
      <c r="AM176" s="26">
        <v>0</v>
      </c>
      <c r="AN176" s="26"/>
      <c r="AO176" s="51">
        <f t="shared" si="17"/>
        <v>2976249</v>
      </c>
      <c r="AP176" s="26"/>
      <c r="AQ176" s="51">
        <f t="shared" si="18"/>
        <v>87653417</v>
      </c>
    </row>
    <row r="177" spans="1:43" hidden="1">
      <c r="A177" s="13" t="s">
        <v>840</v>
      </c>
      <c r="B177" s="13"/>
      <c r="C177" s="13" t="s">
        <v>28</v>
      </c>
      <c r="D177" s="13"/>
      <c r="E177" s="32">
        <v>47050</v>
      </c>
      <c r="F177" s="26"/>
      <c r="G177" s="26">
        <v>4672202</v>
      </c>
      <c r="H177" s="26"/>
      <c r="I177" s="26">
        <v>2431470</v>
      </c>
      <c r="J177" s="26"/>
      <c r="K177" s="26">
        <v>6719531</v>
      </c>
      <c r="L177" s="26"/>
      <c r="M177" s="26">
        <v>136912</v>
      </c>
      <c r="N177" s="26"/>
      <c r="O177" s="26">
        <v>748478</v>
      </c>
      <c r="P177" s="26"/>
      <c r="Q177" s="26">
        <v>185884</v>
      </c>
      <c r="R177" s="26"/>
      <c r="S177" s="26"/>
      <c r="T177" s="26"/>
      <c r="U177" s="26">
        <v>26422</v>
      </c>
      <c r="V177" s="26"/>
      <c r="W177" s="26">
        <f>54118+349773+5350</f>
        <v>409241</v>
      </c>
      <c r="X177" s="26"/>
      <c r="Y177" s="51">
        <f t="shared" si="15"/>
        <v>15330140</v>
      </c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>
        <v>0</v>
      </c>
      <c r="AN177" s="26"/>
      <c r="AO177" s="51">
        <f t="shared" si="17"/>
        <v>0</v>
      </c>
      <c r="AP177" s="26"/>
      <c r="AQ177" s="51">
        <f t="shared" si="18"/>
        <v>15330140</v>
      </c>
    </row>
    <row r="178" spans="1:43">
      <c r="A178" s="13" t="s">
        <v>702</v>
      </c>
      <c r="B178" s="13"/>
      <c r="C178" s="13" t="s">
        <v>66</v>
      </c>
      <c r="D178" s="13"/>
      <c r="E178" s="32">
        <v>50328</v>
      </c>
      <c r="F178" s="26"/>
      <c r="G178" s="26">
        <v>7394050</v>
      </c>
      <c r="H178" s="26"/>
      <c r="I178" s="26">
        <v>0</v>
      </c>
      <c r="J178" s="26"/>
      <c r="K178" s="26">
        <f>360480+3379318+3138</f>
        <v>3742936</v>
      </c>
      <c r="L178" s="26"/>
      <c r="M178" s="26">
        <v>167003</v>
      </c>
      <c r="N178" s="26"/>
      <c r="O178" s="26">
        <v>41452</v>
      </c>
      <c r="P178" s="26"/>
      <c r="Q178" s="26">
        <v>76713</v>
      </c>
      <c r="R178" s="26"/>
      <c r="S178" s="26">
        <v>0</v>
      </c>
      <c r="T178" s="26"/>
      <c r="U178" s="26">
        <v>0</v>
      </c>
      <c r="V178" s="26"/>
      <c r="W178" s="26">
        <f>72268+36897+118492+39071</f>
        <v>266728</v>
      </c>
      <c r="X178" s="26"/>
      <c r="Y178" s="51">
        <f t="shared" si="15"/>
        <v>11688882</v>
      </c>
      <c r="Z178" s="26"/>
      <c r="AA178" s="26">
        <v>367884</v>
      </c>
      <c r="AB178" s="26"/>
      <c r="AC178" s="26"/>
      <c r="AD178" s="26"/>
      <c r="AE178" s="26">
        <v>0</v>
      </c>
      <c r="AF178" s="26"/>
      <c r="AG178" s="26"/>
      <c r="AH178" s="26"/>
      <c r="AI178" s="26"/>
      <c r="AJ178" s="26"/>
      <c r="AK178" s="26">
        <v>103431</v>
      </c>
      <c r="AL178" s="26"/>
      <c r="AM178" s="26">
        <v>0</v>
      </c>
      <c r="AN178" s="26"/>
      <c r="AO178" s="51">
        <f t="shared" si="17"/>
        <v>471315</v>
      </c>
      <c r="AP178" s="26"/>
      <c r="AQ178" s="51">
        <f t="shared" si="18"/>
        <v>12160197</v>
      </c>
    </row>
    <row r="179" spans="1:43">
      <c r="A179" s="13" t="s">
        <v>851</v>
      </c>
      <c r="B179" s="13"/>
      <c r="C179" s="13" t="s">
        <v>852</v>
      </c>
      <c r="D179" s="13"/>
      <c r="E179" s="32">
        <v>46102</v>
      </c>
      <c r="F179" s="26"/>
      <c r="G179" s="26">
        <v>18201335</v>
      </c>
      <c r="H179" s="26"/>
      <c r="I179" s="26">
        <v>3301518</v>
      </c>
      <c r="J179" s="26"/>
      <c r="K179" s="26">
        <v>26760274</v>
      </c>
      <c r="L179" s="26"/>
      <c r="M179" s="26">
        <v>222689</v>
      </c>
      <c r="N179" s="26"/>
      <c r="O179" s="26">
        <v>403809</v>
      </c>
      <c r="P179" s="26"/>
      <c r="Q179" s="26">
        <v>230665</v>
      </c>
      <c r="R179" s="26"/>
      <c r="S179" s="26">
        <v>168364</v>
      </c>
      <c r="T179" s="26"/>
      <c r="U179" s="26">
        <v>11608</v>
      </c>
      <c r="V179" s="26"/>
      <c r="W179" s="26">
        <f>292546+24550+874877</f>
        <v>1191973</v>
      </c>
      <c r="X179" s="26"/>
      <c r="Y179" s="51">
        <f t="shared" si="15"/>
        <v>50492235</v>
      </c>
      <c r="Z179" s="26"/>
      <c r="AA179" s="26">
        <v>729800</v>
      </c>
      <c r="AB179" s="26"/>
      <c r="AC179" s="26"/>
      <c r="AD179" s="26"/>
      <c r="AE179" s="26">
        <v>0</v>
      </c>
      <c r="AF179" s="26"/>
      <c r="AG179" s="26"/>
      <c r="AH179" s="26"/>
      <c r="AI179" s="26"/>
      <c r="AJ179" s="26"/>
      <c r="AK179" s="26">
        <v>6668</v>
      </c>
      <c r="AL179" s="26"/>
      <c r="AM179" s="26">
        <v>0</v>
      </c>
      <c r="AN179" s="26"/>
      <c r="AO179" s="51">
        <f t="shared" si="17"/>
        <v>736468</v>
      </c>
      <c r="AP179" s="26"/>
      <c r="AQ179" s="51">
        <f t="shared" si="18"/>
        <v>51228703</v>
      </c>
    </row>
    <row r="180" spans="1:43">
      <c r="A180" s="13"/>
      <c r="B180" s="13"/>
      <c r="C180" s="13"/>
      <c r="D180" s="13"/>
      <c r="E180" s="32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51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51"/>
      <c r="AP180" s="26"/>
      <c r="AQ180" s="51"/>
    </row>
    <row r="181" spans="1:43">
      <c r="A181" s="13"/>
      <c r="B181" s="13"/>
      <c r="C181" s="13"/>
      <c r="D181" s="13"/>
      <c r="E181" s="32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51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51"/>
      <c r="AP181" s="26"/>
      <c r="AQ181" s="135" t="s">
        <v>805</v>
      </c>
    </row>
    <row r="182" spans="1:43">
      <c r="A182" s="13"/>
      <c r="B182" s="13"/>
      <c r="C182" s="13"/>
      <c r="D182" s="13"/>
      <c r="E182" s="32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51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51"/>
      <c r="AP182" s="26"/>
      <c r="AQ182" s="51"/>
    </row>
    <row r="183" spans="1:43">
      <c r="A183" s="13" t="s">
        <v>243</v>
      </c>
      <c r="B183" s="13"/>
      <c r="C183" s="13" t="s">
        <v>242</v>
      </c>
      <c r="D183" s="13"/>
      <c r="E183" s="32">
        <v>46102</v>
      </c>
      <c r="F183" s="26"/>
      <c r="G183" s="43">
        <v>42590170</v>
      </c>
      <c r="H183" s="43"/>
      <c r="I183" s="43">
        <v>0</v>
      </c>
      <c r="J183" s="43"/>
      <c r="K183" s="43">
        <v>38976718</v>
      </c>
      <c r="L183" s="43"/>
      <c r="M183" s="43">
        <v>427065</v>
      </c>
      <c r="N183" s="43"/>
      <c r="O183" s="43">
        <v>1007783</v>
      </c>
      <c r="P183" s="43"/>
      <c r="Q183" s="43">
        <v>430373</v>
      </c>
      <c r="R183" s="43"/>
      <c r="S183" s="43">
        <v>1405131</v>
      </c>
      <c r="T183" s="43"/>
      <c r="U183" s="43">
        <v>0</v>
      </c>
      <c r="V183" s="43"/>
      <c r="W183" s="43">
        <f>3640758+1533978</f>
        <v>5174736</v>
      </c>
      <c r="X183" s="43"/>
      <c r="Y183" s="129">
        <f t="shared" si="15"/>
        <v>90011976</v>
      </c>
      <c r="Z183" s="43"/>
      <c r="AA183" s="43">
        <v>0</v>
      </c>
      <c r="AB183" s="43"/>
      <c r="AC183" s="43"/>
      <c r="AD183" s="43"/>
      <c r="AE183" s="43">
        <v>404520</v>
      </c>
      <c r="AF183" s="43"/>
      <c r="AG183" s="43"/>
      <c r="AH183" s="43"/>
      <c r="AI183" s="43"/>
      <c r="AJ183" s="43"/>
      <c r="AK183" s="43">
        <v>247</v>
      </c>
      <c r="AL183" s="43"/>
      <c r="AM183" s="43">
        <v>0</v>
      </c>
      <c r="AN183" s="43"/>
      <c r="AO183" s="129">
        <f t="shared" si="17"/>
        <v>404767</v>
      </c>
      <c r="AP183" s="43"/>
      <c r="AQ183" s="129">
        <f t="shared" si="18"/>
        <v>90416743</v>
      </c>
    </row>
    <row r="184" spans="1:43">
      <c r="A184" s="13" t="s">
        <v>436</v>
      </c>
      <c r="B184" s="13"/>
      <c r="C184" s="13" t="s">
        <v>435</v>
      </c>
      <c r="D184" s="13"/>
      <c r="E184" s="32">
        <v>47621</v>
      </c>
      <c r="F184" s="26"/>
      <c r="G184" s="26">
        <v>1683846</v>
      </c>
      <c r="H184" s="26"/>
      <c r="I184" s="26">
        <v>0</v>
      </c>
      <c r="J184" s="26"/>
      <c r="K184" s="26">
        <v>5757279</v>
      </c>
      <c r="L184" s="26"/>
      <c r="M184" s="26">
        <v>17932</v>
      </c>
      <c r="N184" s="26"/>
      <c r="O184" s="26">
        <v>356370</v>
      </c>
      <c r="P184" s="26"/>
      <c r="Q184" s="26">
        <v>47107</v>
      </c>
      <c r="R184" s="26"/>
      <c r="S184" s="26">
        <v>0</v>
      </c>
      <c r="T184" s="26"/>
      <c r="U184" s="26">
        <v>5785</v>
      </c>
      <c r="V184" s="26"/>
      <c r="W184" s="26">
        <f>75936+1798+216846</f>
        <v>294580</v>
      </c>
      <c r="X184" s="26"/>
      <c r="Y184" s="51">
        <f t="shared" si="15"/>
        <v>8162899</v>
      </c>
      <c r="Z184" s="26"/>
      <c r="AA184" s="26">
        <v>0</v>
      </c>
      <c r="AB184" s="26"/>
      <c r="AC184" s="26"/>
      <c r="AD184" s="26"/>
      <c r="AE184" s="26">
        <v>0</v>
      </c>
      <c r="AF184" s="26"/>
      <c r="AG184" s="26"/>
      <c r="AH184" s="26"/>
      <c r="AI184" s="26"/>
      <c r="AJ184" s="26"/>
      <c r="AK184" s="26">
        <v>0</v>
      </c>
      <c r="AL184" s="26"/>
      <c r="AM184" s="26">
        <v>0</v>
      </c>
      <c r="AN184" s="26"/>
      <c r="AO184" s="51">
        <f t="shared" si="17"/>
        <v>0</v>
      </c>
      <c r="AP184" s="26"/>
      <c r="AQ184" s="51">
        <f t="shared" si="18"/>
        <v>8162899</v>
      </c>
    </row>
    <row r="185" spans="1:43">
      <c r="A185" s="13" t="s">
        <v>346</v>
      </c>
      <c r="B185" s="13"/>
      <c r="C185" s="13" t="s">
        <v>25</v>
      </c>
      <c r="D185" s="13"/>
      <c r="E185" s="32">
        <v>46870</v>
      </c>
      <c r="F185" s="26"/>
      <c r="G185" s="26">
        <v>4367426</v>
      </c>
      <c r="H185" s="26"/>
      <c r="I185" s="26">
        <v>4803989</v>
      </c>
      <c r="J185" s="26"/>
      <c r="K185" s="26">
        <v>28012307</v>
      </c>
      <c r="L185" s="26"/>
      <c r="M185" s="26">
        <v>1000050</v>
      </c>
      <c r="N185" s="26"/>
      <c r="O185" s="26">
        <v>1469031</v>
      </c>
      <c r="P185" s="26"/>
      <c r="Q185" s="26">
        <v>0</v>
      </c>
      <c r="R185" s="26"/>
      <c r="S185" s="26">
        <v>0</v>
      </c>
      <c r="T185" s="26"/>
      <c r="U185" s="26">
        <v>1795</v>
      </c>
      <c r="V185" s="26"/>
      <c r="W185" s="26">
        <f>227136+440596+128952</f>
        <v>796684</v>
      </c>
      <c r="X185" s="26"/>
      <c r="Y185" s="51">
        <f t="shared" si="15"/>
        <v>40451282</v>
      </c>
      <c r="Z185" s="26"/>
      <c r="AA185" s="26">
        <v>1691388</v>
      </c>
      <c r="AB185" s="26"/>
      <c r="AC185" s="26"/>
      <c r="AD185" s="26"/>
      <c r="AE185" s="26">
        <v>281869</v>
      </c>
      <c r="AF185" s="26"/>
      <c r="AG185" s="26"/>
      <c r="AH185" s="26"/>
      <c r="AI185" s="26"/>
      <c r="AJ185" s="26"/>
      <c r="AK185" s="26">
        <f>1065+9645</f>
        <v>10710</v>
      </c>
      <c r="AL185" s="26"/>
      <c r="AM185" s="26">
        <v>0</v>
      </c>
      <c r="AN185" s="26"/>
      <c r="AO185" s="51">
        <f t="shared" si="17"/>
        <v>1983967</v>
      </c>
      <c r="AP185" s="26"/>
      <c r="AQ185" s="51">
        <f t="shared" si="18"/>
        <v>42435249</v>
      </c>
    </row>
    <row r="186" spans="1:43">
      <c r="A186" s="13" t="s">
        <v>468</v>
      </c>
      <c r="B186" s="13"/>
      <c r="C186" s="13" t="s">
        <v>466</v>
      </c>
      <c r="D186" s="13"/>
      <c r="E186" s="32">
        <v>47936</v>
      </c>
      <c r="F186" s="26"/>
      <c r="G186" s="26">
        <v>3492108</v>
      </c>
      <c r="H186" s="26"/>
      <c r="I186" s="26">
        <v>0</v>
      </c>
      <c r="J186" s="26"/>
      <c r="K186" s="26">
        <v>11347762</v>
      </c>
      <c r="L186" s="26"/>
      <c r="M186" s="26">
        <v>66551</v>
      </c>
      <c r="N186" s="26"/>
      <c r="O186" s="26">
        <v>768452</v>
      </c>
      <c r="P186" s="26"/>
      <c r="Q186" s="26">
        <v>202518</v>
      </c>
      <c r="R186" s="26"/>
      <c r="S186" s="26">
        <v>0</v>
      </c>
      <c r="T186" s="26"/>
      <c r="U186" s="26">
        <v>44817</v>
      </c>
      <c r="V186" s="26"/>
      <c r="W186" s="26">
        <f>25375+257553</f>
        <v>282928</v>
      </c>
      <c r="X186" s="26"/>
      <c r="Y186" s="51">
        <f t="shared" si="15"/>
        <v>16205136</v>
      </c>
      <c r="Z186" s="26"/>
      <c r="AA186" s="26">
        <v>64867</v>
      </c>
      <c r="AB186" s="26"/>
      <c r="AC186" s="26"/>
      <c r="AD186" s="26"/>
      <c r="AE186" s="26">
        <v>0</v>
      </c>
      <c r="AF186" s="26"/>
      <c r="AG186" s="26"/>
      <c r="AH186" s="26"/>
      <c r="AI186" s="26"/>
      <c r="AJ186" s="26"/>
      <c r="AK186" s="26">
        <v>0</v>
      </c>
      <c r="AL186" s="26"/>
      <c r="AM186" s="26">
        <v>0</v>
      </c>
      <c r="AN186" s="26"/>
      <c r="AO186" s="51">
        <f t="shared" si="17"/>
        <v>64867</v>
      </c>
      <c r="AP186" s="26"/>
      <c r="AQ186" s="51">
        <f t="shared" si="18"/>
        <v>16270003</v>
      </c>
    </row>
    <row r="187" spans="1:43" hidden="1">
      <c r="A187" s="12" t="s">
        <v>841</v>
      </c>
      <c r="B187" s="13"/>
      <c r="C187" s="13" t="s">
        <v>61</v>
      </c>
      <c r="D187" s="13"/>
      <c r="E187" s="32">
        <v>49775</v>
      </c>
      <c r="F187" s="26"/>
      <c r="G187" s="26">
        <v>1547363</v>
      </c>
      <c r="H187" s="26"/>
      <c r="I187" s="26"/>
      <c r="J187" s="26"/>
      <c r="K187" s="26">
        <v>10783567</v>
      </c>
      <c r="L187" s="26"/>
      <c r="M187" s="26">
        <v>292551</v>
      </c>
      <c r="N187" s="26"/>
      <c r="O187" s="26">
        <v>875943</v>
      </c>
      <c r="P187" s="26"/>
      <c r="Q187" s="26">
        <v>42560</v>
      </c>
      <c r="R187" s="26"/>
      <c r="S187" s="26"/>
      <c r="T187" s="26"/>
      <c r="U187" s="26"/>
      <c r="V187" s="26"/>
      <c r="W187" s="26">
        <f>111673+49669</f>
        <v>161342</v>
      </c>
      <c r="X187" s="26"/>
      <c r="Y187" s="51">
        <f t="shared" si="15"/>
        <v>13703326</v>
      </c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>
        <v>0</v>
      </c>
      <c r="AN187" s="26"/>
      <c r="AO187" s="51">
        <f t="shared" si="17"/>
        <v>0</v>
      </c>
      <c r="AP187" s="26"/>
      <c r="AQ187" s="51">
        <f t="shared" si="18"/>
        <v>13703326</v>
      </c>
    </row>
    <row r="188" spans="1:43">
      <c r="A188" s="13" t="s">
        <v>651</v>
      </c>
      <c r="B188" s="13"/>
      <c r="C188" s="13" t="s">
        <v>62</v>
      </c>
      <c r="D188" s="13"/>
      <c r="E188" s="32">
        <v>49841</v>
      </c>
      <c r="F188" s="26"/>
      <c r="G188" s="26">
        <v>5893141</v>
      </c>
      <c r="H188" s="26"/>
      <c r="I188" s="26">
        <v>0</v>
      </c>
      <c r="J188" s="26"/>
      <c r="K188" s="26">
        <f>9586468+1112689</f>
        <v>10699157</v>
      </c>
      <c r="L188" s="26"/>
      <c r="M188" s="26">
        <v>71919</v>
      </c>
      <c r="N188" s="26"/>
      <c r="O188" s="26">
        <v>549681</v>
      </c>
      <c r="P188" s="26"/>
      <c r="Q188" s="26">
        <v>129317</v>
      </c>
      <c r="R188" s="26"/>
      <c r="S188" s="26">
        <v>0</v>
      </c>
      <c r="T188" s="26"/>
      <c r="U188" s="26">
        <v>0</v>
      </c>
      <c r="V188" s="26"/>
      <c r="W188" s="26">
        <f>361618+58726+304883</f>
        <v>725227</v>
      </c>
      <c r="X188" s="26"/>
      <c r="Y188" s="51">
        <f t="shared" si="15"/>
        <v>18068442</v>
      </c>
      <c r="Z188" s="26"/>
      <c r="AA188" s="26">
        <v>400000</v>
      </c>
      <c r="AB188" s="26"/>
      <c r="AC188" s="26"/>
      <c r="AD188" s="26"/>
      <c r="AE188" s="26">
        <v>0</v>
      </c>
      <c r="AF188" s="26"/>
      <c r="AG188" s="26"/>
      <c r="AH188" s="26"/>
      <c r="AI188" s="26"/>
      <c r="AJ188" s="26"/>
      <c r="AK188" s="26">
        <v>0</v>
      </c>
      <c r="AL188" s="26"/>
      <c r="AM188" s="26">
        <v>0</v>
      </c>
      <c r="AN188" s="26"/>
      <c r="AO188" s="51">
        <f t="shared" si="17"/>
        <v>400000</v>
      </c>
      <c r="AP188" s="26"/>
      <c r="AQ188" s="51">
        <f t="shared" si="18"/>
        <v>18468442</v>
      </c>
    </row>
    <row r="189" spans="1:43" hidden="1">
      <c r="A189" s="12" t="s">
        <v>972</v>
      </c>
      <c r="B189" s="13"/>
      <c r="C189" s="13" t="s">
        <v>41</v>
      </c>
      <c r="D189" s="13"/>
      <c r="E189" s="32">
        <v>45369</v>
      </c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51">
        <f t="shared" si="15"/>
        <v>0</v>
      </c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>
        <v>0</v>
      </c>
      <c r="AN189" s="26"/>
      <c r="AO189" s="51">
        <f t="shared" si="17"/>
        <v>0</v>
      </c>
      <c r="AP189" s="26"/>
      <c r="AQ189" s="51">
        <f t="shared" si="18"/>
        <v>0</v>
      </c>
    </row>
    <row r="190" spans="1:43">
      <c r="A190" s="13" t="s">
        <v>307</v>
      </c>
      <c r="B190" s="13"/>
      <c r="C190" s="13" t="s">
        <v>20</v>
      </c>
      <c r="D190" s="13"/>
      <c r="E190" s="32">
        <v>43976</v>
      </c>
      <c r="F190" s="26"/>
      <c r="G190" s="26">
        <v>18168781</v>
      </c>
      <c r="H190" s="26"/>
      <c r="I190" s="26">
        <v>0</v>
      </c>
      <c r="J190" s="26"/>
      <c r="K190" s="26">
        <v>6497091</v>
      </c>
      <c r="L190" s="26"/>
      <c r="M190" s="26">
        <v>513033</v>
      </c>
      <c r="N190" s="26"/>
      <c r="O190" s="26">
        <v>314045</v>
      </c>
      <c r="P190" s="26"/>
      <c r="Q190" s="26">
        <v>183195</v>
      </c>
      <c r="R190" s="26"/>
      <c r="S190" s="26">
        <v>0</v>
      </c>
      <c r="T190" s="26"/>
      <c r="U190" s="26">
        <v>14548</v>
      </c>
      <c r="V190" s="26"/>
      <c r="W190" s="26">
        <f>68766+115447</f>
        <v>184213</v>
      </c>
      <c r="X190" s="26"/>
      <c r="Y190" s="51">
        <f t="shared" si="15"/>
        <v>25874906</v>
      </c>
      <c r="Z190" s="26"/>
      <c r="AA190" s="26">
        <v>402013</v>
      </c>
      <c r="AB190" s="26"/>
      <c r="AC190" s="26"/>
      <c r="AD190" s="26"/>
      <c r="AE190" s="26">
        <v>0</v>
      </c>
      <c r="AF190" s="26"/>
      <c r="AG190" s="26"/>
      <c r="AH190" s="26"/>
      <c r="AI190" s="26"/>
      <c r="AJ190" s="26"/>
      <c r="AK190" s="26">
        <v>0</v>
      </c>
      <c r="AL190" s="26"/>
      <c r="AM190" s="26">
        <v>0</v>
      </c>
      <c r="AN190" s="26"/>
      <c r="AO190" s="51">
        <f t="shared" si="17"/>
        <v>402013</v>
      </c>
      <c r="AP190" s="26"/>
      <c r="AQ190" s="51">
        <f t="shared" si="18"/>
        <v>26276919</v>
      </c>
    </row>
    <row r="191" spans="1:43">
      <c r="A191" s="12" t="s">
        <v>936</v>
      </c>
      <c r="B191" s="12"/>
      <c r="C191" s="12" t="s">
        <v>28</v>
      </c>
      <c r="D191" s="13"/>
      <c r="E191" s="32"/>
      <c r="F191" s="26"/>
      <c r="G191" s="26">
        <v>1311691</v>
      </c>
      <c r="H191" s="26"/>
      <c r="I191" s="26">
        <v>425495</v>
      </c>
      <c r="J191" s="26"/>
      <c r="K191" s="26">
        <v>3764745</v>
      </c>
      <c r="L191" s="26"/>
      <c r="M191" s="26">
        <v>88956</v>
      </c>
      <c r="N191" s="26"/>
      <c r="O191" s="26">
        <v>134740</v>
      </c>
      <c r="P191" s="26"/>
      <c r="Q191" s="26">
        <v>42998</v>
      </c>
      <c r="R191" s="26"/>
      <c r="S191" s="26">
        <v>0</v>
      </c>
      <c r="T191" s="26"/>
      <c r="U191" s="26">
        <v>2877</v>
      </c>
      <c r="V191" s="26"/>
      <c r="W191" s="26">
        <f>98525+135419</f>
        <v>233944</v>
      </c>
      <c r="X191" s="26"/>
      <c r="Y191" s="51">
        <f t="shared" si="15"/>
        <v>6005446</v>
      </c>
      <c r="Z191" s="26"/>
      <c r="AA191" s="26">
        <v>22423</v>
      </c>
      <c r="AB191" s="26"/>
      <c r="AC191" s="26"/>
      <c r="AD191" s="26"/>
      <c r="AE191" s="26">
        <v>0</v>
      </c>
      <c r="AF191" s="26"/>
      <c r="AG191" s="26"/>
      <c r="AH191" s="26"/>
      <c r="AI191" s="26"/>
      <c r="AJ191" s="26"/>
      <c r="AK191" s="26">
        <v>25901</v>
      </c>
      <c r="AL191" s="26"/>
      <c r="AM191" s="26"/>
      <c r="AN191" s="26"/>
      <c r="AO191" s="51">
        <f t="shared" si="17"/>
        <v>48324</v>
      </c>
      <c r="AP191" s="26"/>
      <c r="AQ191" s="51">
        <f t="shared" si="18"/>
        <v>6053770</v>
      </c>
    </row>
    <row r="192" spans="1:43">
      <c r="A192" s="13" t="s">
        <v>238</v>
      </c>
      <c r="B192" s="13"/>
      <c r="C192" s="13" t="s">
        <v>77</v>
      </c>
      <c r="D192" s="13"/>
      <c r="E192" s="32">
        <v>46045</v>
      </c>
      <c r="F192" s="26"/>
      <c r="G192" s="26">
        <v>2541407</v>
      </c>
      <c r="H192" s="26"/>
      <c r="I192" s="26">
        <v>0</v>
      </c>
      <c r="J192" s="26"/>
      <c r="K192" s="26">
        <v>9072120</v>
      </c>
      <c r="L192" s="26"/>
      <c r="M192" s="26">
        <v>208679</v>
      </c>
      <c r="N192" s="26"/>
      <c r="O192" s="26">
        <v>807192</v>
      </c>
      <c r="P192" s="26"/>
      <c r="Q192" s="26">
        <v>59535</v>
      </c>
      <c r="R192" s="26"/>
      <c r="S192" s="26">
        <v>0</v>
      </c>
      <c r="T192" s="26"/>
      <c r="U192" s="26">
        <v>4524</v>
      </c>
      <c r="V192" s="26"/>
      <c r="W192" s="26">
        <f>246753+56477</f>
        <v>303230</v>
      </c>
      <c r="X192" s="26"/>
      <c r="Y192" s="51">
        <f t="shared" si="15"/>
        <v>12996687</v>
      </c>
      <c r="Z192" s="26"/>
      <c r="AA192" s="26">
        <v>0</v>
      </c>
      <c r="AB192" s="26"/>
      <c r="AC192" s="26"/>
      <c r="AD192" s="26"/>
      <c r="AE192" s="26">
        <v>0</v>
      </c>
      <c r="AF192" s="26"/>
      <c r="AG192" s="26"/>
      <c r="AH192" s="26"/>
      <c r="AI192" s="26"/>
      <c r="AJ192" s="26"/>
      <c r="AK192" s="26">
        <v>40981</v>
      </c>
      <c r="AL192" s="26"/>
      <c r="AM192" s="26">
        <v>0</v>
      </c>
      <c r="AN192" s="26"/>
      <c r="AO192" s="51">
        <f t="shared" si="17"/>
        <v>40981</v>
      </c>
      <c r="AP192" s="26"/>
      <c r="AQ192" s="51">
        <f t="shared" si="18"/>
        <v>13037668</v>
      </c>
    </row>
    <row r="193" spans="1:43">
      <c r="A193" s="13" t="s">
        <v>937</v>
      </c>
      <c r="B193" s="13"/>
      <c r="C193" s="13" t="s">
        <v>13</v>
      </c>
      <c r="D193" s="13"/>
      <c r="E193" s="32"/>
      <c r="F193" s="26"/>
      <c r="G193" s="26">
        <v>3094019</v>
      </c>
      <c r="H193" s="26"/>
      <c r="I193" s="26">
        <v>0</v>
      </c>
      <c r="J193" s="26"/>
      <c r="K193" s="26">
        <v>10435086</v>
      </c>
      <c r="L193" s="26"/>
      <c r="M193" s="26">
        <v>54162</v>
      </c>
      <c r="N193" s="26"/>
      <c r="O193" s="26">
        <v>423839</v>
      </c>
      <c r="P193" s="26"/>
      <c r="Q193" s="26">
        <v>82116</v>
      </c>
      <c r="R193" s="26"/>
      <c r="S193" s="26">
        <v>0</v>
      </c>
      <c r="T193" s="26"/>
      <c r="U193" s="26">
        <v>112940</v>
      </c>
      <c r="V193" s="26"/>
      <c r="W193" s="26">
        <f>5060+242421+10591</f>
        <v>258072</v>
      </c>
      <c r="X193" s="26"/>
      <c r="Y193" s="51">
        <f t="shared" si="15"/>
        <v>14460234</v>
      </c>
      <c r="Z193" s="26"/>
      <c r="AA193" s="26">
        <v>0</v>
      </c>
      <c r="AB193" s="26"/>
      <c r="AC193" s="26"/>
      <c r="AD193" s="26"/>
      <c r="AE193" s="26">
        <f>690000+34560</f>
        <v>724560</v>
      </c>
      <c r="AF193" s="26"/>
      <c r="AG193" s="26"/>
      <c r="AH193" s="26"/>
      <c r="AI193" s="26"/>
      <c r="AJ193" s="26"/>
      <c r="AK193" s="26">
        <v>6141</v>
      </c>
      <c r="AL193" s="26"/>
      <c r="AM193" s="26"/>
      <c r="AN193" s="26"/>
      <c r="AO193" s="51">
        <f t="shared" si="17"/>
        <v>730701</v>
      </c>
      <c r="AP193" s="26"/>
      <c r="AQ193" s="51">
        <f t="shared" si="18"/>
        <v>15190935</v>
      </c>
    </row>
    <row r="194" spans="1:43" s="26" customFormat="1">
      <c r="A194" s="13" t="s">
        <v>268</v>
      </c>
      <c r="B194" s="13"/>
      <c r="C194" s="13" t="s">
        <v>115</v>
      </c>
      <c r="D194" s="13"/>
      <c r="E194" s="32">
        <v>46334</v>
      </c>
      <c r="G194" s="26">
        <v>1685434</v>
      </c>
      <c r="I194" s="26">
        <v>0</v>
      </c>
      <c r="K194" s="26">
        <v>8833156</v>
      </c>
      <c r="M194" s="26">
        <v>35575</v>
      </c>
      <c r="O194" s="26">
        <v>448323</v>
      </c>
      <c r="Q194" s="26">
        <v>0</v>
      </c>
      <c r="S194" s="26">
        <v>0</v>
      </c>
      <c r="U194" s="26">
        <v>0</v>
      </c>
      <c r="W194" s="26">
        <f>193504+187070</f>
        <v>380574</v>
      </c>
      <c r="Y194" s="51">
        <f t="shared" si="15"/>
        <v>11383062</v>
      </c>
      <c r="AA194" s="26">
        <v>0</v>
      </c>
      <c r="AE194" s="26">
        <v>0</v>
      </c>
      <c r="AK194" s="26">
        <v>0</v>
      </c>
      <c r="AM194" s="26">
        <v>0</v>
      </c>
      <c r="AO194" s="51">
        <f t="shared" si="17"/>
        <v>0</v>
      </c>
      <c r="AQ194" s="51">
        <f t="shared" si="18"/>
        <v>11383062</v>
      </c>
    </row>
    <row r="195" spans="1:43">
      <c r="A195" s="12" t="s">
        <v>1054</v>
      </c>
      <c r="B195" s="13"/>
      <c r="C195" s="13" t="s">
        <v>56</v>
      </c>
      <c r="D195" s="13"/>
      <c r="E195" s="32">
        <v>49197</v>
      </c>
      <c r="F195" s="26"/>
      <c r="G195" s="26">
        <v>10240289</v>
      </c>
      <c r="H195" s="26"/>
      <c r="I195" s="26">
        <v>0</v>
      </c>
      <c r="J195" s="26"/>
      <c r="K195" s="26">
        <v>9715780</v>
      </c>
      <c r="L195" s="26"/>
      <c r="M195" s="26">
        <v>41723</v>
      </c>
      <c r="N195" s="26"/>
      <c r="O195" s="26">
        <v>1280292</v>
      </c>
      <c r="P195" s="26"/>
      <c r="Q195" s="26">
        <v>73015</v>
      </c>
      <c r="R195" s="26"/>
      <c r="S195" s="26">
        <v>0</v>
      </c>
      <c r="T195" s="26"/>
      <c r="U195" s="26">
        <v>15387</v>
      </c>
      <c r="V195" s="26"/>
      <c r="W195" s="26">
        <f>16851+1140+473374</f>
        <v>491365</v>
      </c>
      <c r="X195" s="26"/>
      <c r="Y195" s="51">
        <f t="shared" si="15"/>
        <v>21857851</v>
      </c>
      <c r="Z195" s="26"/>
      <c r="AA195" s="26">
        <v>0</v>
      </c>
      <c r="AB195" s="26"/>
      <c r="AC195" s="26"/>
      <c r="AD195" s="26"/>
      <c r="AE195" s="26">
        <v>0</v>
      </c>
      <c r="AF195" s="26"/>
      <c r="AG195" s="26"/>
      <c r="AH195" s="26"/>
      <c r="AI195" s="26"/>
      <c r="AJ195" s="26"/>
      <c r="AK195" s="26">
        <v>261446</v>
      </c>
      <c r="AL195" s="26"/>
      <c r="AM195" s="26">
        <v>0</v>
      </c>
      <c r="AN195" s="26"/>
      <c r="AO195" s="51">
        <f t="shared" si="17"/>
        <v>261446</v>
      </c>
      <c r="AP195" s="26"/>
      <c r="AQ195" s="51">
        <f t="shared" si="18"/>
        <v>22119297</v>
      </c>
    </row>
    <row r="196" spans="1:43">
      <c r="A196" s="13" t="s">
        <v>416</v>
      </c>
      <c r="B196" s="13"/>
      <c r="C196" s="13" t="s">
        <v>33</v>
      </c>
      <c r="D196" s="13"/>
      <c r="E196" s="32">
        <v>43984</v>
      </c>
      <c r="F196" s="26"/>
      <c r="G196" s="26">
        <v>26921303</v>
      </c>
      <c r="H196" s="26"/>
      <c r="I196" s="26">
        <v>0</v>
      </c>
      <c r="J196" s="26"/>
      <c r="K196" s="26">
        <f>28723675+4486472</f>
        <v>33210147</v>
      </c>
      <c r="L196" s="26"/>
      <c r="M196" s="26">
        <v>829673</v>
      </c>
      <c r="N196" s="26"/>
      <c r="O196" s="26">
        <v>2988178</v>
      </c>
      <c r="P196" s="26"/>
      <c r="Q196" s="26">
        <v>532585</v>
      </c>
      <c r="R196" s="26"/>
      <c r="S196" s="26">
        <v>0</v>
      </c>
      <c r="T196" s="26"/>
      <c r="U196" s="26">
        <v>394901</v>
      </c>
      <c r="V196" s="26"/>
      <c r="W196" s="26">
        <f>695892+62817+42764+406072+884000</f>
        <v>2091545</v>
      </c>
      <c r="X196" s="26"/>
      <c r="Y196" s="51">
        <f t="shared" si="15"/>
        <v>66968332</v>
      </c>
      <c r="Z196" s="26"/>
      <c r="AA196" s="26">
        <v>75000</v>
      </c>
      <c r="AB196" s="26"/>
      <c r="AC196" s="26"/>
      <c r="AD196" s="26"/>
      <c r="AE196" s="26">
        <v>0</v>
      </c>
      <c r="AF196" s="26"/>
      <c r="AG196" s="26"/>
      <c r="AH196" s="26"/>
      <c r="AI196" s="26"/>
      <c r="AJ196" s="26"/>
      <c r="AK196" s="26">
        <v>0</v>
      </c>
      <c r="AL196" s="26"/>
      <c r="AM196" s="26">
        <v>0</v>
      </c>
      <c r="AN196" s="26"/>
      <c r="AO196" s="51">
        <f t="shared" si="17"/>
        <v>75000</v>
      </c>
      <c r="AP196" s="26"/>
      <c r="AQ196" s="51">
        <f t="shared" si="18"/>
        <v>67043332</v>
      </c>
    </row>
    <row r="197" spans="1:43">
      <c r="A197" s="13" t="s">
        <v>393</v>
      </c>
      <c r="B197" s="13"/>
      <c r="C197" s="13" t="s">
        <v>32</v>
      </c>
      <c r="D197" s="13"/>
      <c r="E197" s="32">
        <v>47332</v>
      </c>
      <c r="F197" s="26"/>
      <c r="G197" s="26">
        <v>9907814</v>
      </c>
      <c r="H197" s="26"/>
      <c r="I197" s="26">
        <v>0</v>
      </c>
      <c r="J197" s="26"/>
      <c r="K197" s="26">
        <v>9844105</v>
      </c>
      <c r="L197" s="26"/>
      <c r="M197" s="26">
        <v>113239</v>
      </c>
      <c r="N197" s="26"/>
      <c r="O197" s="26">
        <v>214873</v>
      </c>
      <c r="P197" s="26"/>
      <c r="Q197" s="26">
        <v>159171</v>
      </c>
      <c r="R197" s="26"/>
      <c r="S197" s="26">
        <v>0</v>
      </c>
      <c r="T197" s="26"/>
      <c r="U197" s="26">
        <v>0</v>
      </c>
      <c r="V197" s="26"/>
      <c r="W197" s="26">
        <f>311337+196453</f>
        <v>507790</v>
      </c>
      <c r="X197" s="26"/>
      <c r="Y197" s="51">
        <f t="shared" si="15"/>
        <v>20746992</v>
      </c>
      <c r="Z197" s="26"/>
      <c r="AA197" s="26">
        <v>16750</v>
      </c>
      <c r="AB197" s="26"/>
      <c r="AC197" s="26"/>
      <c r="AD197" s="26"/>
      <c r="AE197" s="26">
        <v>0</v>
      </c>
      <c r="AF197" s="26"/>
      <c r="AG197" s="26"/>
      <c r="AH197" s="26"/>
      <c r="AI197" s="26"/>
      <c r="AJ197" s="26"/>
      <c r="AK197" s="26">
        <v>28893</v>
      </c>
      <c r="AL197" s="26"/>
      <c r="AM197" s="26">
        <v>0</v>
      </c>
      <c r="AN197" s="26"/>
      <c r="AO197" s="51">
        <f t="shared" si="17"/>
        <v>45643</v>
      </c>
      <c r="AP197" s="26"/>
      <c r="AQ197" s="51">
        <f t="shared" si="18"/>
        <v>20792635</v>
      </c>
    </row>
    <row r="198" spans="1:43">
      <c r="A198" s="13" t="s">
        <v>488</v>
      </c>
      <c r="B198" s="13"/>
      <c r="C198" s="13" t="s">
        <v>44</v>
      </c>
      <c r="D198" s="13"/>
      <c r="E198" s="32">
        <v>48157</v>
      </c>
      <c r="F198" s="26"/>
      <c r="G198" s="26">
        <v>6450002</v>
      </c>
      <c r="H198" s="26"/>
      <c r="I198" s="26">
        <v>0</v>
      </c>
      <c r="J198" s="26"/>
      <c r="K198" s="26">
        <f>9181429+736342</f>
        <v>9917771</v>
      </c>
      <c r="L198" s="26"/>
      <c r="M198" s="26">
        <v>225213</v>
      </c>
      <c r="N198" s="26"/>
      <c r="O198" s="26">
        <v>713127</v>
      </c>
      <c r="P198" s="26"/>
      <c r="Q198" s="26">
        <v>267107</v>
      </c>
      <c r="R198" s="26"/>
      <c r="S198" s="26">
        <v>0</v>
      </c>
      <c r="T198" s="26"/>
      <c r="U198" s="26">
        <v>12251</v>
      </c>
      <c r="V198" s="26"/>
      <c r="W198" s="26">
        <f>165088+6000+22765+100425+438173+11843</f>
        <v>744294</v>
      </c>
      <c r="X198" s="26"/>
      <c r="Y198" s="51">
        <f t="shared" si="15"/>
        <v>18329765</v>
      </c>
      <c r="Z198" s="26"/>
      <c r="AA198" s="26">
        <v>37359</v>
      </c>
      <c r="AB198" s="26"/>
      <c r="AC198" s="26"/>
      <c r="AD198" s="26"/>
      <c r="AE198" s="26">
        <v>0</v>
      </c>
      <c r="AF198" s="26"/>
      <c r="AG198" s="26"/>
      <c r="AH198" s="26"/>
      <c r="AI198" s="26"/>
      <c r="AJ198" s="26"/>
      <c r="AK198" s="26">
        <v>0</v>
      </c>
      <c r="AL198" s="26"/>
      <c r="AM198" s="26">
        <v>0</v>
      </c>
      <c r="AN198" s="26"/>
      <c r="AO198" s="51">
        <f t="shared" si="17"/>
        <v>37359</v>
      </c>
      <c r="AP198" s="26"/>
      <c r="AQ198" s="51">
        <f t="shared" si="18"/>
        <v>18367124</v>
      </c>
    </row>
    <row r="199" spans="1:43">
      <c r="A199" s="13" t="s">
        <v>394</v>
      </c>
      <c r="B199" s="13"/>
      <c r="C199" s="13" t="s">
        <v>32</v>
      </c>
      <c r="D199" s="13"/>
      <c r="E199" s="32">
        <v>47340</v>
      </c>
      <c r="F199" s="26"/>
      <c r="G199" s="26">
        <v>40061533</v>
      </c>
      <c r="H199" s="26"/>
      <c r="I199" s="26">
        <v>0</v>
      </c>
      <c r="J199" s="26"/>
      <c r="K199" s="26">
        <v>29338372</v>
      </c>
      <c r="L199" s="26"/>
      <c r="M199" s="26">
        <v>500171</v>
      </c>
      <c r="N199" s="26"/>
      <c r="O199" s="26">
        <v>1020389</v>
      </c>
      <c r="P199" s="26"/>
      <c r="Q199" s="26">
        <v>0</v>
      </c>
      <c r="R199" s="26"/>
      <c r="S199" s="26">
        <v>7006312</v>
      </c>
      <c r="T199" s="26"/>
      <c r="U199" s="26">
        <v>0</v>
      </c>
      <c r="V199" s="26"/>
      <c r="W199" s="26">
        <f>1466196+1647128</f>
        <v>3113324</v>
      </c>
      <c r="X199" s="26"/>
      <c r="Y199" s="51">
        <f t="shared" si="15"/>
        <v>81040101</v>
      </c>
      <c r="Z199" s="26"/>
      <c r="AA199" s="26">
        <v>305241</v>
      </c>
      <c r="AB199" s="26"/>
      <c r="AC199" s="26"/>
      <c r="AD199" s="26"/>
      <c r="AE199" s="26">
        <v>0</v>
      </c>
      <c r="AF199" s="26"/>
      <c r="AG199" s="26"/>
      <c r="AH199" s="26"/>
      <c r="AI199" s="26"/>
      <c r="AJ199" s="26"/>
      <c r="AK199" s="26">
        <v>0</v>
      </c>
      <c r="AL199" s="26"/>
      <c r="AM199" s="26">
        <v>0</v>
      </c>
      <c r="AN199" s="26"/>
      <c r="AO199" s="51">
        <f t="shared" si="17"/>
        <v>305241</v>
      </c>
      <c r="AP199" s="26"/>
      <c r="AQ199" s="51">
        <f t="shared" si="18"/>
        <v>81345342</v>
      </c>
    </row>
    <row r="200" spans="1:43" hidden="1">
      <c r="A200" s="13" t="s">
        <v>836</v>
      </c>
      <c r="B200" s="13"/>
      <c r="C200" s="13" t="s">
        <v>70</v>
      </c>
      <c r="D200" s="13"/>
      <c r="E200" s="32">
        <v>50484</v>
      </c>
      <c r="F200" s="26"/>
      <c r="G200" s="26">
        <v>3934100</v>
      </c>
      <c r="H200" s="26"/>
      <c r="I200" s="26"/>
      <c r="J200" s="26"/>
      <c r="K200" s="26">
        <v>5849936</v>
      </c>
      <c r="L200" s="26"/>
      <c r="M200" s="26">
        <v>43381</v>
      </c>
      <c r="N200" s="26"/>
      <c r="O200" s="26">
        <v>779313</v>
      </c>
      <c r="P200" s="26"/>
      <c r="Q200" s="26">
        <v>156429</v>
      </c>
      <c r="R200" s="26"/>
      <c r="S200" s="26">
        <v>964295</v>
      </c>
      <c r="T200" s="26"/>
      <c r="U200" s="26"/>
      <c r="V200" s="26"/>
      <c r="W200" s="26">
        <f>205342+6335+21742</f>
        <v>233419</v>
      </c>
      <c r="X200" s="26"/>
      <c r="Y200" s="51">
        <f t="shared" si="15"/>
        <v>11960873</v>
      </c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>
        <v>0</v>
      </c>
      <c r="AN200" s="26"/>
      <c r="AO200" s="51">
        <f t="shared" si="17"/>
        <v>0</v>
      </c>
      <c r="AP200" s="26"/>
      <c r="AQ200" s="51">
        <f t="shared" si="18"/>
        <v>11960873</v>
      </c>
    </row>
    <row r="201" spans="1:43">
      <c r="A201" s="13" t="s">
        <v>644</v>
      </c>
      <c r="B201" s="13"/>
      <c r="C201" s="13" t="s">
        <v>61</v>
      </c>
      <c r="D201" s="13"/>
      <c r="E201" s="32">
        <v>49783</v>
      </c>
      <c r="F201" s="26"/>
      <c r="G201" s="26">
        <f>2362775+316826</f>
        <v>2679601</v>
      </c>
      <c r="H201" s="26"/>
      <c r="I201" s="26">
        <v>1456223</v>
      </c>
      <c r="J201" s="26"/>
      <c r="K201" s="26">
        <v>6907624</v>
      </c>
      <c r="L201" s="26"/>
      <c r="M201" s="26">
        <v>371255</v>
      </c>
      <c r="N201" s="26"/>
      <c r="O201" s="26">
        <v>105436</v>
      </c>
      <c r="P201" s="26"/>
      <c r="Q201" s="26">
        <v>144640</v>
      </c>
      <c r="R201" s="26"/>
      <c r="S201" s="26">
        <v>0</v>
      </c>
      <c r="T201" s="26"/>
      <c r="U201" s="26">
        <v>32637</v>
      </c>
      <c r="V201" s="26"/>
      <c r="W201" s="26">
        <f>66711+281157</f>
        <v>347868</v>
      </c>
      <c r="X201" s="26"/>
      <c r="Y201" s="51">
        <f t="shared" si="15"/>
        <v>12045284</v>
      </c>
      <c r="Z201" s="26"/>
      <c r="AA201" s="26">
        <v>49010</v>
      </c>
      <c r="AB201" s="26"/>
      <c r="AC201" s="26"/>
      <c r="AD201" s="26"/>
      <c r="AE201" s="26">
        <v>1480000</v>
      </c>
      <c r="AF201" s="26"/>
      <c r="AG201" s="26"/>
      <c r="AH201" s="26"/>
      <c r="AI201" s="26"/>
      <c r="AJ201" s="26"/>
      <c r="AK201" s="26">
        <v>7532</v>
      </c>
      <c r="AL201" s="26"/>
      <c r="AM201" s="26">
        <v>0</v>
      </c>
      <c r="AN201" s="26"/>
      <c r="AO201" s="51">
        <f t="shared" si="17"/>
        <v>1536542</v>
      </c>
      <c r="AP201" s="26"/>
      <c r="AQ201" s="51">
        <f t="shared" si="18"/>
        <v>13581826</v>
      </c>
    </row>
    <row r="202" spans="1:43" hidden="1">
      <c r="A202" s="13" t="s">
        <v>938</v>
      </c>
      <c r="B202" s="13"/>
      <c r="C202" s="13" t="s">
        <v>534</v>
      </c>
      <c r="D202" s="13"/>
      <c r="E202" s="32"/>
      <c r="F202" s="26"/>
      <c r="G202" s="26">
        <v>1787263</v>
      </c>
      <c r="H202" s="26"/>
      <c r="I202" s="26">
        <v>1500839</v>
      </c>
      <c r="J202" s="26"/>
      <c r="K202" s="26">
        <v>5500820</v>
      </c>
      <c r="L202" s="26"/>
      <c r="M202" s="26">
        <v>68515</v>
      </c>
      <c r="N202" s="26"/>
      <c r="O202" s="26">
        <v>309076</v>
      </c>
      <c r="P202" s="26"/>
      <c r="Q202" s="26">
        <v>242117</v>
      </c>
      <c r="R202" s="26"/>
      <c r="S202" s="26"/>
      <c r="T202" s="26"/>
      <c r="U202" s="26"/>
      <c r="V202" s="26"/>
      <c r="W202" s="26">
        <v>90017</v>
      </c>
      <c r="X202" s="26"/>
      <c r="Y202" s="51">
        <f t="shared" si="15"/>
        <v>9498647</v>
      </c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51"/>
      <c r="AP202" s="26"/>
      <c r="AQ202" s="51">
        <f t="shared" si="18"/>
        <v>9498647</v>
      </c>
    </row>
    <row r="203" spans="1:43">
      <c r="A203" s="13" t="s">
        <v>636</v>
      </c>
      <c r="B203" s="13"/>
      <c r="C203" s="13" t="s">
        <v>60</v>
      </c>
      <c r="D203" s="13"/>
      <c r="E203" s="13">
        <v>43992</v>
      </c>
      <c r="F203" s="26"/>
      <c r="G203" s="26">
        <v>8146876</v>
      </c>
      <c r="H203" s="26"/>
      <c r="I203" s="26">
        <v>0</v>
      </c>
      <c r="J203" s="26"/>
      <c r="K203" s="26">
        <f>13085877+2845437</f>
        <v>15931314</v>
      </c>
      <c r="L203" s="26"/>
      <c r="M203" s="26">
        <v>304751</v>
      </c>
      <c r="N203" s="26"/>
      <c r="O203" s="26">
        <v>210114</v>
      </c>
      <c r="P203" s="26"/>
      <c r="Q203" s="26">
        <v>83893</v>
      </c>
      <c r="R203" s="26"/>
      <c r="S203" s="26">
        <v>0</v>
      </c>
      <c r="T203" s="26"/>
      <c r="U203" s="26">
        <v>0</v>
      </c>
      <c r="V203" s="26"/>
      <c r="W203" s="26">
        <f>96766+518580+44270+303463+43244</f>
        <v>1006323</v>
      </c>
      <c r="X203" s="26"/>
      <c r="Y203" s="51">
        <f t="shared" si="15"/>
        <v>25683271</v>
      </c>
      <c r="Z203" s="26"/>
      <c r="AA203" s="26">
        <v>138613</v>
      </c>
      <c r="AB203" s="26"/>
      <c r="AC203" s="26"/>
      <c r="AD203" s="26"/>
      <c r="AE203" s="26">
        <v>0</v>
      </c>
      <c r="AF203" s="26"/>
      <c r="AG203" s="26"/>
      <c r="AH203" s="26"/>
      <c r="AI203" s="26"/>
      <c r="AJ203" s="26"/>
      <c r="AK203" s="26">
        <v>0</v>
      </c>
      <c r="AL203" s="26"/>
      <c r="AM203" s="26">
        <v>0</v>
      </c>
      <c r="AN203" s="26"/>
      <c r="AO203" s="51">
        <f t="shared" ref="AO203:AO234" si="19">AK203+AE203+AA203</f>
        <v>138613</v>
      </c>
      <c r="AP203" s="26"/>
      <c r="AQ203" s="51">
        <f t="shared" si="18"/>
        <v>25821884</v>
      </c>
    </row>
    <row r="204" spans="1:43">
      <c r="A204" s="13" t="s">
        <v>709</v>
      </c>
      <c r="B204" s="13"/>
      <c r="C204" s="13" t="s">
        <v>69</v>
      </c>
      <c r="D204" s="13"/>
      <c r="E204" s="32">
        <v>44008</v>
      </c>
      <c r="F204" s="26"/>
      <c r="G204" s="26">
        <v>13587105</v>
      </c>
      <c r="H204" s="26"/>
      <c r="I204" s="26">
        <v>0</v>
      </c>
      <c r="J204" s="26"/>
      <c r="K204" s="26">
        <v>16575865</v>
      </c>
      <c r="L204" s="26"/>
      <c r="M204" s="26">
        <v>122268</v>
      </c>
      <c r="N204" s="26"/>
      <c r="O204" s="26">
        <v>646528</v>
      </c>
      <c r="P204" s="26"/>
      <c r="Q204" s="26">
        <v>220197</v>
      </c>
      <c r="R204" s="26"/>
      <c r="S204" s="26">
        <v>120249</v>
      </c>
      <c r="T204" s="26"/>
      <c r="U204" s="26">
        <v>148919</v>
      </c>
      <c r="V204" s="26"/>
      <c r="W204" s="26">
        <f>538293+63843</f>
        <v>602136</v>
      </c>
      <c r="X204" s="26"/>
      <c r="Y204" s="51">
        <f t="shared" si="15"/>
        <v>32023267</v>
      </c>
      <c r="Z204" s="26"/>
      <c r="AA204" s="26">
        <v>0</v>
      </c>
      <c r="AB204" s="26"/>
      <c r="AC204" s="26"/>
      <c r="AD204" s="26"/>
      <c r="AE204" s="26">
        <v>0</v>
      </c>
      <c r="AF204" s="26"/>
      <c r="AG204" s="26"/>
      <c r="AH204" s="26"/>
      <c r="AI204" s="26"/>
      <c r="AJ204" s="26"/>
      <c r="AK204" s="26">
        <f>3681+29989</f>
        <v>33670</v>
      </c>
      <c r="AL204" s="26"/>
      <c r="AM204" s="26">
        <v>0</v>
      </c>
      <c r="AN204" s="26"/>
      <c r="AO204" s="51">
        <f t="shared" si="19"/>
        <v>33670</v>
      </c>
      <c r="AP204" s="26"/>
      <c r="AQ204" s="51">
        <f t="shared" si="18"/>
        <v>32056937</v>
      </c>
    </row>
    <row r="205" spans="1:43">
      <c r="A205" s="13" t="s">
        <v>564</v>
      </c>
      <c r="B205" s="13"/>
      <c r="C205" s="13" t="s">
        <v>51</v>
      </c>
      <c r="D205" s="13"/>
      <c r="E205" s="32">
        <v>48843</v>
      </c>
      <c r="F205" s="26"/>
      <c r="G205" s="26">
        <v>4437877</v>
      </c>
      <c r="H205" s="26"/>
      <c r="I205" s="26">
        <v>0</v>
      </c>
      <c r="J205" s="26"/>
      <c r="K205" s="26">
        <v>15898866</v>
      </c>
      <c r="L205" s="26"/>
      <c r="M205" s="26">
        <v>349840</v>
      </c>
      <c r="N205" s="26"/>
      <c r="O205" s="26">
        <v>1032172</v>
      </c>
      <c r="P205" s="26"/>
      <c r="Q205" s="26">
        <v>110397</v>
      </c>
      <c r="R205" s="26"/>
      <c r="S205" s="26">
        <v>5994</v>
      </c>
      <c r="T205" s="26"/>
      <c r="U205" s="26">
        <v>6733</v>
      </c>
      <c r="V205" s="26"/>
      <c r="W205" s="26">
        <f>1563+445686</f>
        <v>447249</v>
      </c>
      <c r="X205" s="26"/>
      <c r="Y205" s="51">
        <f t="shared" si="15"/>
        <v>22289128</v>
      </c>
      <c r="Z205" s="26"/>
      <c r="AA205" s="26">
        <v>201000</v>
      </c>
      <c r="AB205" s="26"/>
      <c r="AC205" s="26"/>
      <c r="AD205" s="26"/>
      <c r="AE205" s="26">
        <v>0</v>
      </c>
      <c r="AF205" s="26"/>
      <c r="AG205" s="26"/>
      <c r="AH205" s="26"/>
      <c r="AI205" s="26"/>
      <c r="AJ205" s="26"/>
      <c r="AK205" s="26">
        <v>4100</v>
      </c>
      <c r="AL205" s="26"/>
      <c r="AM205" s="26">
        <v>0</v>
      </c>
      <c r="AN205" s="26"/>
      <c r="AO205" s="51">
        <f t="shared" si="19"/>
        <v>205100</v>
      </c>
      <c r="AP205" s="26"/>
      <c r="AQ205" s="51">
        <f t="shared" si="18"/>
        <v>22494228</v>
      </c>
    </row>
    <row r="206" spans="1:43" hidden="1">
      <c r="A206" s="12" t="s">
        <v>835</v>
      </c>
      <c r="B206" s="13"/>
      <c r="C206" s="13" t="s">
        <v>21</v>
      </c>
      <c r="D206" s="13"/>
      <c r="E206" s="32">
        <v>46649</v>
      </c>
      <c r="F206" s="26"/>
      <c r="G206" s="26">
        <v>1341163</v>
      </c>
      <c r="H206" s="26"/>
      <c r="I206" s="26">
        <v>552445</v>
      </c>
      <c r="J206" s="26"/>
      <c r="K206" s="26">
        <v>4922357</v>
      </c>
      <c r="L206" s="26"/>
      <c r="M206" s="26">
        <v>53073</v>
      </c>
      <c r="N206" s="26"/>
      <c r="O206" s="26">
        <v>1190510</v>
      </c>
      <c r="P206" s="26"/>
      <c r="Q206" s="26">
        <v>190218</v>
      </c>
      <c r="R206" s="26"/>
      <c r="S206" s="26"/>
      <c r="T206" s="26"/>
      <c r="U206" s="26"/>
      <c r="V206" s="26"/>
      <c r="W206" s="26">
        <f>131430+31458</f>
        <v>162888</v>
      </c>
      <c r="X206" s="26"/>
      <c r="Y206" s="51">
        <f t="shared" si="15"/>
        <v>8412654</v>
      </c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>
        <v>0</v>
      </c>
      <c r="AN206" s="26"/>
      <c r="AO206" s="51">
        <f t="shared" si="19"/>
        <v>0</v>
      </c>
      <c r="AP206" s="26"/>
      <c r="AQ206" s="51">
        <f t="shared" si="18"/>
        <v>8412654</v>
      </c>
    </row>
    <row r="207" spans="1:43" hidden="1">
      <c r="A207" s="12" t="s">
        <v>939</v>
      </c>
      <c r="B207" s="13"/>
      <c r="C207" s="13" t="s">
        <v>40</v>
      </c>
      <c r="D207" s="13"/>
      <c r="E207" s="32">
        <v>47852</v>
      </c>
      <c r="F207" s="26"/>
      <c r="G207" s="26">
        <v>3399803</v>
      </c>
      <c r="H207" s="26"/>
      <c r="I207" s="26"/>
      <c r="J207" s="26"/>
      <c r="K207" s="26">
        <v>6381898</v>
      </c>
      <c r="L207" s="26"/>
      <c r="M207" s="26">
        <v>76095</v>
      </c>
      <c r="N207" s="26"/>
      <c r="O207" s="26">
        <v>611110</v>
      </c>
      <c r="P207" s="26"/>
      <c r="Q207" s="26">
        <v>199005</v>
      </c>
      <c r="R207" s="26"/>
      <c r="S207" s="26"/>
      <c r="T207" s="26"/>
      <c r="U207" s="26">
        <v>14</v>
      </c>
      <c r="V207" s="26"/>
      <c r="W207" s="26">
        <f>196636+7109+137075</f>
        <v>340820</v>
      </c>
      <c r="X207" s="26"/>
      <c r="Y207" s="51">
        <f t="shared" si="15"/>
        <v>11008745</v>
      </c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>
        <v>0</v>
      </c>
      <c r="AN207" s="26"/>
      <c r="AO207" s="51">
        <f t="shared" si="19"/>
        <v>0</v>
      </c>
      <c r="AP207" s="26"/>
      <c r="AQ207" s="51">
        <f t="shared" si="18"/>
        <v>11008745</v>
      </c>
    </row>
    <row r="208" spans="1:43">
      <c r="A208" s="13" t="s">
        <v>623</v>
      </c>
      <c r="B208" s="13"/>
      <c r="C208" s="13" t="s">
        <v>79</v>
      </c>
      <c r="D208" s="13"/>
      <c r="E208" s="32">
        <v>44016</v>
      </c>
      <c r="F208" s="26"/>
      <c r="G208" s="26">
        <v>12302267</v>
      </c>
      <c r="H208" s="26"/>
      <c r="I208" s="26">
        <v>6446863</v>
      </c>
      <c r="J208" s="26"/>
      <c r="K208" s="26">
        <v>22648156</v>
      </c>
      <c r="L208" s="26"/>
      <c r="M208" s="26">
        <v>355375</v>
      </c>
      <c r="N208" s="26"/>
      <c r="O208" s="26">
        <v>469036</v>
      </c>
      <c r="P208" s="26"/>
      <c r="Q208" s="26">
        <v>362987</v>
      </c>
      <c r="R208" s="26"/>
      <c r="S208" s="26">
        <v>757595</v>
      </c>
      <c r="T208" s="26"/>
      <c r="U208" s="26">
        <v>13667</v>
      </c>
      <c r="V208" s="26"/>
      <c r="W208" s="26">
        <f>217316+9156+595114</f>
        <v>821586</v>
      </c>
      <c r="X208" s="26"/>
      <c r="Y208" s="51">
        <f t="shared" si="15"/>
        <v>44177532</v>
      </c>
      <c r="Z208" s="26"/>
      <c r="AA208" s="26">
        <v>209167</v>
      </c>
      <c r="AB208" s="26"/>
      <c r="AC208" s="26"/>
      <c r="AD208" s="26"/>
      <c r="AE208" s="26">
        <f>9134991+9500000+295870</f>
        <v>18930861</v>
      </c>
      <c r="AF208" s="26"/>
      <c r="AG208" s="26"/>
      <c r="AH208" s="26"/>
      <c r="AI208" s="26"/>
      <c r="AJ208" s="26"/>
      <c r="AK208" s="26">
        <v>0</v>
      </c>
      <c r="AL208" s="26"/>
      <c r="AM208" s="26">
        <v>0</v>
      </c>
      <c r="AN208" s="26"/>
      <c r="AO208" s="51">
        <f t="shared" si="19"/>
        <v>19140028</v>
      </c>
      <c r="AP208" s="26"/>
      <c r="AQ208" s="51">
        <f t="shared" si="18"/>
        <v>63317560</v>
      </c>
    </row>
    <row r="209" spans="1:44">
      <c r="A209" s="13" t="s">
        <v>717</v>
      </c>
      <c r="B209" s="13"/>
      <c r="C209" s="13" t="s">
        <v>70</v>
      </c>
      <c r="D209" s="13"/>
      <c r="E209" s="32">
        <v>50492</v>
      </c>
      <c r="F209" s="26"/>
      <c r="G209" s="26">
        <v>1440719</v>
      </c>
      <c r="H209" s="26"/>
      <c r="I209" s="26">
        <v>0</v>
      </c>
      <c r="J209" s="26"/>
      <c r="K209" s="26">
        <f>130087+5681756+1207215</f>
        <v>7019058</v>
      </c>
      <c r="L209" s="26"/>
      <c r="M209" s="26">
        <v>23359</v>
      </c>
      <c r="N209" s="26"/>
      <c r="O209" s="26">
        <v>197405</v>
      </c>
      <c r="P209" s="26"/>
      <c r="Q209" s="26">
        <v>59991</v>
      </c>
      <c r="R209" s="26"/>
      <c r="S209" s="26">
        <v>0</v>
      </c>
      <c r="T209" s="26"/>
      <c r="U209" s="26">
        <v>0</v>
      </c>
      <c r="V209" s="26"/>
      <c r="W209" s="26">
        <f>91094+14723+20954</f>
        <v>126771</v>
      </c>
      <c r="X209" s="26"/>
      <c r="Y209" s="51">
        <f t="shared" si="15"/>
        <v>8867303</v>
      </c>
      <c r="Z209" s="26"/>
      <c r="AA209" s="26">
        <v>0</v>
      </c>
      <c r="AB209" s="26"/>
      <c r="AC209" s="26"/>
      <c r="AD209" s="26"/>
      <c r="AE209" s="26">
        <v>0</v>
      </c>
      <c r="AF209" s="26"/>
      <c r="AG209" s="26"/>
      <c r="AH209" s="26"/>
      <c r="AI209" s="26"/>
      <c r="AJ209" s="26"/>
      <c r="AK209" s="26">
        <v>0</v>
      </c>
      <c r="AL209" s="26"/>
      <c r="AM209" s="26">
        <v>0</v>
      </c>
      <c r="AN209" s="26"/>
      <c r="AO209" s="51">
        <f t="shared" si="19"/>
        <v>0</v>
      </c>
      <c r="AP209" s="26"/>
      <c r="AQ209" s="51">
        <f t="shared" si="18"/>
        <v>8867303</v>
      </c>
    </row>
    <row r="210" spans="1:44">
      <c r="A210" s="13" t="s">
        <v>356</v>
      </c>
      <c r="B210" s="13"/>
      <c r="C210" s="13" t="s">
        <v>27</v>
      </c>
      <c r="D210" s="13"/>
      <c r="E210" s="32">
        <v>46961</v>
      </c>
      <c r="F210" s="26"/>
      <c r="G210" s="26">
        <v>52829685</v>
      </c>
      <c r="H210" s="26"/>
      <c r="I210" s="26">
        <v>0</v>
      </c>
      <c r="J210" s="26"/>
      <c r="K210" s="26">
        <f>22651012+3237019</f>
        <v>25888031</v>
      </c>
      <c r="L210" s="26"/>
      <c r="M210" s="26">
        <v>471801</v>
      </c>
      <c r="N210" s="26"/>
      <c r="O210" s="26">
        <v>223159</v>
      </c>
      <c r="P210" s="26"/>
      <c r="Q210" s="26">
        <v>0</v>
      </c>
      <c r="R210" s="26"/>
      <c r="S210" s="26">
        <v>0</v>
      </c>
      <c r="T210" s="26"/>
      <c r="U210" s="26">
        <v>0</v>
      </c>
      <c r="V210" s="26"/>
      <c r="W210" s="26">
        <v>2565756</v>
      </c>
      <c r="X210" s="26"/>
      <c r="Y210" s="51">
        <f t="shared" si="15"/>
        <v>81978432</v>
      </c>
      <c r="Z210" s="26"/>
      <c r="AA210" s="26">
        <v>0</v>
      </c>
      <c r="AB210" s="26"/>
      <c r="AC210" s="26"/>
      <c r="AD210" s="26"/>
      <c r="AE210" s="26">
        <f>6245000+250654</f>
        <v>6495654</v>
      </c>
      <c r="AF210" s="26"/>
      <c r="AG210" s="26"/>
      <c r="AH210" s="26"/>
      <c r="AI210" s="26"/>
      <c r="AJ210" s="26"/>
      <c r="AK210" s="26">
        <v>0</v>
      </c>
      <c r="AL210" s="26"/>
      <c r="AM210" s="26">
        <v>0</v>
      </c>
      <c r="AN210" s="26"/>
      <c r="AO210" s="51">
        <f t="shared" si="19"/>
        <v>6495654</v>
      </c>
      <c r="AP210" s="26"/>
      <c r="AQ210" s="51">
        <f t="shared" si="18"/>
        <v>88474086</v>
      </c>
    </row>
    <row r="211" spans="1:44">
      <c r="A211" s="13" t="s">
        <v>294</v>
      </c>
      <c r="B211" s="13"/>
      <c r="C211" s="13" t="s">
        <v>113</v>
      </c>
      <c r="D211" s="13"/>
      <c r="E211" s="32">
        <v>44024</v>
      </c>
      <c r="F211" s="26"/>
      <c r="G211" s="26">
        <v>5380849</v>
      </c>
      <c r="H211" s="26"/>
      <c r="I211" s="26">
        <v>0</v>
      </c>
      <c r="J211" s="26"/>
      <c r="K211" s="26">
        <v>13799588</v>
      </c>
      <c r="L211" s="26"/>
      <c r="M211" s="26">
        <v>93183</v>
      </c>
      <c r="N211" s="26"/>
      <c r="O211" s="26">
        <v>405529</v>
      </c>
      <c r="P211" s="26"/>
      <c r="Q211" s="26">
        <v>156514</v>
      </c>
      <c r="R211" s="26"/>
      <c r="S211" s="26">
        <v>73536</v>
      </c>
      <c r="T211" s="26"/>
      <c r="U211" s="26">
        <v>15379</v>
      </c>
      <c r="V211" s="26"/>
      <c r="W211" s="26">
        <f>338313+221295</f>
        <v>559608</v>
      </c>
      <c r="X211" s="26"/>
      <c r="Y211" s="51">
        <f t="shared" si="15"/>
        <v>20484186</v>
      </c>
      <c r="Z211" s="26"/>
      <c r="AA211" s="26">
        <v>127958</v>
      </c>
      <c r="AB211" s="26"/>
      <c r="AC211" s="26"/>
      <c r="AD211" s="26"/>
      <c r="AE211" s="26">
        <v>71950</v>
      </c>
      <c r="AF211" s="26"/>
      <c r="AG211" s="26"/>
      <c r="AH211" s="26"/>
      <c r="AI211" s="26"/>
      <c r="AJ211" s="26"/>
      <c r="AK211" s="26">
        <v>196500</v>
      </c>
      <c r="AL211" s="26"/>
      <c r="AM211" s="26">
        <v>0</v>
      </c>
      <c r="AN211" s="26"/>
      <c r="AO211" s="51">
        <f t="shared" si="19"/>
        <v>396408</v>
      </c>
      <c r="AP211" s="26"/>
      <c r="AQ211" s="51">
        <f t="shared" si="18"/>
        <v>20880594</v>
      </c>
    </row>
    <row r="212" spans="1:44">
      <c r="A212" s="13" t="s">
        <v>375</v>
      </c>
      <c r="B212" s="13"/>
      <c r="C212" s="13" t="s">
        <v>29</v>
      </c>
      <c r="D212" s="13"/>
      <c r="E212" s="32">
        <v>65680</v>
      </c>
      <c r="F212" s="26"/>
      <c r="G212" s="26">
        <v>10605177</v>
      </c>
      <c r="H212" s="26"/>
      <c r="I212" s="26">
        <v>0</v>
      </c>
      <c r="J212" s="26"/>
      <c r="K212" s="26">
        <v>16490430</v>
      </c>
      <c r="L212" s="26"/>
      <c r="M212" s="26">
        <f>1127202-433322</f>
        <v>693880</v>
      </c>
      <c r="N212" s="26"/>
      <c r="O212" s="26">
        <v>1080646</v>
      </c>
      <c r="P212" s="26"/>
      <c r="Q212" s="26">
        <v>167404</v>
      </c>
      <c r="R212" s="26"/>
      <c r="S212" s="26">
        <v>0</v>
      </c>
      <c r="T212" s="26"/>
      <c r="U212" s="26">
        <v>0</v>
      </c>
      <c r="V212" s="26"/>
      <c r="W212" s="26">
        <f>93847+233886</f>
        <v>327733</v>
      </c>
      <c r="X212" s="26"/>
      <c r="Y212" s="51">
        <f t="shared" si="15"/>
        <v>29365270</v>
      </c>
      <c r="Z212" s="26"/>
      <c r="AA212" s="26">
        <v>3529</v>
      </c>
      <c r="AB212" s="26"/>
      <c r="AC212" s="26"/>
      <c r="AD212" s="26"/>
      <c r="AE212" s="26">
        <v>0</v>
      </c>
      <c r="AF212" s="26"/>
      <c r="AG212" s="26"/>
      <c r="AH212" s="26"/>
      <c r="AI212" s="26"/>
      <c r="AJ212" s="26"/>
      <c r="AK212" s="26">
        <v>531</v>
      </c>
      <c r="AL212" s="26"/>
      <c r="AM212" s="26">
        <v>0</v>
      </c>
      <c r="AN212" s="26"/>
      <c r="AO212" s="51">
        <f t="shared" si="19"/>
        <v>4060</v>
      </c>
      <c r="AP212" s="26"/>
      <c r="AQ212" s="51">
        <f t="shared" si="18"/>
        <v>29369330</v>
      </c>
    </row>
    <row r="213" spans="1:44" s="49" customFormat="1">
      <c r="A213" s="48" t="s">
        <v>376</v>
      </c>
      <c r="B213" s="48"/>
      <c r="C213" s="48" t="s">
        <v>29</v>
      </c>
      <c r="D213" s="48"/>
      <c r="E213" s="48">
        <v>44032</v>
      </c>
      <c r="F213" s="50"/>
      <c r="G213" s="26">
        <v>6098699</v>
      </c>
      <c r="H213" s="26"/>
      <c r="I213" s="26">
        <v>0</v>
      </c>
      <c r="J213" s="26"/>
      <c r="K213" s="26">
        <f>27650182+2105981</f>
        <v>29756163</v>
      </c>
      <c r="L213" s="26"/>
      <c r="M213" s="26">
        <v>944735</v>
      </c>
      <c r="N213" s="26"/>
      <c r="O213" s="26">
        <v>1183166</v>
      </c>
      <c r="P213" s="26"/>
      <c r="Q213" s="26">
        <v>203251</v>
      </c>
      <c r="R213" s="26"/>
      <c r="S213" s="26">
        <v>0</v>
      </c>
      <c r="T213" s="26"/>
      <c r="U213" s="26">
        <v>0</v>
      </c>
      <c r="V213" s="26"/>
      <c r="W213" s="26">
        <f>163951+37433+316254+96929</f>
        <v>614567</v>
      </c>
      <c r="X213" s="26"/>
      <c r="Y213" s="51">
        <f t="shared" si="15"/>
        <v>38800581</v>
      </c>
      <c r="Z213" s="26"/>
      <c r="AA213" s="26">
        <v>269827</v>
      </c>
      <c r="AB213" s="26"/>
      <c r="AC213" s="26"/>
      <c r="AD213" s="26"/>
      <c r="AE213" s="26">
        <v>0</v>
      </c>
      <c r="AF213" s="26"/>
      <c r="AG213" s="26"/>
      <c r="AH213" s="26"/>
      <c r="AI213" s="26"/>
      <c r="AJ213" s="26"/>
      <c r="AK213" s="26">
        <v>0</v>
      </c>
      <c r="AL213" s="26"/>
      <c r="AM213" s="26">
        <v>0</v>
      </c>
      <c r="AN213" s="26"/>
      <c r="AO213" s="51">
        <f t="shared" si="19"/>
        <v>269827</v>
      </c>
      <c r="AP213" s="26"/>
      <c r="AQ213" s="51">
        <f t="shared" si="18"/>
        <v>39070408</v>
      </c>
    </row>
    <row r="214" spans="1:44">
      <c r="A214" s="13" t="s">
        <v>696</v>
      </c>
      <c r="B214" s="13"/>
      <c r="C214" s="13" t="s">
        <v>65</v>
      </c>
      <c r="D214" s="13"/>
      <c r="E214" s="32">
        <v>50278</v>
      </c>
      <c r="F214" s="26"/>
      <c r="G214" s="26">
        <v>5383217</v>
      </c>
      <c r="H214" s="26"/>
      <c r="I214" s="26">
        <v>0</v>
      </c>
      <c r="J214" s="26"/>
      <c r="K214" s="26">
        <f>4644386+887499</f>
        <v>5531885</v>
      </c>
      <c r="L214" s="26"/>
      <c r="M214" s="26">
        <v>52943</v>
      </c>
      <c r="N214" s="26"/>
      <c r="O214" s="26">
        <v>505499</v>
      </c>
      <c r="P214" s="26"/>
      <c r="Q214" s="26">
        <v>133279</v>
      </c>
      <c r="R214" s="26"/>
      <c r="S214" s="26">
        <v>0</v>
      </c>
      <c r="T214" s="26"/>
      <c r="U214" s="26">
        <v>21666</v>
      </c>
      <c r="V214" s="26"/>
      <c r="W214" s="26">
        <f>24843+412+70064+239068+38955</f>
        <v>373342</v>
      </c>
      <c r="X214" s="26"/>
      <c r="Y214" s="51">
        <f t="shared" si="15"/>
        <v>12001831</v>
      </c>
      <c r="Z214" s="26"/>
      <c r="AA214" s="26">
        <v>21550</v>
      </c>
      <c r="AB214" s="26"/>
      <c r="AC214" s="26"/>
      <c r="AD214" s="26"/>
      <c r="AE214" s="26">
        <v>0</v>
      </c>
      <c r="AF214" s="26"/>
      <c r="AG214" s="26"/>
      <c r="AH214" s="26"/>
      <c r="AI214" s="26"/>
      <c r="AJ214" s="26"/>
      <c r="AK214" s="26">
        <v>3570</v>
      </c>
      <c r="AL214" s="26"/>
      <c r="AM214" s="26">
        <v>0</v>
      </c>
      <c r="AN214" s="26"/>
      <c r="AO214" s="51">
        <f t="shared" si="19"/>
        <v>25120</v>
      </c>
      <c r="AP214" s="26"/>
      <c r="AQ214" s="51">
        <f t="shared" si="18"/>
        <v>12026951</v>
      </c>
    </row>
    <row r="215" spans="1:44">
      <c r="A215" s="12" t="s">
        <v>308</v>
      </c>
      <c r="B215" s="13"/>
      <c r="C215" s="13" t="s">
        <v>20</v>
      </c>
      <c r="D215" s="13"/>
      <c r="E215" s="32">
        <v>44040</v>
      </c>
      <c r="F215" s="26"/>
      <c r="G215" s="26">
        <v>18432701</v>
      </c>
      <c r="H215" s="26"/>
      <c r="I215" s="26">
        <v>0</v>
      </c>
      <c r="J215" s="26"/>
      <c r="K215" s="26">
        <v>26262286</v>
      </c>
      <c r="L215" s="26"/>
      <c r="M215" s="26">
        <v>249948</v>
      </c>
      <c r="N215" s="26"/>
      <c r="O215" s="26">
        <v>474498</v>
      </c>
      <c r="P215" s="26"/>
      <c r="Q215" s="26">
        <v>233230</v>
      </c>
      <c r="R215" s="26"/>
      <c r="S215" s="26">
        <v>0</v>
      </c>
      <c r="T215" s="26"/>
      <c r="U215" s="26">
        <v>0</v>
      </c>
      <c r="V215" s="26"/>
      <c r="W215" s="26">
        <f>509018+148999</f>
        <v>658017</v>
      </c>
      <c r="X215" s="26"/>
      <c r="Y215" s="51">
        <f t="shared" si="15"/>
        <v>46310680</v>
      </c>
      <c r="Z215" s="26"/>
      <c r="AA215" s="26">
        <v>45645</v>
      </c>
      <c r="AB215" s="26"/>
      <c r="AC215" s="26"/>
      <c r="AD215" s="26"/>
      <c r="AE215" s="26">
        <v>0</v>
      </c>
      <c r="AF215" s="26"/>
      <c r="AG215" s="26"/>
      <c r="AH215" s="26"/>
      <c r="AI215" s="26"/>
      <c r="AJ215" s="26"/>
      <c r="AK215" s="26">
        <v>0</v>
      </c>
      <c r="AL215" s="26"/>
      <c r="AM215" s="26">
        <v>0</v>
      </c>
      <c r="AN215" s="26"/>
      <c r="AO215" s="51">
        <f t="shared" si="19"/>
        <v>45645</v>
      </c>
      <c r="AP215" s="26"/>
      <c r="AQ215" s="51">
        <f t="shared" si="18"/>
        <v>46356325</v>
      </c>
      <c r="AR215" s="8" t="s">
        <v>956</v>
      </c>
    </row>
    <row r="216" spans="1:44">
      <c r="A216" s="12" t="s">
        <v>888</v>
      </c>
      <c r="B216" s="13"/>
      <c r="C216" s="13" t="s">
        <v>12</v>
      </c>
      <c r="D216" s="13"/>
      <c r="E216" s="32">
        <v>44057</v>
      </c>
      <c r="F216" s="26"/>
      <c r="G216" s="26">
        <v>8434223</v>
      </c>
      <c r="H216" s="26"/>
      <c r="I216" s="26">
        <v>0</v>
      </c>
      <c r="J216" s="26"/>
      <c r="K216" s="26">
        <v>28866500</v>
      </c>
      <c r="L216" s="26"/>
      <c r="M216" s="26">
        <v>402246</v>
      </c>
      <c r="N216" s="26"/>
      <c r="O216" s="26">
        <v>1413773</v>
      </c>
      <c r="P216" s="26"/>
      <c r="Q216" s="26">
        <v>149606</v>
      </c>
      <c r="R216" s="26"/>
      <c r="S216" s="26">
        <v>95772</v>
      </c>
      <c r="T216" s="26"/>
      <c r="U216" s="26">
        <v>23081</v>
      </c>
      <c r="V216" s="26"/>
      <c r="W216" s="26">
        <f>416707+325+134821</f>
        <v>551853</v>
      </c>
      <c r="X216" s="26"/>
      <c r="Y216" s="51">
        <f t="shared" si="15"/>
        <v>39937054</v>
      </c>
      <c r="Z216" s="26"/>
      <c r="AA216" s="26">
        <v>259761</v>
      </c>
      <c r="AB216" s="26"/>
      <c r="AC216" s="26"/>
      <c r="AD216" s="26"/>
      <c r="AE216" s="26">
        <v>0</v>
      </c>
      <c r="AF216" s="26"/>
      <c r="AG216" s="26"/>
      <c r="AH216" s="26"/>
      <c r="AI216" s="26"/>
      <c r="AJ216" s="26"/>
      <c r="AK216" s="26">
        <v>0</v>
      </c>
      <c r="AL216" s="26"/>
      <c r="AM216" s="26">
        <v>0</v>
      </c>
      <c r="AN216" s="26"/>
      <c r="AO216" s="51">
        <f t="shared" si="19"/>
        <v>259761</v>
      </c>
      <c r="AP216" s="26"/>
      <c r="AQ216" s="51">
        <f t="shared" si="18"/>
        <v>40196815</v>
      </c>
    </row>
    <row r="217" spans="1:44">
      <c r="A217" s="13" t="s">
        <v>573</v>
      </c>
      <c r="B217" s="13"/>
      <c r="C217" s="13" t="s">
        <v>53</v>
      </c>
      <c r="D217" s="13"/>
      <c r="E217" s="32">
        <v>48942</v>
      </c>
      <c r="F217" s="26"/>
      <c r="G217" s="26">
        <v>4577722</v>
      </c>
      <c r="H217" s="26"/>
      <c r="I217" s="26">
        <v>0</v>
      </c>
      <c r="J217" s="26"/>
      <c r="K217" s="26">
        <f>7948171+445230</f>
        <v>8393401</v>
      </c>
      <c r="L217" s="26"/>
      <c r="M217" s="26">
        <v>123027</v>
      </c>
      <c r="N217" s="26"/>
      <c r="O217" s="26">
        <v>426441</v>
      </c>
      <c r="P217" s="26"/>
      <c r="Q217" s="26">
        <v>533801</v>
      </c>
      <c r="R217" s="26"/>
      <c r="S217" s="26">
        <v>0</v>
      </c>
      <c r="T217" s="26"/>
      <c r="U217" s="26">
        <v>0</v>
      </c>
      <c r="V217" s="26"/>
      <c r="W217" s="26">
        <v>196926</v>
      </c>
      <c r="X217" s="26"/>
      <c r="Y217" s="51">
        <f t="shared" si="15"/>
        <v>14251318</v>
      </c>
      <c r="Z217" s="26"/>
      <c r="AA217" s="26">
        <v>83159</v>
      </c>
      <c r="AB217" s="26"/>
      <c r="AC217" s="26"/>
      <c r="AD217" s="26"/>
      <c r="AE217" s="26">
        <f>33734+5230000+96160</f>
        <v>5359894</v>
      </c>
      <c r="AF217" s="26"/>
      <c r="AG217" s="26"/>
      <c r="AH217" s="26"/>
      <c r="AI217" s="26"/>
      <c r="AJ217" s="26"/>
      <c r="AK217" s="26">
        <v>0</v>
      </c>
      <c r="AL217" s="26"/>
      <c r="AM217" s="26">
        <v>0</v>
      </c>
      <c r="AN217" s="26"/>
      <c r="AO217" s="51">
        <f t="shared" si="19"/>
        <v>5443053</v>
      </c>
      <c r="AP217" s="26"/>
      <c r="AQ217" s="51">
        <f t="shared" si="18"/>
        <v>19694371</v>
      </c>
    </row>
    <row r="218" spans="1:44" hidden="1">
      <c r="A218" s="12" t="s">
        <v>940</v>
      </c>
      <c r="B218" s="13"/>
      <c r="C218" s="13" t="s">
        <v>77</v>
      </c>
      <c r="D218" s="13"/>
      <c r="E218" s="32">
        <v>45377</v>
      </c>
      <c r="F218" s="26"/>
      <c r="G218" s="26">
        <v>2359111</v>
      </c>
      <c r="H218" s="26"/>
      <c r="I218" s="26"/>
      <c r="J218" s="26"/>
      <c r="K218" s="26">
        <v>6716814</v>
      </c>
      <c r="L218" s="26"/>
      <c r="M218" s="26">
        <v>34098</v>
      </c>
      <c r="N218" s="26"/>
      <c r="O218" s="26">
        <v>395073</v>
      </c>
      <c r="P218" s="26"/>
      <c r="Q218" s="26">
        <v>62512</v>
      </c>
      <c r="R218" s="26"/>
      <c r="S218" s="26"/>
      <c r="T218" s="26"/>
      <c r="U218" s="26"/>
      <c r="V218" s="26"/>
      <c r="W218" s="26">
        <f>200489+19306</f>
        <v>219795</v>
      </c>
      <c r="X218" s="26"/>
      <c r="Y218" s="51">
        <f t="shared" si="15"/>
        <v>9787403</v>
      </c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>
        <v>0</v>
      </c>
      <c r="AN218" s="26"/>
      <c r="AO218" s="51">
        <f t="shared" si="19"/>
        <v>0</v>
      </c>
      <c r="AP218" s="26"/>
      <c r="AQ218" s="51">
        <f t="shared" si="18"/>
        <v>9787403</v>
      </c>
    </row>
    <row r="219" spans="1:44">
      <c r="A219" s="13" t="s">
        <v>624</v>
      </c>
      <c r="B219" s="13"/>
      <c r="C219" s="13" t="s">
        <v>79</v>
      </c>
      <c r="D219" s="13"/>
      <c r="E219" s="32">
        <v>45385</v>
      </c>
      <c r="F219" s="26"/>
      <c r="G219" s="26">
        <v>2399040</v>
      </c>
      <c r="H219" s="26"/>
      <c r="I219" s="26">
        <v>0</v>
      </c>
      <c r="J219" s="26"/>
      <c r="K219" s="26">
        <f>6049236+635362</f>
        <v>6684598</v>
      </c>
      <c r="L219" s="26"/>
      <c r="M219" s="26">
        <v>80971</v>
      </c>
      <c r="N219" s="26"/>
      <c r="O219" s="26">
        <v>384580</v>
      </c>
      <c r="P219" s="26"/>
      <c r="Q219" s="26">
        <v>118090</v>
      </c>
      <c r="R219" s="26"/>
      <c r="S219" s="26">
        <v>0</v>
      </c>
      <c r="T219" s="26"/>
      <c r="U219" s="26">
        <v>13977</v>
      </c>
      <c r="V219" s="26"/>
      <c r="W219" s="26">
        <f>8887+3656+48610+272908</f>
        <v>334061</v>
      </c>
      <c r="X219" s="26"/>
      <c r="Y219" s="51">
        <f t="shared" si="15"/>
        <v>10015317</v>
      </c>
      <c r="Z219" s="26"/>
      <c r="AA219" s="26">
        <v>0</v>
      </c>
      <c r="AB219" s="26"/>
      <c r="AC219" s="26"/>
      <c r="AD219" s="26"/>
      <c r="AE219" s="26">
        <v>0</v>
      </c>
      <c r="AF219" s="26"/>
      <c r="AG219" s="26"/>
      <c r="AH219" s="26"/>
      <c r="AI219" s="26"/>
      <c r="AJ219" s="26"/>
      <c r="AK219" s="26">
        <v>0</v>
      </c>
      <c r="AL219" s="26"/>
      <c r="AM219" s="26">
        <v>0</v>
      </c>
      <c r="AN219" s="26"/>
      <c r="AO219" s="51">
        <f t="shared" si="19"/>
        <v>0</v>
      </c>
      <c r="AP219" s="26"/>
      <c r="AQ219" s="51">
        <f t="shared" si="18"/>
        <v>10015317</v>
      </c>
    </row>
    <row r="220" spans="1:44">
      <c r="A220" s="13" t="s">
        <v>679</v>
      </c>
      <c r="B220" s="13"/>
      <c r="C220" s="13" t="s">
        <v>64</v>
      </c>
      <c r="D220" s="13"/>
      <c r="E220" s="32">
        <v>44065</v>
      </c>
      <c r="F220" s="26"/>
      <c r="G220" s="26">
        <v>4797981</v>
      </c>
      <c r="H220" s="26"/>
      <c r="I220" s="26">
        <v>0</v>
      </c>
      <c r="J220" s="26"/>
      <c r="K220" s="26">
        <f>12645+19609922+1517073</f>
        <v>21139640</v>
      </c>
      <c r="L220" s="26"/>
      <c r="M220" s="26">
        <v>422041</v>
      </c>
      <c r="N220" s="26"/>
      <c r="O220" s="26">
        <v>565647</v>
      </c>
      <c r="P220" s="26"/>
      <c r="Q220" s="26">
        <v>107125</v>
      </c>
      <c r="R220" s="26"/>
      <c r="S220" s="26">
        <v>0</v>
      </c>
      <c r="T220" s="26"/>
      <c r="U220" s="26">
        <v>0</v>
      </c>
      <c r="V220" s="26"/>
      <c r="W220" s="26">
        <f>120290+8676+207008+41783</f>
        <v>377757</v>
      </c>
      <c r="X220" s="26"/>
      <c r="Y220" s="51">
        <f t="shared" si="15"/>
        <v>27410191</v>
      </c>
      <c r="Z220" s="26"/>
      <c r="AA220" s="26">
        <v>7419</v>
      </c>
      <c r="AB220" s="26"/>
      <c r="AC220" s="26"/>
      <c r="AD220" s="26"/>
      <c r="AE220" s="26">
        <v>0</v>
      </c>
      <c r="AF220" s="26"/>
      <c r="AG220" s="26"/>
      <c r="AH220" s="26"/>
      <c r="AI220" s="26"/>
      <c r="AJ220" s="26"/>
      <c r="AK220" s="26">
        <v>1697</v>
      </c>
      <c r="AL220" s="26"/>
      <c r="AM220" s="26">
        <v>0</v>
      </c>
      <c r="AN220" s="26"/>
      <c r="AO220" s="51">
        <f t="shared" si="19"/>
        <v>9116</v>
      </c>
      <c r="AP220" s="26"/>
      <c r="AQ220" s="51">
        <f t="shared" si="18"/>
        <v>27419307</v>
      </c>
    </row>
    <row r="221" spans="1:44" hidden="1">
      <c r="A221" s="12" t="s">
        <v>1030</v>
      </c>
      <c r="B221" s="13"/>
      <c r="C221" s="13" t="s">
        <v>28</v>
      </c>
      <c r="D221" s="13"/>
      <c r="E221" s="32">
        <v>47068</v>
      </c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51">
        <f t="shared" si="15"/>
        <v>0</v>
      </c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>
        <v>0</v>
      </c>
      <c r="AN221" s="26"/>
      <c r="AO221" s="51">
        <f t="shared" si="19"/>
        <v>0</v>
      </c>
      <c r="AP221" s="26"/>
      <c r="AQ221" s="51">
        <f t="shared" si="18"/>
        <v>0</v>
      </c>
      <c r="AR221" s="15" t="s">
        <v>973</v>
      </c>
    </row>
    <row r="222" spans="1:44">
      <c r="A222" s="13" t="s">
        <v>269</v>
      </c>
      <c r="B222" s="13"/>
      <c r="C222" s="13" t="s">
        <v>115</v>
      </c>
      <c r="D222" s="13"/>
      <c r="E222" s="32">
        <v>46342</v>
      </c>
      <c r="F222" s="26"/>
      <c r="G222" s="26">
        <v>5993656</v>
      </c>
      <c r="H222" s="26"/>
      <c r="I222" s="26">
        <v>2765582</v>
      </c>
      <c r="J222" s="26"/>
      <c r="K222" s="26">
        <v>15238664</v>
      </c>
      <c r="L222" s="26"/>
      <c r="M222" s="26">
        <v>193501</v>
      </c>
      <c r="N222" s="26"/>
      <c r="O222" s="26">
        <v>845249</v>
      </c>
      <c r="P222" s="26"/>
      <c r="Q222" s="26">
        <v>145976</v>
      </c>
      <c r="R222" s="26"/>
      <c r="S222" s="26">
        <v>0</v>
      </c>
      <c r="T222" s="26"/>
      <c r="U222" s="26">
        <v>0</v>
      </c>
      <c r="V222" s="26"/>
      <c r="W222" s="26">
        <f>31669+469489+1132+264832</f>
        <v>767122</v>
      </c>
      <c r="X222" s="26"/>
      <c r="Y222" s="51">
        <f t="shared" si="15"/>
        <v>25949750</v>
      </c>
      <c r="Z222" s="26"/>
      <c r="AA222" s="26">
        <v>12628</v>
      </c>
      <c r="AB222" s="26"/>
      <c r="AC222" s="26"/>
      <c r="AD222" s="26"/>
      <c r="AE222" s="26">
        <v>298027</v>
      </c>
      <c r="AF222" s="26"/>
      <c r="AG222" s="26"/>
      <c r="AH222" s="26"/>
      <c r="AI222" s="26"/>
      <c r="AJ222" s="26"/>
      <c r="AK222" s="26">
        <v>7488</v>
      </c>
      <c r="AL222" s="26"/>
      <c r="AM222" s="26">
        <v>0</v>
      </c>
      <c r="AN222" s="26"/>
      <c r="AO222" s="51">
        <f t="shared" si="19"/>
        <v>318143</v>
      </c>
      <c r="AP222" s="26"/>
      <c r="AQ222" s="51">
        <f t="shared" si="18"/>
        <v>26267893</v>
      </c>
    </row>
    <row r="223" spans="1:44">
      <c r="A223" s="13" t="s">
        <v>254</v>
      </c>
      <c r="B223" s="13"/>
      <c r="C223" s="13" t="s">
        <v>255</v>
      </c>
      <c r="D223" s="13"/>
      <c r="E223" s="32">
        <v>46193</v>
      </c>
      <c r="F223" s="26"/>
      <c r="G223" s="26">
        <f>4203034+1083001+239066+85221</f>
        <v>5610322</v>
      </c>
      <c r="H223" s="26"/>
      <c r="I223" s="26">
        <v>0</v>
      </c>
      <c r="J223" s="26"/>
      <c r="K223" s="26">
        <f>11965747+238104+84940+9948472+1047302</f>
        <v>23284565</v>
      </c>
      <c r="L223" s="26"/>
      <c r="M223" s="26">
        <f>61281+6423</f>
        <v>67704</v>
      </c>
      <c r="N223" s="26"/>
      <c r="O223" s="26">
        <v>775714</v>
      </c>
      <c r="P223" s="26"/>
      <c r="Q223" s="26">
        <v>0</v>
      </c>
      <c r="R223" s="26"/>
      <c r="S223" s="26">
        <v>0</v>
      </c>
      <c r="T223" s="26"/>
      <c r="U223" s="26">
        <f>22831+27490</f>
        <v>50321</v>
      </c>
      <c r="V223" s="26"/>
      <c r="W223" s="26">
        <f>152009+1599+13725+3431+92712+381935+513397</f>
        <v>1158808</v>
      </c>
      <c r="X223" s="26"/>
      <c r="Y223" s="51">
        <f t="shared" ref="Y223:Y291" si="20">SUM(G223:W223)</f>
        <v>30947434</v>
      </c>
      <c r="Z223" s="26"/>
      <c r="AA223" s="26">
        <v>51000</v>
      </c>
      <c r="AB223" s="26"/>
      <c r="AC223" s="26"/>
      <c r="AD223" s="26"/>
      <c r="AE223" s="26">
        <v>0</v>
      </c>
      <c r="AF223" s="26"/>
      <c r="AG223" s="26"/>
      <c r="AH223" s="26"/>
      <c r="AI223" s="26"/>
      <c r="AJ223" s="26"/>
      <c r="AK223" s="26">
        <v>0</v>
      </c>
      <c r="AL223" s="26"/>
      <c r="AM223" s="26">
        <v>0</v>
      </c>
      <c r="AN223" s="26"/>
      <c r="AO223" s="51">
        <f t="shared" si="19"/>
        <v>51000</v>
      </c>
      <c r="AP223" s="26"/>
      <c r="AQ223" s="51">
        <f t="shared" si="18"/>
        <v>30998434</v>
      </c>
    </row>
    <row r="224" spans="1:44">
      <c r="A224" s="13" t="s">
        <v>220</v>
      </c>
      <c r="B224" s="13"/>
      <c r="C224" s="13" t="s">
        <v>12</v>
      </c>
      <c r="D224" s="13"/>
      <c r="E224" s="13">
        <v>45864</v>
      </c>
      <c r="F224" s="26"/>
      <c r="G224" s="26">
        <v>4750813</v>
      </c>
      <c r="H224" s="26"/>
      <c r="I224" s="26">
        <v>0</v>
      </c>
      <c r="J224" s="26"/>
      <c r="K224" s="26">
        <v>7882660</v>
      </c>
      <c r="L224" s="26"/>
      <c r="M224" s="26">
        <v>253237</v>
      </c>
      <c r="N224" s="26"/>
      <c r="O224" s="26">
        <v>647302</v>
      </c>
      <c r="P224" s="26"/>
      <c r="Q224" s="26">
        <v>98673</v>
      </c>
      <c r="R224" s="26"/>
      <c r="S224" s="26">
        <v>0</v>
      </c>
      <c r="T224" s="26"/>
      <c r="U224" s="26">
        <v>4683</v>
      </c>
      <c r="V224" s="26"/>
      <c r="W224" s="26">
        <f>208205+10720+228344</f>
        <v>447269</v>
      </c>
      <c r="X224" s="26"/>
      <c r="Y224" s="51">
        <f t="shared" si="20"/>
        <v>14084637</v>
      </c>
      <c r="Z224" s="26"/>
      <c r="AA224" s="26">
        <v>2115165</v>
      </c>
      <c r="AB224" s="26"/>
      <c r="AC224" s="26"/>
      <c r="AD224" s="26"/>
      <c r="AE224" s="26">
        <v>0</v>
      </c>
      <c r="AF224" s="26"/>
      <c r="AG224" s="26"/>
      <c r="AH224" s="26"/>
      <c r="AI224" s="26"/>
      <c r="AJ224" s="26"/>
      <c r="AK224" s="26">
        <v>0</v>
      </c>
      <c r="AL224" s="26"/>
      <c r="AM224" s="26">
        <v>0</v>
      </c>
      <c r="AN224" s="26"/>
      <c r="AO224" s="51">
        <f t="shared" si="19"/>
        <v>2115165</v>
      </c>
      <c r="AP224" s="26"/>
      <c r="AQ224" s="51">
        <f t="shared" si="18"/>
        <v>16199802</v>
      </c>
    </row>
    <row r="225" spans="1:44">
      <c r="A225" s="13" t="s">
        <v>357</v>
      </c>
      <c r="B225" s="13"/>
      <c r="C225" s="13" t="s">
        <v>27</v>
      </c>
      <c r="D225" s="13"/>
      <c r="E225" s="32">
        <v>44073</v>
      </c>
      <c r="F225" s="26"/>
      <c r="G225" s="26">
        <v>12841359</v>
      </c>
      <c r="H225" s="26"/>
      <c r="I225" s="26">
        <v>0</v>
      </c>
      <c r="J225" s="26"/>
      <c r="K225" s="26">
        <f>4334332+412562</f>
        <v>4746894</v>
      </c>
      <c r="L225" s="26"/>
      <c r="M225" s="26">
        <v>148083</v>
      </c>
      <c r="N225" s="26"/>
      <c r="O225" s="26">
        <v>203487</v>
      </c>
      <c r="P225" s="26"/>
      <c r="Q225" s="26">
        <v>0</v>
      </c>
      <c r="R225" s="26"/>
      <c r="S225" s="26">
        <v>0</v>
      </c>
      <c r="T225" s="26"/>
      <c r="U225" s="26">
        <v>0</v>
      </c>
      <c r="V225" s="26"/>
      <c r="W225" s="26">
        <v>311858</v>
      </c>
      <c r="X225" s="26"/>
      <c r="Y225" s="51">
        <f t="shared" si="20"/>
        <v>18251681</v>
      </c>
      <c r="Z225" s="26"/>
      <c r="AA225" s="26">
        <v>27234</v>
      </c>
      <c r="AB225" s="26"/>
      <c r="AC225" s="26"/>
      <c r="AD225" s="26"/>
      <c r="AE225" s="26">
        <v>264527</v>
      </c>
      <c r="AF225" s="26"/>
      <c r="AG225" s="26"/>
      <c r="AH225" s="26"/>
      <c r="AI225" s="26"/>
      <c r="AJ225" s="26"/>
      <c r="AK225" s="26">
        <v>0</v>
      </c>
      <c r="AL225" s="26"/>
      <c r="AM225" s="26">
        <v>0</v>
      </c>
      <c r="AN225" s="26"/>
      <c r="AO225" s="51">
        <f t="shared" si="19"/>
        <v>291761</v>
      </c>
      <c r="AP225" s="26"/>
      <c r="AQ225" s="51">
        <f t="shared" si="18"/>
        <v>18543442</v>
      </c>
    </row>
    <row r="226" spans="1:44">
      <c r="A226" s="12" t="s">
        <v>942</v>
      </c>
      <c r="B226" s="13"/>
      <c r="C226" s="13" t="s">
        <v>42</v>
      </c>
      <c r="D226" s="13"/>
      <c r="E226" s="32">
        <v>45393</v>
      </c>
      <c r="F226" s="26"/>
      <c r="G226" s="26">
        <v>16042938</v>
      </c>
      <c r="H226" s="26"/>
      <c r="I226" s="26">
        <v>0</v>
      </c>
      <c r="J226" s="26"/>
      <c r="K226" s="26">
        <v>9473754</v>
      </c>
      <c r="L226" s="26"/>
      <c r="M226" s="26">
        <v>215202</v>
      </c>
      <c r="N226" s="26"/>
      <c r="O226" s="26">
        <v>171471</v>
      </c>
      <c r="P226" s="26"/>
      <c r="Q226" s="26">
        <v>438402</v>
      </c>
      <c r="R226" s="26"/>
      <c r="S226" s="26">
        <v>238334</v>
      </c>
      <c r="T226" s="26"/>
      <c r="U226" s="26">
        <v>0</v>
      </c>
      <c r="V226" s="26"/>
      <c r="W226" s="26">
        <f>159501+7971</f>
        <v>167472</v>
      </c>
      <c r="X226" s="26"/>
      <c r="Y226" s="51">
        <f t="shared" si="20"/>
        <v>26747573</v>
      </c>
      <c r="Z226" s="26"/>
      <c r="AA226" s="26">
        <v>0</v>
      </c>
      <c r="AB226" s="26"/>
      <c r="AC226" s="26"/>
      <c r="AD226" s="26"/>
      <c r="AE226" s="26">
        <v>57000</v>
      </c>
      <c r="AF226" s="26"/>
      <c r="AG226" s="26"/>
      <c r="AH226" s="26"/>
      <c r="AI226" s="26"/>
      <c r="AJ226" s="26"/>
      <c r="AK226" s="26">
        <v>2973</v>
      </c>
      <c r="AL226" s="26"/>
      <c r="AM226" s="26">
        <v>0</v>
      </c>
      <c r="AN226" s="26"/>
      <c r="AO226" s="51">
        <f t="shared" si="19"/>
        <v>59973</v>
      </c>
      <c r="AP226" s="26"/>
      <c r="AQ226" s="51">
        <f t="shared" si="18"/>
        <v>26807546</v>
      </c>
    </row>
    <row r="227" spans="1:44">
      <c r="A227" s="13" t="s">
        <v>628</v>
      </c>
      <c r="B227" s="13"/>
      <c r="C227" s="13" t="s">
        <v>59</v>
      </c>
      <c r="D227" s="13"/>
      <c r="E227" s="32">
        <v>49619</v>
      </c>
      <c r="F227" s="26"/>
      <c r="G227" s="26">
        <v>1392759</v>
      </c>
      <c r="H227" s="26"/>
      <c r="I227" s="26">
        <v>0</v>
      </c>
      <c r="J227" s="26"/>
      <c r="K227" s="26">
        <v>4671805</v>
      </c>
      <c r="L227" s="26"/>
      <c r="M227" s="26">
        <v>10850</v>
      </c>
      <c r="N227" s="26"/>
      <c r="O227" s="26">
        <v>363002</v>
      </c>
      <c r="P227" s="26"/>
      <c r="Q227" s="26">
        <v>76593</v>
      </c>
      <c r="R227" s="26"/>
      <c r="S227" s="26">
        <v>263834</v>
      </c>
      <c r="T227" s="26"/>
      <c r="U227" s="26">
        <v>7977</v>
      </c>
      <c r="V227" s="26"/>
      <c r="W227" s="26">
        <f>223636+69003+24000</f>
        <v>316639</v>
      </c>
      <c r="X227" s="26"/>
      <c r="Y227" s="51">
        <f t="shared" si="20"/>
        <v>7103459</v>
      </c>
      <c r="Z227" s="26"/>
      <c r="AA227" s="26">
        <v>82508</v>
      </c>
      <c r="AB227" s="26"/>
      <c r="AC227" s="26"/>
      <c r="AD227" s="26"/>
      <c r="AE227" s="26">
        <v>0</v>
      </c>
      <c r="AF227" s="26"/>
      <c r="AG227" s="26"/>
      <c r="AH227" s="26"/>
      <c r="AI227" s="26"/>
      <c r="AJ227" s="26"/>
      <c r="AK227" s="26">
        <v>0</v>
      </c>
      <c r="AL227" s="26"/>
      <c r="AM227" s="26">
        <v>0</v>
      </c>
      <c r="AN227" s="26"/>
      <c r="AO227" s="51">
        <f t="shared" si="19"/>
        <v>82508</v>
      </c>
      <c r="AP227" s="26"/>
      <c r="AQ227" s="51">
        <f t="shared" si="18"/>
        <v>7185967</v>
      </c>
    </row>
    <row r="228" spans="1:44">
      <c r="A228" s="13" t="s">
        <v>628</v>
      </c>
      <c r="B228" s="13"/>
      <c r="C228" s="13" t="s">
        <v>63</v>
      </c>
      <c r="D228" s="13"/>
      <c r="E228" s="32">
        <v>50013</v>
      </c>
      <c r="F228" s="26"/>
      <c r="G228" s="26">
        <v>21647866</v>
      </c>
      <c r="H228" s="26"/>
      <c r="I228" s="26">
        <v>0</v>
      </c>
      <c r="J228" s="26"/>
      <c r="K228" s="26">
        <v>16876692</v>
      </c>
      <c r="L228" s="26"/>
      <c r="M228" s="26">
        <v>96475</v>
      </c>
      <c r="N228" s="26"/>
      <c r="O228" s="26">
        <v>830958</v>
      </c>
      <c r="P228" s="26"/>
      <c r="Q228" s="26">
        <v>571930</v>
      </c>
      <c r="R228" s="26"/>
      <c r="S228" s="26">
        <v>0</v>
      </c>
      <c r="T228" s="26"/>
      <c r="U228" s="26">
        <v>18683</v>
      </c>
      <c r="V228" s="26"/>
      <c r="W228" s="26">
        <f>148206+908172+22655</f>
        <v>1079033</v>
      </c>
      <c r="X228" s="26"/>
      <c r="Y228" s="51">
        <f t="shared" si="20"/>
        <v>41121637</v>
      </c>
      <c r="Z228" s="26"/>
      <c r="AA228" s="26">
        <v>120000</v>
      </c>
      <c r="AB228" s="26"/>
      <c r="AC228" s="26"/>
      <c r="AD228" s="26"/>
      <c r="AE228" s="26">
        <f>374317+788429+13365000</f>
        <v>14527746</v>
      </c>
      <c r="AF228" s="26"/>
      <c r="AG228" s="26"/>
      <c r="AH228" s="26"/>
      <c r="AI228" s="26"/>
      <c r="AJ228" s="26"/>
      <c r="AK228" s="26">
        <v>3310</v>
      </c>
      <c r="AL228" s="26"/>
      <c r="AM228" s="26">
        <v>0</v>
      </c>
      <c r="AN228" s="26"/>
      <c r="AO228" s="51">
        <f t="shared" si="19"/>
        <v>14651056</v>
      </c>
      <c r="AP228" s="26"/>
      <c r="AQ228" s="51">
        <f t="shared" si="18"/>
        <v>55772693</v>
      </c>
    </row>
    <row r="229" spans="1:44">
      <c r="A229" s="13" t="s">
        <v>628</v>
      </c>
      <c r="B229" s="13"/>
      <c r="C229" s="13" t="s">
        <v>71</v>
      </c>
      <c r="D229" s="13"/>
      <c r="E229" s="32">
        <v>50559</v>
      </c>
      <c r="F229" s="26"/>
      <c r="G229" s="26">
        <v>3710674</v>
      </c>
      <c r="H229" s="26"/>
      <c r="I229" s="26">
        <v>0</v>
      </c>
      <c r="J229" s="26"/>
      <c r="K229" s="26">
        <v>6713717</v>
      </c>
      <c r="L229" s="26"/>
      <c r="M229" s="26">
        <v>27918</v>
      </c>
      <c r="N229" s="26"/>
      <c r="O229" s="26">
        <v>637875</v>
      </c>
      <c r="P229" s="26"/>
      <c r="Q229" s="26">
        <v>182263</v>
      </c>
      <c r="R229" s="26"/>
      <c r="S229" s="26">
        <v>0</v>
      </c>
      <c r="T229" s="26"/>
      <c r="U229" s="26">
        <v>12993</v>
      </c>
      <c r="V229" s="26"/>
      <c r="W229" s="26">
        <f>149986+238679+1530</f>
        <v>390195</v>
      </c>
      <c r="X229" s="26"/>
      <c r="Y229" s="51">
        <f t="shared" si="20"/>
        <v>11675635</v>
      </c>
      <c r="Z229" s="26"/>
      <c r="AA229" s="26">
        <v>0</v>
      </c>
      <c r="AB229" s="26"/>
      <c r="AC229" s="26"/>
      <c r="AD229" s="26"/>
      <c r="AE229" s="26">
        <v>0</v>
      </c>
      <c r="AF229" s="26"/>
      <c r="AG229" s="26"/>
      <c r="AH229" s="26"/>
      <c r="AI229" s="26"/>
      <c r="AJ229" s="26"/>
      <c r="AK229" s="26">
        <v>0</v>
      </c>
      <c r="AL229" s="26"/>
      <c r="AM229" s="26">
        <v>0</v>
      </c>
      <c r="AN229" s="26"/>
      <c r="AO229" s="51">
        <f t="shared" si="19"/>
        <v>0</v>
      </c>
      <c r="AP229" s="26"/>
      <c r="AQ229" s="51">
        <f t="shared" si="18"/>
        <v>11675635</v>
      </c>
    </row>
    <row r="230" spans="1:44">
      <c r="A230" s="13" t="s">
        <v>386</v>
      </c>
      <c r="B230" s="13"/>
      <c r="C230" s="13" t="s">
        <v>116</v>
      </c>
      <c r="D230" s="13"/>
      <c r="E230" s="13">
        <v>47266</v>
      </c>
      <c r="F230" s="26"/>
      <c r="G230" s="26">
        <v>4195855</v>
      </c>
      <c r="H230" s="26"/>
      <c r="I230" s="26">
        <v>1684199</v>
      </c>
      <c r="J230" s="26"/>
      <c r="K230" s="26">
        <v>7124315</v>
      </c>
      <c r="L230" s="26"/>
      <c r="M230" s="26">
        <v>82561</v>
      </c>
      <c r="N230" s="26"/>
      <c r="O230" s="26">
        <v>644841</v>
      </c>
      <c r="P230" s="26"/>
      <c r="Q230" s="26">
        <v>201883</v>
      </c>
      <c r="R230" s="26"/>
      <c r="S230" s="26">
        <v>0</v>
      </c>
      <c r="T230" s="26"/>
      <c r="U230" s="26">
        <v>334837</v>
      </c>
      <c r="V230" s="26"/>
      <c r="W230" s="26">
        <f>16860+8995+238171</f>
        <v>264026</v>
      </c>
      <c r="X230" s="26"/>
      <c r="Y230" s="51">
        <f t="shared" si="20"/>
        <v>14532517</v>
      </c>
      <c r="Z230" s="26"/>
      <c r="AA230" s="26">
        <v>33812</v>
      </c>
      <c r="AB230" s="26"/>
      <c r="AC230" s="26"/>
      <c r="AD230" s="26"/>
      <c r="AE230" s="26">
        <v>23380</v>
      </c>
      <c r="AF230" s="26"/>
      <c r="AG230" s="26"/>
      <c r="AH230" s="26"/>
      <c r="AI230" s="26"/>
      <c r="AJ230" s="26"/>
      <c r="AK230" s="26">
        <v>12505</v>
      </c>
      <c r="AL230" s="26"/>
      <c r="AM230" s="26">
        <v>0</v>
      </c>
      <c r="AN230" s="26"/>
      <c r="AO230" s="51">
        <f t="shared" si="19"/>
        <v>69697</v>
      </c>
      <c r="AP230" s="26"/>
      <c r="AQ230" s="51">
        <f t="shared" si="18"/>
        <v>14602214</v>
      </c>
    </row>
    <row r="231" spans="1:44">
      <c r="A231" s="13" t="s">
        <v>437</v>
      </c>
      <c r="B231" s="13"/>
      <c r="C231" s="13" t="s">
        <v>435</v>
      </c>
      <c r="D231" s="13"/>
      <c r="E231" s="32">
        <v>45401</v>
      </c>
      <c r="F231" s="26"/>
      <c r="G231" s="26">
        <v>3355851</v>
      </c>
      <c r="H231" s="26"/>
      <c r="I231" s="26">
        <v>1839750</v>
      </c>
      <c r="J231" s="26"/>
      <c r="K231" s="26">
        <v>14351995</v>
      </c>
      <c r="L231" s="26"/>
      <c r="M231" s="26">
        <v>105288</v>
      </c>
      <c r="N231" s="26"/>
      <c r="O231" s="26">
        <v>519695</v>
      </c>
      <c r="P231" s="26"/>
      <c r="Q231" s="26">
        <v>157768</v>
      </c>
      <c r="R231" s="26"/>
      <c r="S231" s="26">
        <v>0</v>
      </c>
      <c r="T231" s="26"/>
      <c r="U231" s="26">
        <v>6535</v>
      </c>
      <c r="V231" s="26"/>
      <c r="W231" s="26">
        <f>183912+261833+3288</f>
        <v>449033</v>
      </c>
      <c r="X231" s="26"/>
      <c r="Y231" s="51">
        <f t="shared" si="20"/>
        <v>20785915</v>
      </c>
      <c r="Z231" s="26"/>
      <c r="AA231" s="26">
        <v>172759</v>
      </c>
      <c r="AB231" s="26"/>
      <c r="AC231" s="26"/>
      <c r="AD231" s="26"/>
      <c r="AE231" s="26">
        <v>95018</v>
      </c>
      <c r="AF231" s="26"/>
      <c r="AG231" s="26"/>
      <c r="AH231" s="26"/>
      <c r="AI231" s="26"/>
      <c r="AJ231" s="26"/>
      <c r="AK231" s="26">
        <v>0</v>
      </c>
      <c r="AL231" s="26"/>
      <c r="AM231" s="26">
        <v>0</v>
      </c>
      <c r="AN231" s="26"/>
      <c r="AO231" s="51">
        <f t="shared" si="19"/>
        <v>267777</v>
      </c>
      <c r="AP231" s="26"/>
      <c r="AQ231" s="51">
        <f t="shared" si="18"/>
        <v>21053692</v>
      </c>
    </row>
    <row r="232" spans="1:44">
      <c r="A232" s="13" t="s">
        <v>261</v>
      </c>
      <c r="B232" s="13"/>
      <c r="C232" s="13" t="s">
        <v>17</v>
      </c>
      <c r="D232" s="13"/>
      <c r="E232" s="32">
        <v>46235</v>
      </c>
      <c r="F232" s="26"/>
      <c r="G232" s="26">
        <v>6634805</v>
      </c>
      <c r="H232" s="26"/>
      <c r="I232" s="26">
        <v>0</v>
      </c>
      <c r="J232" s="26"/>
      <c r="K232" s="26">
        <v>9439101</v>
      </c>
      <c r="L232" s="26"/>
      <c r="M232" s="26">
        <v>78069</v>
      </c>
      <c r="N232" s="26"/>
      <c r="O232" s="26">
        <v>555421</v>
      </c>
      <c r="P232" s="26"/>
      <c r="Q232" s="26">
        <v>247574</v>
      </c>
      <c r="R232" s="26"/>
      <c r="S232" s="26">
        <v>30455</v>
      </c>
      <c r="T232" s="26"/>
      <c r="U232" s="26">
        <v>14171</v>
      </c>
      <c r="V232" s="26"/>
      <c r="W232" s="26">
        <f>43976+10621+474477</f>
        <v>529074</v>
      </c>
      <c r="X232" s="26"/>
      <c r="Y232" s="51">
        <f t="shared" si="20"/>
        <v>17528670</v>
      </c>
      <c r="Z232" s="26"/>
      <c r="AA232" s="26">
        <v>0</v>
      </c>
      <c r="AB232" s="26"/>
      <c r="AC232" s="26"/>
      <c r="AD232" s="26"/>
      <c r="AE232" s="26">
        <v>0</v>
      </c>
      <c r="AF232" s="26"/>
      <c r="AG232" s="26"/>
      <c r="AH232" s="26"/>
      <c r="AI232" s="26"/>
      <c r="AJ232" s="26"/>
      <c r="AK232" s="26">
        <v>0</v>
      </c>
      <c r="AL232" s="26"/>
      <c r="AM232" s="26">
        <v>0</v>
      </c>
      <c r="AN232" s="26"/>
      <c r="AO232" s="51">
        <f t="shared" si="19"/>
        <v>0</v>
      </c>
      <c r="AP232" s="26"/>
      <c r="AQ232" s="51">
        <f t="shared" si="18"/>
        <v>17528670</v>
      </c>
    </row>
    <row r="233" spans="1:44">
      <c r="A233" s="13" t="s">
        <v>327</v>
      </c>
      <c r="B233" s="13"/>
      <c r="C233" s="13" t="s">
        <v>21</v>
      </c>
      <c r="D233" s="13"/>
      <c r="E233" s="32">
        <v>44099</v>
      </c>
      <c r="F233" s="26"/>
      <c r="G233" s="26">
        <v>8232928</v>
      </c>
      <c r="H233" s="26"/>
      <c r="I233" s="26">
        <v>1778504</v>
      </c>
      <c r="J233" s="26"/>
      <c r="K233" s="26">
        <v>15555796</v>
      </c>
      <c r="L233" s="26"/>
      <c r="M233" s="26">
        <v>126608</v>
      </c>
      <c r="N233" s="26"/>
      <c r="O233" s="26">
        <v>500442</v>
      </c>
      <c r="P233" s="26"/>
      <c r="Q233" s="26">
        <v>355296</v>
      </c>
      <c r="R233" s="26"/>
      <c r="S233" s="26">
        <v>210067</v>
      </c>
      <c r="T233" s="26"/>
      <c r="U233" s="26">
        <v>33834</v>
      </c>
      <c r="V233" s="26"/>
      <c r="W233" s="26">
        <f>89420+28128+459027</f>
        <v>576575</v>
      </c>
      <c r="X233" s="26"/>
      <c r="Y233" s="51">
        <f t="shared" si="20"/>
        <v>27370050</v>
      </c>
      <c r="Z233" s="26"/>
      <c r="AA233" s="26">
        <v>1351826</v>
      </c>
      <c r="AB233" s="26"/>
      <c r="AC233" s="26"/>
      <c r="AD233" s="26"/>
      <c r="AE233" s="26">
        <v>86850</v>
      </c>
      <c r="AF233" s="26"/>
      <c r="AG233" s="26"/>
      <c r="AH233" s="26"/>
      <c r="AI233" s="26"/>
      <c r="AJ233" s="26"/>
      <c r="AK233" s="26">
        <v>63320</v>
      </c>
      <c r="AL233" s="26"/>
      <c r="AM233" s="26">
        <v>0</v>
      </c>
      <c r="AN233" s="26"/>
      <c r="AO233" s="51">
        <f t="shared" si="19"/>
        <v>1501996</v>
      </c>
      <c r="AP233" s="26"/>
      <c r="AQ233" s="51">
        <f t="shared" si="18"/>
        <v>28872046</v>
      </c>
    </row>
    <row r="234" spans="1:44">
      <c r="A234" s="13" t="s">
        <v>358</v>
      </c>
      <c r="B234" s="13"/>
      <c r="C234" s="13" t="s">
        <v>27</v>
      </c>
      <c r="D234" s="13"/>
      <c r="E234" s="32">
        <v>46979</v>
      </c>
      <c r="F234" s="26"/>
      <c r="G234" s="26">
        <v>25389103</v>
      </c>
      <c r="H234" s="26"/>
      <c r="I234" s="26">
        <v>0</v>
      </c>
      <c r="J234" s="26"/>
      <c r="K234" s="26">
        <v>40949903</v>
      </c>
      <c r="L234" s="26"/>
      <c r="M234" s="26">
        <v>97442</v>
      </c>
      <c r="N234" s="26"/>
      <c r="O234" s="26">
        <v>844903</v>
      </c>
      <c r="P234" s="26"/>
      <c r="Q234" s="26">
        <v>140345</v>
      </c>
      <c r="R234" s="26"/>
      <c r="S234" s="26">
        <v>1332296</v>
      </c>
      <c r="T234" s="26"/>
      <c r="U234" s="26">
        <v>54725</v>
      </c>
      <c r="V234" s="26"/>
      <c r="W234" s="26">
        <f>271154+637020</f>
        <v>908174</v>
      </c>
      <c r="X234" s="26"/>
      <c r="Y234" s="51">
        <f t="shared" si="20"/>
        <v>69716891</v>
      </c>
      <c r="Z234" s="26"/>
      <c r="AA234" s="26">
        <v>27962</v>
      </c>
      <c r="AB234" s="26"/>
      <c r="AC234" s="26"/>
      <c r="AD234" s="26"/>
      <c r="AE234" s="26">
        <v>0</v>
      </c>
      <c r="AF234" s="26"/>
      <c r="AG234" s="26"/>
      <c r="AH234" s="26"/>
      <c r="AI234" s="26"/>
      <c r="AJ234" s="26"/>
      <c r="AK234" s="26">
        <v>92862</v>
      </c>
      <c r="AL234" s="26"/>
      <c r="AM234" s="26">
        <v>0</v>
      </c>
      <c r="AN234" s="26"/>
      <c r="AO234" s="51">
        <f t="shared" si="19"/>
        <v>120824</v>
      </c>
      <c r="AP234" s="26"/>
      <c r="AQ234" s="51">
        <f t="shared" si="18"/>
        <v>69837715</v>
      </c>
      <c r="AR234" s="15" t="s">
        <v>905</v>
      </c>
    </row>
    <row r="235" spans="1:44">
      <c r="A235" s="13" t="s">
        <v>244</v>
      </c>
      <c r="B235" s="13"/>
      <c r="C235" s="13" t="s">
        <v>242</v>
      </c>
      <c r="D235" s="13"/>
      <c r="E235" s="32">
        <v>44107</v>
      </c>
      <c r="F235" s="26"/>
      <c r="G235" s="26">
        <v>28371525</v>
      </c>
      <c r="H235" s="26"/>
      <c r="I235" s="26">
        <v>0</v>
      </c>
      <c r="J235" s="26"/>
      <c r="K235" s="26">
        <v>133929293</v>
      </c>
      <c r="L235" s="26"/>
      <c r="M235" s="26">
        <v>4381978</v>
      </c>
      <c r="N235" s="26"/>
      <c r="O235" s="26">
        <v>256981</v>
      </c>
      <c r="P235" s="26"/>
      <c r="Q235" s="26">
        <v>0</v>
      </c>
      <c r="R235" s="26"/>
      <c r="S235" s="26">
        <v>0</v>
      </c>
      <c r="T235" s="26"/>
      <c r="U235" s="26">
        <v>0</v>
      </c>
      <c r="V235" s="26"/>
      <c r="W235" s="26">
        <f>1049148+1225474</f>
        <v>2274622</v>
      </c>
      <c r="X235" s="26"/>
      <c r="Y235" s="51">
        <f t="shared" si="20"/>
        <v>169214399</v>
      </c>
      <c r="Z235" s="26"/>
      <c r="AA235" s="26">
        <v>428516</v>
      </c>
      <c r="AB235" s="26"/>
      <c r="AC235" s="26"/>
      <c r="AD235" s="26"/>
      <c r="AE235" s="26">
        <v>0</v>
      </c>
      <c r="AF235" s="26"/>
      <c r="AG235" s="26"/>
      <c r="AH235" s="26"/>
      <c r="AI235" s="26"/>
      <c r="AJ235" s="26"/>
      <c r="AK235" s="26">
        <f>22589+78266+100</f>
        <v>100955</v>
      </c>
      <c r="AL235" s="26"/>
      <c r="AM235" s="26">
        <v>0</v>
      </c>
      <c r="AN235" s="26"/>
      <c r="AO235" s="51">
        <f t="shared" ref="AO235:AO256" si="21">AK235+AE235+AA235</f>
        <v>529471</v>
      </c>
      <c r="AP235" s="26"/>
      <c r="AQ235" s="51">
        <f t="shared" si="18"/>
        <v>169743870</v>
      </c>
    </row>
    <row r="236" spans="1:44">
      <c r="A236" s="12" t="s">
        <v>981</v>
      </c>
      <c r="B236" s="13"/>
      <c r="C236" s="13" t="s">
        <v>27</v>
      </c>
      <c r="D236" s="13"/>
      <c r="E236" s="32">
        <v>46953</v>
      </c>
      <c r="F236" s="26"/>
      <c r="G236" s="26">
        <v>7532084</v>
      </c>
      <c r="H236" s="26"/>
      <c r="I236" s="26">
        <v>0</v>
      </c>
      <c r="J236" s="26"/>
      <c r="K236" s="26">
        <v>22316304</v>
      </c>
      <c r="L236" s="26"/>
      <c r="M236" s="26">
        <v>221778</v>
      </c>
      <c r="N236" s="26"/>
      <c r="O236" s="26">
        <v>53587</v>
      </c>
      <c r="P236" s="26"/>
      <c r="Q236" s="26">
        <v>218387</v>
      </c>
      <c r="R236" s="26"/>
      <c r="S236" s="26">
        <v>0</v>
      </c>
      <c r="T236" s="26"/>
      <c r="U236" s="26">
        <v>17706</v>
      </c>
      <c r="V236" s="26"/>
      <c r="W236" s="26">
        <f>191249+424121</f>
        <v>615370</v>
      </c>
      <c r="X236" s="26"/>
      <c r="Y236" s="51">
        <f t="shared" si="20"/>
        <v>30975216</v>
      </c>
      <c r="Z236" s="26"/>
      <c r="AA236" s="26">
        <v>176751</v>
      </c>
      <c r="AB236" s="26"/>
      <c r="AC236" s="26"/>
      <c r="AD236" s="26"/>
      <c r="AE236" s="26">
        <v>0</v>
      </c>
      <c r="AF236" s="26"/>
      <c r="AG236" s="26"/>
      <c r="AH236" s="26"/>
      <c r="AI236" s="26"/>
      <c r="AJ236" s="26"/>
      <c r="AK236" s="26">
        <v>1167854</v>
      </c>
      <c r="AL236" s="26"/>
      <c r="AM236" s="26">
        <v>0</v>
      </c>
      <c r="AN236" s="26"/>
      <c r="AO236" s="51">
        <f t="shared" si="21"/>
        <v>1344605</v>
      </c>
      <c r="AP236" s="26"/>
      <c r="AQ236" s="51">
        <f t="shared" si="18"/>
        <v>32319821</v>
      </c>
    </row>
    <row r="237" spans="1:44" ht="12" customHeight="1">
      <c r="A237" s="13" t="s">
        <v>422</v>
      </c>
      <c r="B237" s="13"/>
      <c r="C237" s="13" t="s">
        <v>421</v>
      </c>
      <c r="D237" s="13"/>
      <c r="E237" s="32">
        <v>47498</v>
      </c>
      <c r="F237" s="26"/>
      <c r="G237" s="26">
        <v>1228263</v>
      </c>
      <c r="H237" s="26"/>
      <c r="I237" s="26">
        <v>0</v>
      </c>
      <c r="J237" s="26"/>
      <c r="K237" s="26">
        <v>7619639</v>
      </c>
      <c r="L237" s="26"/>
      <c r="M237" s="26">
        <v>144179</v>
      </c>
      <c r="N237" s="26"/>
      <c r="O237" s="26">
        <v>326092</v>
      </c>
      <c r="P237" s="26"/>
      <c r="Q237" s="26">
        <v>53188</v>
      </c>
      <c r="R237" s="26"/>
      <c r="S237" s="26">
        <v>807095</v>
      </c>
      <c r="T237" s="26"/>
      <c r="U237" s="26">
        <f>27666+17556+86072</f>
        <v>131294</v>
      </c>
      <c r="V237" s="26"/>
      <c r="W237" s="26">
        <v>0</v>
      </c>
      <c r="X237" s="26"/>
      <c r="Y237" s="51">
        <f t="shared" si="20"/>
        <v>10309750</v>
      </c>
      <c r="Z237" s="26"/>
      <c r="AA237" s="26">
        <v>2000</v>
      </c>
      <c r="AB237" s="26"/>
      <c r="AC237" s="26"/>
      <c r="AD237" s="26"/>
      <c r="AE237" s="26">
        <v>0</v>
      </c>
      <c r="AF237" s="26"/>
      <c r="AG237" s="26"/>
      <c r="AH237" s="26"/>
      <c r="AI237" s="26"/>
      <c r="AJ237" s="26"/>
      <c r="AK237" s="26">
        <v>1000</v>
      </c>
      <c r="AL237" s="26"/>
      <c r="AM237" s="26">
        <v>0</v>
      </c>
      <c r="AN237" s="26"/>
      <c r="AO237" s="51">
        <f t="shared" si="21"/>
        <v>3000</v>
      </c>
      <c r="AP237" s="26"/>
      <c r="AQ237" s="51">
        <f t="shared" si="18"/>
        <v>10312750</v>
      </c>
    </row>
    <row r="238" spans="1:44">
      <c r="A238" s="13" t="s">
        <v>645</v>
      </c>
      <c r="B238" s="13"/>
      <c r="C238" s="13" t="s">
        <v>61</v>
      </c>
      <c r="D238" s="13"/>
      <c r="E238" s="32">
        <v>49791</v>
      </c>
      <c r="F238" s="26"/>
      <c r="G238" s="26">
        <v>1966329</v>
      </c>
      <c r="H238" s="26"/>
      <c r="I238" s="26">
        <v>688968</v>
      </c>
      <c r="J238" s="26"/>
      <c r="K238" s="26">
        <v>8455464</v>
      </c>
      <c r="L238" s="26"/>
      <c r="M238" s="26">
        <v>277692</v>
      </c>
      <c r="N238" s="26"/>
      <c r="O238" s="26">
        <v>757223</v>
      </c>
      <c r="P238" s="26"/>
      <c r="Q238" s="26">
        <v>64066</v>
      </c>
      <c r="R238" s="26"/>
      <c r="S238" s="26">
        <v>0</v>
      </c>
      <c r="T238" s="26"/>
      <c r="U238" s="26">
        <v>4778</v>
      </c>
      <c r="V238" s="26"/>
      <c r="W238" s="26">
        <f>179213+9425+8893</f>
        <v>197531</v>
      </c>
      <c r="X238" s="26"/>
      <c r="Y238" s="51">
        <f t="shared" si="20"/>
        <v>12412051</v>
      </c>
      <c r="Z238" s="26"/>
      <c r="AA238" s="26">
        <v>0</v>
      </c>
      <c r="AB238" s="26"/>
      <c r="AC238" s="26"/>
      <c r="AD238" s="26"/>
      <c r="AE238" s="26">
        <f>9209676+9204996+274769</f>
        <v>18689441</v>
      </c>
      <c r="AF238" s="26"/>
      <c r="AG238" s="26"/>
      <c r="AH238" s="26"/>
      <c r="AI238" s="26"/>
      <c r="AJ238" s="26"/>
      <c r="AK238" s="26">
        <v>6589</v>
      </c>
      <c r="AL238" s="26"/>
      <c r="AM238" s="26">
        <v>0</v>
      </c>
      <c r="AN238" s="26"/>
      <c r="AO238" s="51">
        <f t="shared" si="21"/>
        <v>18696030</v>
      </c>
      <c r="AP238" s="26"/>
      <c r="AQ238" s="51">
        <f t="shared" si="18"/>
        <v>31108081</v>
      </c>
    </row>
    <row r="239" spans="1:44">
      <c r="A239" s="13" t="s">
        <v>429</v>
      </c>
      <c r="B239" s="13"/>
      <c r="C239" s="13" t="s">
        <v>428</v>
      </c>
      <c r="D239" s="13"/>
      <c r="E239" s="32">
        <v>45245</v>
      </c>
      <c r="F239" s="26"/>
      <c r="G239" s="26">
        <v>4418867</v>
      </c>
      <c r="H239" s="26"/>
      <c r="I239" s="26">
        <v>0</v>
      </c>
      <c r="J239" s="26"/>
      <c r="K239" s="26">
        <f>12396775+1844318</f>
        <v>14241093</v>
      </c>
      <c r="L239" s="26"/>
      <c r="M239" s="26">
        <v>124212</v>
      </c>
      <c r="N239" s="26"/>
      <c r="O239" s="26">
        <v>124009</v>
      </c>
      <c r="P239" s="26"/>
      <c r="Q239" s="26">
        <v>183817</v>
      </c>
      <c r="R239" s="26"/>
      <c r="S239" s="26">
        <v>0</v>
      </c>
      <c r="T239" s="26"/>
      <c r="U239" s="26">
        <v>0</v>
      </c>
      <c r="V239" s="26"/>
      <c r="W239" s="26">
        <f>51209+27598+307695</f>
        <v>386502</v>
      </c>
      <c r="X239" s="26"/>
      <c r="Y239" s="51">
        <f t="shared" si="20"/>
        <v>19478500</v>
      </c>
      <c r="Z239" s="26"/>
      <c r="AA239" s="26">
        <v>0</v>
      </c>
      <c r="AB239" s="26"/>
      <c r="AC239" s="26"/>
      <c r="AD239" s="26"/>
      <c r="AE239" s="26">
        <v>0</v>
      </c>
      <c r="AF239" s="26"/>
      <c r="AG239" s="26"/>
      <c r="AH239" s="26"/>
      <c r="AI239" s="26"/>
      <c r="AJ239" s="26"/>
      <c r="AK239" s="26">
        <v>0</v>
      </c>
      <c r="AL239" s="26"/>
      <c r="AM239" s="26">
        <v>0</v>
      </c>
      <c r="AN239" s="26"/>
      <c r="AO239" s="51">
        <f t="shared" si="21"/>
        <v>0</v>
      </c>
      <c r="AP239" s="26"/>
      <c r="AQ239" s="51">
        <f t="shared" si="18"/>
        <v>19478500</v>
      </c>
    </row>
    <row r="240" spans="1:44">
      <c r="A240" s="13" t="s">
        <v>473</v>
      </c>
      <c r="B240" s="13"/>
      <c r="C240" s="13" t="s">
        <v>42</v>
      </c>
      <c r="D240" s="13"/>
      <c r="E240" s="32">
        <v>44115</v>
      </c>
      <c r="F240" s="26"/>
      <c r="G240" s="26">
        <v>9561555</v>
      </c>
      <c r="H240" s="26"/>
      <c r="I240" s="26">
        <v>0</v>
      </c>
      <c r="J240" s="26"/>
      <c r="K240" s="26">
        <f>6384719+882747</f>
        <v>7267466</v>
      </c>
      <c r="L240" s="26"/>
      <c r="M240" s="26">
        <v>83550</v>
      </c>
      <c r="N240" s="26"/>
      <c r="O240" s="26">
        <v>93116</v>
      </c>
      <c r="P240" s="26"/>
      <c r="Q240" s="26">
        <v>104348</v>
      </c>
      <c r="R240" s="26"/>
      <c r="S240" s="26">
        <v>0</v>
      </c>
      <c r="T240" s="26"/>
      <c r="U240" s="26">
        <v>0</v>
      </c>
      <c r="V240" s="26"/>
      <c r="W240" s="26">
        <f>528422+85847+298338</f>
        <v>912607</v>
      </c>
      <c r="X240" s="26"/>
      <c r="Y240" s="51">
        <f t="shared" si="20"/>
        <v>18022642</v>
      </c>
      <c r="Z240" s="26"/>
      <c r="AA240" s="26">
        <v>20000</v>
      </c>
      <c r="AB240" s="26"/>
      <c r="AC240" s="26"/>
      <c r="AD240" s="26"/>
      <c r="AE240" s="26">
        <v>248060</v>
      </c>
      <c r="AF240" s="26"/>
      <c r="AG240" s="26"/>
      <c r="AH240" s="26"/>
      <c r="AI240" s="26"/>
      <c r="AJ240" s="26"/>
      <c r="AK240" s="26">
        <v>0</v>
      </c>
      <c r="AL240" s="26"/>
      <c r="AM240" s="26">
        <v>0</v>
      </c>
      <c r="AN240" s="26"/>
      <c r="AO240" s="51">
        <f t="shared" si="21"/>
        <v>268060</v>
      </c>
      <c r="AP240" s="26"/>
      <c r="AQ240" s="51">
        <f t="shared" si="18"/>
        <v>18290702</v>
      </c>
    </row>
    <row r="241" spans="1:43" hidden="1">
      <c r="A241" s="12" t="s">
        <v>945</v>
      </c>
      <c r="B241" s="13"/>
      <c r="C241" s="13" t="s">
        <v>22</v>
      </c>
      <c r="D241" s="13"/>
      <c r="E241" s="32">
        <v>45419</v>
      </c>
      <c r="F241" s="26"/>
      <c r="G241" s="26">
        <v>2262800</v>
      </c>
      <c r="H241" s="26"/>
      <c r="I241" s="26">
        <v>1366355</v>
      </c>
      <c r="J241" s="26"/>
      <c r="K241" s="26">
        <v>6646947</v>
      </c>
      <c r="L241" s="26"/>
      <c r="M241" s="26">
        <v>288786</v>
      </c>
      <c r="N241" s="26"/>
      <c r="O241" s="26">
        <v>352881</v>
      </c>
      <c r="P241" s="26"/>
      <c r="Q241" s="26">
        <v>196803</v>
      </c>
      <c r="R241" s="26"/>
      <c r="S241" s="26"/>
      <c r="T241" s="26"/>
      <c r="U241" s="26">
        <v>80172</v>
      </c>
      <c r="V241" s="26"/>
      <c r="W241" s="26">
        <f>178003+18188</f>
        <v>196191</v>
      </c>
      <c r="X241" s="26"/>
      <c r="Y241" s="51">
        <f t="shared" si="20"/>
        <v>11390935</v>
      </c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>
        <v>0</v>
      </c>
      <c r="AN241" s="26"/>
      <c r="AO241" s="51">
        <f t="shared" si="21"/>
        <v>0</v>
      </c>
      <c r="AP241" s="26"/>
      <c r="AQ241" s="51">
        <f t="shared" ref="AQ241:AQ307" si="22">Y241+AO241</f>
        <v>11390935</v>
      </c>
    </row>
    <row r="242" spans="1:43">
      <c r="A242" s="13" t="s">
        <v>528</v>
      </c>
      <c r="B242" s="13"/>
      <c r="C242" s="13" t="s">
        <v>47</v>
      </c>
      <c r="D242" s="13"/>
      <c r="E242" s="32">
        <v>48496</v>
      </c>
      <c r="F242" s="26"/>
      <c r="G242" s="26">
        <v>19345857</v>
      </c>
      <c r="H242" s="26"/>
      <c r="I242" s="26">
        <v>0</v>
      </c>
      <c r="J242" s="26"/>
      <c r="K242" s="26">
        <v>9979017</v>
      </c>
      <c r="L242" s="26"/>
      <c r="M242" s="26">
        <v>380224</v>
      </c>
      <c r="N242" s="26"/>
      <c r="O242" s="26">
        <v>498531</v>
      </c>
      <c r="P242" s="26"/>
      <c r="Q242" s="26">
        <v>256581</v>
      </c>
      <c r="R242" s="26"/>
      <c r="S242" s="26">
        <v>0</v>
      </c>
      <c r="T242" s="26"/>
      <c r="U242" s="26">
        <v>33718</v>
      </c>
      <c r="V242" s="26"/>
      <c r="W242" s="26">
        <f>950221+9843+248812</f>
        <v>1208876</v>
      </c>
      <c r="X242" s="26"/>
      <c r="Y242" s="51">
        <f t="shared" si="20"/>
        <v>31702804</v>
      </c>
      <c r="Z242" s="26"/>
      <c r="AA242" s="26">
        <v>13100</v>
      </c>
      <c r="AB242" s="26"/>
      <c r="AC242" s="26"/>
      <c r="AD242" s="26"/>
      <c r="AE242" s="26">
        <v>0</v>
      </c>
      <c r="AF242" s="26"/>
      <c r="AG242" s="26"/>
      <c r="AH242" s="26"/>
      <c r="AI242" s="26"/>
      <c r="AJ242" s="26"/>
      <c r="AK242" s="26">
        <v>0</v>
      </c>
      <c r="AL242" s="26"/>
      <c r="AM242" s="26">
        <v>0</v>
      </c>
      <c r="AN242" s="26"/>
      <c r="AO242" s="51">
        <f t="shared" si="21"/>
        <v>13100</v>
      </c>
      <c r="AP242" s="26"/>
      <c r="AQ242" s="51">
        <f t="shared" si="22"/>
        <v>31715904</v>
      </c>
    </row>
    <row r="243" spans="1:43">
      <c r="A243" s="13" t="s">
        <v>528</v>
      </c>
      <c r="B243" s="13"/>
      <c r="C243" s="13" t="s">
        <v>78</v>
      </c>
      <c r="D243" s="13"/>
      <c r="E243" s="32">
        <v>48801</v>
      </c>
      <c r="F243" s="26"/>
      <c r="G243" s="26">
        <v>3781793</v>
      </c>
      <c r="H243" s="26"/>
      <c r="I243" s="26">
        <v>929605</v>
      </c>
      <c r="J243" s="26"/>
      <c r="K243" s="26">
        <v>18348117</v>
      </c>
      <c r="L243" s="26"/>
      <c r="M243" s="26">
        <v>688470</v>
      </c>
      <c r="N243" s="26"/>
      <c r="O243" s="26">
        <v>43105</v>
      </c>
      <c r="P243" s="26"/>
      <c r="Q243" s="26">
        <v>130669</v>
      </c>
      <c r="R243" s="26"/>
      <c r="S243" s="26">
        <v>0</v>
      </c>
      <c r="T243" s="26"/>
      <c r="U243" s="26">
        <v>22987</v>
      </c>
      <c r="V243" s="26"/>
      <c r="W243" s="26">
        <f>288537+334655</f>
        <v>623192</v>
      </c>
      <c r="X243" s="26"/>
      <c r="Y243" s="51">
        <f t="shared" si="20"/>
        <v>24567938</v>
      </c>
      <c r="Z243" s="26"/>
      <c r="AA243" s="26">
        <v>0</v>
      </c>
      <c r="AB243" s="26"/>
      <c r="AC243" s="26"/>
      <c r="AD243" s="26"/>
      <c r="AE243" s="26">
        <f>15000000+15000000+582135</f>
        <v>30582135</v>
      </c>
      <c r="AF243" s="26"/>
      <c r="AG243" s="26"/>
      <c r="AH243" s="26"/>
      <c r="AI243" s="26"/>
      <c r="AJ243" s="26"/>
      <c r="AK243" s="26">
        <v>0</v>
      </c>
      <c r="AL243" s="26"/>
      <c r="AM243" s="26">
        <v>0</v>
      </c>
      <c r="AN243" s="26"/>
      <c r="AO243" s="51">
        <f t="shared" si="21"/>
        <v>30582135</v>
      </c>
      <c r="AP243" s="26"/>
      <c r="AQ243" s="51">
        <f t="shared" si="22"/>
        <v>55150073</v>
      </c>
    </row>
    <row r="244" spans="1:43">
      <c r="A244" s="13" t="s">
        <v>360</v>
      </c>
      <c r="B244" s="13"/>
      <c r="C244" s="13" t="s">
        <v>27</v>
      </c>
      <c r="D244" s="13"/>
      <c r="E244" s="32">
        <v>47019</v>
      </c>
      <c r="F244" s="26"/>
      <c r="G244" s="26">
        <v>122283939</v>
      </c>
      <c r="H244" s="26"/>
      <c r="I244" s="26">
        <v>0</v>
      </c>
      <c r="J244" s="26"/>
      <c r="K244" s="26">
        <f>59150778+5616327</f>
        <v>64767105</v>
      </c>
      <c r="L244" s="26"/>
      <c r="M244" s="26">
        <v>1694614</v>
      </c>
      <c r="N244" s="26"/>
      <c r="O244" s="26">
        <v>2183931</v>
      </c>
      <c r="P244" s="26"/>
      <c r="Q244" s="26">
        <v>666000</v>
      </c>
      <c r="R244" s="26"/>
      <c r="S244" s="26">
        <v>0</v>
      </c>
      <c r="T244" s="26"/>
      <c r="U244" s="26">
        <v>0</v>
      </c>
      <c r="V244" s="26"/>
      <c r="W244" s="26">
        <f>3158909+3435693+127992+903599</f>
        <v>7626193</v>
      </c>
      <c r="X244" s="26"/>
      <c r="Y244" s="51">
        <f t="shared" si="20"/>
        <v>199221782</v>
      </c>
      <c r="Z244" s="26"/>
      <c r="AA244" s="26">
        <v>659993</v>
      </c>
      <c r="AB244" s="26"/>
      <c r="AC244" s="26"/>
      <c r="AD244" s="26"/>
      <c r="AE244" s="26">
        <v>0</v>
      </c>
      <c r="AF244" s="26"/>
      <c r="AG244" s="26"/>
      <c r="AH244" s="26"/>
      <c r="AI244" s="26"/>
      <c r="AJ244" s="26"/>
      <c r="AK244" s="26">
        <f>213591+29250</f>
        <v>242841</v>
      </c>
      <c r="AL244" s="26"/>
      <c r="AM244" s="26">
        <v>0</v>
      </c>
      <c r="AN244" s="26"/>
      <c r="AO244" s="51">
        <f t="shared" si="21"/>
        <v>902834</v>
      </c>
      <c r="AP244" s="26"/>
      <c r="AQ244" s="51">
        <f t="shared" si="22"/>
        <v>200124616</v>
      </c>
    </row>
    <row r="245" spans="1:43">
      <c r="A245" s="13" t="s">
        <v>438</v>
      </c>
      <c r="B245" s="13"/>
      <c r="C245" s="13" t="s">
        <v>435</v>
      </c>
      <c r="D245" s="13"/>
      <c r="E245" s="32">
        <v>44123</v>
      </c>
      <c r="F245" s="26"/>
      <c r="G245" s="26">
        <v>8693888</v>
      </c>
      <c r="H245" s="26"/>
      <c r="I245" s="26">
        <v>0</v>
      </c>
      <c r="J245" s="26"/>
      <c r="K245" s="26">
        <v>25251529</v>
      </c>
      <c r="L245" s="26"/>
      <c r="M245" s="26">
        <v>412703</v>
      </c>
      <c r="N245" s="26"/>
      <c r="O245" s="26">
        <v>868145</v>
      </c>
      <c r="P245" s="26"/>
      <c r="Q245" s="26">
        <v>189914</v>
      </c>
      <c r="R245" s="26"/>
      <c r="S245" s="26">
        <v>0</v>
      </c>
      <c r="T245" s="26"/>
      <c r="U245" s="26">
        <v>0</v>
      </c>
      <c r="V245" s="26"/>
      <c r="W245" s="26">
        <f>488954+199881</f>
        <v>688835</v>
      </c>
      <c r="X245" s="26"/>
      <c r="Y245" s="51">
        <f t="shared" si="20"/>
        <v>36105014</v>
      </c>
      <c r="Z245" s="26"/>
      <c r="AA245" s="26">
        <v>255567</v>
      </c>
      <c r="AB245" s="26"/>
      <c r="AC245" s="26"/>
      <c r="AD245" s="26"/>
      <c r="AE245" s="26">
        <v>0</v>
      </c>
      <c r="AF245" s="26"/>
      <c r="AG245" s="26"/>
      <c r="AH245" s="26"/>
      <c r="AI245" s="26"/>
      <c r="AJ245" s="26"/>
      <c r="AK245" s="26">
        <v>142345</v>
      </c>
      <c r="AL245" s="26"/>
      <c r="AM245" s="26">
        <v>0</v>
      </c>
      <c r="AN245" s="26"/>
      <c r="AO245" s="51">
        <f t="shared" si="21"/>
        <v>397912</v>
      </c>
      <c r="AP245" s="26"/>
      <c r="AQ245" s="51">
        <f t="shared" si="22"/>
        <v>36502926</v>
      </c>
    </row>
    <row r="246" spans="1:43">
      <c r="A246" s="13" t="s">
        <v>214</v>
      </c>
      <c r="B246" s="13"/>
      <c r="C246" s="13" t="s">
        <v>11</v>
      </c>
      <c r="D246" s="13"/>
      <c r="E246" s="32">
        <v>45823</v>
      </c>
      <c r="F246" s="26"/>
      <c r="G246" s="26">
        <v>4607789</v>
      </c>
      <c r="H246" s="26"/>
      <c r="I246" s="26">
        <v>0</v>
      </c>
      <c r="J246" s="26"/>
      <c r="K246" s="26">
        <f>13096+4824951+509117</f>
        <v>5347164</v>
      </c>
      <c r="L246" s="26"/>
      <c r="M246" s="26">
        <v>25794</v>
      </c>
      <c r="N246" s="26"/>
      <c r="O246" s="26">
        <v>378926</v>
      </c>
      <c r="P246" s="26"/>
      <c r="Q246" s="26">
        <v>183628</v>
      </c>
      <c r="R246" s="26"/>
      <c r="S246" s="26">
        <v>0</v>
      </c>
      <c r="T246" s="26"/>
      <c r="U246" s="26">
        <v>25148</v>
      </c>
      <c r="V246" s="26"/>
      <c r="W246" s="26">
        <f>56919+45854+237911</f>
        <v>340684</v>
      </c>
      <c r="X246" s="26"/>
      <c r="Y246" s="51">
        <f t="shared" si="20"/>
        <v>10909133</v>
      </c>
      <c r="Z246" s="26"/>
      <c r="AA246" s="26">
        <v>31166</v>
      </c>
      <c r="AB246" s="26"/>
      <c r="AC246" s="26"/>
      <c r="AD246" s="26"/>
      <c r="AE246" s="26">
        <v>0</v>
      </c>
      <c r="AF246" s="26"/>
      <c r="AG246" s="26"/>
      <c r="AH246" s="26"/>
      <c r="AI246" s="26"/>
      <c r="AJ246" s="26"/>
      <c r="AK246" s="26">
        <v>2118</v>
      </c>
      <c r="AL246" s="26"/>
      <c r="AM246" s="26">
        <v>0</v>
      </c>
      <c r="AN246" s="26"/>
      <c r="AO246" s="51">
        <f t="shared" si="21"/>
        <v>33284</v>
      </c>
      <c r="AP246" s="26"/>
      <c r="AQ246" s="51">
        <f t="shared" si="22"/>
        <v>10942417</v>
      </c>
    </row>
    <row r="247" spans="1:43">
      <c r="A247" s="13" t="s">
        <v>430</v>
      </c>
      <c r="B247" s="13"/>
      <c r="C247" s="13" t="s">
        <v>34</v>
      </c>
      <c r="D247" s="13"/>
      <c r="E247" s="32">
        <v>47571</v>
      </c>
      <c r="F247" s="26"/>
      <c r="G247" s="26">
        <v>1189191</v>
      </c>
      <c r="H247" s="26"/>
      <c r="I247" s="26">
        <v>676132</v>
      </c>
      <c r="J247" s="26"/>
      <c r="K247" s="26">
        <v>3011123</v>
      </c>
      <c r="L247" s="26"/>
      <c r="M247" s="26">
        <v>93220</v>
      </c>
      <c r="N247" s="26"/>
      <c r="O247" s="26">
        <v>420968</v>
      </c>
      <c r="P247" s="26"/>
      <c r="Q247" s="26">
        <v>95333</v>
      </c>
      <c r="R247" s="26"/>
      <c r="S247" s="26">
        <v>1587</v>
      </c>
      <c r="T247" s="26"/>
      <c r="U247" s="26">
        <v>1727</v>
      </c>
      <c r="V247" s="26"/>
      <c r="W247" s="26">
        <f>132164+54810</f>
        <v>186974</v>
      </c>
      <c r="X247" s="26"/>
      <c r="Y247" s="51">
        <f t="shared" si="20"/>
        <v>5676255</v>
      </c>
      <c r="Z247" s="26"/>
      <c r="AA247" s="26">
        <v>415</v>
      </c>
      <c r="AB247" s="26"/>
      <c r="AC247" s="26"/>
      <c r="AD247" s="26"/>
      <c r="AE247" s="26">
        <v>0</v>
      </c>
      <c r="AF247" s="26"/>
      <c r="AG247" s="26"/>
      <c r="AH247" s="26"/>
      <c r="AI247" s="26"/>
      <c r="AJ247" s="26"/>
      <c r="AK247" s="26">
        <v>56376</v>
      </c>
      <c r="AL247" s="26"/>
      <c r="AM247" s="26">
        <v>0</v>
      </c>
      <c r="AN247" s="26"/>
      <c r="AO247" s="51">
        <f t="shared" si="21"/>
        <v>56791</v>
      </c>
      <c r="AP247" s="26"/>
      <c r="AQ247" s="51">
        <f t="shared" si="22"/>
        <v>5733046</v>
      </c>
    </row>
    <row r="248" spans="1:43">
      <c r="A248" s="13" t="s">
        <v>680</v>
      </c>
      <c r="B248" s="13"/>
      <c r="C248" s="13" t="s">
        <v>64</v>
      </c>
      <c r="D248" s="13"/>
      <c r="E248" s="32">
        <v>50161</v>
      </c>
      <c r="F248" s="26"/>
      <c r="G248" s="26">
        <v>17567566</v>
      </c>
      <c r="H248" s="26"/>
      <c r="I248" s="26">
        <v>0</v>
      </c>
      <c r="J248" s="26"/>
      <c r="K248" s="26">
        <f>11184939+1309958</f>
        <v>12494897</v>
      </c>
      <c r="L248" s="26"/>
      <c r="M248" s="26">
        <v>98344</v>
      </c>
      <c r="N248" s="26"/>
      <c r="O248" s="26">
        <v>1236170</v>
      </c>
      <c r="P248" s="26"/>
      <c r="Q248" s="26">
        <v>262933</v>
      </c>
      <c r="R248" s="26"/>
      <c r="S248" s="26">
        <v>0</v>
      </c>
      <c r="T248" s="26"/>
      <c r="U248" s="26">
        <v>0</v>
      </c>
      <c r="V248" s="26"/>
      <c r="W248" s="26">
        <f>299884+93225+566478+19253</f>
        <v>978840</v>
      </c>
      <c r="X248" s="26"/>
      <c r="Y248" s="51">
        <f t="shared" si="20"/>
        <v>32638750</v>
      </c>
      <c r="Z248" s="26"/>
      <c r="AA248" s="26">
        <v>0</v>
      </c>
      <c r="AB248" s="26"/>
      <c r="AC248" s="26"/>
      <c r="AD248" s="26"/>
      <c r="AE248" s="26">
        <v>0</v>
      </c>
      <c r="AF248" s="26"/>
      <c r="AG248" s="26"/>
      <c r="AH248" s="26"/>
      <c r="AI248" s="26"/>
      <c r="AJ248" s="26"/>
      <c r="AK248" s="26">
        <v>0</v>
      </c>
      <c r="AL248" s="26"/>
      <c r="AM248" s="26">
        <v>0</v>
      </c>
      <c r="AN248" s="26"/>
      <c r="AO248" s="51">
        <f t="shared" si="21"/>
        <v>0</v>
      </c>
      <c r="AP248" s="26"/>
      <c r="AQ248" s="51">
        <f t="shared" si="22"/>
        <v>32638750</v>
      </c>
    </row>
    <row r="249" spans="1:43">
      <c r="A249" s="13" t="s">
        <v>681</v>
      </c>
      <c r="B249" s="13"/>
      <c r="C249" s="13" t="s">
        <v>64</v>
      </c>
      <c r="D249" s="13"/>
      <c r="E249" s="32">
        <v>45427</v>
      </c>
      <c r="F249" s="26"/>
      <c r="G249" s="26">
        <v>7316213</v>
      </c>
      <c r="H249" s="26"/>
      <c r="I249" s="26">
        <v>0</v>
      </c>
      <c r="J249" s="26"/>
      <c r="K249" s="26">
        <v>21026319</v>
      </c>
      <c r="L249" s="26"/>
      <c r="M249" s="26">
        <v>1643320</v>
      </c>
      <c r="N249" s="26"/>
      <c r="O249" s="26">
        <v>819571</v>
      </c>
      <c r="P249" s="26"/>
      <c r="Q249" s="26">
        <v>188281</v>
      </c>
      <c r="R249" s="26"/>
      <c r="S249" s="26">
        <v>0</v>
      </c>
      <c r="T249" s="26"/>
      <c r="U249" s="26">
        <v>98946</v>
      </c>
      <c r="V249" s="26"/>
      <c r="W249" s="26">
        <f>433730+59390+396958</f>
        <v>890078</v>
      </c>
      <c r="X249" s="26"/>
      <c r="Y249" s="51">
        <f t="shared" si="20"/>
        <v>31982728</v>
      </c>
      <c r="Z249" s="26"/>
      <c r="AA249" s="26">
        <v>369805</v>
      </c>
      <c r="AB249" s="26"/>
      <c r="AC249" s="26"/>
      <c r="AD249" s="26"/>
      <c r="AE249" s="26">
        <v>0</v>
      </c>
      <c r="AF249" s="26"/>
      <c r="AG249" s="26"/>
      <c r="AH249" s="26"/>
      <c r="AI249" s="26"/>
      <c r="AJ249" s="26"/>
      <c r="AK249" s="26">
        <v>0</v>
      </c>
      <c r="AL249" s="26"/>
      <c r="AM249" s="26">
        <v>0</v>
      </c>
      <c r="AN249" s="26"/>
      <c r="AO249" s="51">
        <f t="shared" si="21"/>
        <v>369805</v>
      </c>
      <c r="AP249" s="26"/>
      <c r="AQ249" s="51">
        <f t="shared" si="22"/>
        <v>32352533</v>
      </c>
    </row>
    <row r="250" spans="1:43" ht="12.6" customHeight="1">
      <c r="A250" s="13" t="s">
        <v>547</v>
      </c>
      <c r="B250" s="13"/>
      <c r="C250" s="13" t="s">
        <v>50</v>
      </c>
      <c r="D250" s="13"/>
      <c r="E250" s="32">
        <v>48751</v>
      </c>
      <c r="F250" s="26"/>
      <c r="G250" s="26">
        <v>30400185</v>
      </c>
      <c r="H250" s="26"/>
      <c r="I250" s="26">
        <v>0</v>
      </c>
      <c r="J250" s="26"/>
      <c r="K250" s="26">
        <f>39201327+3026936</f>
        <v>42228263</v>
      </c>
      <c r="L250" s="26"/>
      <c r="M250" s="26">
        <v>899140</v>
      </c>
      <c r="N250" s="26"/>
      <c r="O250" s="26">
        <v>490039</v>
      </c>
      <c r="P250" s="26"/>
      <c r="Q250" s="26">
        <v>902138</v>
      </c>
      <c r="R250" s="26"/>
      <c r="S250" s="26">
        <v>0</v>
      </c>
      <c r="T250" s="26"/>
      <c r="U250" s="26">
        <v>0</v>
      </c>
      <c r="V250" s="26"/>
      <c r="W250" s="26">
        <f>381437+168916+415239+1226357</f>
        <v>2191949</v>
      </c>
      <c r="X250" s="26"/>
      <c r="Y250" s="51">
        <f t="shared" si="20"/>
        <v>77111714</v>
      </c>
      <c r="Z250" s="26"/>
      <c r="AA250" s="26">
        <v>731000</v>
      </c>
      <c r="AB250" s="26"/>
      <c r="AC250" s="26"/>
      <c r="AD250" s="26"/>
      <c r="AE250" s="26">
        <f>108575+150146</f>
        <v>258721</v>
      </c>
      <c r="AF250" s="26"/>
      <c r="AG250" s="26"/>
      <c r="AH250" s="26"/>
      <c r="AI250" s="26"/>
      <c r="AJ250" s="26"/>
      <c r="AK250" s="26">
        <v>0</v>
      </c>
      <c r="AL250" s="26"/>
      <c r="AM250" s="26">
        <v>0</v>
      </c>
      <c r="AN250" s="26"/>
      <c r="AO250" s="51">
        <f t="shared" si="21"/>
        <v>989721</v>
      </c>
      <c r="AP250" s="26"/>
      <c r="AQ250" s="51">
        <f t="shared" si="22"/>
        <v>78101435</v>
      </c>
    </row>
    <row r="251" spans="1:43">
      <c r="A251" s="13" t="s">
        <v>666</v>
      </c>
      <c r="B251" s="13"/>
      <c r="C251" s="13" t="s">
        <v>63</v>
      </c>
      <c r="D251" s="13"/>
      <c r="E251" s="32">
        <v>50021</v>
      </c>
      <c r="F251" s="26"/>
      <c r="G251" s="26">
        <v>43210965</v>
      </c>
      <c r="H251" s="26"/>
      <c r="I251" s="26">
        <v>0</v>
      </c>
      <c r="J251" s="26"/>
      <c r="K251" s="26">
        <f>267000+21580927+1557897</f>
        <v>23405824</v>
      </c>
      <c r="L251" s="26"/>
      <c r="M251" s="26">
        <v>695776</v>
      </c>
      <c r="N251" s="26"/>
      <c r="O251" s="26">
        <v>122188</v>
      </c>
      <c r="P251" s="26"/>
      <c r="Q251" s="26">
        <v>776075</v>
      </c>
      <c r="R251" s="26"/>
      <c r="S251" s="26">
        <v>0</v>
      </c>
      <c r="T251" s="26"/>
      <c r="U251" s="26">
        <v>0</v>
      </c>
      <c r="V251" s="26"/>
      <c r="W251" s="26">
        <f>398069+297232+1529079+34300</f>
        <v>2258680</v>
      </c>
      <c r="X251" s="26"/>
      <c r="Y251" s="51">
        <f t="shared" si="20"/>
        <v>70469508</v>
      </c>
      <c r="Z251" s="26"/>
      <c r="AA251" s="26">
        <v>35000</v>
      </c>
      <c r="AB251" s="26"/>
      <c r="AC251" s="26"/>
      <c r="AD251" s="26"/>
      <c r="AE251" s="26">
        <v>0</v>
      </c>
      <c r="AF251" s="26"/>
      <c r="AG251" s="26"/>
      <c r="AH251" s="26"/>
      <c r="AI251" s="26"/>
      <c r="AJ251" s="26"/>
      <c r="AK251" s="26">
        <v>16000</v>
      </c>
      <c r="AL251" s="26"/>
      <c r="AM251" s="26">
        <v>0</v>
      </c>
      <c r="AN251" s="26"/>
      <c r="AO251" s="51">
        <f t="shared" si="21"/>
        <v>51000</v>
      </c>
      <c r="AP251" s="26"/>
      <c r="AQ251" s="51">
        <f t="shared" si="22"/>
        <v>70520508</v>
      </c>
    </row>
    <row r="252" spans="1:43">
      <c r="A252" s="13" t="s">
        <v>618</v>
      </c>
      <c r="B252" s="13"/>
      <c r="C252" s="13" t="s">
        <v>58</v>
      </c>
      <c r="D252" s="13"/>
      <c r="E252" s="32">
        <v>49502</v>
      </c>
      <c r="F252" s="26"/>
      <c r="G252" s="26">
        <v>1176275</v>
      </c>
      <c r="H252" s="26"/>
      <c r="I252" s="26">
        <v>0</v>
      </c>
      <c r="J252" s="26"/>
      <c r="K252" s="26">
        <v>10652583</v>
      </c>
      <c r="L252" s="26"/>
      <c r="M252" s="26">
        <v>37889</v>
      </c>
      <c r="N252" s="26"/>
      <c r="O252" s="26">
        <v>13353</v>
      </c>
      <c r="P252" s="26"/>
      <c r="Q252" s="26">
        <v>119978</v>
      </c>
      <c r="R252" s="26"/>
      <c r="S252" s="26">
        <v>0</v>
      </c>
      <c r="T252" s="26"/>
      <c r="U252" s="26">
        <v>0</v>
      </c>
      <c r="V252" s="26"/>
      <c r="W252" s="26">
        <f>161593+194133+8700</f>
        <v>364426</v>
      </c>
      <c r="X252" s="26"/>
      <c r="Y252" s="51">
        <f t="shared" si="20"/>
        <v>12364504</v>
      </c>
      <c r="Z252" s="26"/>
      <c r="AA252" s="26">
        <v>8590</v>
      </c>
      <c r="AB252" s="26"/>
      <c r="AC252" s="26"/>
      <c r="AD252" s="26"/>
      <c r="AE252" s="26">
        <v>6770</v>
      </c>
      <c r="AF252" s="26"/>
      <c r="AG252" s="26"/>
      <c r="AH252" s="26"/>
      <c r="AI252" s="26"/>
      <c r="AJ252" s="26"/>
      <c r="AK252" s="26">
        <v>0</v>
      </c>
      <c r="AL252" s="26"/>
      <c r="AM252" s="26">
        <v>0</v>
      </c>
      <c r="AN252" s="26"/>
      <c r="AO252" s="51">
        <f t="shared" si="21"/>
        <v>15360</v>
      </c>
      <c r="AP252" s="26"/>
      <c r="AQ252" s="51">
        <f t="shared" si="22"/>
        <v>12379864</v>
      </c>
    </row>
    <row r="253" spans="1:43">
      <c r="A253" s="13" t="s">
        <v>337</v>
      </c>
      <c r="B253" s="13"/>
      <c r="C253" s="13" t="s">
        <v>24</v>
      </c>
      <c r="D253" s="13"/>
      <c r="E253" s="32">
        <v>44131</v>
      </c>
      <c r="F253" s="26"/>
      <c r="G253" s="26">
        <v>10939940</v>
      </c>
      <c r="H253" s="26"/>
      <c r="I253" s="26">
        <v>0</v>
      </c>
      <c r="J253" s="26"/>
      <c r="K253" s="26">
        <f>5660297+687558</f>
        <v>6347855</v>
      </c>
      <c r="L253" s="26"/>
      <c r="M253" s="26">
        <v>125398</v>
      </c>
      <c r="N253" s="26"/>
      <c r="O253" s="26">
        <v>120923</v>
      </c>
      <c r="P253" s="26"/>
      <c r="Q253" s="26">
        <v>116106</v>
      </c>
      <c r="R253" s="26"/>
      <c r="S253" s="26">
        <v>0</v>
      </c>
      <c r="T253" s="26"/>
      <c r="U253" s="26">
        <v>97796</v>
      </c>
      <c r="V253" s="26"/>
      <c r="W253" s="26">
        <f>128577+49877+63725+452385+246</f>
        <v>694810</v>
      </c>
      <c r="X253" s="26"/>
      <c r="Y253" s="51">
        <f t="shared" si="20"/>
        <v>18442828</v>
      </c>
      <c r="Z253" s="26"/>
      <c r="AA253" s="26">
        <v>22304</v>
      </c>
      <c r="AB253" s="26"/>
      <c r="AC253" s="26"/>
      <c r="AD253" s="26"/>
      <c r="AE253" s="26">
        <f>1595000+50000</f>
        <v>1645000</v>
      </c>
      <c r="AF253" s="26"/>
      <c r="AG253" s="26"/>
      <c r="AH253" s="26"/>
      <c r="AI253" s="26"/>
      <c r="AJ253" s="26"/>
      <c r="AK253" s="26">
        <v>0</v>
      </c>
      <c r="AL253" s="26"/>
      <c r="AM253" s="26">
        <v>0</v>
      </c>
      <c r="AN253" s="26"/>
      <c r="AO253" s="51">
        <f t="shared" si="21"/>
        <v>1667304</v>
      </c>
      <c r="AP253" s="26"/>
      <c r="AQ253" s="51">
        <f t="shared" si="22"/>
        <v>20110132</v>
      </c>
    </row>
    <row r="254" spans="1:43">
      <c r="A254" s="13" t="s">
        <v>309</v>
      </c>
      <c r="B254" s="13"/>
      <c r="C254" s="13" t="s">
        <v>20</v>
      </c>
      <c r="D254" s="13"/>
      <c r="E254" s="32">
        <v>46565</v>
      </c>
      <c r="F254" s="26"/>
      <c r="G254" s="26">
        <v>15058888</v>
      </c>
      <c r="H254" s="26"/>
      <c r="I254" s="26">
        <v>0</v>
      </c>
      <c r="J254" s="26"/>
      <c r="K254" s="26">
        <v>3135698</v>
      </c>
      <c r="L254" s="26"/>
      <c r="M254" s="26">
        <v>46753</v>
      </c>
      <c r="N254" s="26"/>
      <c r="O254" s="26">
        <v>126899</v>
      </c>
      <c r="P254" s="26"/>
      <c r="Q254" s="26">
        <v>62279</v>
      </c>
      <c r="R254" s="26"/>
      <c r="S254" s="26">
        <v>0</v>
      </c>
      <c r="T254" s="26"/>
      <c r="U254" s="26">
        <v>5318</v>
      </c>
      <c r="V254" s="26"/>
      <c r="W254" s="26">
        <f>224991+213401+61469</f>
        <v>499861</v>
      </c>
      <c r="X254" s="26"/>
      <c r="Y254" s="51">
        <f t="shared" si="20"/>
        <v>18935696</v>
      </c>
      <c r="Z254" s="26"/>
      <c r="AA254" s="26">
        <v>604104</v>
      </c>
      <c r="AB254" s="26"/>
      <c r="AC254" s="26"/>
      <c r="AD254" s="26"/>
      <c r="AE254" s="26">
        <v>0</v>
      </c>
      <c r="AF254" s="26"/>
      <c r="AG254" s="26"/>
      <c r="AH254" s="26"/>
      <c r="AI254" s="26"/>
      <c r="AJ254" s="26"/>
      <c r="AK254" s="26">
        <v>181</v>
      </c>
      <c r="AL254" s="26"/>
      <c r="AM254" s="26">
        <v>0</v>
      </c>
      <c r="AN254" s="26"/>
      <c r="AO254" s="51">
        <f t="shared" si="21"/>
        <v>604285</v>
      </c>
      <c r="AP254" s="26"/>
      <c r="AQ254" s="51">
        <f t="shared" si="22"/>
        <v>19539981</v>
      </c>
    </row>
    <row r="255" spans="1:43" ht="13.15" customHeight="1">
      <c r="A255" s="13" t="s">
        <v>451</v>
      </c>
      <c r="B255" s="13"/>
      <c r="C255" s="13" t="s">
        <v>39</v>
      </c>
      <c r="D255" s="13"/>
      <c r="E255" s="32">
        <v>47803</v>
      </c>
      <c r="F255" s="26"/>
      <c r="G255" s="26">
        <v>7433998</v>
      </c>
      <c r="H255" s="26"/>
      <c r="I255" s="26">
        <v>0</v>
      </c>
      <c r="J255" s="26"/>
      <c r="K255" s="26">
        <v>12776577</v>
      </c>
      <c r="L255" s="26"/>
      <c r="M255" s="26">
        <v>58289</v>
      </c>
      <c r="N255" s="26"/>
      <c r="O255" s="26">
        <v>1581514</v>
      </c>
      <c r="P255" s="26"/>
      <c r="Q255" s="26">
        <v>198910</v>
      </c>
      <c r="R255" s="26"/>
      <c r="S255" s="26">
        <v>0</v>
      </c>
      <c r="T255" s="26"/>
      <c r="U255" s="26">
        <v>56944</v>
      </c>
      <c r="V255" s="26"/>
      <c r="W255" s="26">
        <f>30821+338409</f>
        <v>369230</v>
      </c>
      <c r="X255" s="26"/>
      <c r="Y255" s="51">
        <f t="shared" si="20"/>
        <v>22475462</v>
      </c>
      <c r="Z255" s="26"/>
      <c r="AA255" s="26">
        <v>10924009</v>
      </c>
      <c r="AB255" s="26"/>
      <c r="AC255" s="26"/>
      <c r="AD255" s="26"/>
      <c r="AE255" s="26">
        <f>408414+246138+11599999</f>
        <v>12254551</v>
      </c>
      <c r="AF255" s="26"/>
      <c r="AG255" s="26"/>
      <c r="AH255" s="26"/>
      <c r="AI255" s="26"/>
      <c r="AJ255" s="26"/>
      <c r="AK255" s="26">
        <v>0</v>
      </c>
      <c r="AL255" s="26"/>
      <c r="AM255" s="26">
        <v>0</v>
      </c>
      <c r="AN255" s="26"/>
      <c r="AO255" s="51">
        <f t="shared" si="21"/>
        <v>23178560</v>
      </c>
      <c r="AP255" s="26"/>
      <c r="AQ255" s="51">
        <f t="shared" si="22"/>
        <v>45654022</v>
      </c>
    </row>
    <row r="256" spans="1:43">
      <c r="A256" s="13" t="s">
        <v>395</v>
      </c>
      <c r="B256" s="13"/>
      <c r="C256" s="13" t="s">
        <v>32</v>
      </c>
      <c r="D256" s="13"/>
      <c r="E256" s="32">
        <v>45435</v>
      </c>
      <c r="F256" s="26"/>
      <c r="G256" s="26">
        <v>28590895</v>
      </c>
      <c r="H256" s="26"/>
      <c r="I256" s="26">
        <v>0</v>
      </c>
      <c r="J256" s="26"/>
      <c r="K256" s="26">
        <f>2728216+6712324+700487</f>
        <v>10141027</v>
      </c>
      <c r="L256" s="26"/>
      <c r="M256" s="26">
        <v>475384</v>
      </c>
      <c r="N256" s="26"/>
      <c r="O256" s="9">
        <v>17700</v>
      </c>
      <c r="P256" s="26"/>
      <c r="Q256" s="26">
        <v>214371</v>
      </c>
      <c r="R256" s="26"/>
      <c r="S256" s="26">
        <v>0</v>
      </c>
      <c r="T256" s="26"/>
      <c r="U256" s="26">
        <v>4714</v>
      </c>
      <c r="V256" s="26"/>
      <c r="W256" s="26">
        <f>21200+11260+635601</f>
        <v>668061</v>
      </c>
      <c r="X256" s="26"/>
      <c r="Y256" s="51">
        <f t="shared" si="20"/>
        <v>40112152</v>
      </c>
      <c r="Z256" s="26"/>
      <c r="AA256" s="26">
        <v>0</v>
      </c>
      <c r="AB256" s="26"/>
      <c r="AC256" s="26"/>
      <c r="AD256" s="26"/>
      <c r="AE256" s="26">
        <v>307000</v>
      </c>
      <c r="AF256" s="26"/>
      <c r="AG256" s="26"/>
      <c r="AH256" s="26"/>
      <c r="AI256" s="26"/>
      <c r="AJ256" s="26"/>
      <c r="AK256" s="26">
        <v>0</v>
      </c>
      <c r="AL256" s="26"/>
      <c r="AM256" s="26">
        <v>0</v>
      </c>
      <c r="AN256" s="26"/>
      <c r="AO256" s="51">
        <f t="shared" si="21"/>
        <v>307000</v>
      </c>
      <c r="AP256" s="26"/>
      <c r="AQ256" s="51">
        <f t="shared" si="22"/>
        <v>40419152</v>
      </c>
    </row>
    <row r="257" spans="1:44" hidden="1">
      <c r="A257" s="12" t="s">
        <v>947</v>
      </c>
      <c r="B257" s="12"/>
      <c r="C257" s="12" t="s">
        <v>43</v>
      </c>
      <c r="D257" s="13"/>
      <c r="E257" s="32"/>
      <c r="F257" s="26"/>
      <c r="G257" s="26">
        <v>10643152</v>
      </c>
      <c r="H257" s="26"/>
      <c r="I257" s="26"/>
      <c r="J257" s="26"/>
      <c r="K257" s="26">
        <f>7311352+1368390</f>
        <v>8679742</v>
      </c>
      <c r="L257" s="26"/>
      <c r="M257" s="26">
        <v>446497</v>
      </c>
      <c r="N257" s="26"/>
      <c r="O257" s="9">
        <v>626922</v>
      </c>
      <c r="P257" s="26"/>
      <c r="Q257" s="26">
        <v>203169</v>
      </c>
      <c r="R257" s="26"/>
      <c r="S257" s="26"/>
      <c r="T257" s="26"/>
      <c r="U257" s="26"/>
      <c r="V257" s="26"/>
      <c r="W257" s="26">
        <f>304504+77339+392090</f>
        <v>773933</v>
      </c>
      <c r="X257" s="26"/>
      <c r="Y257" s="51">
        <f t="shared" si="20"/>
        <v>21373415</v>
      </c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51"/>
      <c r="AP257" s="26"/>
      <c r="AQ257" s="51">
        <f t="shared" si="22"/>
        <v>21373415</v>
      </c>
    </row>
    <row r="258" spans="1:44">
      <c r="A258" s="13" t="s">
        <v>697</v>
      </c>
      <c r="B258" s="13"/>
      <c r="C258" s="13" t="s">
        <v>65</v>
      </c>
      <c r="D258" s="13"/>
      <c r="E258" s="32">
        <v>50286</v>
      </c>
      <c r="F258" s="26"/>
      <c r="G258" s="26">
        <v>4805526</v>
      </c>
      <c r="H258" s="26"/>
      <c r="I258" s="26">
        <v>0</v>
      </c>
      <c r="J258" s="26"/>
      <c r="K258" s="26">
        <v>11127821</v>
      </c>
      <c r="L258" s="26"/>
      <c r="M258" s="26">
        <v>70204</v>
      </c>
      <c r="N258" s="26"/>
      <c r="O258" s="26">
        <v>1409333</v>
      </c>
      <c r="P258" s="26"/>
      <c r="Q258" s="26">
        <v>173079</v>
      </c>
      <c r="R258" s="26"/>
      <c r="S258" s="26">
        <v>0</v>
      </c>
      <c r="T258" s="26"/>
      <c r="U258" s="26">
        <v>102514</v>
      </c>
      <c r="V258" s="26"/>
      <c r="W258" s="26">
        <f>6322+418058+2726</f>
        <v>427106</v>
      </c>
      <c r="X258" s="26"/>
      <c r="Y258" s="51">
        <f t="shared" si="20"/>
        <v>18115583</v>
      </c>
      <c r="Z258" s="26"/>
      <c r="AA258" s="26">
        <v>0</v>
      </c>
      <c r="AB258" s="26"/>
      <c r="AC258" s="26"/>
      <c r="AD258" s="26"/>
      <c r="AE258" s="26">
        <v>152878</v>
      </c>
      <c r="AF258" s="26"/>
      <c r="AG258" s="26"/>
      <c r="AH258" s="26"/>
      <c r="AI258" s="26"/>
      <c r="AJ258" s="26"/>
      <c r="AK258" s="26">
        <v>0</v>
      </c>
      <c r="AL258" s="26"/>
      <c r="AM258" s="26">
        <v>0</v>
      </c>
      <c r="AN258" s="26"/>
      <c r="AO258" s="51">
        <f t="shared" ref="AO258:AO270" si="23">AK258+AE258+AA258</f>
        <v>152878</v>
      </c>
      <c r="AP258" s="26"/>
      <c r="AQ258" s="51">
        <f t="shared" si="22"/>
        <v>18268461</v>
      </c>
    </row>
    <row r="259" spans="1:44">
      <c r="A259" s="13" t="s">
        <v>469</v>
      </c>
      <c r="B259" s="13"/>
      <c r="C259" s="13" t="s">
        <v>466</v>
      </c>
      <c r="D259" s="13"/>
      <c r="E259" s="32">
        <v>44149</v>
      </c>
      <c r="F259" s="26"/>
      <c r="G259" s="26">
        <v>3552671</v>
      </c>
      <c r="H259" s="26"/>
      <c r="I259" s="26">
        <v>0</v>
      </c>
      <c r="J259" s="26"/>
      <c r="K259" s="26">
        <v>20109190</v>
      </c>
      <c r="L259" s="26"/>
      <c r="M259" s="26">
        <v>419165</v>
      </c>
      <c r="N259" s="26"/>
      <c r="O259" s="26">
        <v>875064</v>
      </c>
      <c r="P259" s="26"/>
      <c r="Q259" s="26">
        <v>247724</v>
      </c>
      <c r="R259" s="26"/>
      <c r="S259" s="26">
        <v>0</v>
      </c>
      <c r="T259" s="26"/>
      <c r="U259" s="26">
        <v>0</v>
      </c>
      <c r="V259" s="26"/>
      <c r="W259" s="26">
        <f>10250+149908+85540</f>
        <v>245698</v>
      </c>
      <c r="X259" s="26"/>
      <c r="Y259" s="51">
        <f t="shared" si="20"/>
        <v>25449512</v>
      </c>
      <c r="Z259" s="26"/>
      <c r="AA259" s="26">
        <v>122091</v>
      </c>
      <c r="AB259" s="26"/>
      <c r="AC259" s="26"/>
      <c r="AD259" s="26"/>
      <c r="AE259" s="26">
        <v>0</v>
      </c>
      <c r="AF259" s="26"/>
      <c r="AG259" s="26"/>
      <c r="AH259" s="26"/>
      <c r="AI259" s="26"/>
      <c r="AJ259" s="26"/>
      <c r="AK259" s="26">
        <v>0</v>
      </c>
      <c r="AL259" s="26"/>
      <c r="AM259" s="26">
        <v>0</v>
      </c>
      <c r="AN259" s="26"/>
      <c r="AO259" s="51">
        <f t="shared" si="23"/>
        <v>122091</v>
      </c>
      <c r="AP259" s="26"/>
      <c r="AQ259" s="51">
        <f t="shared" si="22"/>
        <v>25571603</v>
      </c>
    </row>
    <row r="260" spans="1:44" hidden="1">
      <c r="A260" s="12" t="s">
        <v>948</v>
      </c>
      <c r="B260" s="13"/>
      <c r="C260" s="13" t="s">
        <v>61</v>
      </c>
      <c r="D260" s="13"/>
      <c r="E260" s="32">
        <v>49809</v>
      </c>
      <c r="F260" s="26"/>
      <c r="G260" s="26">
        <v>1960398</v>
      </c>
      <c r="H260" s="26"/>
      <c r="I260" s="26"/>
      <c r="J260" s="26"/>
      <c r="K260" s="26">
        <f>2344530+268630</f>
        <v>2613160</v>
      </c>
      <c r="L260" s="26"/>
      <c r="M260" s="26">
        <v>8472</v>
      </c>
      <c r="N260" s="26"/>
      <c r="O260" s="26">
        <v>432873</v>
      </c>
      <c r="P260" s="26"/>
      <c r="Q260" s="26">
        <v>95793</v>
      </c>
      <c r="R260" s="26"/>
      <c r="S260" s="26"/>
      <c r="T260" s="26"/>
      <c r="U260" s="26">
        <v>90853</v>
      </c>
      <c r="V260" s="26"/>
      <c r="W260" s="26">
        <f>6651+56397+30571+134222</f>
        <v>227841</v>
      </c>
      <c r="X260" s="26"/>
      <c r="Y260" s="51">
        <f t="shared" si="20"/>
        <v>5429390</v>
      </c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>
        <v>0</v>
      </c>
      <c r="AN260" s="26"/>
      <c r="AO260" s="51">
        <f t="shared" si="23"/>
        <v>0</v>
      </c>
      <c r="AP260" s="26"/>
      <c r="AQ260" s="51">
        <f t="shared" si="22"/>
        <v>5429390</v>
      </c>
    </row>
    <row r="261" spans="1:44" hidden="1">
      <c r="A261" s="12" t="s">
        <v>982</v>
      </c>
      <c r="B261" s="13"/>
      <c r="C261" s="13" t="s">
        <v>38</v>
      </c>
      <c r="D261" s="13"/>
      <c r="E261" s="32"/>
      <c r="F261" s="26"/>
      <c r="G261" s="26">
        <v>6546223</v>
      </c>
      <c r="H261" s="26"/>
      <c r="I261" s="26"/>
      <c r="J261" s="26"/>
      <c r="K261" s="26">
        <v>17725150</v>
      </c>
      <c r="L261" s="26"/>
      <c r="M261" s="26">
        <v>515727</v>
      </c>
      <c r="N261" s="26"/>
      <c r="O261" s="26">
        <v>541645</v>
      </c>
      <c r="P261" s="26"/>
      <c r="Q261" s="26">
        <v>424140</v>
      </c>
      <c r="R261" s="26"/>
      <c r="S261" s="26"/>
      <c r="T261" s="26"/>
      <c r="U261" s="26">
        <v>128656</v>
      </c>
      <c r="V261" s="26"/>
      <c r="W261" s="26">
        <f>23374+865053+19015</f>
        <v>907442</v>
      </c>
      <c r="X261" s="26"/>
      <c r="Y261" s="51">
        <f>SUM(G261:W261)</f>
        <v>26788983</v>
      </c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>
        <v>0</v>
      </c>
      <c r="AN261" s="26"/>
      <c r="AO261" s="51">
        <f t="shared" si="23"/>
        <v>0</v>
      </c>
      <c r="AP261" s="26"/>
      <c r="AQ261" s="51">
        <f t="shared" si="22"/>
        <v>26788983</v>
      </c>
      <c r="AR261" s="8" t="s">
        <v>956</v>
      </c>
    </row>
    <row r="262" spans="1:44">
      <c r="A262" s="13" t="s">
        <v>652</v>
      </c>
      <c r="B262" s="13"/>
      <c r="C262" s="13" t="s">
        <v>62</v>
      </c>
      <c r="D262" s="13"/>
      <c r="E262" s="32">
        <v>49858</v>
      </c>
      <c r="F262" s="26"/>
      <c r="G262" s="26">
        <v>39558822</v>
      </c>
      <c r="H262" s="26"/>
      <c r="I262" s="26">
        <v>0</v>
      </c>
      <c r="J262" s="26"/>
      <c r="K262" s="26">
        <f>1883952+13858780+144435</f>
        <v>15887167</v>
      </c>
      <c r="L262" s="26"/>
      <c r="M262" s="26">
        <v>415276</v>
      </c>
      <c r="N262" s="26"/>
      <c r="O262" s="26">
        <v>282482</v>
      </c>
      <c r="P262" s="26"/>
      <c r="Q262" s="26">
        <v>817723</v>
      </c>
      <c r="R262" s="26"/>
      <c r="S262" s="26">
        <v>0</v>
      </c>
      <c r="T262" s="26"/>
      <c r="U262" s="26">
        <v>182585</v>
      </c>
      <c r="V262" s="26"/>
      <c r="W262" s="26">
        <f>250594+119689+30661+730488+1176963+12755</f>
        <v>2321150</v>
      </c>
      <c r="X262" s="26"/>
      <c r="Y262" s="51">
        <f t="shared" si="20"/>
        <v>59465205</v>
      </c>
      <c r="Z262" s="26"/>
      <c r="AA262" s="26">
        <v>11401</v>
      </c>
      <c r="AB262" s="26"/>
      <c r="AC262" s="26"/>
      <c r="AD262" s="26"/>
      <c r="AE262" s="26">
        <v>0</v>
      </c>
      <c r="AF262" s="26"/>
      <c r="AG262" s="26"/>
      <c r="AH262" s="26"/>
      <c r="AI262" s="26"/>
      <c r="AJ262" s="26"/>
      <c r="AK262" s="26">
        <v>7281</v>
      </c>
      <c r="AL262" s="26"/>
      <c r="AM262" s="26">
        <v>0</v>
      </c>
      <c r="AN262" s="26"/>
      <c r="AO262" s="51">
        <f t="shared" si="23"/>
        <v>18682</v>
      </c>
      <c r="AP262" s="26"/>
      <c r="AQ262" s="51">
        <f t="shared" si="22"/>
        <v>59483887</v>
      </c>
    </row>
    <row r="263" spans="1:44">
      <c r="A263" s="13" t="s">
        <v>512</v>
      </c>
      <c r="B263" s="13"/>
      <c r="C263" s="13" t="s">
        <v>45</v>
      </c>
      <c r="D263" s="13"/>
      <c r="E263" s="32">
        <v>48322</v>
      </c>
      <c r="F263" s="26"/>
      <c r="G263" s="26">
        <v>5341917</v>
      </c>
      <c r="H263" s="26"/>
      <c r="I263" s="26">
        <v>0</v>
      </c>
      <c r="J263" s="26"/>
      <c r="K263" s="26">
        <f>25906+3945630+525118</f>
        <v>4496654</v>
      </c>
      <c r="L263" s="26"/>
      <c r="M263" s="26">
        <v>444959</v>
      </c>
      <c r="N263" s="26"/>
      <c r="O263" s="26">
        <v>413233</v>
      </c>
      <c r="P263" s="26"/>
      <c r="Q263" s="26">
        <v>70087</v>
      </c>
      <c r="R263" s="26"/>
      <c r="S263" s="26">
        <v>0</v>
      </c>
      <c r="T263" s="26"/>
      <c r="U263" s="26">
        <v>48107</v>
      </c>
      <c r="V263" s="26"/>
      <c r="W263" s="26">
        <f>66588+1541+13350+165194</f>
        <v>246673</v>
      </c>
      <c r="X263" s="26"/>
      <c r="Y263" s="51">
        <f t="shared" si="20"/>
        <v>11061630</v>
      </c>
      <c r="Z263" s="26"/>
      <c r="AA263" s="26">
        <v>65608</v>
      </c>
      <c r="AB263" s="26"/>
      <c r="AC263" s="26"/>
      <c r="AD263" s="26"/>
      <c r="AE263" s="26">
        <v>0</v>
      </c>
      <c r="AF263" s="26"/>
      <c r="AG263" s="26"/>
      <c r="AH263" s="26"/>
      <c r="AI263" s="26"/>
      <c r="AJ263" s="26"/>
      <c r="AK263" s="26">
        <v>0</v>
      </c>
      <c r="AL263" s="26"/>
      <c r="AM263" s="26">
        <v>0</v>
      </c>
      <c r="AN263" s="26"/>
      <c r="AO263" s="51">
        <f t="shared" si="23"/>
        <v>65608</v>
      </c>
      <c r="AP263" s="26"/>
      <c r="AQ263" s="51">
        <f t="shared" si="22"/>
        <v>11127238</v>
      </c>
    </row>
    <row r="264" spans="1:44">
      <c r="A264" s="13" t="s">
        <v>591</v>
      </c>
      <c r="B264" s="13"/>
      <c r="C264" s="13" t="s">
        <v>56</v>
      </c>
      <c r="D264" s="13"/>
      <c r="E264" s="32">
        <v>49205</v>
      </c>
      <c r="F264" s="26"/>
      <c r="G264" s="26">
        <v>4747735</v>
      </c>
      <c r="H264" s="26"/>
      <c r="I264" s="26">
        <v>0</v>
      </c>
      <c r="J264" s="26"/>
      <c r="K264" s="26">
        <f>6879349+760757</f>
        <v>7640106</v>
      </c>
      <c r="L264" s="26"/>
      <c r="M264" s="26">
        <v>41533</v>
      </c>
      <c r="N264" s="26"/>
      <c r="O264" s="26">
        <v>1010420</v>
      </c>
      <c r="P264" s="26"/>
      <c r="Q264" s="26">
        <v>120324</v>
      </c>
      <c r="R264" s="26"/>
      <c r="S264" s="26">
        <v>0</v>
      </c>
      <c r="T264" s="26"/>
      <c r="U264" s="26">
        <v>0</v>
      </c>
      <c r="V264" s="26"/>
      <c r="W264" s="26">
        <f>210335+22469+329508+8961</f>
        <v>571273</v>
      </c>
      <c r="X264" s="26"/>
      <c r="Y264" s="51">
        <f t="shared" si="20"/>
        <v>14131391</v>
      </c>
      <c r="Z264" s="26"/>
      <c r="AA264" s="26">
        <v>423</v>
      </c>
      <c r="AB264" s="26"/>
      <c r="AC264" s="26"/>
      <c r="AD264" s="26"/>
      <c r="AE264" s="26">
        <v>0</v>
      </c>
      <c r="AF264" s="26"/>
      <c r="AG264" s="26"/>
      <c r="AH264" s="26"/>
      <c r="AI264" s="26"/>
      <c r="AJ264" s="26"/>
      <c r="AK264" s="26">
        <v>11197</v>
      </c>
      <c r="AL264" s="26"/>
      <c r="AM264" s="26">
        <v>0</v>
      </c>
      <c r="AN264" s="26"/>
      <c r="AO264" s="51">
        <f t="shared" si="23"/>
        <v>11620</v>
      </c>
      <c r="AP264" s="26"/>
      <c r="AQ264" s="51">
        <f t="shared" si="22"/>
        <v>14143011</v>
      </c>
    </row>
    <row r="265" spans="1:44">
      <c r="A265" s="12" t="s">
        <v>221</v>
      </c>
      <c r="B265" s="13"/>
      <c r="C265" s="13" t="s">
        <v>12</v>
      </c>
      <c r="D265" s="13"/>
      <c r="E265" s="32">
        <v>45872</v>
      </c>
      <c r="F265" s="26"/>
      <c r="G265" s="26">
        <v>6920147</v>
      </c>
      <c r="H265" s="26"/>
      <c r="I265" s="26">
        <v>0</v>
      </c>
      <c r="J265" s="26"/>
      <c r="K265" s="26">
        <v>16033270</v>
      </c>
      <c r="L265" s="26"/>
      <c r="M265" s="26">
        <v>455382</v>
      </c>
      <c r="N265" s="26"/>
      <c r="O265" s="26">
        <v>637370</v>
      </c>
      <c r="P265" s="26"/>
      <c r="Q265" s="26">
        <v>76759</v>
      </c>
      <c r="R265" s="26"/>
      <c r="S265" s="26">
        <v>0</v>
      </c>
      <c r="T265" s="26"/>
      <c r="U265" s="26">
        <v>5550</v>
      </c>
      <c r="V265" s="26"/>
      <c r="W265" s="26">
        <f>241466+640+319077</f>
        <v>561183</v>
      </c>
      <c r="X265" s="26"/>
      <c r="Y265" s="51">
        <f t="shared" si="20"/>
        <v>24689661</v>
      </c>
      <c r="Z265" s="26"/>
      <c r="AA265" s="26">
        <v>89296</v>
      </c>
      <c r="AB265" s="26"/>
      <c r="AC265" s="26"/>
      <c r="AD265" s="26"/>
      <c r="AE265" s="26">
        <v>301689</v>
      </c>
      <c r="AF265" s="26"/>
      <c r="AG265" s="26"/>
      <c r="AH265" s="26"/>
      <c r="AI265" s="26"/>
      <c r="AJ265" s="26"/>
      <c r="AK265" s="26">
        <v>89628</v>
      </c>
      <c r="AL265" s="26"/>
      <c r="AM265" s="26">
        <v>0</v>
      </c>
      <c r="AN265" s="26"/>
      <c r="AO265" s="51">
        <f t="shared" si="23"/>
        <v>480613</v>
      </c>
      <c r="AP265" s="26"/>
      <c r="AQ265" s="51">
        <f t="shared" si="22"/>
        <v>25170274</v>
      </c>
      <c r="AR265" s="8" t="s">
        <v>956</v>
      </c>
    </row>
    <row r="266" spans="1:44">
      <c r="A266" s="12"/>
      <c r="B266" s="13"/>
      <c r="C266" s="13"/>
      <c r="D266" s="13"/>
      <c r="E266" s="32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51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51"/>
      <c r="AP266" s="26"/>
      <c r="AQ266" s="51"/>
    </row>
    <row r="267" spans="1:44">
      <c r="A267" s="12"/>
      <c r="B267" s="13"/>
      <c r="C267" s="13"/>
      <c r="D267" s="13"/>
      <c r="E267" s="32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51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51"/>
      <c r="AP267" s="26"/>
      <c r="AQ267" s="135" t="s">
        <v>805</v>
      </c>
    </row>
    <row r="268" spans="1:44">
      <c r="A268" s="12"/>
      <c r="B268" s="13"/>
      <c r="C268" s="13"/>
      <c r="D268" s="13"/>
      <c r="E268" s="32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51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51"/>
      <c r="AP268" s="26"/>
      <c r="AQ268" s="51"/>
    </row>
    <row r="269" spans="1:44">
      <c r="A269" s="13" t="s">
        <v>504</v>
      </c>
      <c r="B269" s="13"/>
      <c r="C269" s="13" t="s">
        <v>505</v>
      </c>
      <c r="D269" s="13"/>
      <c r="E269" s="32">
        <v>48256</v>
      </c>
      <c r="F269" s="26"/>
      <c r="G269" s="43">
        <v>6107221</v>
      </c>
      <c r="H269" s="43"/>
      <c r="I269" s="43">
        <v>0</v>
      </c>
      <c r="J269" s="43"/>
      <c r="K269" s="43">
        <f>1998+5052008+622861</f>
        <v>5676867</v>
      </c>
      <c r="L269" s="43"/>
      <c r="M269" s="43">
        <v>73467</v>
      </c>
      <c r="N269" s="43"/>
      <c r="O269" s="43">
        <v>527308</v>
      </c>
      <c r="P269" s="43"/>
      <c r="Q269" s="43">
        <v>174297</v>
      </c>
      <c r="R269" s="43"/>
      <c r="S269" s="43">
        <v>0</v>
      </c>
      <c r="T269" s="43"/>
      <c r="U269" s="43">
        <v>38685</v>
      </c>
      <c r="V269" s="43"/>
      <c r="W269" s="43">
        <f>384514+4860+48378+323090</f>
        <v>760842</v>
      </c>
      <c r="X269" s="43"/>
      <c r="Y269" s="129">
        <f t="shared" si="20"/>
        <v>13358687</v>
      </c>
      <c r="Z269" s="43"/>
      <c r="AA269" s="43">
        <v>151645</v>
      </c>
      <c r="AB269" s="43"/>
      <c r="AC269" s="43"/>
      <c r="AD269" s="43"/>
      <c r="AE269" s="43">
        <v>1350000</v>
      </c>
      <c r="AF269" s="43"/>
      <c r="AG269" s="43"/>
      <c r="AH269" s="43"/>
      <c r="AI269" s="43"/>
      <c r="AJ269" s="43"/>
      <c r="AK269" s="43">
        <v>0</v>
      </c>
      <c r="AL269" s="43"/>
      <c r="AM269" s="43">
        <v>0</v>
      </c>
      <c r="AN269" s="43"/>
      <c r="AO269" s="129">
        <f t="shared" si="23"/>
        <v>1501645</v>
      </c>
      <c r="AP269" s="43"/>
      <c r="AQ269" s="129">
        <f t="shared" si="22"/>
        <v>14860332</v>
      </c>
    </row>
    <row r="270" spans="1:44">
      <c r="A270" s="12" t="s">
        <v>548</v>
      </c>
      <c r="B270" s="13"/>
      <c r="C270" s="13" t="s">
        <v>50</v>
      </c>
      <c r="D270" s="13"/>
      <c r="E270" s="32">
        <v>48686</v>
      </c>
      <c r="F270" s="26"/>
      <c r="G270" s="26">
        <v>2780536</v>
      </c>
      <c r="H270" s="26"/>
      <c r="I270" s="26">
        <v>0</v>
      </c>
      <c r="J270" s="26"/>
      <c r="K270" s="26">
        <f>4888190+1209767</f>
        <v>6097957</v>
      </c>
      <c r="L270" s="26"/>
      <c r="M270" s="26">
        <v>12241</v>
      </c>
      <c r="N270" s="26"/>
      <c r="O270" s="26">
        <v>558112</v>
      </c>
      <c r="P270" s="26"/>
      <c r="Q270" s="26">
        <v>32512</v>
      </c>
      <c r="R270" s="26"/>
      <c r="S270" s="26">
        <v>0</v>
      </c>
      <c r="T270" s="26"/>
      <c r="U270" s="26">
        <v>0</v>
      </c>
      <c r="V270" s="26"/>
      <c r="W270" s="26">
        <f>47849+4498+37838</f>
        <v>90185</v>
      </c>
      <c r="X270" s="26"/>
      <c r="Y270" s="51">
        <f t="shared" si="20"/>
        <v>9571543</v>
      </c>
      <c r="Z270" s="26"/>
      <c r="AA270" s="26">
        <v>32092</v>
      </c>
      <c r="AB270" s="26"/>
      <c r="AC270" s="26"/>
      <c r="AD270" s="26"/>
      <c r="AE270" s="26">
        <v>1500000</v>
      </c>
      <c r="AF270" s="26"/>
      <c r="AG270" s="26"/>
      <c r="AH270" s="26"/>
      <c r="AI270" s="26"/>
      <c r="AJ270" s="26"/>
      <c r="AK270" s="26">
        <v>0</v>
      </c>
      <c r="AL270" s="26"/>
      <c r="AM270" s="26">
        <v>0</v>
      </c>
      <c r="AN270" s="26"/>
      <c r="AO270" s="51">
        <f t="shared" si="23"/>
        <v>1532092</v>
      </c>
      <c r="AP270" s="26"/>
      <c r="AQ270" s="51">
        <f t="shared" si="22"/>
        <v>11103635</v>
      </c>
      <c r="AR270" s="8" t="s">
        <v>956</v>
      </c>
    </row>
    <row r="271" spans="1:44" hidden="1">
      <c r="A271" s="12" t="s">
        <v>949</v>
      </c>
      <c r="B271" s="12"/>
      <c r="C271" s="12" t="s">
        <v>603</v>
      </c>
      <c r="D271" s="13"/>
      <c r="E271" s="32"/>
      <c r="F271" s="26"/>
      <c r="G271" s="26">
        <v>953159</v>
      </c>
      <c r="H271" s="26"/>
      <c r="I271" s="26">
        <v>328249</v>
      </c>
      <c r="J271" s="26"/>
      <c r="K271" s="26">
        <v>2243222</v>
      </c>
      <c r="L271" s="26"/>
      <c r="M271" s="26">
        <v>20253</v>
      </c>
      <c r="N271" s="26"/>
      <c r="O271" s="26">
        <v>403260</v>
      </c>
      <c r="P271" s="26"/>
      <c r="Q271" s="26">
        <v>109666</v>
      </c>
      <c r="R271" s="26"/>
      <c r="S271" s="26"/>
      <c r="T271" s="26"/>
      <c r="U271" s="26"/>
      <c r="V271" s="26"/>
      <c r="W271" s="26">
        <f>107866+48412</f>
        <v>156278</v>
      </c>
      <c r="X271" s="26"/>
      <c r="Y271" s="51">
        <f t="shared" si="20"/>
        <v>4214087</v>
      </c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51"/>
      <c r="AP271" s="26"/>
      <c r="AQ271" s="51">
        <f t="shared" si="22"/>
        <v>4214087</v>
      </c>
    </row>
    <row r="272" spans="1:44">
      <c r="A272" s="13" t="s">
        <v>474</v>
      </c>
      <c r="B272" s="13"/>
      <c r="C272" s="13" t="s">
        <v>42</v>
      </c>
      <c r="D272" s="13"/>
      <c r="E272" s="32">
        <v>47985</v>
      </c>
      <c r="F272" s="26"/>
      <c r="G272" s="26">
        <v>6242862</v>
      </c>
      <c r="H272" s="26"/>
      <c r="I272" s="26">
        <v>0</v>
      </c>
      <c r="J272" s="26"/>
      <c r="K272" s="26">
        <f>5789439+540310+1750</f>
        <v>6331499</v>
      </c>
      <c r="L272" s="26"/>
      <c r="M272" s="26">
        <v>68182</v>
      </c>
      <c r="N272" s="26"/>
      <c r="O272" s="26">
        <v>221247</v>
      </c>
      <c r="P272" s="26"/>
      <c r="Q272" s="26">
        <v>153710</v>
      </c>
      <c r="R272" s="26"/>
      <c r="S272" s="26">
        <v>0</v>
      </c>
      <c r="T272" s="26"/>
      <c r="U272" s="26">
        <v>0</v>
      </c>
      <c r="V272" s="26"/>
      <c r="W272" s="26">
        <f>40497+85289+266817+66824</f>
        <v>459427</v>
      </c>
      <c r="X272" s="26"/>
      <c r="Y272" s="51">
        <f t="shared" si="20"/>
        <v>13476927</v>
      </c>
      <c r="Z272" s="26"/>
      <c r="AA272" s="26">
        <v>124161</v>
      </c>
      <c r="AB272" s="26"/>
      <c r="AC272" s="26"/>
      <c r="AD272" s="26"/>
      <c r="AE272" s="26">
        <v>0</v>
      </c>
      <c r="AF272" s="26"/>
      <c r="AG272" s="26"/>
      <c r="AH272" s="26"/>
      <c r="AI272" s="26"/>
      <c r="AJ272" s="26"/>
      <c r="AK272" s="26">
        <v>746</v>
      </c>
      <c r="AL272" s="26"/>
      <c r="AM272" s="26">
        <v>0</v>
      </c>
      <c r="AN272" s="26"/>
      <c r="AO272" s="51">
        <f t="shared" ref="AO272:AO303" si="24">AK272+AE272+AA272</f>
        <v>124907</v>
      </c>
      <c r="AP272" s="26"/>
      <c r="AQ272" s="51">
        <f t="shared" si="22"/>
        <v>13601834</v>
      </c>
    </row>
    <row r="273" spans="1:44">
      <c r="A273" s="13" t="s">
        <v>506</v>
      </c>
      <c r="B273" s="13"/>
      <c r="C273" s="13" t="s">
        <v>505</v>
      </c>
      <c r="D273" s="13"/>
      <c r="E273" s="32">
        <v>48264</v>
      </c>
      <c r="F273" s="26"/>
      <c r="G273" s="26">
        <v>8959745</v>
      </c>
      <c r="H273" s="26"/>
      <c r="I273" s="26">
        <v>0</v>
      </c>
      <c r="J273" s="26"/>
      <c r="K273" s="26">
        <f>9931+10687316+798899</f>
        <v>11496146</v>
      </c>
      <c r="L273" s="26"/>
      <c r="M273" s="26">
        <v>16976</v>
      </c>
      <c r="N273" s="26"/>
      <c r="O273" s="26">
        <v>710767</v>
      </c>
      <c r="P273" s="26"/>
      <c r="Q273" s="26">
        <v>417321</v>
      </c>
      <c r="R273" s="26"/>
      <c r="S273" s="26">
        <v>0</v>
      </c>
      <c r="T273" s="26"/>
      <c r="U273" s="26">
        <v>0</v>
      </c>
      <c r="V273" s="26"/>
      <c r="W273" s="26">
        <f>33019+121157+506716</f>
        <v>660892</v>
      </c>
      <c r="X273" s="26"/>
      <c r="Y273" s="51">
        <f t="shared" si="20"/>
        <v>22261847</v>
      </c>
      <c r="Z273" s="26"/>
      <c r="AA273" s="26">
        <v>640559</v>
      </c>
      <c r="AB273" s="26"/>
      <c r="AC273" s="26"/>
      <c r="AD273" s="26"/>
      <c r="AE273" s="26">
        <v>0</v>
      </c>
      <c r="AF273" s="26"/>
      <c r="AG273" s="26"/>
      <c r="AH273" s="26"/>
      <c r="AI273" s="26"/>
      <c r="AJ273" s="26"/>
      <c r="AK273" s="26">
        <v>0</v>
      </c>
      <c r="AL273" s="26"/>
      <c r="AM273" s="26">
        <v>0</v>
      </c>
      <c r="AN273" s="26"/>
      <c r="AO273" s="51">
        <f t="shared" si="24"/>
        <v>640559</v>
      </c>
      <c r="AP273" s="26"/>
      <c r="AQ273" s="51">
        <f t="shared" si="22"/>
        <v>22902406</v>
      </c>
    </row>
    <row r="274" spans="1:44">
      <c r="A274" s="13" t="s">
        <v>682</v>
      </c>
      <c r="B274" s="13"/>
      <c r="C274" s="13" t="s">
        <v>64</v>
      </c>
      <c r="D274" s="13"/>
      <c r="E274" s="32">
        <v>50179</v>
      </c>
      <c r="F274" s="26"/>
      <c r="G274" s="26">
        <v>3403433</v>
      </c>
      <c r="H274" s="26"/>
      <c r="I274" s="26">
        <v>0</v>
      </c>
      <c r="J274" s="26"/>
      <c r="K274" s="26">
        <v>5434625</v>
      </c>
      <c r="L274" s="26"/>
      <c r="M274" s="26">
        <v>45865</v>
      </c>
      <c r="N274" s="26"/>
      <c r="O274" s="26">
        <v>224131</v>
      </c>
      <c r="P274" s="26"/>
      <c r="Q274" s="26">
        <v>61097</v>
      </c>
      <c r="R274" s="26"/>
      <c r="S274" s="26">
        <v>0</v>
      </c>
      <c r="T274" s="26"/>
      <c r="U274" s="26">
        <v>32009</v>
      </c>
      <c r="V274" s="26"/>
      <c r="W274" s="26">
        <f>39310+54+37317</f>
        <v>76681</v>
      </c>
      <c r="X274" s="26"/>
      <c r="Y274" s="51">
        <f t="shared" si="20"/>
        <v>9277841</v>
      </c>
      <c r="Z274" s="26"/>
      <c r="AA274" s="26">
        <v>5378</v>
      </c>
      <c r="AB274" s="26"/>
      <c r="AC274" s="26"/>
      <c r="AD274" s="26"/>
      <c r="AE274" s="26">
        <v>0</v>
      </c>
      <c r="AF274" s="26"/>
      <c r="AG274" s="26"/>
      <c r="AH274" s="26"/>
      <c r="AI274" s="26"/>
      <c r="AJ274" s="26"/>
      <c r="AK274" s="26">
        <v>22550</v>
      </c>
      <c r="AL274" s="26"/>
      <c r="AM274" s="26">
        <v>0</v>
      </c>
      <c r="AN274" s="26"/>
      <c r="AO274" s="51">
        <f t="shared" si="24"/>
        <v>27928</v>
      </c>
      <c r="AP274" s="26"/>
      <c r="AQ274" s="51">
        <f t="shared" si="22"/>
        <v>9305769</v>
      </c>
    </row>
    <row r="275" spans="1:44">
      <c r="A275" s="13" t="s">
        <v>338</v>
      </c>
      <c r="B275" s="13"/>
      <c r="C275" s="13" t="s">
        <v>24</v>
      </c>
      <c r="D275" s="13"/>
      <c r="E275" s="32">
        <v>46797</v>
      </c>
      <c r="F275" s="26"/>
      <c r="G275" s="26">
        <v>1075204</v>
      </c>
      <c r="H275" s="26"/>
      <c r="I275" s="26">
        <v>0</v>
      </c>
      <c r="J275" s="26"/>
      <c r="K275" s="26">
        <f>143079+15452</f>
        <v>158531</v>
      </c>
      <c r="L275" s="26"/>
      <c r="M275" s="26">
        <v>6511</v>
      </c>
      <c r="N275" s="26"/>
      <c r="O275" s="26">
        <v>0</v>
      </c>
      <c r="P275" s="26"/>
      <c r="Q275" s="26">
        <v>0</v>
      </c>
      <c r="R275" s="26"/>
      <c r="S275" s="26">
        <v>0</v>
      </c>
      <c r="T275" s="26"/>
      <c r="U275" s="26">
        <v>0</v>
      </c>
      <c r="V275" s="26"/>
      <c r="W275" s="26">
        <v>286</v>
      </c>
      <c r="X275" s="26"/>
      <c r="Y275" s="51">
        <f t="shared" si="20"/>
        <v>1240532</v>
      </c>
      <c r="Z275" s="26"/>
      <c r="AA275" s="26">
        <v>0</v>
      </c>
      <c r="AB275" s="26"/>
      <c r="AC275" s="26"/>
      <c r="AD275" s="26"/>
      <c r="AE275" s="26">
        <v>0</v>
      </c>
      <c r="AF275" s="26"/>
      <c r="AG275" s="26"/>
      <c r="AH275" s="26"/>
      <c r="AI275" s="26"/>
      <c r="AJ275" s="26"/>
      <c r="AK275" s="26">
        <v>0</v>
      </c>
      <c r="AL275" s="26"/>
      <c r="AM275" s="26">
        <v>0</v>
      </c>
      <c r="AN275" s="26"/>
      <c r="AO275" s="51">
        <f t="shared" si="24"/>
        <v>0</v>
      </c>
      <c r="AP275" s="26"/>
      <c r="AQ275" s="51">
        <f t="shared" si="22"/>
        <v>1240532</v>
      </c>
    </row>
    <row r="276" spans="1:44">
      <c r="A276" s="13" t="s">
        <v>380</v>
      </c>
      <c r="B276" s="13"/>
      <c r="C276" s="13" t="s">
        <v>30</v>
      </c>
      <c r="D276" s="13"/>
      <c r="E276" s="32">
        <v>47191</v>
      </c>
      <c r="F276" s="26"/>
      <c r="G276" s="26">
        <v>26882644</v>
      </c>
      <c r="H276" s="26"/>
      <c r="I276" s="26">
        <v>0</v>
      </c>
      <c r="J276" s="26"/>
      <c r="K276" s="26">
        <v>11306090</v>
      </c>
      <c r="L276" s="26"/>
      <c r="M276" s="26">
        <v>214506</v>
      </c>
      <c r="N276" s="26"/>
      <c r="O276" s="26">
        <v>167908</v>
      </c>
      <c r="P276" s="26"/>
      <c r="Q276" s="26">
        <v>609348</v>
      </c>
      <c r="R276" s="26"/>
      <c r="S276" s="26">
        <v>0</v>
      </c>
      <c r="T276" s="26"/>
      <c r="U276" s="26">
        <v>0</v>
      </c>
      <c r="V276" s="26"/>
      <c r="W276" s="26">
        <v>386988</v>
      </c>
      <c r="X276" s="26"/>
      <c r="Y276" s="51">
        <f t="shared" si="20"/>
        <v>39567484</v>
      </c>
      <c r="Z276" s="26"/>
      <c r="AA276" s="26">
        <v>116585</v>
      </c>
      <c r="AB276" s="26"/>
      <c r="AC276" s="26"/>
      <c r="AD276" s="26"/>
      <c r="AE276" s="26">
        <v>0</v>
      </c>
      <c r="AF276" s="26"/>
      <c r="AG276" s="26"/>
      <c r="AH276" s="26"/>
      <c r="AI276" s="26"/>
      <c r="AJ276" s="26"/>
      <c r="AK276" s="26">
        <v>80000</v>
      </c>
      <c r="AL276" s="26"/>
      <c r="AM276" s="26">
        <v>0</v>
      </c>
      <c r="AN276" s="26"/>
      <c r="AO276" s="51">
        <f t="shared" si="24"/>
        <v>196585</v>
      </c>
      <c r="AP276" s="26"/>
      <c r="AQ276" s="51">
        <f t="shared" si="22"/>
        <v>39764069</v>
      </c>
    </row>
    <row r="277" spans="1:44">
      <c r="A277" s="13" t="s">
        <v>592</v>
      </c>
      <c r="B277" s="13"/>
      <c r="C277" s="13" t="s">
        <v>56</v>
      </c>
      <c r="D277" s="13"/>
      <c r="E277" s="32">
        <v>44164</v>
      </c>
      <c r="F277" s="26"/>
      <c r="G277" s="26">
        <v>23992155</v>
      </c>
      <c r="H277" s="26"/>
      <c r="I277" s="26">
        <v>0</v>
      </c>
      <c r="J277" s="26"/>
      <c r="K277" s="26">
        <v>21648454</v>
      </c>
      <c r="L277" s="26"/>
      <c r="M277" s="26">
        <v>444352</v>
      </c>
      <c r="N277" s="26"/>
      <c r="O277" s="26">
        <v>2745776</v>
      </c>
      <c r="P277" s="26"/>
      <c r="Q277" s="26">
        <v>336056</v>
      </c>
      <c r="R277" s="26"/>
      <c r="S277" s="26">
        <v>0</v>
      </c>
      <c r="T277" s="26"/>
      <c r="U277" s="26">
        <v>80480</v>
      </c>
      <c r="V277" s="26"/>
      <c r="W277" s="26">
        <f>828064+180893+111304</f>
        <v>1120261</v>
      </c>
      <c r="X277" s="26"/>
      <c r="Y277" s="51">
        <f t="shared" si="20"/>
        <v>50367534</v>
      </c>
      <c r="Z277" s="26"/>
      <c r="AA277" s="26">
        <v>605320</v>
      </c>
      <c r="AB277" s="26"/>
      <c r="AC277" s="26"/>
      <c r="AD277" s="26"/>
      <c r="AE277" s="26">
        <v>67838</v>
      </c>
      <c r="AF277" s="26"/>
      <c r="AG277" s="26"/>
      <c r="AH277" s="26"/>
      <c r="AI277" s="26"/>
      <c r="AJ277" s="26"/>
      <c r="AK277" s="26">
        <v>0</v>
      </c>
      <c r="AL277" s="26"/>
      <c r="AM277" s="26">
        <v>0</v>
      </c>
      <c r="AN277" s="26"/>
      <c r="AO277" s="51">
        <f t="shared" si="24"/>
        <v>673158</v>
      </c>
      <c r="AP277" s="26"/>
      <c r="AQ277" s="51">
        <f t="shared" si="22"/>
        <v>51040692</v>
      </c>
    </row>
    <row r="278" spans="1:44">
      <c r="A278" s="13" t="s">
        <v>423</v>
      </c>
      <c r="B278" s="13"/>
      <c r="C278" s="13" t="s">
        <v>421</v>
      </c>
      <c r="D278" s="13"/>
      <c r="E278" s="32">
        <v>44172</v>
      </c>
      <c r="F278" s="26"/>
      <c r="G278" s="26">
        <v>3778081</v>
      </c>
      <c r="H278" s="26"/>
      <c r="I278" s="26">
        <v>1753019</v>
      </c>
      <c r="J278" s="26"/>
      <c r="K278" s="26">
        <v>11725442</v>
      </c>
      <c r="L278" s="26"/>
      <c r="M278" s="26">
        <v>92634</v>
      </c>
      <c r="N278" s="26"/>
      <c r="O278" s="26">
        <v>761455</v>
      </c>
      <c r="P278" s="26"/>
      <c r="Q278" s="26">
        <v>204942</v>
      </c>
      <c r="R278" s="26"/>
      <c r="S278" s="26">
        <v>0</v>
      </c>
      <c r="T278" s="26"/>
      <c r="U278" s="26">
        <v>5998</v>
      </c>
      <c r="V278" s="26"/>
      <c r="W278" s="26">
        <f>53685+369503</f>
        <v>423188</v>
      </c>
      <c r="X278" s="26"/>
      <c r="Y278" s="51">
        <f t="shared" si="20"/>
        <v>18744759</v>
      </c>
      <c r="Z278" s="26"/>
      <c r="AA278" s="26">
        <v>0</v>
      </c>
      <c r="AB278" s="26"/>
      <c r="AC278" s="26"/>
      <c r="AD278" s="26"/>
      <c r="AE278" s="26">
        <v>0</v>
      </c>
      <c r="AF278" s="26"/>
      <c r="AG278" s="26"/>
      <c r="AH278" s="26"/>
      <c r="AI278" s="26"/>
      <c r="AJ278" s="26"/>
      <c r="AK278" s="26">
        <v>0</v>
      </c>
      <c r="AL278" s="26"/>
      <c r="AM278" s="26">
        <v>0</v>
      </c>
      <c r="AN278" s="26"/>
      <c r="AO278" s="51">
        <f t="shared" si="24"/>
        <v>0</v>
      </c>
      <c r="AP278" s="26"/>
      <c r="AQ278" s="51">
        <f t="shared" si="22"/>
        <v>18744759</v>
      </c>
    </row>
    <row r="279" spans="1:44">
      <c r="A279" s="13" t="s">
        <v>549</v>
      </c>
      <c r="B279" s="13"/>
      <c r="C279" s="13" t="s">
        <v>50</v>
      </c>
      <c r="D279" s="13"/>
      <c r="E279" s="32">
        <v>44180</v>
      </c>
      <c r="F279" s="26"/>
      <c r="G279" s="26">
        <v>57658781</v>
      </c>
      <c r="H279" s="26"/>
      <c r="I279" s="26">
        <v>0</v>
      </c>
      <c r="J279" s="26"/>
      <c r="K279" s="26">
        <v>33117698</v>
      </c>
      <c r="L279" s="26"/>
      <c r="M279" s="26">
        <v>680404</v>
      </c>
      <c r="N279" s="26"/>
      <c r="O279" s="26">
        <v>693321</v>
      </c>
      <c r="P279" s="26"/>
      <c r="Q279" s="26">
        <v>701920</v>
      </c>
      <c r="R279" s="26"/>
      <c r="S279" s="26">
        <v>0</v>
      </c>
      <c r="T279" s="26"/>
      <c r="U279" s="26">
        <v>0</v>
      </c>
      <c r="V279" s="26"/>
      <c r="W279" s="26">
        <f>1104229+205572+1767093+74964</f>
        <v>3151858</v>
      </c>
      <c r="X279" s="26"/>
      <c r="Y279" s="51">
        <f t="shared" si="20"/>
        <v>96003982</v>
      </c>
      <c r="Z279" s="26"/>
      <c r="AA279" s="26">
        <v>0</v>
      </c>
      <c r="AB279" s="26"/>
      <c r="AC279" s="26"/>
      <c r="AD279" s="26"/>
      <c r="AE279" s="26">
        <v>0</v>
      </c>
      <c r="AF279" s="26"/>
      <c r="AG279" s="26"/>
      <c r="AH279" s="26"/>
      <c r="AI279" s="26"/>
      <c r="AJ279" s="26"/>
      <c r="AK279" s="26">
        <v>0</v>
      </c>
      <c r="AL279" s="26"/>
      <c r="AM279" s="26">
        <v>0</v>
      </c>
      <c r="AN279" s="26"/>
      <c r="AO279" s="51">
        <f t="shared" si="24"/>
        <v>0</v>
      </c>
      <c r="AP279" s="26"/>
      <c r="AQ279" s="51">
        <f t="shared" si="22"/>
        <v>96003982</v>
      </c>
    </row>
    <row r="280" spans="1:44">
      <c r="A280" s="13" t="s">
        <v>489</v>
      </c>
      <c r="B280" s="13"/>
      <c r="C280" s="13" t="s">
        <v>44</v>
      </c>
      <c r="D280" s="13"/>
      <c r="E280" s="32">
        <v>48165</v>
      </c>
      <c r="F280" s="26"/>
      <c r="G280" s="26">
        <v>5403970</v>
      </c>
      <c r="H280" s="26"/>
      <c r="I280" s="26">
        <v>0</v>
      </c>
      <c r="J280" s="26"/>
      <c r="K280" s="26">
        <f>7420+8244818+694053</f>
        <v>8946291</v>
      </c>
      <c r="L280" s="26"/>
      <c r="M280" s="26">
        <v>151933</v>
      </c>
      <c r="N280" s="26"/>
      <c r="O280" s="26">
        <v>419581</v>
      </c>
      <c r="P280" s="26"/>
      <c r="Q280" s="26">
        <v>77507</v>
      </c>
      <c r="R280" s="26"/>
      <c r="S280" s="26">
        <v>0</v>
      </c>
      <c r="T280" s="26"/>
      <c r="U280" s="26">
        <v>38395</v>
      </c>
      <c r="V280" s="26"/>
      <c r="W280" s="26">
        <f>366484+6613+610810+74981</f>
        <v>1058888</v>
      </c>
      <c r="X280" s="26"/>
      <c r="Y280" s="51">
        <f t="shared" si="20"/>
        <v>16096565</v>
      </c>
      <c r="Z280" s="26"/>
      <c r="AA280" s="26">
        <v>1017061</v>
      </c>
      <c r="AB280" s="26"/>
      <c r="AC280" s="26"/>
      <c r="AD280" s="26"/>
      <c r="AE280" s="26">
        <v>890000</v>
      </c>
      <c r="AF280" s="26"/>
      <c r="AG280" s="26"/>
      <c r="AH280" s="26"/>
      <c r="AI280" s="26"/>
      <c r="AJ280" s="26"/>
      <c r="AK280" s="26">
        <f>10030+594123</f>
        <v>604153</v>
      </c>
      <c r="AL280" s="26"/>
      <c r="AM280" s="26">
        <v>0</v>
      </c>
      <c r="AN280" s="26"/>
      <c r="AO280" s="51">
        <f t="shared" si="24"/>
        <v>2511214</v>
      </c>
      <c r="AP280" s="26"/>
      <c r="AQ280" s="51">
        <f t="shared" si="22"/>
        <v>18607779</v>
      </c>
    </row>
    <row r="281" spans="1:44">
      <c r="A281" s="13" t="s">
        <v>710</v>
      </c>
      <c r="B281" s="13"/>
      <c r="C281" s="13" t="s">
        <v>69</v>
      </c>
      <c r="D281" s="13"/>
      <c r="E281" s="32">
        <v>50435</v>
      </c>
      <c r="F281" s="26"/>
      <c r="G281" s="26">
        <v>27245358</v>
      </c>
      <c r="H281" s="26"/>
      <c r="I281" s="26">
        <v>0</v>
      </c>
      <c r="J281" s="26"/>
      <c r="K281" s="26">
        <v>15070836</v>
      </c>
      <c r="L281" s="26"/>
      <c r="M281" s="26">
        <v>542527</v>
      </c>
      <c r="N281" s="26"/>
      <c r="O281" s="26">
        <v>265990</v>
      </c>
      <c r="P281" s="26"/>
      <c r="Q281" s="26">
        <v>121244</v>
      </c>
      <c r="R281" s="26"/>
      <c r="S281" s="26">
        <v>1421488</v>
      </c>
      <c r="T281" s="26"/>
      <c r="U281" s="26">
        <v>0</v>
      </c>
      <c r="V281" s="26"/>
      <c r="W281" s="26">
        <v>925493</v>
      </c>
      <c r="X281" s="26"/>
      <c r="Y281" s="51">
        <f t="shared" si="20"/>
        <v>45592936</v>
      </c>
      <c r="Z281" s="26"/>
      <c r="AA281" s="26">
        <v>0</v>
      </c>
      <c r="AB281" s="26"/>
      <c r="AC281" s="26"/>
      <c r="AD281" s="26"/>
      <c r="AE281" s="26">
        <v>0</v>
      </c>
      <c r="AF281" s="26"/>
      <c r="AG281" s="26"/>
      <c r="AH281" s="26"/>
      <c r="AI281" s="26"/>
      <c r="AJ281" s="26"/>
      <c r="AK281" s="26">
        <v>6396</v>
      </c>
      <c r="AL281" s="26"/>
      <c r="AM281" s="26">
        <v>0</v>
      </c>
      <c r="AN281" s="26"/>
      <c r="AO281" s="51">
        <f t="shared" si="24"/>
        <v>6396</v>
      </c>
      <c r="AP281" s="26"/>
      <c r="AQ281" s="51">
        <f t="shared" si="22"/>
        <v>45599332</v>
      </c>
    </row>
    <row r="282" spans="1:44" hidden="1">
      <c r="A282" s="12" t="s">
        <v>1022</v>
      </c>
      <c r="B282" s="13"/>
      <c r="C282" s="13" t="s">
        <v>41</v>
      </c>
      <c r="D282" s="13"/>
      <c r="E282" s="32">
        <v>47878</v>
      </c>
      <c r="F282" s="26"/>
      <c r="G282" s="26">
        <v>11318530</v>
      </c>
      <c r="H282" s="26"/>
      <c r="I282" s="26"/>
      <c r="J282" s="26"/>
      <c r="K282" s="26">
        <v>3226393</v>
      </c>
      <c r="L282" s="26"/>
      <c r="M282" s="26">
        <v>236314</v>
      </c>
      <c r="N282" s="26"/>
      <c r="O282" s="26">
        <v>349064</v>
      </c>
      <c r="P282" s="26"/>
      <c r="Q282" s="26">
        <v>199186</v>
      </c>
      <c r="R282" s="26"/>
      <c r="S282" s="26"/>
      <c r="T282" s="26"/>
      <c r="U282" s="26">
        <v>109298</v>
      </c>
      <c r="V282" s="26"/>
      <c r="W282" s="26">
        <f>233252+25940+64397</f>
        <v>323589</v>
      </c>
      <c r="X282" s="26"/>
      <c r="Y282" s="51">
        <f t="shared" si="20"/>
        <v>15762374</v>
      </c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>
        <v>0</v>
      </c>
      <c r="AN282" s="26"/>
      <c r="AO282" s="51">
        <f t="shared" si="24"/>
        <v>0</v>
      </c>
      <c r="AP282" s="26"/>
      <c r="AQ282" s="51">
        <f t="shared" si="22"/>
        <v>15762374</v>
      </c>
      <c r="AR282" s="15"/>
    </row>
    <row r="283" spans="1:44">
      <c r="A283" s="13" t="s">
        <v>683</v>
      </c>
      <c r="B283" s="13"/>
      <c r="C283" s="13" t="s">
        <v>64</v>
      </c>
      <c r="D283" s="13"/>
      <c r="E283" s="32">
        <v>50245</v>
      </c>
      <c r="F283" s="26"/>
      <c r="G283" s="26">
        <v>3470200</v>
      </c>
      <c r="H283" s="26"/>
      <c r="I283" s="26">
        <v>0</v>
      </c>
      <c r="J283" s="26"/>
      <c r="K283" s="26">
        <f>8708708+1044695</f>
        <v>9753403</v>
      </c>
      <c r="L283" s="26"/>
      <c r="M283" s="26">
        <v>126089</v>
      </c>
      <c r="N283" s="26"/>
      <c r="O283" s="26">
        <v>1017819</v>
      </c>
      <c r="P283" s="26"/>
      <c r="Q283" s="26">
        <v>184639</v>
      </c>
      <c r="R283" s="26"/>
      <c r="S283" s="26">
        <v>0</v>
      </c>
      <c r="T283" s="26"/>
      <c r="U283" s="26">
        <v>0</v>
      </c>
      <c r="V283" s="26"/>
      <c r="W283" s="26">
        <f>165653+38160+211743</f>
        <v>415556</v>
      </c>
      <c r="X283" s="26"/>
      <c r="Y283" s="51">
        <f t="shared" si="20"/>
        <v>14967706</v>
      </c>
      <c r="Z283" s="26"/>
      <c r="AA283" s="26">
        <v>0</v>
      </c>
      <c r="AB283" s="26"/>
      <c r="AC283" s="26"/>
      <c r="AD283" s="26"/>
      <c r="AE283" s="26">
        <v>0</v>
      </c>
      <c r="AF283" s="26"/>
      <c r="AG283" s="26"/>
      <c r="AH283" s="26"/>
      <c r="AI283" s="26"/>
      <c r="AJ283" s="26"/>
      <c r="AK283" s="26">
        <v>0</v>
      </c>
      <c r="AL283" s="26"/>
      <c r="AM283" s="26">
        <v>0</v>
      </c>
      <c r="AN283" s="26"/>
      <c r="AO283" s="51">
        <f t="shared" si="24"/>
        <v>0</v>
      </c>
      <c r="AP283" s="26"/>
      <c r="AQ283" s="51">
        <f t="shared" si="22"/>
        <v>14967706</v>
      </c>
    </row>
    <row r="284" spans="1:44">
      <c r="A284" s="13" t="s">
        <v>653</v>
      </c>
      <c r="B284" s="13"/>
      <c r="C284" s="13" t="s">
        <v>62</v>
      </c>
      <c r="D284" s="13"/>
      <c r="E284" s="32">
        <v>49866</v>
      </c>
      <c r="F284" s="26"/>
      <c r="G284" s="26">
        <v>14628248</v>
      </c>
      <c r="H284" s="26"/>
      <c r="I284" s="26">
        <v>0</v>
      </c>
      <c r="J284" s="26"/>
      <c r="K284" s="26">
        <v>18841073</v>
      </c>
      <c r="L284" s="26"/>
      <c r="M284" s="26">
        <v>137632</v>
      </c>
      <c r="N284" s="26"/>
      <c r="O284" s="26">
        <v>170642</v>
      </c>
      <c r="P284" s="26"/>
      <c r="Q284" s="26">
        <v>360037</v>
      </c>
      <c r="R284" s="26"/>
      <c r="S284" s="26">
        <v>0</v>
      </c>
      <c r="T284" s="26"/>
      <c r="U284" s="26">
        <v>0</v>
      </c>
      <c r="V284" s="26"/>
      <c r="W284" s="26">
        <f>175101+19964</f>
        <v>195065</v>
      </c>
      <c r="X284" s="26"/>
      <c r="Y284" s="51">
        <f t="shared" si="20"/>
        <v>34332697</v>
      </c>
      <c r="Z284" s="26"/>
      <c r="AA284" s="26">
        <v>100443</v>
      </c>
      <c r="AB284" s="26"/>
      <c r="AC284" s="26"/>
      <c r="AD284" s="26"/>
      <c r="AE284" s="26">
        <v>0</v>
      </c>
      <c r="AF284" s="26"/>
      <c r="AG284" s="26"/>
      <c r="AH284" s="26"/>
      <c r="AI284" s="26"/>
      <c r="AJ284" s="26"/>
      <c r="AK284" s="26">
        <v>0</v>
      </c>
      <c r="AL284" s="26"/>
      <c r="AM284" s="26">
        <v>0</v>
      </c>
      <c r="AN284" s="26"/>
      <c r="AO284" s="51">
        <f t="shared" si="24"/>
        <v>100443</v>
      </c>
      <c r="AP284" s="26"/>
      <c r="AQ284" s="51">
        <f t="shared" si="22"/>
        <v>34433140</v>
      </c>
    </row>
    <row r="285" spans="1:44">
      <c r="A285" s="13" t="s">
        <v>653</v>
      </c>
      <c r="B285" s="13"/>
      <c r="C285" s="13" t="s">
        <v>72</v>
      </c>
      <c r="D285" s="13"/>
      <c r="E285" s="32">
        <v>50690</v>
      </c>
      <c r="F285" s="26"/>
      <c r="G285" s="26">
        <v>7660425</v>
      </c>
      <c r="H285" s="26"/>
      <c r="I285" s="26">
        <v>0</v>
      </c>
      <c r="J285" s="26"/>
      <c r="K285" s="26">
        <v>7713655</v>
      </c>
      <c r="L285" s="26"/>
      <c r="M285" s="26">
        <v>106045</v>
      </c>
      <c r="N285" s="26"/>
      <c r="O285" s="26">
        <v>502582</v>
      </c>
      <c r="P285" s="26"/>
      <c r="Q285" s="26">
        <v>358590</v>
      </c>
      <c r="R285" s="26"/>
      <c r="S285" s="26">
        <v>46000</v>
      </c>
      <c r="T285" s="26"/>
      <c r="U285" s="26">
        <v>44226</v>
      </c>
      <c r="V285" s="26"/>
      <c r="W285" s="26">
        <f>34+296754+6250</f>
        <v>303038</v>
      </c>
      <c r="X285" s="26"/>
      <c r="Y285" s="51">
        <f t="shared" si="20"/>
        <v>16734561</v>
      </c>
      <c r="Z285" s="26"/>
      <c r="AA285" s="26">
        <v>114747</v>
      </c>
      <c r="AB285" s="26"/>
      <c r="AC285" s="26"/>
      <c r="AD285" s="26"/>
      <c r="AE285" s="26">
        <v>155611</v>
      </c>
      <c r="AF285" s="26"/>
      <c r="AG285" s="26"/>
      <c r="AH285" s="26"/>
      <c r="AI285" s="26"/>
      <c r="AJ285" s="26"/>
      <c r="AK285" s="26">
        <v>1350</v>
      </c>
      <c r="AL285" s="26"/>
      <c r="AM285" s="26">
        <v>0</v>
      </c>
      <c r="AN285" s="26"/>
      <c r="AO285" s="51">
        <f t="shared" si="24"/>
        <v>271708</v>
      </c>
      <c r="AP285" s="26"/>
      <c r="AQ285" s="51">
        <f t="shared" si="22"/>
        <v>17006269</v>
      </c>
    </row>
    <row r="286" spans="1:44">
      <c r="A286" s="13" t="s">
        <v>684</v>
      </c>
      <c r="B286" s="13"/>
      <c r="C286" s="13" t="s">
        <v>64</v>
      </c>
      <c r="D286" s="13"/>
      <c r="E286" s="32">
        <v>50187</v>
      </c>
      <c r="F286" s="26"/>
      <c r="G286" s="26">
        <v>6865940</v>
      </c>
      <c r="H286" s="26"/>
      <c r="I286" s="26">
        <v>0</v>
      </c>
      <c r="J286" s="26"/>
      <c r="K286" s="26">
        <v>10024225</v>
      </c>
      <c r="L286" s="26"/>
      <c r="M286" s="26">
        <v>32371</v>
      </c>
      <c r="N286" s="26"/>
      <c r="O286" s="26">
        <v>611346</v>
      </c>
      <c r="P286" s="26"/>
      <c r="Q286" s="26">
        <v>248275</v>
      </c>
      <c r="R286" s="26"/>
      <c r="S286" s="26">
        <v>0</v>
      </c>
      <c r="T286" s="26"/>
      <c r="U286" s="26">
        <v>30581</v>
      </c>
      <c r="V286" s="26"/>
      <c r="W286" s="26">
        <f>401321+13181+83385</f>
        <v>497887</v>
      </c>
      <c r="X286" s="26"/>
      <c r="Y286" s="51">
        <f t="shared" si="20"/>
        <v>18310625</v>
      </c>
      <c r="Z286" s="26"/>
      <c r="AA286" s="26">
        <v>430</v>
      </c>
      <c r="AB286" s="26"/>
      <c r="AC286" s="26"/>
      <c r="AD286" s="26"/>
      <c r="AE286" s="26">
        <v>0</v>
      </c>
      <c r="AF286" s="26"/>
      <c r="AG286" s="26"/>
      <c r="AH286" s="26"/>
      <c r="AI286" s="26"/>
      <c r="AJ286" s="26"/>
      <c r="AK286" s="26">
        <v>0</v>
      </c>
      <c r="AL286" s="26"/>
      <c r="AM286" s="26">
        <v>0</v>
      </c>
      <c r="AN286" s="26"/>
      <c r="AO286" s="51">
        <f t="shared" si="24"/>
        <v>430</v>
      </c>
      <c r="AP286" s="26"/>
      <c r="AQ286" s="51">
        <f t="shared" si="22"/>
        <v>18311055</v>
      </c>
    </row>
    <row r="287" spans="1:44">
      <c r="A287" s="13" t="s">
        <v>310</v>
      </c>
      <c r="B287" s="13"/>
      <c r="C287" s="13" t="s">
        <v>20</v>
      </c>
      <c r="D287" s="13"/>
      <c r="E287" s="32">
        <v>44198</v>
      </c>
      <c r="F287" s="26"/>
      <c r="G287" s="26">
        <v>43426437</v>
      </c>
      <c r="H287" s="26"/>
      <c r="I287" s="26">
        <v>0</v>
      </c>
      <c r="J287" s="26"/>
      <c r="K287" s="26">
        <f>18639+28494719+4316829</f>
        <v>32830187</v>
      </c>
      <c r="L287" s="26"/>
      <c r="M287" s="26">
        <v>1474268</v>
      </c>
      <c r="N287" s="26"/>
      <c r="O287" s="26">
        <v>2350660</v>
      </c>
      <c r="P287" s="26"/>
      <c r="Q287" s="26">
        <v>836829</v>
      </c>
      <c r="R287" s="26"/>
      <c r="S287" s="26">
        <v>0</v>
      </c>
      <c r="T287" s="26"/>
      <c r="U287" s="26">
        <v>965</v>
      </c>
      <c r="V287" s="26"/>
      <c r="W287" s="26">
        <f>312146+767283+414655+231097</f>
        <v>1725181</v>
      </c>
      <c r="X287" s="26"/>
      <c r="Y287" s="51">
        <f t="shared" si="20"/>
        <v>82644527</v>
      </c>
      <c r="Z287" s="26"/>
      <c r="AA287" s="26">
        <v>45000</v>
      </c>
      <c r="AB287" s="26"/>
      <c r="AC287" s="26"/>
      <c r="AD287" s="26"/>
      <c r="AE287" s="26">
        <v>0</v>
      </c>
      <c r="AF287" s="26"/>
      <c r="AG287" s="26"/>
      <c r="AH287" s="26"/>
      <c r="AI287" s="26"/>
      <c r="AJ287" s="26"/>
      <c r="AK287" s="26">
        <v>338855</v>
      </c>
      <c r="AL287" s="26"/>
      <c r="AM287" s="26">
        <v>0</v>
      </c>
      <c r="AN287" s="26"/>
      <c r="AO287" s="51">
        <f t="shared" si="24"/>
        <v>383855</v>
      </c>
      <c r="AP287" s="26"/>
      <c r="AQ287" s="51">
        <f t="shared" si="22"/>
        <v>83028382</v>
      </c>
    </row>
    <row r="288" spans="1:44">
      <c r="A288" s="13" t="s">
        <v>863</v>
      </c>
      <c r="B288" s="13"/>
      <c r="C288" s="13" t="s">
        <v>42</v>
      </c>
      <c r="D288" s="13"/>
      <c r="E288" s="32">
        <v>47993</v>
      </c>
      <c r="F288" s="26"/>
      <c r="G288" s="26">
        <v>10904861</v>
      </c>
      <c r="H288" s="26"/>
      <c r="I288" s="26">
        <v>0</v>
      </c>
      <c r="J288" s="26"/>
      <c r="K288" s="26">
        <f>8552098+864923</f>
        <v>9417021</v>
      </c>
      <c r="L288" s="26"/>
      <c r="M288" s="26">
        <v>161884</v>
      </c>
      <c r="N288" s="26"/>
      <c r="O288" s="26">
        <v>352668</v>
      </c>
      <c r="P288" s="26"/>
      <c r="Q288" s="26">
        <v>170671</v>
      </c>
      <c r="R288" s="26"/>
      <c r="S288" s="26">
        <v>0</v>
      </c>
      <c r="T288" s="26"/>
      <c r="U288" s="26">
        <v>0</v>
      </c>
      <c r="V288" s="26"/>
      <c r="W288" s="26">
        <f>260916+54727</f>
        <v>315643</v>
      </c>
      <c r="X288" s="26"/>
      <c r="Y288" s="51">
        <f t="shared" si="20"/>
        <v>21322748</v>
      </c>
      <c r="Z288" s="26"/>
      <c r="AA288" s="26">
        <v>0</v>
      </c>
      <c r="AB288" s="26"/>
      <c r="AC288" s="26"/>
      <c r="AD288" s="26"/>
      <c r="AE288" s="26">
        <v>0</v>
      </c>
      <c r="AF288" s="26"/>
      <c r="AG288" s="26"/>
      <c r="AH288" s="26"/>
      <c r="AI288" s="26"/>
      <c r="AJ288" s="26"/>
      <c r="AK288" s="26">
        <v>9472</v>
      </c>
      <c r="AL288" s="26"/>
      <c r="AM288" s="26">
        <v>0</v>
      </c>
      <c r="AN288" s="26"/>
      <c r="AO288" s="51">
        <f t="shared" si="24"/>
        <v>9472</v>
      </c>
      <c r="AP288" s="26"/>
      <c r="AQ288" s="51">
        <f t="shared" si="22"/>
        <v>21332220</v>
      </c>
    </row>
    <row r="289" spans="1:44">
      <c r="A289" s="13" t="s">
        <v>245</v>
      </c>
      <c r="B289" s="13"/>
      <c r="C289" s="13" t="s">
        <v>242</v>
      </c>
      <c r="D289" s="13"/>
      <c r="E289" s="32">
        <v>46110</v>
      </c>
      <c r="F289" s="26"/>
      <c r="G289" s="26">
        <v>93210158</v>
      </c>
      <c r="H289" s="26"/>
      <c r="I289" s="26">
        <v>0</v>
      </c>
      <c r="J289" s="26"/>
      <c r="K289" s="26">
        <v>67917331</v>
      </c>
      <c r="L289" s="26"/>
      <c r="M289" s="26">
        <v>1674144</v>
      </c>
      <c r="N289" s="26"/>
      <c r="O289" s="26">
        <v>746895</v>
      </c>
      <c r="P289" s="26"/>
      <c r="Q289" s="26">
        <v>2006843</v>
      </c>
      <c r="R289" s="26"/>
      <c r="S289" s="26">
        <v>8862405</v>
      </c>
      <c r="T289" s="26"/>
      <c r="U289" s="26">
        <v>0</v>
      </c>
      <c r="V289" s="26"/>
      <c r="W289" s="26">
        <v>1138540</v>
      </c>
      <c r="X289" s="26"/>
      <c r="Y289" s="51">
        <f t="shared" si="20"/>
        <v>175556316</v>
      </c>
      <c r="Z289" s="26"/>
      <c r="AA289" s="26">
        <v>1996206</v>
      </c>
      <c r="AB289" s="26"/>
      <c r="AC289" s="26"/>
      <c r="AD289" s="26"/>
      <c r="AE289" s="26">
        <f>4100000+16680000+1065460</f>
        <v>21845460</v>
      </c>
      <c r="AF289" s="26"/>
      <c r="AG289" s="26"/>
      <c r="AH289" s="26"/>
      <c r="AI289" s="26"/>
      <c r="AJ289" s="26"/>
      <c r="AK289" s="26">
        <v>48096</v>
      </c>
      <c r="AL289" s="26"/>
      <c r="AM289" s="26">
        <v>0</v>
      </c>
      <c r="AN289" s="26"/>
      <c r="AO289" s="51">
        <f t="shared" si="24"/>
        <v>23889762</v>
      </c>
      <c r="AP289" s="26"/>
      <c r="AQ289" s="51">
        <f t="shared" si="22"/>
        <v>199446078</v>
      </c>
    </row>
    <row r="290" spans="1:44">
      <c r="A290" s="12" t="s">
        <v>986</v>
      </c>
      <c r="B290" s="13"/>
      <c r="C290" s="13" t="s">
        <v>79</v>
      </c>
      <c r="D290" s="13"/>
      <c r="E290" s="32">
        <v>49569</v>
      </c>
      <c r="F290" s="26"/>
      <c r="G290" s="26">
        <v>4717051</v>
      </c>
      <c r="H290" s="26"/>
      <c r="I290" s="26">
        <v>0</v>
      </c>
      <c r="J290" s="26"/>
      <c r="K290" s="26">
        <f>967842+11233143+36631</f>
        <v>12237616</v>
      </c>
      <c r="L290" s="26"/>
      <c r="M290" s="26">
        <v>381556</v>
      </c>
      <c r="N290" s="26"/>
      <c r="O290" s="26">
        <v>295031</v>
      </c>
      <c r="P290" s="26"/>
      <c r="Q290" s="26">
        <v>76660</v>
      </c>
      <c r="R290" s="26"/>
      <c r="S290" s="26">
        <v>0</v>
      </c>
      <c r="T290" s="26"/>
      <c r="U290" s="26">
        <v>0</v>
      </c>
      <c r="V290" s="26"/>
      <c r="W290" s="26">
        <f>100735+189617</f>
        <v>290352</v>
      </c>
      <c r="X290" s="26"/>
      <c r="Y290" s="51">
        <f t="shared" si="20"/>
        <v>17998266</v>
      </c>
      <c r="Z290" s="26"/>
      <c r="AA290" s="26">
        <v>120000</v>
      </c>
      <c r="AB290" s="26"/>
      <c r="AC290" s="26"/>
      <c r="AD290" s="26"/>
      <c r="AE290" s="26">
        <v>0</v>
      </c>
      <c r="AF290" s="26"/>
      <c r="AG290" s="26"/>
      <c r="AH290" s="26"/>
      <c r="AI290" s="26"/>
      <c r="AJ290" s="26"/>
      <c r="AK290" s="26">
        <v>0</v>
      </c>
      <c r="AL290" s="26"/>
      <c r="AM290" s="26">
        <v>0</v>
      </c>
      <c r="AN290" s="26"/>
      <c r="AO290" s="51">
        <f t="shared" si="24"/>
        <v>120000</v>
      </c>
      <c r="AP290" s="26"/>
      <c r="AQ290" s="51">
        <f t="shared" si="22"/>
        <v>18118266</v>
      </c>
      <c r="AR290" s="8" t="s">
        <v>956</v>
      </c>
    </row>
    <row r="291" spans="1:44">
      <c r="A291" s="13" t="s">
        <v>347</v>
      </c>
      <c r="B291" s="13"/>
      <c r="C291" s="13" t="s">
        <v>25</v>
      </c>
      <c r="D291" s="13"/>
      <c r="E291" s="32">
        <v>44206</v>
      </c>
      <c r="F291" s="26"/>
      <c r="G291" s="26">
        <v>18912036</v>
      </c>
      <c r="H291" s="26"/>
      <c r="I291" s="26">
        <v>9569688</v>
      </c>
      <c r="J291" s="26"/>
      <c r="K291" s="26">
        <v>31931545</v>
      </c>
      <c r="L291" s="26"/>
      <c r="M291" s="26">
        <v>409591</v>
      </c>
      <c r="N291" s="26"/>
      <c r="O291" s="26">
        <v>1088516</v>
      </c>
      <c r="P291" s="26"/>
      <c r="Q291" s="26">
        <v>538754</v>
      </c>
      <c r="R291" s="26"/>
      <c r="S291" s="26">
        <v>11092</v>
      </c>
      <c r="T291" s="26"/>
      <c r="U291" s="26">
        <v>13741</v>
      </c>
      <c r="V291" s="26"/>
      <c r="W291" s="26">
        <f>55433+31250+122366+834293</f>
        <v>1043342</v>
      </c>
      <c r="X291" s="26"/>
      <c r="Y291" s="51">
        <f t="shared" si="20"/>
        <v>63518305</v>
      </c>
      <c r="Z291" s="26"/>
      <c r="AA291" s="26">
        <v>28376</v>
      </c>
      <c r="AB291" s="26"/>
      <c r="AC291" s="26"/>
      <c r="AD291" s="26"/>
      <c r="AE291" s="26">
        <v>0</v>
      </c>
      <c r="AF291" s="26"/>
      <c r="AG291" s="26"/>
      <c r="AH291" s="26"/>
      <c r="AI291" s="26"/>
      <c r="AJ291" s="26"/>
      <c r="AK291" s="26">
        <v>0</v>
      </c>
      <c r="AL291" s="26"/>
      <c r="AM291" s="26">
        <v>0</v>
      </c>
      <c r="AN291" s="26"/>
      <c r="AO291" s="51">
        <f t="shared" si="24"/>
        <v>28376</v>
      </c>
      <c r="AP291" s="26"/>
      <c r="AQ291" s="51">
        <f t="shared" si="22"/>
        <v>63546681</v>
      </c>
    </row>
    <row r="292" spans="1:44" hidden="1">
      <c r="A292" s="12" t="s">
        <v>831</v>
      </c>
      <c r="B292" s="13"/>
      <c r="C292" s="13" t="s">
        <v>69</v>
      </c>
      <c r="D292" s="13"/>
      <c r="E292" s="32">
        <v>44214</v>
      </c>
      <c r="F292" s="26"/>
      <c r="G292" s="26">
        <v>24157618</v>
      </c>
      <c r="H292" s="26"/>
      <c r="I292" s="26"/>
      <c r="J292" s="26"/>
      <c r="K292" s="26">
        <v>24352095</v>
      </c>
      <c r="L292" s="26"/>
      <c r="M292" s="26">
        <v>217652</v>
      </c>
      <c r="N292" s="26"/>
      <c r="O292" s="26">
        <v>414341</v>
      </c>
      <c r="P292" s="26"/>
      <c r="Q292" s="26">
        <v>377444</v>
      </c>
      <c r="R292" s="26"/>
      <c r="S292" s="26"/>
      <c r="T292" s="26"/>
      <c r="U292" s="26">
        <v>66426</v>
      </c>
      <c r="V292" s="26"/>
      <c r="W292" s="26">
        <f>251352+1275595+82962</f>
        <v>1609909</v>
      </c>
      <c r="X292" s="26"/>
      <c r="Y292" s="51">
        <f t="shared" ref="Y292:Y361" si="25">SUM(G292:W292)</f>
        <v>51195485</v>
      </c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>
        <v>0</v>
      </c>
      <c r="AN292" s="26"/>
      <c r="AO292" s="51">
        <f t="shared" si="24"/>
        <v>0</v>
      </c>
      <c r="AP292" s="26"/>
      <c r="AQ292" s="51">
        <f t="shared" si="22"/>
        <v>51195485</v>
      </c>
    </row>
    <row r="293" spans="1:44">
      <c r="A293" s="13" t="s">
        <v>381</v>
      </c>
      <c r="B293" s="13"/>
      <c r="C293" s="13" t="s">
        <v>30</v>
      </c>
      <c r="D293" s="13"/>
      <c r="E293" s="13">
        <v>47209</v>
      </c>
      <c r="F293" s="26"/>
      <c r="G293" s="26">
        <v>1966111</v>
      </c>
      <c r="H293" s="26"/>
      <c r="I293" s="26">
        <v>507236</v>
      </c>
      <c r="J293" s="26"/>
      <c r="K293" s="26">
        <v>3219545</v>
      </c>
      <c r="L293" s="26"/>
      <c r="M293" s="26">
        <v>13505</v>
      </c>
      <c r="N293" s="26"/>
      <c r="O293" s="26">
        <v>213459</v>
      </c>
      <c r="P293" s="26"/>
      <c r="Q293" s="26">
        <v>41237</v>
      </c>
      <c r="R293" s="26"/>
      <c r="S293" s="26">
        <v>0</v>
      </c>
      <c r="T293" s="26"/>
      <c r="U293" s="26">
        <v>7004</v>
      </c>
      <c r="V293" s="26"/>
      <c r="W293" s="26">
        <f>127735+945</f>
        <v>128680</v>
      </c>
      <c r="X293" s="26"/>
      <c r="Y293" s="51">
        <f t="shared" si="25"/>
        <v>6096777</v>
      </c>
      <c r="Z293" s="26"/>
      <c r="AA293" s="26">
        <v>0</v>
      </c>
      <c r="AB293" s="26"/>
      <c r="AC293" s="26"/>
      <c r="AD293" s="26"/>
      <c r="AE293" s="26">
        <v>0</v>
      </c>
      <c r="AF293" s="26"/>
      <c r="AG293" s="26"/>
      <c r="AH293" s="26"/>
      <c r="AI293" s="26"/>
      <c r="AJ293" s="26"/>
      <c r="AK293" s="26">
        <v>1600</v>
      </c>
      <c r="AL293" s="26"/>
      <c r="AM293" s="26">
        <v>0</v>
      </c>
      <c r="AN293" s="26"/>
      <c r="AO293" s="51">
        <f t="shared" si="24"/>
        <v>1600</v>
      </c>
      <c r="AP293" s="26"/>
      <c r="AQ293" s="51">
        <f t="shared" si="22"/>
        <v>6098377</v>
      </c>
    </row>
    <row r="294" spans="1:44" hidden="1">
      <c r="A294" s="12" t="s">
        <v>987</v>
      </c>
      <c r="B294" s="13"/>
      <c r="C294" s="13" t="s">
        <v>603</v>
      </c>
      <c r="D294" s="13"/>
      <c r="E294" s="32">
        <v>49353</v>
      </c>
      <c r="F294" s="26"/>
      <c r="G294" s="26">
        <v>1682976</v>
      </c>
      <c r="H294" s="26"/>
      <c r="I294" s="26">
        <v>493662</v>
      </c>
      <c r="J294" s="26"/>
      <c r="K294" s="26">
        <v>5151349</v>
      </c>
      <c r="L294" s="26"/>
      <c r="M294" s="26">
        <v>98053</v>
      </c>
      <c r="N294" s="26"/>
      <c r="O294" s="26">
        <v>36185</v>
      </c>
      <c r="P294" s="26"/>
      <c r="Q294" s="26">
        <v>156202</v>
      </c>
      <c r="R294" s="26"/>
      <c r="S294" s="26">
        <v>51908</v>
      </c>
      <c r="T294" s="26"/>
      <c r="U294" s="26">
        <v>84300</v>
      </c>
      <c r="V294" s="26"/>
      <c r="W294" s="26">
        <v>38320</v>
      </c>
      <c r="X294" s="26"/>
      <c r="Y294" s="51">
        <f t="shared" si="25"/>
        <v>7792955</v>
      </c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>
        <v>0</v>
      </c>
      <c r="AN294" s="26"/>
      <c r="AO294" s="51">
        <f t="shared" si="24"/>
        <v>0</v>
      </c>
      <c r="AP294" s="26"/>
      <c r="AQ294" s="51">
        <f t="shared" si="22"/>
        <v>7792955</v>
      </c>
    </row>
    <row r="295" spans="1:44">
      <c r="A295" s="13" t="s">
        <v>610</v>
      </c>
      <c r="B295" s="13"/>
      <c r="C295" s="13" t="s">
        <v>112</v>
      </c>
      <c r="D295" s="13"/>
      <c r="E295" s="32">
        <v>49437</v>
      </c>
      <c r="F295" s="26"/>
      <c r="G295" s="26">
        <v>9342195</v>
      </c>
      <c r="H295" s="26"/>
      <c r="I295" s="26">
        <v>0</v>
      </c>
      <c r="J295" s="26"/>
      <c r="K295" s="26">
        <f>11073129+944722</f>
        <v>12017851</v>
      </c>
      <c r="L295" s="26"/>
      <c r="M295" s="26">
        <v>101451</v>
      </c>
      <c r="N295" s="26"/>
      <c r="O295" s="26">
        <v>107149</v>
      </c>
      <c r="P295" s="26"/>
      <c r="Q295" s="26">
        <v>284134</v>
      </c>
      <c r="R295" s="26"/>
      <c r="S295" s="26">
        <v>0</v>
      </c>
      <c r="T295" s="26"/>
      <c r="U295" s="26">
        <v>0</v>
      </c>
      <c r="V295" s="26"/>
      <c r="W295" s="26">
        <f>143415+84484+678796</f>
        <v>906695</v>
      </c>
      <c r="X295" s="26"/>
      <c r="Y295" s="51">
        <f t="shared" si="25"/>
        <v>22759475</v>
      </c>
      <c r="Z295" s="26"/>
      <c r="AA295" s="26">
        <v>0</v>
      </c>
      <c r="AB295" s="26"/>
      <c r="AC295" s="26"/>
      <c r="AD295" s="26"/>
      <c r="AE295" s="26">
        <v>300000</v>
      </c>
      <c r="AF295" s="26"/>
      <c r="AG295" s="26"/>
      <c r="AH295" s="26"/>
      <c r="AI295" s="26"/>
      <c r="AJ295" s="26"/>
      <c r="AK295" s="26">
        <v>0</v>
      </c>
      <c r="AL295" s="26"/>
      <c r="AM295" s="26">
        <v>0</v>
      </c>
      <c r="AN295" s="26"/>
      <c r="AO295" s="51">
        <f t="shared" si="24"/>
        <v>300000</v>
      </c>
      <c r="AP295" s="26"/>
      <c r="AQ295" s="51">
        <f t="shared" si="22"/>
        <v>23059475</v>
      </c>
    </row>
    <row r="296" spans="1:44">
      <c r="A296" s="13" t="s">
        <v>431</v>
      </c>
      <c r="B296" s="13"/>
      <c r="C296" s="13" t="s">
        <v>34</v>
      </c>
      <c r="D296" s="13"/>
      <c r="E296" s="32">
        <v>47589</v>
      </c>
      <c r="F296" s="26"/>
      <c r="G296" s="26">
        <v>2750251</v>
      </c>
      <c r="H296" s="26"/>
      <c r="I296" s="26">
        <v>1934981</v>
      </c>
      <c r="J296" s="26"/>
      <c r="K296" s="26">
        <v>6837916</v>
      </c>
      <c r="L296" s="26"/>
      <c r="M296" s="26">
        <v>87763</v>
      </c>
      <c r="N296" s="26"/>
      <c r="O296" s="26">
        <v>1051278</v>
      </c>
      <c r="P296" s="26"/>
      <c r="Q296" s="26">
        <v>217717</v>
      </c>
      <c r="R296" s="26"/>
      <c r="S296" s="26">
        <v>0</v>
      </c>
      <c r="T296" s="26"/>
      <c r="U296" s="26">
        <v>35248</v>
      </c>
      <c r="V296" s="26"/>
      <c r="W296" s="26">
        <f>123448+290262+34469</f>
        <v>448179</v>
      </c>
      <c r="X296" s="26"/>
      <c r="Y296" s="51">
        <f t="shared" si="25"/>
        <v>13363333</v>
      </c>
      <c r="Z296" s="26"/>
      <c r="AA296" s="26">
        <v>0</v>
      </c>
      <c r="AB296" s="26"/>
      <c r="AC296" s="26"/>
      <c r="AD296" s="26"/>
      <c r="AE296" s="26">
        <v>0</v>
      </c>
      <c r="AF296" s="26"/>
      <c r="AG296" s="26"/>
      <c r="AH296" s="26"/>
      <c r="AI296" s="26"/>
      <c r="AJ296" s="26"/>
      <c r="AK296" s="26">
        <v>0</v>
      </c>
      <c r="AL296" s="26"/>
      <c r="AM296" s="26">
        <v>0</v>
      </c>
      <c r="AN296" s="26"/>
      <c r="AO296" s="51">
        <f t="shared" si="24"/>
        <v>0</v>
      </c>
      <c r="AP296" s="26"/>
      <c r="AQ296" s="51">
        <f t="shared" si="22"/>
        <v>13363333</v>
      </c>
    </row>
    <row r="297" spans="1:44">
      <c r="A297" s="12" t="s">
        <v>988</v>
      </c>
      <c r="B297" s="13"/>
      <c r="C297" s="13" t="s">
        <v>64</v>
      </c>
      <c r="D297" s="13"/>
      <c r="E297" s="32">
        <v>50195</v>
      </c>
      <c r="F297" s="26"/>
      <c r="G297" s="26">
        <v>8474911</v>
      </c>
      <c r="H297" s="26"/>
      <c r="I297" s="26">
        <v>0</v>
      </c>
      <c r="J297" s="26"/>
      <c r="K297" s="26">
        <f>7452047+1257089</f>
        <v>8709136</v>
      </c>
      <c r="L297" s="26"/>
      <c r="M297" s="26">
        <v>28974</v>
      </c>
      <c r="N297" s="26"/>
      <c r="O297" s="26">
        <v>963673</v>
      </c>
      <c r="P297" s="26"/>
      <c r="Q297" s="26">
        <v>114269</v>
      </c>
      <c r="R297" s="26"/>
      <c r="S297" s="26">
        <v>0</v>
      </c>
      <c r="T297" s="26"/>
      <c r="U297" s="26">
        <v>3326</v>
      </c>
      <c r="V297" s="26"/>
      <c r="W297" s="26">
        <f>233143+87453+283551</f>
        <v>604147</v>
      </c>
      <c r="X297" s="26"/>
      <c r="Y297" s="51">
        <f t="shared" si="25"/>
        <v>18898436</v>
      </c>
      <c r="Z297" s="26"/>
      <c r="AA297" s="26">
        <v>17142</v>
      </c>
      <c r="AB297" s="26"/>
      <c r="AC297" s="26"/>
      <c r="AD297" s="26"/>
      <c r="AE297" s="26">
        <v>0</v>
      </c>
      <c r="AF297" s="26"/>
      <c r="AG297" s="26"/>
      <c r="AH297" s="26"/>
      <c r="AI297" s="26"/>
      <c r="AJ297" s="26"/>
      <c r="AK297" s="26">
        <v>0</v>
      </c>
      <c r="AL297" s="26"/>
      <c r="AM297" s="26">
        <v>0</v>
      </c>
      <c r="AN297" s="26"/>
      <c r="AO297" s="51">
        <f t="shared" si="24"/>
        <v>17142</v>
      </c>
      <c r="AP297" s="26"/>
      <c r="AQ297" s="51">
        <f t="shared" si="22"/>
        <v>18915578</v>
      </c>
    </row>
    <row r="298" spans="1:44">
      <c r="A298" s="13" t="s">
        <v>869</v>
      </c>
      <c r="B298" s="13"/>
      <c r="C298" s="13" t="s">
        <v>25</v>
      </c>
      <c r="D298" s="13"/>
      <c r="E298" s="32">
        <v>46888</v>
      </c>
      <c r="F298" s="26"/>
      <c r="G298" s="26">
        <v>3932366</v>
      </c>
      <c r="H298" s="26"/>
      <c r="I298" s="26">
        <v>2839770</v>
      </c>
      <c r="J298" s="26"/>
      <c r="K298" s="26">
        <v>13426059</v>
      </c>
      <c r="L298" s="26"/>
      <c r="M298" s="26">
        <v>284255</v>
      </c>
      <c r="N298" s="26"/>
      <c r="O298" s="26">
        <v>379404</v>
      </c>
      <c r="P298" s="26"/>
      <c r="Q298" s="26">
        <v>271989</v>
      </c>
      <c r="R298" s="26"/>
      <c r="S298" s="26">
        <v>0</v>
      </c>
      <c r="T298" s="26"/>
      <c r="U298" s="26">
        <v>120450</v>
      </c>
      <c r="V298" s="26"/>
      <c r="W298" s="26">
        <f>1610+340550+97997</f>
        <v>440157</v>
      </c>
      <c r="X298" s="26"/>
      <c r="Y298" s="51">
        <f t="shared" si="25"/>
        <v>21694450</v>
      </c>
      <c r="Z298" s="26"/>
      <c r="AA298" s="26">
        <v>0</v>
      </c>
      <c r="AB298" s="26"/>
      <c r="AC298" s="26"/>
      <c r="AD298" s="26"/>
      <c r="AE298" s="26">
        <f>5999996+187026</f>
        <v>6187022</v>
      </c>
      <c r="AF298" s="26"/>
      <c r="AG298" s="26"/>
      <c r="AH298" s="26"/>
      <c r="AI298" s="26"/>
      <c r="AJ298" s="26"/>
      <c r="AK298" s="26">
        <v>1475</v>
      </c>
      <c r="AL298" s="26"/>
      <c r="AM298" s="26">
        <v>0</v>
      </c>
      <c r="AN298" s="26"/>
      <c r="AO298" s="51">
        <f t="shared" si="24"/>
        <v>6188497</v>
      </c>
      <c r="AP298" s="26"/>
      <c r="AQ298" s="51">
        <f t="shared" si="22"/>
        <v>27882947</v>
      </c>
    </row>
    <row r="299" spans="1:44">
      <c r="A299" s="13" t="s">
        <v>417</v>
      </c>
      <c r="B299" s="13"/>
      <c r="C299" s="13" t="s">
        <v>33</v>
      </c>
      <c r="D299" s="13"/>
      <c r="E299" s="32">
        <v>47449</v>
      </c>
      <c r="F299" s="26"/>
      <c r="G299" s="26">
        <v>4433121</v>
      </c>
      <c r="H299" s="26"/>
      <c r="I299" s="26">
        <v>1316463</v>
      </c>
      <c r="J299" s="26"/>
      <c r="K299" s="26">
        <v>6683800</v>
      </c>
      <c r="L299" s="26"/>
      <c r="M299" s="26">
        <v>165568</v>
      </c>
      <c r="N299" s="26"/>
      <c r="O299" s="26">
        <v>113722</v>
      </c>
      <c r="P299" s="26"/>
      <c r="Q299" s="26">
        <v>128498</v>
      </c>
      <c r="R299" s="26"/>
      <c r="S299" s="26">
        <v>12885</v>
      </c>
      <c r="T299" s="26"/>
      <c r="U299" s="26">
        <v>7378</v>
      </c>
      <c r="V299" s="26"/>
      <c r="W299" s="26">
        <f>123214+323806</f>
        <v>447020</v>
      </c>
      <c r="X299" s="26"/>
      <c r="Y299" s="51">
        <f t="shared" si="25"/>
        <v>13308455</v>
      </c>
      <c r="Z299" s="26"/>
      <c r="AA299" s="26">
        <v>381364</v>
      </c>
      <c r="AB299" s="26"/>
      <c r="AC299" s="26"/>
      <c r="AD299" s="26"/>
      <c r="AE299" s="26">
        <v>0</v>
      </c>
      <c r="AF299" s="26"/>
      <c r="AG299" s="26"/>
      <c r="AH299" s="26"/>
      <c r="AI299" s="26"/>
      <c r="AJ299" s="26"/>
      <c r="AK299" s="26">
        <v>0</v>
      </c>
      <c r="AL299" s="26"/>
      <c r="AM299" s="26">
        <v>0</v>
      </c>
      <c r="AN299" s="26"/>
      <c r="AO299" s="51">
        <f t="shared" si="24"/>
        <v>381364</v>
      </c>
      <c r="AP299" s="26"/>
      <c r="AQ299" s="51">
        <f t="shared" si="22"/>
        <v>13689819</v>
      </c>
    </row>
    <row r="300" spans="1:44">
      <c r="A300" s="13" t="s">
        <v>476</v>
      </c>
      <c r="B300" s="13"/>
      <c r="C300" s="13" t="s">
        <v>42</v>
      </c>
      <c r="D300" s="13"/>
      <c r="E300" s="32">
        <v>48009</v>
      </c>
      <c r="F300" s="26"/>
      <c r="G300" s="26">
        <v>17749037</v>
      </c>
      <c r="H300" s="26"/>
      <c r="I300" s="26">
        <v>0</v>
      </c>
      <c r="J300" s="26"/>
      <c r="K300" s="26">
        <v>12238626</v>
      </c>
      <c r="L300" s="26"/>
      <c r="M300" s="26">
        <v>152223</v>
      </c>
      <c r="N300" s="26"/>
      <c r="O300" s="26">
        <v>368867</v>
      </c>
      <c r="P300" s="26"/>
      <c r="Q300" s="26">
        <v>238508</v>
      </c>
      <c r="R300" s="26"/>
      <c r="S300" s="26">
        <v>1157486</v>
      </c>
      <c r="T300" s="26"/>
      <c r="U300" s="26">
        <v>22810</v>
      </c>
      <c r="V300" s="26"/>
      <c r="W300" s="26">
        <f>127963+594537+29400</f>
        <v>751900</v>
      </c>
      <c r="X300" s="26"/>
      <c r="Y300" s="51">
        <f t="shared" si="25"/>
        <v>32679457</v>
      </c>
      <c r="Z300" s="26"/>
      <c r="AA300" s="26">
        <v>633</v>
      </c>
      <c r="AB300" s="26"/>
      <c r="AC300" s="26"/>
      <c r="AD300" s="26"/>
      <c r="AE300" s="26">
        <v>17937</v>
      </c>
      <c r="AF300" s="26"/>
      <c r="AG300" s="26"/>
      <c r="AH300" s="26"/>
      <c r="AI300" s="26"/>
      <c r="AJ300" s="26"/>
      <c r="AK300" s="26">
        <v>0</v>
      </c>
      <c r="AL300" s="26"/>
      <c r="AM300" s="26">
        <v>0</v>
      </c>
      <c r="AN300" s="26"/>
      <c r="AO300" s="51">
        <f t="shared" si="24"/>
        <v>18570</v>
      </c>
      <c r="AP300" s="26"/>
      <c r="AQ300" s="51">
        <f t="shared" si="22"/>
        <v>32698027</v>
      </c>
    </row>
    <row r="301" spans="1:44">
      <c r="A301" s="13" t="s">
        <v>477</v>
      </c>
      <c r="B301" s="13"/>
      <c r="C301" s="13" t="s">
        <v>42</v>
      </c>
      <c r="D301" s="13"/>
      <c r="E301" s="32">
        <v>48017</v>
      </c>
      <c r="F301" s="26"/>
      <c r="G301" s="26">
        <v>4626373</v>
      </c>
      <c r="H301" s="26"/>
      <c r="I301" s="26">
        <v>1880464</v>
      </c>
      <c r="J301" s="26"/>
      <c r="K301" s="26">
        <v>11363858</v>
      </c>
      <c r="L301" s="26"/>
      <c r="M301" s="26">
        <v>81147</v>
      </c>
      <c r="N301" s="26"/>
      <c r="O301" s="26">
        <v>437773</v>
      </c>
      <c r="P301" s="26"/>
      <c r="Q301" s="26">
        <v>324295</v>
      </c>
      <c r="R301" s="26"/>
      <c r="S301" s="26">
        <v>41609</v>
      </c>
      <c r="T301" s="26"/>
      <c r="U301" s="26">
        <v>0</v>
      </c>
      <c r="V301" s="26"/>
      <c r="W301" s="26">
        <f>517916+215948</f>
        <v>733864</v>
      </c>
      <c r="X301" s="26"/>
      <c r="Y301" s="51">
        <f t="shared" si="25"/>
        <v>19489383</v>
      </c>
      <c r="Z301" s="26"/>
      <c r="AA301" s="26">
        <v>88529</v>
      </c>
      <c r="AB301" s="26"/>
      <c r="AC301" s="26"/>
      <c r="AD301" s="26"/>
      <c r="AE301" s="26">
        <v>0</v>
      </c>
      <c r="AF301" s="26"/>
      <c r="AG301" s="26"/>
      <c r="AH301" s="26"/>
      <c r="AI301" s="26"/>
      <c r="AJ301" s="26"/>
      <c r="AK301" s="26">
        <f>2410+25037</f>
        <v>27447</v>
      </c>
      <c r="AL301" s="26"/>
      <c r="AM301" s="26">
        <v>0</v>
      </c>
      <c r="AN301" s="26"/>
      <c r="AO301" s="51">
        <f t="shared" si="24"/>
        <v>115976</v>
      </c>
      <c r="AP301" s="26"/>
      <c r="AQ301" s="51">
        <f t="shared" si="22"/>
        <v>19605359</v>
      </c>
    </row>
    <row r="302" spans="1:44" hidden="1">
      <c r="A302" s="13" t="s">
        <v>989</v>
      </c>
      <c r="B302" s="13"/>
      <c r="C302" s="13" t="s">
        <v>10</v>
      </c>
      <c r="D302" s="13"/>
      <c r="E302" s="32"/>
      <c r="F302" s="26"/>
      <c r="G302" s="26">
        <v>9574667</v>
      </c>
      <c r="H302" s="26"/>
      <c r="I302" s="26"/>
      <c r="J302" s="26"/>
      <c r="K302" s="26">
        <v>45780858</v>
      </c>
      <c r="L302" s="26"/>
      <c r="M302" s="26">
        <v>213635</v>
      </c>
      <c r="N302" s="26"/>
      <c r="O302" s="26">
        <v>1428385</v>
      </c>
      <c r="P302" s="26"/>
      <c r="Q302" s="26">
        <v>285547</v>
      </c>
      <c r="R302" s="26"/>
      <c r="S302" s="26"/>
      <c r="T302" s="26"/>
      <c r="U302" s="26">
        <v>288811</v>
      </c>
      <c r="V302" s="26"/>
      <c r="W302" s="26">
        <f>406898+510543+53674</f>
        <v>971115</v>
      </c>
      <c r="X302" s="26"/>
      <c r="Y302" s="51">
        <f t="shared" si="25"/>
        <v>58543018</v>
      </c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51">
        <f t="shared" si="24"/>
        <v>0</v>
      </c>
      <c r="AP302" s="26"/>
      <c r="AQ302" s="51">
        <f t="shared" si="22"/>
        <v>58543018</v>
      </c>
    </row>
    <row r="303" spans="1:44">
      <c r="A303" s="13" t="s">
        <v>705</v>
      </c>
      <c r="B303" s="13"/>
      <c r="C303" s="13" t="s">
        <v>67</v>
      </c>
      <c r="D303" s="13"/>
      <c r="E303" s="32">
        <v>50369</v>
      </c>
      <c r="F303" s="26"/>
      <c r="G303" s="26">
        <v>3022286</v>
      </c>
      <c r="H303" s="26"/>
      <c r="I303" s="26">
        <v>0</v>
      </c>
      <c r="J303" s="26"/>
      <c r="K303" s="26">
        <f>1389+4828799+522557</f>
        <v>5352745</v>
      </c>
      <c r="L303" s="26"/>
      <c r="M303" s="26">
        <v>352132</v>
      </c>
      <c r="N303" s="26"/>
      <c r="O303" s="26">
        <v>1853726</v>
      </c>
      <c r="P303" s="26"/>
      <c r="Q303" s="26">
        <v>88880</v>
      </c>
      <c r="R303" s="26"/>
      <c r="S303" s="26">
        <v>0</v>
      </c>
      <c r="T303" s="26"/>
      <c r="U303" s="26">
        <v>0</v>
      </c>
      <c r="V303" s="26"/>
      <c r="W303" s="26">
        <f>253494+64041+191775</f>
        <v>509310</v>
      </c>
      <c r="X303" s="26"/>
      <c r="Y303" s="51">
        <f t="shared" si="25"/>
        <v>11179079</v>
      </c>
      <c r="Z303" s="26"/>
      <c r="AA303" s="26">
        <v>683767</v>
      </c>
      <c r="AB303" s="26"/>
      <c r="AC303" s="26"/>
      <c r="AD303" s="26"/>
      <c r="AE303" s="26">
        <v>0</v>
      </c>
      <c r="AF303" s="26"/>
      <c r="AG303" s="26"/>
      <c r="AH303" s="26"/>
      <c r="AI303" s="26"/>
      <c r="AJ303" s="26"/>
      <c r="AK303" s="26">
        <f>1551+20337</f>
        <v>21888</v>
      </c>
      <c r="AL303" s="26"/>
      <c r="AM303" s="26">
        <v>0</v>
      </c>
      <c r="AN303" s="26"/>
      <c r="AO303" s="51">
        <f t="shared" si="24"/>
        <v>705655</v>
      </c>
      <c r="AP303" s="26"/>
      <c r="AQ303" s="51">
        <f t="shared" si="22"/>
        <v>11884734</v>
      </c>
    </row>
    <row r="304" spans="1:44">
      <c r="A304" s="13" t="s">
        <v>283</v>
      </c>
      <c r="B304" s="13"/>
      <c r="C304" s="13" t="s">
        <v>114</v>
      </c>
      <c r="D304" s="13"/>
      <c r="E304" s="32">
        <v>45450</v>
      </c>
      <c r="F304" s="26"/>
      <c r="G304" s="26">
        <v>2067253</v>
      </c>
      <c r="H304" s="26"/>
      <c r="I304" s="26">
        <v>0</v>
      </c>
      <c r="J304" s="26"/>
      <c r="K304" s="26">
        <v>6726629</v>
      </c>
      <c r="L304" s="26"/>
      <c r="M304" s="26">
        <v>156947</v>
      </c>
      <c r="N304" s="26"/>
      <c r="O304" s="26">
        <v>1173417</v>
      </c>
      <c r="P304" s="26"/>
      <c r="Q304" s="26">
        <v>104744</v>
      </c>
      <c r="R304" s="26"/>
      <c r="S304" s="26">
        <v>0</v>
      </c>
      <c r="T304" s="26"/>
      <c r="U304" s="26">
        <v>0</v>
      </c>
      <c r="V304" s="26"/>
      <c r="W304" s="26">
        <f>168661+20591+339929</f>
        <v>529181</v>
      </c>
      <c r="X304" s="26"/>
      <c r="Y304" s="51">
        <f t="shared" si="25"/>
        <v>10758171</v>
      </c>
      <c r="Z304" s="26"/>
      <c r="AA304" s="26">
        <v>0</v>
      </c>
      <c r="AB304" s="26"/>
      <c r="AC304" s="26"/>
      <c r="AD304" s="26"/>
      <c r="AE304" s="26">
        <v>0</v>
      </c>
      <c r="AF304" s="26"/>
      <c r="AG304" s="26"/>
      <c r="AH304" s="26"/>
      <c r="AI304" s="26"/>
      <c r="AJ304" s="26"/>
      <c r="AK304" s="26">
        <v>0</v>
      </c>
      <c r="AL304" s="26"/>
      <c r="AM304" s="26">
        <v>0</v>
      </c>
      <c r="AN304" s="26"/>
      <c r="AO304" s="51">
        <f t="shared" ref="AO304:AO320" si="26">AK304+AE304+AA304</f>
        <v>0</v>
      </c>
      <c r="AP304" s="26"/>
      <c r="AQ304" s="51">
        <f t="shared" si="22"/>
        <v>10758171</v>
      </c>
    </row>
    <row r="305" spans="1:44">
      <c r="A305" s="13" t="s">
        <v>711</v>
      </c>
      <c r="B305" s="13"/>
      <c r="C305" s="13" t="s">
        <v>69</v>
      </c>
      <c r="D305" s="13"/>
      <c r="E305" s="32">
        <v>50443</v>
      </c>
      <c r="F305" s="26"/>
      <c r="G305" s="26">
        <v>22425666</v>
      </c>
      <c r="H305" s="26"/>
      <c r="I305" s="26">
        <v>0</v>
      </c>
      <c r="J305" s="26"/>
      <c r="K305" s="26">
        <v>15116440</v>
      </c>
      <c r="L305" s="26"/>
      <c r="M305" s="26">
        <v>647119</v>
      </c>
      <c r="N305" s="26"/>
      <c r="O305" s="26">
        <v>261048</v>
      </c>
      <c r="P305" s="26"/>
      <c r="Q305" s="26">
        <v>497159</v>
      </c>
      <c r="R305" s="26"/>
      <c r="S305" s="26">
        <v>0</v>
      </c>
      <c r="T305" s="26"/>
      <c r="U305" s="26">
        <v>0</v>
      </c>
      <c r="V305" s="26"/>
      <c r="W305" s="26">
        <f>1146939+123843</f>
        <v>1270782</v>
      </c>
      <c r="X305" s="26"/>
      <c r="Y305" s="51">
        <f t="shared" si="25"/>
        <v>40218214</v>
      </c>
      <c r="Z305" s="26"/>
      <c r="AA305" s="26">
        <v>908009</v>
      </c>
      <c r="AB305" s="26"/>
      <c r="AC305" s="26"/>
      <c r="AD305" s="26"/>
      <c r="AE305" s="26">
        <v>612000</v>
      </c>
      <c r="AF305" s="26"/>
      <c r="AG305" s="26"/>
      <c r="AH305" s="26"/>
      <c r="AI305" s="26"/>
      <c r="AJ305" s="26"/>
      <c r="AK305" s="26">
        <v>0</v>
      </c>
      <c r="AL305" s="26"/>
      <c r="AM305" s="26">
        <v>0</v>
      </c>
      <c r="AN305" s="26"/>
      <c r="AO305" s="51">
        <f t="shared" si="26"/>
        <v>1520009</v>
      </c>
      <c r="AP305" s="26"/>
      <c r="AQ305" s="51">
        <f t="shared" si="22"/>
        <v>41738223</v>
      </c>
    </row>
    <row r="306" spans="1:44" hidden="1">
      <c r="A306" s="77" t="s">
        <v>995</v>
      </c>
      <c r="B306" s="13"/>
      <c r="C306" s="13" t="s">
        <v>32</v>
      </c>
      <c r="D306" s="13"/>
      <c r="E306" s="32">
        <v>44230</v>
      </c>
      <c r="F306" s="26"/>
      <c r="G306" s="26">
        <v>2979184</v>
      </c>
      <c r="H306" s="26"/>
      <c r="I306" s="26">
        <v>0</v>
      </c>
      <c r="J306" s="26"/>
      <c r="K306" s="26">
        <v>4324468</v>
      </c>
      <c r="L306" s="26"/>
      <c r="M306" s="26">
        <v>64202</v>
      </c>
      <c r="N306" s="26"/>
      <c r="O306" s="26">
        <v>773734</v>
      </c>
      <c r="P306" s="26"/>
      <c r="Q306" s="26"/>
      <c r="R306" s="26"/>
      <c r="S306" s="26"/>
      <c r="T306" s="26"/>
      <c r="U306" s="26"/>
      <c r="V306" s="26"/>
      <c r="W306" s="26">
        <f>379348+224398</f>
        <v>603746</v>
      </c>
      <c r="X306" s="26"/>
      <c r="Y306" s="51">
        <f t="shared" si="25"/>
        <v>8745334</v>
      </c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>
        <v>0</v>
      </c>
      <c r="AN306" s="26"/>
      <c r="AO306" s="51">
        <f t="shared" si="26"/>
        <v>0</v>
      </c>
      <c r="AP306" s="26"/>
      <c r="AQ306" s="51">
        <f t="shared" si="22"/>
        <v>8745334</v>
      </c>
      <c r="AR306" s="15" t="s">
        <v>905</v>
      </c>
    </row>
    <row r="307" spans="1:44">
      <c r="A307" s="13" t="s">
        <v>582</v>
      </c>
      <c r="B307" s="13"/>
      <c r="C307" s="13" t="s">
        <v>54</v>
      </c>
      <c r="D307" s="13"/>
      <c r="E307" s="32">
        <v>49080</v>
      </c>
      <c r="F307" s="26"/>
      <c r="G307" s="26">
        <v>9823723</v>
      </c>
      <c r="H307" s="26"/>
      <c r="I307" s="26">
        <v>0</v>
      </c>
      <c r="J307" s="26"/>
      <c r="K307" s="26">
        <f>9646057+1319183</f>
        <v>10965240</v>
      </c>
      <c r="L307" s="26"/>
      <c r="M307" s="26">
        <v>139762</v>
      </c>
      <c r="N307" s="26"/>
      <c r="O307" s="26">
        <v>492370</v>
      </c>
      <c r="P307" s="26"/>
      <c r="Q307" s="26">
        <v>320000</v>
      </c>
      <c r="R307" s="26"/>
      <c r="S307" s="26">
        <v>0</v>
      </c>
      <c r="T307" s="26"/>
      <c r="U307" s="26">
        <v>0</v>
      </c>
      <c r="V307" s="26"/>
      <c r="W307" s="26">
        <f>62689+497417+63587</f>
        <v>623693</v>
      </c>
      <c r="X307" s="26"/>
      <c r="Y307" s="51">
        <f t="shared" si="25"/>
        <v>22364788</v>
      </c>
      <c r="Z307" s="26"/>
      <c r="AA307" s="26">
        <v>0</v>
      </c>
      <c r="AB307" s="26"/>
      <c r="AC307" s="26"/>
      <c r="AD307" s="26"/>
      <c r="AE307" s="26">
        <v>0</v>
      </c>
      <c r="AF307" s="26"/>
      <c r="AG307" s="26"/>
      <c r="AH307" s="26"/>
      <c r="AI307" s="26"/>
      <c r="AJ307" s="26"/>
      <c r="AK307" s="26">
        <v>0</v>
      </c>
      <c r="AL307" s="26"/>
      <c r="AM307" s="26">
        <v>0</v>
      </c>
      <c r="AN307" s="26"/>
      <c r="AO307" s="51">
        <f t="shared" si="26"/>
        <v>0</v>
      </c>
      <c r="AP307" s="26"/>
      <c r="AQ307" s="51">
        <f t="shared" si="22"/>
        <v>22364788</v>
      </c>
    </row>
    <row r="308" spans="1:44">
      <c r="A308" s="13" t="s">
        <v>440</v>
      </c>
      <c r="B308" s="13"/>
      <c r="C308" s="13" t="s">
        <v>35</v>
      </c>
      <c r="D308" s="13"/>
      <c r="E308" s="32">
        <v>44248</v>
      </c>
      <c r="F308" s="26"/>
      <c r="G308" s="26">
        <v>11833640</v>
      </c>
      <c r="H308" s="26"/>
      <c r="I308" s="26">
        <v>0</v>
      </c>
      <c r="J308" s="26"/>
      <c r="K308" s="26">
        <f>41305756+2435079</f>
        <v>43740835</v>
      </c>
      <c r="L308" s="26"/>
      <c r="M308" s="26">
        <v>1111984</v>
      </c>
      <c r="N308" s="26"/>
      <c r="O308" s="26">
        <v>973161</v>
      </c>
      <c r="P308" s="26"/>
      <c r="Q308" s="26">
        <v>285488</v>
      </c>
      <c r="R308" s="26"/>
      <c r="S308" s="26">
        <v>0</v>
      </c>
      <c r="T308" s="26"/>
      <c r="U308" s="26">
        <v>0</v>
      </c>
      <c r="V308" s="26"/>
      <c r="W308" s="26">
        <f>570598+191373</f>
        <v>761971</v>
      </c>
      <c r="X308" s="26"/>
      <c r="Y308" s="51">
        <f t="shared" si="25"/>
        <v>58707079</v>
      </c>
      <c r="Z308" s="26"/>
      <c r="AA308" s="26">
        <v>808360</v>
      </c>
      <c r="AB308" s="26"/>
      <c r="AC308" s="26"/>
      <c r="AD308" s="26"/>
      <c r="AE308" s="26">
        <v>0</v>
      </c>
      <c r="AF308" s="26"/>
      <c r="AG308" s="26"/>
      <c r="AH308" s="26"/>
      <c r="AI308" s="26"/>
      <c r="AJ308" s="26"/>
      <c r="AK308" s="26">
        <v>185355</v>
      </c>
      <c r="AL308" s="26"/>
      <c r="AM308" s="26">
        <v>0</v>
      </c>
      <c r="AN308" s="26"/>
      <c r="AO308" s="51">
        <f t="shared" si="26"/>
        <v>993715</v>
      </c>
      <c r="AP308" s="26"/>
      <c r="AQ308" s="51">
        <f t="shared" ref="AQ308:AQ374" si="27">Y308+AO308</f>
        <v>59700794</v>
      </c>
    </row>
    <row r="309" spans="1:44">
      <c r="A309" s="13" t="s">
        <v>507</v>
      </c>
      <c r="B309" s="13"/>
      <c r="C309" s="13" t="s">
        <v>505</v>
      </c>
      <c r="D309" s="13"/>
      <c r="E309" s="32">
        <v>44255</v>
      </c>
      <c r="F309" s="26"/>
      <c r="G309" s="26">
        <v>7679344</v>
      </c>
      <c r="H309" s="26"/>
      <c r="I309" s="26">
        <v>2984164</v>
      </c>
      <c r="J309" s="26"/>
      <c r="K309" s="26">
        <v>12494709</v>
      </c>
      <c r="L309" s="26"/>
      <c r="M309" s="26">
        <v>12509</v>
      </c>
      <c r="N309" s="26"/>
      <c r="O309" s="26">
        <v>490606</v>
      </c>
      <c r="P309" s="26"/>
      <c r="Q309" s="26">
        <v>172183</v>
      </c>
      <c r="R309" s="26"/>
      <c r="S309" s="26">
        <v>434398</v>
      </c>
      <c r="T309" s="26"/>
      <c r="U309" s="26">
        <v>64096</v>
      </c>
      <c r="V309" s="26"/>
      <c r="W309" s="26">
        <f>83054+2075+2270282</f>
        <v>2355411</v>
      </c>
      <c r="X309" s="26"/>
      <c r="Y309" s="51">
        <f t="shared" si="25"/>
        <v>26687420</v>
      </c>
      <c r="Z309" s="26"/>
      <c r="AA309" s="26">
        <v>304696</v>
      </c>
      <c r="AB309" s="26"/>
      <c r="AC309" s="26"/>
      <c r="AD309" s="26"/>
      <c r="AE309" s="26">
        <v>284977</v>
      </c>
      <c r="AF309" s="26"/>
      <c r="AG309" s="26"/>
      <c r="AH309" s="26"/>
      <c r="AI309" s="26"/>
      <c r="AJ309" s="26"/>
      <c r="AK309" s="26">
        <v>0</v>
      </c>
      <c r="AL309" s="26"/>
      <c r="AM309" s="26">
        <v>0</v>
      </c>
      <c r="AN309" s="26"/>
      <c r="AO309" s="51">
        <f t="shared" si="26"/>
        <v>589673</v>
      </c>
      <c r="AP309" s="26"/>
      <c r="AQ309" s="51">
        <f t="shared" si="27"/>
        <v>27277093</v>
      </c>
    </row>
    <row r="310" spans="1:44">
      <c r="A310" s="34" t="s">
        <v>490</v>
      </c>
      <c r="B310" s="34"/>
      <c r="C310" s="34" t="s">
        <v>44</v>
      </c>
      <c r="D310" s="34"/>
      <c r="E310" s="34">
        <v>44263</v>
      </c>
      <c r="F310" s="43"/>
      <c r="G310" s="26">
        <v>19733165</v>
      </c>
      <c r="H310" s="26"/>
      <c r="I310" s="26">
        <v>0</v>
      </c>
      <c r="J310" s="26"/>
      <c r="K310" s="26">
        <v>95587863</v>
      </c>
      <c r="L310" s="26"/>
      <c r="M310" s="26">
        <v>1208553</v>
      </c>
      <c r="N310" s="26"/>
      <c r="O310" s="26">
        <v>1176253</v>
      </c>
      <c r="P310" s="26"/>
      <c r="Q310" s="26">
        <v>444615</v>
      </c>
      <c r="R310" s="26"/>
      <c r="S310" s="26">
        <v>0</v>
      </c>
      <c r="T310" s="26"/>
      <c r="U310" s="26">
        <v>463947</v>
      </c>
      <c r="V310" s="26"/>
      <c r="W310" s="26">
        <f>575876+23238+516998</f>
        <v>1116112</v>
      </c>
      <c r="X310" s="26"/>
      <c r="Y310" s="51">
        <f t="shared" si="25"/>
        <v>119730508</v>
      </c>
      <c r="Z310" s="26"/>
      <c r="AA310" s="26">
        <v>466979</v>
      </c>
      <c r="AB310" s="26"/>
      <c r="AC310" s="26"/>
      <c r="AD310" s="26"/>
      <c r="AE310" s="26">
        <v>0</v>
      </c>
      <c r="AF310" s="26"/>
      <c r="AG310" s="26"/>
      <c r="AH310" s="26"/>
      <c r="AI310" s="26"/>
      <c r="AJ310" s="26"/>
      <c r="AK310" s="26">
        <v>79362</v>
      </c>
      <c r="AL310" s="26"/>
      <c r="AM310" s="26">
        <v>0</v>
      </c>
      <c r="AN310" s="26"/>
      <c r="AO310" s="51">
        <f t="shared" si="26"/>
        <v>546341</v>
      </c>
      <c r="AP310" s="26"/>
      <c r="AQ310" s="51">
        <f t="shared" si="27"/>
        <v>120276849</v>
      </c>
    </row>
    <row r="311" spans="1:44">
      <c r="A311" s="13" t="s">
        <v>686</v>
      </c>
      <c r="B311" s="13"/>
      <c r="C311" s="13" t="s">
        <v>64</v>
      </c>
      <c r="D311" s="13"/>
      <c r="E311" s="32">
        <v>50203</v>
      </c>
      <c r="F311" s="26"/>
      <c r="G311" s="26">
        <v>3746461</v>
      </c>
      <c r="H311" s="26"/>
      <c r="I311" s="26">
        <v>67744</v>
      </c>
      <c r="J311" s="26"/>
      <c r="K311" s="26">
        <f>2447861+229768</f>
        <v>2677629</v>
      </c>
      <c r="L311" s="26"/>
      <c r="M311" s="26">
        <v>26753</v>
      </c>
      <c r="N311" s="26"/>
      <c r="O311" s="26">
        <v>277001</v>
      </c>
      <c r="P311" s="26"/>
      <c r="Q311" s="26">
        <v>16309</v>
      </c>
      <c r="R311" s="26"/>
      <c r="S311" s="26">
        <v>432848</v>
      </c>
      <c r="T311" s="26"/>
      <c r="U311" s="26">
        <v>1143</v>
      </c>
      <c r="V311" s="26"/>
      <c r="W311" s="26">
        <f>300379+612+100936+11067+122457+380</f>
        <v>535831</v>
      </c>
      <c r="X311" s="26"/>
      <c r="Y311" s="51">
        <f t="shared" si="25"/>
        <v>7781719</v>
      </c>
      <c r="Z311" s="26"/>
      <c r="AA311" s="26">
        <v>26236</v>
      </c>
      <c r="AB311" s="26"/>
      <c r="AC311" s="26"/>
      <c r="AD311" s="26"/>
      <c r="AE311" s="26">
        <v>0</v>
      </c>
      <c r="AF311" s="26"/>
      <c r="AG311" s="26"/>
      <c r="AH311" s="26"/>
      <c r="AI311" s="26"/>
      <c r="AJ311" s="26"/>
      <c r="AK311" s="26">
        <v>0</v>
      </c>
      <c r="AL311" s="26"/>
      <c r="AM311" s="26">
        <v>0</v>
      </c>
      <c r="AN311" s="26"/>
      <c r="AO311" s="51">
        <f t="shared" si="26"/>
        <v>26236</v>
      </c>
      <c r="AP311" s="26"/>
      <c r="AQ311" s="51">
        <f t="shared" si="27"/>
        <v>7807955</v>
      </c>
    </row>
    <row r="312" spans="1:44">
      <c r="A312" s="12" t="s">
        <v>991</v>
      </c>
      <c r="B312" s="13"/>
      <c r="C312" s="13" t="s">
        <v>11</v>
      </c>
      <c r="D312" s="13"/>
      <c r="E312" s="32">
        <v>45468</v>
      </c>
      <c r="F312" s="26"/>
      <c r="G312" s="26">
        <v>5180182</v>
      </c>
      <c r="H312" s="26"/>
      <c r="I312" s="26">
        <v>1551652</v>
      </c>
      <c r="J312" s="26"/>
      <c r="K312" s="26">
        <f>5324789+936221</f>
        <v>6261010</v>
      </c>
      <c r="L312" s="26"/>
      <c r="M312" s="26">
        <v>85119</v>
      </c>
      <c r="N312" s="26"/>
      <c r="O312" s="26">
        <v>443145</v>
      </c>
      <c r="P312" s="26"/>
      <c r="Q312" s="26">
        <v>156840</v>
      </c>
      <c r="R312" s="26"/>
      <c r="S312" s="26">
        <v>0</v>
      </c>
      <c r="T312" s="26"/>
      <c r="U312" s="26">
        <v>0</v>
      </c>
      <c r="V312" s="26"/>
      <c r="W312" s="26">
        <f>44417+43991+232436+4104</f>
        <v>324948</v>
      </c>
      <c r="X312" s="26"/>
      <c r="Y312" s="51">
        <f t="shared" si="25"/>
        <v>14002896</v>
      </c>
      <c r="Z312" s="26"/>
      <c r="AA312" s="26">
        <v>40000</v>
      </c>
      <c r="AB312" s="26"/>
      <c r="AC312" s="26"/>
      <c r="AD312" s="26"/>
      <c r="AE312" s="26">
        <v>929346</v>
      </c>
      <c r="AF312" s="26"/>
      <c r="AG312" s="26"/>
      <c r="AH312" s="26"/>
      <c r="AI312" s="26"/>
      <c r="AJ312" s="26"/>
      <c r="AK312" s="26">
        <v>637</v>
      </c>
      <c r="AL312" s="26"/>
      <c r="AM312" s="26">
        <v>0</v>
      </c>
      <c r="AN312" s="26"/>
      <c r="AO312" s="51">
        <f t="shared" si="26"/>
        <v>969983</v>
      </c>
      <c r="AP312" s="26"/>
      <c r="AQ312" s="51">
        <f t="shared" si="27"/>
        <v>14972879</v>
      </c>
      <c r="AR312" s="8" t="s">
        <v>956</v>
      </c>
    </row>
    <row r="313" spans="1:44">
      <c r="A313" s="13" t="s">
        <v>654</v>
      </c>
      <c r="B313" s="13"/>
      <c r="C313" s="13" t="s">
        <v>62</v>
      </c>
      <c r="D313" s="13"/>
      <c r="E313" s="32">
        <v>49874</v>
      </c>
      <c r="F313" s="26"/>
      <c r="G313" s="26">
        <v>8397617</v>
      </c>
      <c r="H313" s="26"/>
      <c r="I313" s="26">
        <v>0</v>
      </c>
      <c r="J313" s="26"/>
      <c r="K313" s="26">
        <v>21707824</v>
      </c>
      <c r="L313" s="26"/>
      <c r="M313" s="26">
        <v>179033</v>
      </c>
      <c r="N313" s="26"/>
      <c r="O313" s="26">
        <v>314942</v>
      </c>
      <c r="P313" s="26"/>
      <c r="Q313" s="26">
        <v>538439</v>
      </c>
      <c r="R313" s="26"/>
      <c r="S313" s="26">
        <v>81863</v>
      </c>
      <c r="T313" s="26"/>
      <c r="U313" s="26">
        <v>32716</v>
      </c>
      <c r="V313" s="26"/>
      <c r="W313" s="26">
        <f>164291+22821+820157</f>
        <v>1007269</v>
      </c>
      <c r="X313" s="26"/>
      <c r="Y313" s="51">
        <f t="shared" si="25"/>
        <v>32259703</v>
      </c>
      <c r="Z313" s="26"/>
      <c r="AA313" s="26">
        <v>59600</v>
      </c>
      <c r="AB313" s="26"/>
      <c r="AC313" s="26"/>
      <c r="AD313" s="26"/>
      <c r="AE313" s="26">
        <f>8500000+270708</f>
        <v>8770708</v>
      </c>
      <c r="AF313" s="26"/>
      <c r="AG313" s="26"/>
      <c r="AH313" s="26"/>
      <c r="AI313" s="26"/>
      <c r="AJ313" s="26"/>
      <c r="AK313" s="26">
        <v>0</v>
      </c>
      <c r="AL313" s="26"/>
      <c r="AM313" s="26">
        <v>0</v>
      </c>
      <c r="AN313" s="26"/>
      <c r="AO313" s="51">
        <f t="shared" si="26"/>
        <v>8830308</v>
      </c>
      <c r="AP313" s="26"/>
      <c r="AQ313" s="51">
        <f t="shared" si="27"/>
        <v>41090011</v>
      </c>
    </row>
    <row r="314" spans="1:44">
      <c r="A314" s="13" t="s">
        <v>397</v>
      </c>
      <c r="B314" s="13"/>
      <c r="C314" s="13" t="s">
        <v>32</v>
      </c>
      <c r="D314" s="13"/>
      <c r="E314" s="32">
        <v>44271</v>
      </c>
      <c r="F314" s="26"/>
      <c r="G314" s="26">
        <v>27377400</v>
      </c>
      <c r="H314" s="26"/>
      <c r="I314" s="26">
        <v>0</v>
      </c>
      <c r="J314" s="26"/>
      <c r="K314" s="26">
        <v>18164418</v>
      </c>
      <c r="L314" s="26"/>
      <c r="M314" s="26">
        <v>359958</v>
      </c>
      <c r="N314" s="26"/>
      <c r="O314" s="26">
        <v>668820</v>
      </c>
      <c r="P314" s="26"/>
      <c r="Q314" s="26">
        <v>437758</v>
      </c>
      <c r="R314" s="26"/>
      <c r="S314" s="26">
        <v>0</v>
      </c>
      <c r="T314" s="26"/>
      <c r="U314" s="26">
        <v>0</v>
      </c>
      <c r="V314" s="26"/>
      <c r="W314" s="26">
        <f>1182793+217563</f>
        <v>1400356</v>
      </c>
      <c r="X314" s="26"/>
      <c r="Y314" s="51">
        <f t="shared" si="25"/>
        <v>48408710</v>
      </c>
      <c r="Z314" s="26"/>
      <c r="AA314" s="26">
        <v>27464</v>
      </c>
      <c r="AB314" s="26"/>
      <c r="AC314" s="26"/>
      <c r="AD314" s="26"/>
      <c r="AE314" s="26">
        <v>0</v>
      </c>
      <c r="AF314" s="26"/>
      <c r="AG314" s="26"/>
      <c r="AH314" s="26"/>
      <c r="AI314" s="26"/>
      <c r="AJ314" s="26"/>
      <c r="AK314" s="26">
        <v>16123</v>
      </c>
      <c r="AL314" s="26"/>
      <c r="AM314" s="26">
        <v>0</v>
      </c>
      <c r="AN314" s="26"/>
      <c r="AO314" s="51">
        <f t="shared" si="26"/>
        <v>43587</v>
      </c>
      <c r="AP314" s="26"/>
      <c r="AQ314" s="51">
        <f t="shared" si="27"/>
        <v>48452297</v>
      </c>
    </row>
    <row r="315" spans="1:44">
      <c r="A315" s="13" t="s">
        <v>513</v>
      </c>
      <c r="B315" s="13"/>
      <c r="C315" s="13" t="s">
        <v>45</v>
      </c>
      <c r="D315" s="13"/>
      <c r="E315" s="32">
        <v>48330</v>
      </c>
      <c r="F315" s="26"/>
      <c r="G315" s="26">
        <v>1060963</v>
      </c>
      <c r="H315" s="26"/>
      <c r="I315" s="26">
        <v>0</v>
      </c>
      <c r="J315" s="26"/>
      <c r="K315" s="26">
        <f>2449940+234151</f>
        <v>2684091</v>
      </c>
      <c r="L315" s="26"/>
      <c r="M315" s="26">
        <v>68308</v>
      </c>
      <c r="N315" s="26"/>
      <c r="O315" s="26">
        <v>1193613</v>
      </c>
      <c r="P315" s="26"/>
      <c r="Q315" s="26">
        <v>102875</v>
      </c>
      <c r="R315" s="26"/>
      <c r="S315" s="26">
        <v>0</v>
      </c>
      <c r="T315" s="26"/>
      <c r="U315" s="26">
        <v>32694</v>
      </c>
      <c r="V315" s="26"/>
      <c r="W315" s="26">
        <f>21494+770+148043</f>
        <v>170307</v>
      </c>
      <c r="X315" s="26"/>
      <c r="Y315" s="51">
        <f t="shared" si="25"/>
        <v>5312851</v>
      </c>
      <c r="Z315" s="26"/>
      <c r="AA315" s="26">
        <v>195407</v>
      </c>
      <c r="AB315" s="26"/>
      <c r="AC315" s="26"/>
      <c r="AD315" s="26"/>
      <c r="AE315" s="26">
        <v>0</v>
      </c>
      <c r="AF315" s="26"/>
      <c r="AG315" s="26"/>
      <c r="AH315" s="26"/>
      <c r="AI315" s="26"/>
      <c r="AJ315" s="26"/>
      <c r="AK315" s="26">
        <v>13161</v>
      </c>
      <c r="AL315" s="26"/>
      <c r="AM315" s="26">
        <v>0</v>
      </c>
      <c r="AN315" s="26"/>
      <c r="AO315" s="51">
        <f t="shared" si="26"/>
        <v>208568</v>
      </c>
      <c r="AP315" s="26"/>
      <c r="AQ315" s="51">
        <f t="shared" si="27"/>
        <v>5521419</v>
      </c>
    </row>
    <row r="316" spans="1:44">
      <c r="A316" s="13" t="s">
        <v>611</v>
      </c>
      <c r="B316" s="13"/>
      <c r="C316" s="13" t="s">
        <v>112</v>
      </c>
      <c r="D316" s="13"/>
      <c r="E316" s="32">
        <v>49445</v>
      </c>
      <c r="F316" s="26"/>
      <c r="G316" s="26">
        <v>2417772</v>
      </c>
      <c r="H316" s="26"/>
      <c r="I316" s="26">
        <v>0</v>
      </c>
      <c r="J316" s="26"/>
      <c r="K316" s="26">
        <f>2608606+11215+326586</f>
        <v>2946407</v>
      </c>
      <c r="L316" s="26"/>
      <c r="M316" s="26">
        <v>83831</v>
      </c>
      <c r="N316" s="26"/>
      <c r="O316" s="26">
        <v>29971</v>
      </c>
      <c r="P316" s="26"/>
      <c r="Q316" s="26">
        <v>95717</v>
      </c>
      <c r="R316" s="26"/>
      <c r="S316" s="26">
        <v>0</v>
      </c>
      <c r="T316" s="26"/>
      <c r="U316" s="26">
        <v>13718</v>
      </c>
      <c r="V316" s="26"/>
      <c r="W316" s="26">
        <f>85405+1886+19414+133590</f>
        <v>240295</v>
      </c>
      <c r="X316" s="26"/>
      <c r="Y316" s="51">
        <f t="shared" si="25"/>
        <v>5827711</v>
      </c>
      <c r="Z316" s="26"/>
      <c r="AA316" s="26">
        <v>0</v>
      </c>
      <c r="AB316" s="26"/>
      <c r="AC316" s="26"/>
      <c r="AD316" s="26"/>
      <c r="AE316" s="26">
        <v>0</v>
      </c>
      <c r="AF316" s="26"/>
      <c r="AG316" s="26"/>
      <c r="AH316" s="26"/>
      <c r="AI316" s="26"/>
      <c r="AJ316" s="26"/>
      <c r="AK316" s="26">
        <v>0</v>
      </c>
      <c r="AL316" s="26"/>
      <c r="AM316" s="26">
        <v>0</v>
      </c>
      <c r="AN316" s="26"/>
      <c r="AO316" s="51">
        <f t="shared" si="26"/>
        <v>0</v>
      </c>
      <c r="AP316" s="26"/>
      <c r="AQ316" s="51">
        <f t="shared" si="27"/>
        <v>5827711</v>
      </c>
    </row>
    <row r="317" spans="1:44">
      <c r="A317" s="13" t="s">
        <v>439</v>
      </c>
      <c r="B317" s="13"/>
      <c r="C317" s="13" t="s">
        <v>435</v>
      </c>
      <c r="D317" s="13"/>
      <c r="E317" s="32">
        <v>47639</v>
      </c>
      <c r="F317" s="26"/>
      <c r="G317" s="26">
        <v>1893964</v>
      </c>
      <c r="H317" s="26"/>
      <c r="I317" s="26">
        <v>0</v>
      </c>
      <c r="J317" s="26"/>
      <c r="K317" s="26">
        <v>9259643</v>
      </c>
      <c r="L317" s="26"/>
      <c r="M317" s="26">
        <v>279538</v>
      </c>
      <c r="N317" s="26"/>
      <c r="O317" s="26">
        <v>593746</v>
      </c>
      <c r="P317" s="26"/>
      <c r="Q317" s="26">
        <v>59822</v>
      </c>
      <c r="R317" s="26"/>
      <c r="S317" s="26">
        <v>0</v>
      </c>
      <c r="T317" s="26"/>
      <c r="U317" s="26">
        <v>21610</v>
      </c>
      <c r="V317" s="26"/>
      <c r="W317" s="26">
        <f>99160+305386+1445</f>
        <v>405991</v>
      </c>
      <c r="X317" s="26"/>
      <c r="Y317" s="51">
        <f t="shared" si="25"/>
        <v>12514314</v>
      </c>
      <c r="Z317" s="26"/>
      <c r="AA317" s="26">
        <v>0</v>
      </c>
      <c r="AB317" s="26"/>
      <c r="AC317" s="26"/>
      <c r="AD317" s="26"/>
      <c r="AE317" s="26">
        <v>1014448</v>
      </c>
      <c r="AF317" s="26"/>
      <c r="AG317" s="26"/>
      <c r="AH317" s="26"/>
      <c r="AI317" s="26"/>
      <c r="AJ317" s="26"/>
      <c r="AK317" s="26">
        <v>0</v>
      </c>
      <c r="AL317" s="26"/>
      <c r="AM317" s="26">
        <v>0</v>
      </c>
      <c r="AN317" s="26"/>
      <c r="AO317" s="51">
        <f t="shared" si="26"/>
        <v>1014448</v>
      </c>
      <c r="AP317" s="26"/>
      <c r="AQ317" s="51">
        <f t="shared" si="27"/>
        <v>13528762</v>
      </c>
    </row>
    <row r="318" spans="1:44">
      <c r="A318" s="13" t="s">
        <v>1055</v>
      </c>
      <c r="B318" s="13"/>
      <c r="C318" s="13" t="s">
        <v>50</v>
      </c>
      <c r="D318" s="13"/>
      <c r="E318" s="32">
        <v>48702</v>
      </c>
      <c r="F318" s="26"/>
      <c r="G318" s="26">
        <v>9827355</v>
      </c>
      <c r="H318" s="26"/>
      <c r="I318" s="26">
        <v>0</v>
      </c>
      <c r="J318" s="26"/>
      <c r="K318" s="26">
        <v>29210085</v>
      </c>
      <c r="L318" s="26"/>
      <c r="M318" s="26">
        <v>414512</v>
      </c>
      <c r="N318" s="26"/>
      <c r="O318" s="26">
        <v>787213</v>
      </c>
      <c r="P318" s="26"/>
      <c r="Q318" s="26">
        <v>243443</v>
      </c>
      <c r="R318" s="26"/>
      <c r="S318" s="26">
        <v>0</v>
      </c>
      <c r="T318" s="26"/>
      <c r="U318" s="26">
        <v>0</v>
      </c>
      <c r="V318" s="26"/>
      <c r="W318" s="26">
        <f>418109+837324</f>
        <v>1255433</v>
      </c>
      <c r="X318" s="26"/>
      <c r="Y318" s="51">
        <f t="shared" si="25"/>
        <v>41738041</v>
      </c>
      <c r="Z318" s="26"/>
      <c r="AA318" s="26">
        <v>6000</v>
      </c>
      <c r="AB318" s="26"/>
      <c r="AC318" s="26"/>
      <c r="AD318" s="26"/>
      <c r="AE318" s="26">
        <v>0</v>
      </c>
      <c r="AF318" s="26"/>
      <c r="AG318" s="26"/>
      <c r="AH318" s="26"/>
      <c r="AI318" s="26"/>
      <c r="AJ318" s="26"/>
      <c r="AK318" s="26">
        <v>0</v>
      </c>
      <c r="AL318" s="26"/>
      <c r="AM318" s="26">
        <v>0</v>
      </c>
      <c r="AN318" s="26"/>
      <c r="AO318" s="51">
        <f t="shared" si="26"/>
        <v>6000</v>
      </c>
      <c r="AP318" s="26"/>
      <c r="AQ318" s="51">
        <f t="shared" si="27"/>
        <v>41744041</v>
      </c>
      <c r="AR318" s="15" t="s">
        <v>905</v>
      </c>
    </row>
    <row r="319" spans="1:44">
      <c r="A319" s="13" t="s">
        <v>398</v>
      </c>
      <c r="B319" s="13"/>
      <c r="C319" s="13" t="s">
        <v>32</v>
      </c>
      <c r="D319" s="13"/>
      <c r="E319" s="32">
        <v>44289</v>
      </c>
      <c r="F319" s="26"/>
      <c r="G319" s="26">
        <v>12835400</v>
      </c>
      <c r="H319" s="26"/>
      <c r="I319" s="26">
        <v>0</v>
      </c>
      <c r="J319" s="26"/>
      <c r="K319" s="26">
        <v>5831879</v>
      </c>
      <c r="L319" s="26"/>
      <c r="M319" s="26">
        <v>131489</v>
      </c>
      <c r="N319" s="26"/>
      <c r="O319" s="26">
        <v>158489</v>
      </c>
      <c r="P319" s="26"/>
      <c r="Q319" s="26">
        <v>395221</v>
      </c>
      <c r="R319" s="26"/>
      <c r="S319" s="26">
        <v>0</v>
      </c>
      <c r="T319" s="26"/>
      <c r="U319" s="26">
        <v>0</v>
      </c>
      <c r="V319" s="26"/>
      <c r="W319" s="26">
        <f>554041+260448</f>
        <v>814489</v>
      </c>
      <c r="X319" s="26"/>
      <c r="Y319" s="51">
        <f t="shared" si="25"/>
        <v>20166967</v>
      </c>
      <c r="Z319" s="26"/>
      <c r="AA319" s="26">
        <v>2500</v>
      </c>
      <c r="AB319" s="26"/>
      <c r="AC319" s="26"/>
      <c r="AD319" s="26"/>
      <c r="AE319" s="26">
        <v>180392</v>
      </c>
      <c r="AF319" s="26"/>
      <c r="AG319" s="26"/>
      <c r="AH319" s="26"/>
      <c r="AI319" s="26"/>
      <c r="AJ319" s="26"/>
      <c r="AK319" s="26">
        <v>27264</v>
      </c>
      <c r="AL319" s="26"/>
      <c r="AM319" s="26">
        <v>0</v>
      </c>
      <c r="AN319" s="26"/>
      <c r="AO319" s="51">
        <f t="shared" si="26"/>
        <v>210156</v>
      </c>
      <c r="AP319" s="26"/>
      <c r="AQ319" s="51">
        <f t="shared" si="27"/>
        <v>20377123</v>
      </c>
    </row>
    <row r="320" spans="1:44">
      <c r="A320" s="13" t="s">
        <v>246</v>
      </c>
      <c r="B320" s="13"/>
      <c r="C320" s="13" t="s">
        <v>242</v>
      </c>
      <c r="D320" s="13"/>
      <c r="E320" s="32">
        <v>46128</v>
      </c>
      <c r="F320" s="26"/>
      <c r="G320" s="26">
        <v>6377518</v>
      </c>
      <c r="H320" s="26"/>
      <c r="I320" s="26">
        <v>0</v>
      </c>
      <c r="J320" s="26"/>
      <c r="K320" s="26">
        <f>14875924+729476</f>
        <v>15605400</v>
      </c>
      <c r="L320" s="26"/>
      <c r="M320" s="26">
        <v>114383</v>
      </c>
      <c r="N320" s="26"/>
      <c r="O320" s="26">
        <v>561658</v>
      </c>
      <c r="P320" s="26"/>
      <c r="Q320" s="26">
        <v>163057</v>
      </c>
      <c r="R320" s="26"/>
      <c r="S320" s="26">
        <v>0</v>
      </c>
      <c r="T320" s="26"/>
      <c r="U320" s="26">
        <v>0</v>
      </c>
      <c r="V320" s="26"/>
      <c r="W320" s="26">
        <f>103832+72892+543932</f>
        <v>720656</v>
      </c>
      <c r="X320" s="26"/>
      <c r="Y320" s="51">
        <f t="shared" si="25"/>
        <v>23542672</v>
      </c>
      <c r="Z320" s="26"/>
      <c r="AA320" s="26">
        <v>2593</v>
      </c>
      <c r="AB320" s="26"/>
      <c r="AC320" s="26"/>
      <c r="AD320" s="26"/>
      <c r="AE320" s="26">
        <v>28449</v>
      </c>
      <c r="AF320" s="26"/>
      <c r="AG320" s="26"/>
      <c r="AH320" s="26"/>
      <c r="AI320" s="26"/>
      <c r="AJ320" s="26"/>
      <c r="AK320" s="26">
        <v>0</v>
      </c>
      <c r="AL320" s="26"/>
      <c r="AM320" s="26">
        <v>0</v>
      </c>
      <c r="AN320" s="26"/>
      <c r="AO320" s="51">
        <f t="shared" si="26"/>
        <v>31042</v>
      </c>
      <c r="AP320" s="26"/>
      <c r="AQ320" s="51">
        <f t="shared" si="27"/>
        <v>23573714</v>
      </c>
    </row>
    <row r="321" spans="1:44" hidden="1">
      <c r="A321" s="12" t="s">
        <v>993</v>
      </c>
      <c r="B321" s="12"/>
      <c r="C321" s="12" t="s">
        <v>41</v>
      </c>
      <c r="D321" s="13"/>
      <c r="E321" s="32"/>
      <c r="F321" s="26"/>
      <c r="G321" s="26">
        <v>11127226</v>
      </c>
      <c r="H321" s="26"/>
      <c r="I321" s="26"/>
      <c r="J321" s="26"/>
      <c r="K321" s="26">
        <v>17525224</v>
      </c>
      <c r="L321" s="26"/>
      <c r="M321" s="26">
        <v>128833</v>
      </c>
      <c r="N321" s="26"/>
      <c r="O321" s="26">
        <v>1301068</v>
      </c>
      <c r="P321" s="26"/>
      <c r="Q321" s="26">
        <v>336916</v>
      </c>
      <c r="R321" s="26"/>
      <c r="S321" s="26"/>
      <c r="T321" s="26"/>
      <c r="U321" s="26"/>
      <c r="V321" s="26"/>
      <c r="W321" s="26">
        <v>246317</v>
      </c>
      <c r="X321" s="26"/>
      <c r="Y321" s="51">
        <f t="shared" si="25"/>
        <v>30665584</v>
      </c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51"/>
      <c r="AP321" s="26"/>
      <c r="AQ321" s="51">
        <f t="shared" si="27"/>
        <v>30665584</v>
      </c>
    </row>
    <row r="322" spans="1:44">
      <c r="A322" s="13" t="s">
        <v>246</v>
      </c>
      <c r="B322" s="13"/>
      <c r="C322" s="13" t="s">
        <v>112</v>
      </c>
      <c r="D322" s="13"/>
      <c r="E322" s="32">
        <v>49452</v>
      </c>
      <c r="F322" s="26"/>
      <c r="G322" s="26">
        <v>10227991</v>
      </c>
      <c r="H322" s="26"/>
      <c r="I322" s="26">
        <v>0</v>
      </c>
      <c r="J322" s="26"/>
      <c r="K322" s="26">
        <f>17545307+3148268</f>
        <v>20693575</v>
      </c>
      <c r="L322" s="26"/>
      <c r="M322" s="26">
        <v>303353</v>
      </c>
      <c r="N322" s="26"/>
      <c r="O322" s="26">
        <v>1385588</v>
      </c>
      <c r="P322" s="26"/>
      <c r="Q322" s="26">
        <v>115522</v>
      </c>
      <c r="R322" s="26"/>
      <c r="S322" s="26">
        <v>0</v>
      </c>
      <c r="T322" s="26"/>
      <c r="U322" s="26">
        <v>26161</v>
      </c>
      <c r="V322" s="26"/>
      <c r="W322" s="26">
        <f>302193+89449+2650+169614+449696+9595</f>
        <v>1023197</v>
      </c>
      <c r="X322" s="26"/>
      <c r="Y322" s="51">
        <f t="shared" si="25"/>
        <v>33775387</v>
      </c>
      <c r="Z322" s="26"/>
      <c r="AA322" s="26">
        <v>183998</v>
      </c>
      <c r="AB322" s="26"/>
      <c r="AC322" s="26"/>
      <c r="AD322" s="26"/>
      <c r="AE322" s="26">
        <v>0</v>
      </c>
      <c r="AF322" s="26"/>
      <c r="AG322" s="26"/>
      <c r="AH322" s="26"/>
      <c r="AI322" s="26"/>
      <c r="AJ322" s="26"/>
      <c r="AK322" s="26">
        <v>0</v>
      </c>
      <c r="AL322" s="26"/>
      <c r="AM322" s="26">
        <v>0</v>
      </c>
      <c r="AN322" s="26"/>
      <c r="AO322" s="51">
        <f t="shared" ref="AO322:AO332" si="28">AK322+AE322+AA322</f>
        <v>183998</v>
      </c>
      <c r="AP322" s="26"/>
      <c r="AQ322" s="51">
        <f t="shared" si="27"/>
        <v>33959385</v>
      </c>
    </row>
    <row r="323" spans="1:44">
      <c r="A323" s="12" t="s">
        <v>1023</v>
      </c>
      <c r="B323" s="12"/>
      <c r="C323" s="12" t="s">
        <v>505</v>
      </c>
      <c r="D323" s="13"/>
      <c r="E323" s="32"/>
      <c r="F323" s="26"/>
      <c r="G323" s="26">
        <v>6216404</v>
      </c>
      <c r="H323" s="26"/>
      <c r="I323" s="26">
        <v>0</v>
      </c>
      <c r="J323" s="26"/>
      <c r="K323" s="26">
        <v>7046800</v>
      </c>
      <c r="L323" s="26"/>
      <c r="M323" s="26">
        <v>174022</v>
      </c>
      <c r="N323" s="26"/>
      <c r="O323" s="26">
        <v>833118</v>
      </c>
      <c r="P323" s="26"/>
      <c r="Q323" s="26">
        <v>150990</v>
      </c>
      <c r="R323" s="26"/>
      <c r="S323" s="26">
        <v>5991</v>
      </c>
      <c r="T323" s="26"/>
      <c r="U323" s="26">
        <v>135190</v>
      </c>
      <c r="V323" s="26"/>
      <c r="W323" s="26">
        <f>79082+386623+30</f>
        <v>465735</v>
      </c>
      <c r="X323" s="26"/>
      <c r="Y323" s="51">
        <f t="shared" si="25"/>
        <v>15028250</v>
      </c>
      <c r="Z323" s="26"/>
      <c r="AA323" s="26">
        <v>40000</v>
      </c>
      <c r="AB323" s="26"/>
      <c r="AC323" s="26"/>
      <c r="AD323" s="26"/>
      <c r="AE323" s="26">
        <v>0</v>
      </c>
      <c r="AF323" s="26"/>
      <c r="AG323" s="26"/>
      <c r="AH323" s="26"/>
      <c r="AI323" s="26"/>
      <c r="AJ323" s="26"/>
      <c r="AK323" s="26">
        <f>800000+47000</f>
        <v>847000</v>
      </c>
      <c r="AL323" s="26"/>
      <c r="AM323" s="26"/>
      <c r="AN323" s="26"/>
      <c r="AO323" s="51">
        <f t="shared" si="28"/>
        <v>887000</v>
      </c>
      <c r="AP323" s="26"/>
      <c r="AQ323" s="51">
        <f t="shared" si="27"/>
        <v>15915250</v>
      </c>
    </row>
    <row r="324" spans="1:44">
      <c r="A324" s="13" t="s">
        <v>819</v>
      </c>
      <c r="B324" s="13"/>
      <c r="C324" s="13" t="s">
        <v>208</v>
      </c>
      <c r="D324" s="13"/>
      <c r="E324" s="32"/>
      <c r="F324" s="26"/>
      <c r="G324" s="26">
        <v>7591974</v>
      </c>
      <c r="H324" s="26"/>
      <c r="I324" s="26">
        <v>0</v>
      </c>
      <c r="J324" s="26"/>
      <c r="K324" s="26">
        <v>8036627</v>
      </c>
      <c r="L324" s="26"/>
      <c r="M324" s="26">
        <v>135653</v>
      </c>
      <c r="N324" s="26"/>
      <c r="O324" s="26">
        <v>323127</v>
      </c>
      <c r="P324" s="26"/>
      <c r="Q324" s="26">
        <v>110098</v>
      </c>
      <c r="R324" s="26"/>
      <c r="S324" s="26">
        <v>0</v>
      </c>
      <c r="T324" s="26"/>
      <c r="U324" s="26">
        <v>6779</v>
      </c>
      <c r="V324" s="26"/>
      <c r="W324" s="26">
        <f>161593+46005</f>
        <v>207598</v>
      </c>
      <c r="X324" s="26"/>
      <c r="Y324" s="51">
        <f t="shared" si="25"/>
        <v>16411856</v>
      </c>
      <c r="Z324" s="26"/>
      <c r="AA324" s="26">
        <v>2750948</v>
      </c>
      <c r="AB324" s="26"/>
      <c r="AC324" s="26"/>
      <c r="AD324" s="26"/>
      <c r="AE324" s="26">
        <v>0</v>
      </c>
      <c r="AF324" s="26"/>
      <c r="AG324" s="26"/>
      <c r="AH324" s="26"/>
      <c r="AI324" s="26"/>
      <c r="AJ324" s="26"/>
      <c r="AK324" s="26">
        <v>32796</v>
      </c>
      <c r="AL324" s="26"/>
      <c r="AM324" s="26">
        <v>0</v>
      </c>
      <c r="AN324" s="26"/>
      <c r="AO324" s="51">
        <f t="shared" si="28"/>
        <v>2783744</v>
      </c>
      <c r="AP324" s="26"/>
      <c r="AQ324" s="51">
        <f t="shared" si="27"/>
        <v>19195600</v>
      </c>
    </row>
    <row r="325" spans="1:44">
      <c r="A325" s="13" t="s">
        <v>612</v>
      </c>
      <c r="B325" s="13"/>
      <c r="C325" s="13" t="s">
        <v>112</v>
      </c>
      <c r="D325" s="13"/>
      <c r="E325" s="32">
        <v>44297</v>
      </c>
      <c r="F325" s="26"/>
      <c r="G325" s="26">
        <v>20265804</v>
      </c>
      <c r="H325" s="26"/>
      <c r="I325" s="26">
        <v>0</v>
      </c>
      <c r="J325" s="26"/>
      <c r="K325" s="26">
        <f>36918170+7545268</f>
        <v>44463438</v>
      </c>
      <c r="L325" s="26"/>
      <c r="M325" s="26">
        <v>522182</v>
      </c>
      <c r="N325" s="26"/>
      <c r="O325" s="26">
        <v>680129</v>
      </c>
      <c r="P325" s="26"/>
      <c r="Q325" s="26">
        <v>265935</v>
      </c>
      <c r="R325" s="26"/>
      <c r="S325" s="26">
        <v>0</v>
      </c>
      <c r="T325" s="26"/>
      <c r="U325" s="26">
        <v>30085</v>
      </c>
      <c r="V325" s="26"/>
      <c r="W325" s="26">
        <f>1390551+121310+5645+189596+385379+93783</f>
        <v>2186264</v>
      </c>
      <c r="X325" s="26"/>
      <c r="Y325" s="51">
        <f t="shared" si="25"/>
        <v>68413837</v>
      </c>
      <c r="Z325" s="26"/>
      <c r="AA325" s="26">
        <v>0</v>
      </c>
      <c r="AB325" s="26"/>
      <c r="AC325" s="26"/>
      <c r="AD325" s="26"/>
      <c r="AE325" s="26">
        <v>0</v>
      </c>
      <c r="AF325" s="26"/>
      <c r="AG325" s="26"/>
      <c r="AH325" s="26"/>
      <c r="AI325" s="26"/>
      <c r="AJ325" s="26"/>
      <c r="AK325" s="26">
        <v>9067</v>
      </c>
      <c r="AL325" s="26"/>
      <c r="AM325" s="26">
        <v>0</v>
      </c>
      <c r="AN325" s="26"/>
      <c r="AO325" s="51">
        <f t="shared" si="28"/>
        <v>9067</v>
      </c>
      <c r="AP325" s="26"/>
      <c r="AQ325" s="51">
        <f t="shared" si="27"/>
        <v>68422904</v>
      </c>
    </row>
    <row r="326" spans="1:44">
      <c r="A326" s="12" t="s">
        <v>1070</v>
      </c>
      <c r="B326" s="13"/>
      <c r="C326" s="13" t="s">
        <v>20</v>
      </c>
      <c r="D326" s="13"/>
      <c r="E326" s="13">
        <v>44305</v>
      </c>
      <c r="F326" s="26"/>
      <c r="G326" s="26">
        <v>15447116</v>
      </c>
      <c r="H326" s="26"/>
      <c r="I326" s="26">
        <v>0</v>
      </c>
      <c r="J326" s="26"/>
      <c r="K326" s="26">
        <v>34967475</v>
      </c>
      <c r="L326" s="26"/>
      <c r="M326" s="26">
        <v>625963</v>
      </c>
      <c r="N326" s="26"/>
      <c r="O326" s="26">
        <v>1234354</v>
      </c>
      <c r="P326" s="26"/>
      <c r="Q326" s="26">
        <v>61851</v>
      </c>
      <c r="R326" s="26"/>
      <c r="S326" s="26">
        <v>0</v>
      </c>
      <c r="T326" s="26"/>
      <c r="U326" s="26">
        <v>33252</v>
      </c>
      <c r="V326" s="26"/>
      <c r="W326" s="26">
        <f>344291+532850</f>
        <v>877141</v>
      </c>
      <c r="X326" s="26"/>
      <c r="Y326" s="51">
        <f t="shared" si="25"/>
        <v>53247152</v>
      </c>
      <c r="Z326" s="26"/>
      <c r="AA326" s="26">
        <v>0</v>
      </c>
      <c r="AB326" s="26"/>
      <c r="AC326" s="26"/>
      <c r="AD326" s="26"/>
      <c r="AE326" s="26">
        <f>55736771+314000</f>
        <v>56050771</v>
      </c>
      <c r="AF326" s="26"/>
      <c r="AG326" s="26"/>
      <c r="AH326" s="26"/>
      <c r="AI326" s="26"/>
      <c r="AJ326" s="26"/>
      <c r="AK326" s="26">
        <v>0</v>
      </c>
      <c r="AL326" s="26"/>
      <c r="AM326" s="26">
        <v>0</v>
      </c>
      <c r="AN326" s="26"/>
      <c r="AO326" s="51">
        <f t="shared" si="28"/>
        <v>56050771</v>
      </c>
      <c r="AP326" s="26"/>
      <c r="AQ326" s="51">
        <f t="shared" si="27"/>
        <v>109297923</v>
      </c>
      <c r="AR326" s="15" t="s">
        <v>905</v>
      </c>
    </row>
    <row r="327" spans="1:44">
      <c r="A327" s="13" t="s">
        <v>216</v>
      </c>
      <c r="B327" s="13"/>
      <c r="C327" s="13" t="s">
        <v>11</v>
      </c>
      <c r="D327" s="13"/>
      <c r="E327" s="32">
        <v>45831</v>
      </c>
      <c r="F327" s="26"/>
      <c r="G327" s="26">
        <v>3167744</v>
      </c>
      <c r="H327" s="26"/>
      <c r="I327" s="26">
        <v>0</v>
      </c>
      <c r="J327" s="26"/>
      <c r="K327" s="26">
        <f>39379+5137025+558543</f>
        <v>5734947</v>
      </c>
      <c r="L327" s="26"/>
      <c r="M327" s="26">
        <v>37072</v>
      </c>
      <c r="N327" s="26"/>
      <c r="O327" s="26">
        <v>481964</v>
      </c>
      <c r="P327" s="26"/>
      <c r="Q327" s="26">
        <v>109016</v>
      </c>
      <c r="R327" s="26"/>
      <c r="S327" s="26">
        <v>0</v>
      </c>
      <c r="T327" s="26"/>
      <c r="U327" s="26">
        <v>25643</v>
      </c>
      <c r="V327" s="26"/>
      <c r="W327" s="26">
        <f>28719+36170+619+188711</f>
        <v>254219</v>
      </c>
      <c r="X327" s="26"/>
      <c r="Y327" s="51">
        <f t="shared" si="25"/>
        <v>9810605</v>
      </c>
      <c r="Z327" s="26"/>
      <c r="AA327" s="26">
        <v>0</v>
      </c>
      <c r="AB327" s="26"/>
      <c r="AC327" s="26"/>
      <c r="AD327" s="26"/>
      <c r="AE327" s="26">
        <v>0</v>
      </c>
      <c r="AF327" s="26"/>
      <c r="AG327" s="26"/>
      <c r="AH327" s="26"/>
      <c r="AI327" s="26"/>
      <c r="AJ327" s="26"/>
      <c r="AK327" s="26">
        <v>0</v>
      </c>
      <c r="AL327" s="26"/>
      <c r="AM327" s="26">
        <v>0</v>
      </c>
      <c r="AN327" s="26"/>
      <c r="AO327" s="51">
        <f t="shared" si="28"/>
        <v>0</v>
      </c>
      <c r="AP327" s="26"/>
      <c r="AQ327" s="51">
        <f t="shared" si="27"/>
        <v>9810605</v>
      </c>
    </row>
    <row r="328" spans="1:44">
      <c r="A328" s="13" t="s">
        <v>687</v>
      </c>
      <c r="B328" s="13"/>
      <c r="C328" s="13" t="s">
        <v>64</v>
      </c>
      <c r="D328" s="13"/>
      <c r="E328" s="32">
        <v>50211</v>
      </c>
      <c r="F328" s="26"/>
      <c r="G328" s="26">
        <v>2632916</v>
      </c>
      <c r="H328" s="26"/>
      <c r="I328" s="26">
        <v>0</v>
      </c>
      <c r="J328" s="26"/>
      <c r="K328" s="26">
        <f>6060813+474709</f>
        <v>6535522</v>
      </c>
      <c r="L328" s="26"/>
      <c r="M328" s="26">
        <v>139406</v>
      </c>
      <c r="N328" s="26"/>
      <c r="O328" s="26">
        <v>301165</v>
      </c>
      <c r="P328" s="26"/>
      <c r="Q328" s="26">
        <v>70415</v>
      </c>
      <c r="R328" s="26"/>
      <c r="S328" s="26">
        <v>0</v>
      </c>
      <c r="T328" s="26"/>
      <c r="U328" s="8">
        <v>0</v>
      </c>
      <c r="V328" s="26"/>
      <c r="W328" s="26">
        <f>54827+54033+171027+9176</f>
        <v>289063</v>
      </c>
      <c r="X328" s="26"/>
      <c r="Y328" s="51">
        <f>SUM(G328:W328)</f>
        <v>9968487</v>
      </c>
      <c r="Z328" s="26"/>
      <c r="AA328" s="26">
        <v>0</v>
      </c>
      <c r="AB328" s="26"/>
      <c r="AC328" s="26"/>
      <c r="AD328" s="26"/>
      <c r="AE328" s="26">
        <v>0</v>
      </c>
      <c r="AF328" s="26"/>
      <c r="AG328" s="26"/>
      <c r="AH328" s="26"/>
      <c r="AI328" s="26"/>
      <c r="AJ328" s="26"/>
      <c r="AK328" s="26">
        <v>0</v>
      </c>
      <c r="AL328" s="26"/>
      <c r="AM328" s="26">
        <v>0</v>
      </c>
      <c r="AN328" s="26"/>
      <c r="AO328" s="51">
        <f t="shared" si="28"/>
        <v>0</v>
      </c>
      <c r="AP328" s="26"/>
      <c r="AQ328" s="51">
        <f t="shared" si="27"/>
        <v>9968487</v>
      </c>
    </row>
    <row r="329" spans="1:44">
      <c r="A329" s="13" t="s">
        <v>339</v>
      </c>
      <c r="B329" s="13"/>
      <c r="C329" s="13" t="s">
        <v>24</v>
      </c>
      <c r="D329" s="13"/>
      <c r="E329" s="32">
        <v>46805</v>
      </c>
      <c r="F329" s="26"/>
      <c r="G329" s="26">
        <v>5033347</v>
      </c>
      <c r="H329" s="26"/>
      <c r="I329" s="26">
        <v>0</v>
      </c>
      <c r="J329" s="26"/>
      <c r="K329" s="26">
        <f>6332952+596586</f>
        <v>6929538</v>
      </c>
      <c r="L329" s="26"/>
      <c r="M329" s="26">
        <v>83676</v>
      </c>
      <c r="N329" s="26"/>
      <c r="O329" s="26">
        <v>423721</v>
      </c>
      <c r="P329" s="26"/>
      <c r="Q329" s="26">
        <v>375565</v>
      </c>
      <c r="R329" s="26"/>
      <c r="S329" s="26">
        <v>0</v>
      </c>
      <c r="T329" s="26"/>
      <c r="U329" s="26">
        <v>54898</v>
      </c>
      <c r="V329" s="26"/>
      <c r="W329" s="26">
        <f>39993+22599+26232+57528+395623</f>
        <v>541975</v>
      </c>
      <c r="X329" s="26"/>
      <c r="Y329" s="51">
        <f t="shared" si="25"/>
        <v>13442720</v>
      </c>
      <c r="Z329" s="26"/>
      <c r="AA329" s="26">
        <v>155486</v>
      </c>
      <c r="AB329" s="26"/>
      <c r="AC329" s="26"/>
      <c r="AD329" s="26"/>
      <c r="AE329" s="26">
        <v>0</v>
      </c>
      <c r="AF329" s="26"/>
      <c r="AG329" s="26"/>
      <c r="AH329" s="26"/>
      <c r="AI329" s="26"/>
      <c r="AJ329" s="26"/>
      <c r="AK329" s="26">
        <v>0</v>
      </c>
      <c r="AL329" s="26"/>
      <c r="AM329" s="26">
        <v>0</v>
      </c>
      <c r="AN329" s="26"/>
      <c r="AO329" s="51">
        <f t="shared" si="28"/>
        <v>155486</v>
      </c>
      <c r="AP329" s="26"/>
      <c r="AQ329" s="51">
        <f t="shared" si="27"/>
        <v>13598206</v>
      </c>
    </row>
    <row r="330" spans="1:44">
      <c r="A330" s="13" t="s">
        <v>399</v>
      </c>
      <c r="B330" s="13"/>
      <c r="C330" s="13" t="s">
        <v>32</v>
      </c>
      <c r="D330" s="13"/>
      <c r="E330" s="32">
        <v>44313</v>
      </c>
      <c r="F330" s="26"/>
      <c r="G330" s="26">
        <v>15235431</v>
      </c>
      <c r="H330" s="26"/>
      <c r="I330" s="26">
        <v>0</v>
      </c>
      <c r="J330" s="26"/>
      <c r="K330" s="26">
        <v>6101117</v>
      </c>
      <c r="L330" s="26"/>
      <c r="M330" s="26">
        <v>104837</v>
      </c>
      <c r="N330" s="26"/>
      <c r="O330" s="26">
        <v>284930</v>
      </c>
      <c r="P330" s="26"/>
      <c r="Q330" s="26">
        <v>210432</v>
      </c>
      <c r="R330" s="26"/>
      <c r="S330" s="26">
        <v>0</v>
      </c>
      <c r="T330" s="26"/>
      <c r="U330" s="26">
        <v>0</v>
      </c>
      <c r="V330" s="26"/>
      <c r="W330" s="26">
        <f>114606+159263</f>
        <v>273869</v>
      </c>
      <c r="X330" s="26"/>
      <c r="Y330" s="51">
        <f t="shared" si="25"/>
        <v>22210616</v>
      </c>
      <c r="Z330" s="26"/>
      <c r="AA330" s="26">
        <v>53000</v>
      </c>
      <c r="AB330" s="26"/>
      <c r="AC330" s="26"/>
      <c r="AD330" s="26"/>
      <c r="AE330" s="26">
        <v>0</v>
      </c>
      <c r="AF330" s="26"/>
      <c r="AG330" s="26"/>
      <c r="AH330" s="26"/>
      <c r="AI330" s="26"/>
      <c r="AJ330" s="26"/>
      <c r="AK330" s="26">
        <v>0</v>
      </c>
      <c r="AL330" s="26"/>
      <c r="AM330" s="26">
        <v>0</v>
      </c>
      <c r="AN330" s="26"/>
      <c r="AO330" s="51">
        <f t="shared" si="28"/>
        <v>53000</v>
      </c>
      <c r="AP330" s="26"/>
      <c r="AQ330" s="51">
        <f t="shared" si="27"/>
        <v>22263616</v>
      </c>
    </row>
    <row r="331" spans="1:44" hidden="1">
      <c r="A331" s="12" t="s">
        <v>832</v>
      </c>
      <c r="B331" s="13"/>
      <c r="C331" s="13" t="s">
        <v>70</v>
      </c>
      <c r="D331" s="13"/>
      <c r="E331" s="32">
        <v>44321</v>
      </c>
      <c r="F331" s="26"/>
      <c r="G331" s="26">
        <v>11030666</v>
      </c>
      <c r="H331" s="26"/>
      <c r="I331" s="26">
        <v>0</v>
      </c>
      <c r="J331" s="26"/>
      <c r="K331" s="26">
        <v>13762188</v>
      </c>
      <c r="L331" s="26"/>
      <c r="M331" s="26">
        <v>216920</v>
      </c>
      <c r="N331" s="26"/>
      <c r="O331" s="26">
        <v>717785</v>
      </c>
      <c r="P331" s="26"/>
      <c r="Q331" s="26">
        <v>187281</v>
      </c>
      <c r="R331" s="26"/>
      <c r="S331" s="26">
        <v>71297</v>
      </c>
      <c r="T331" s="26"/>
      <c r="U331" s="26">
        <v>44165</v>
      </c>
      <c r="V331" s="26"/>
      <c r="W331" s="26">
        <f>126830+443684</f>
        <v>570514</v>
      </c>
      <c r="X331" s="26"/>
      <c r="Y331" s="51">
        <f t="shared" si="25"/>
        <v>26600816</v>
      </c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>
        <v>0</v>
      </c>
      <c r="AN331" s="26"/>
      <c r="AO331" s="51">
        <f t="shared" si="28"/>
        <v>0</v>
      </c>
      <c r="AP331" s="26"/>
      <c r="AQ331" s="51">
        <f t="shared" si="27"/>
        <v>26600816</v>
      </c>
      <c r="AR331" s="8" t="s">
        <v>956</v>
      </c>
    </row>
    <row r="332" spans="1:44" ht="11.25" customHeight="1">
      <c r="A332" s="13" t="s">
        <v>521</v>
      </c>
      <c r="B332" s="13"/>
      <c r="C332" s="13" t="s">
        <v>46</v>
      </c>
      <c r="D332" s="13"/>
      <c r="E332" s="32">
        <v>44339</v>
      </c>
      <c r="F332" s="26"/>
      <c r="G332" s="26">
        <v>9751402</v>
      </c>
      <c r="H332" s="26"/>
      <c r="I332" s="26">
        <v>0</v>
      </c>
      <c r="J332" s="26"/>
      <c r="K332" s="26">
        <v>40157117</v>
      </c>
      <c r="L332" s="26"/>
      <c r="M332" s="26">
        <v>406862</v>
      </c>
      <c r="N332" s="26"/>
      <c r="O332" s="26">
        <v>2039665</v>
      </c>
      <c r="P332" s="26"/>
      <c r="Q332" s="26">
        <v>161347</v>
      </c>
      <c r="R332" s="26"/>
      <c r="S332" s="26">
        <v>255993</v>
      </c>
      <c r="T332" s="26"/>
      <c r="U332" s="26">
        <v>5181</v>
      </c>
      <c r="V332" s="26"/>
      <c r="W332" s="26">
        <v>584371</v>
      </c>
      <c r="X332" s="26"/>
      <c r="Y332" s="51">
        <f t="shared" si="25"/>
        <v>53361938</v>
      </c>
      <c r="Z332" s="26"/>
      <c r="AA332" s="26">
        <v>80177</v>
      </c>
      <c r="AB332" s="26"/>
      <c r="AC332" s="26"/>
      <c r="AD332" s="26"/>
      <c r="AE332" s="26">
        <v>25786</v>
      </c>
      <c r="AF332" s="26"/>
      <c r="AG332" s="26"/>
      <c r="AH332" s="26"/>
      <c r="AI332" s="26"/>
      <c r="AJ332" s="26"/>
      <c r="AK332" s="26">
        <v>0</v>
      </c>
      <c r="AL332" s="26"/>
      <c r="AM332" s="26">
        <v>0</v>
      </c>
      <c r="AN332" s="26"/>
      <c r="AO332" s="51">
        <f t="shared" si="28"/>
        <v>105963</v>
      </c>
      <c r="AP332" s="26"/>
      <c r="AQ332" s="51">
        <f t="shared" si="27"/>
        <v>53467901</v>
      </c>
    </row>
    <row r="333" spans="1:44" ht="11.25" hidden="1" customHeight="1">
      <c r="A333" s="12" t="s">
        <v>998</v>
      </c>
      <c r="B333" s="12"/>
      <c r="C333" s="12" t="s">
        <v>534</v>
      </c>
      <c r="D333" s="13"/>
      <c r="E333" s="32"/>
      <c r="F333" s="26"/>
      <c r="G333" s="26">
        <v>2487522</v>
      </c>
      <c r="H333" s="26"/>
      <c r="I333" s="26"/>
      <c r="J333" s="26"/>
      <c r="K333" s="26">
        <v>5090393</v>
      </c>
      <c r="L333" s="26"/>
      <c r="M333" s="26">
        <v>84750</v>
      </c>
      <c r="N333" s="26"/>
      <c r="O333" s="26">
        <v>301278</v>
      </c>
      <c r="P333" s="26"/>
      <c r="Q333" s="26">
        <v>187073</v>
      </c>
      <c r="R333" s="26"/>
      <c r="S333" s="26"/>
      <c r="T333" s="26"/>
      <c r="U333" s="26"/>
      <c r="V333" s="26"/>
      <c r="W333" s="26">
        <f>4607+245850+7180</f>
        <v>257637</v>
      </c>
      <c r="X333" s="26"/>
      <c r="Y333" s="51">
        <f t="shared" si="25"/>
        <v>8408653</v>
      </c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51"/>
      <c r="AP333" s="26"/>
      <c r="AQ333" s="51">
        <f t="shared" si="27"/>
        <v>8408653</v>
      </c>
    </row>
    <row r="334" spans="1:44">
      <c r="A334" s="13" t="s">
        <v>655</v>
      </c>
      <c r="B334" s="13"/>
      <c r="C334" s="13" t="s">
        <v>62</v>
      </c>
      <c r="D334" s="13"/>
      <c r="E334" s="32">
        <v>49882</v>
      </c>
      <c r="F334" s="26"/>
      <c r="G334" s="26">
        <v>8685381</v>
      </c>
      <c r="H334" s="26"/>
      <c r="I334" s="26">
        <v>0</v>
      </c>
      <c r="J334" s="26"/>
      <c r="K334" s="26">
        <f>795+12479149+1615771</f>
        <v>14095715</v>
      </c>
      <c r="L334" s="26"/>
      <c r="M334" s="26">
        <v>58375</v>
      </c>
      <c r="N334" s="26"/>
      <c r="O334" s="26">
        <v>78948</v>
      </c>
      <c r="P334" s="26"/>
      <c r="Q334" s="26">
        <v>446568</v>
      </c>
      <c r="R334" s="26"/>
      <c r="S334" s="26">
        <v>0</v>
      </c>
      <c r="T334" s="26"/>
      <c r="U334" s="26">
        <v>0</v>
      </c>
      <c r="V334" s="26"/>
      <c r="W334" s="26">
        <f>159900+128187+560685</f>
        <v>848772</v>
      </c>
      <c r="X334" s="26"/>
      <c r="Y334" s="51">
        <f t="shared" si="25"/>
        <v>24213759</v>
      </c>
      <c r="Z334" s="26"/>
      <c r="AA334" s="26">
        <v>10460</v>
      </c>
      <c r="AB334" s="26"/>
      <c r="AC334" s="26"/>
      <c r="AD334" s="26"/>
      <c r="AE334" s="26">
        <v>0</v>
      </c>
      <c r="AF334" s="26"/>
      <c r="AG334" s="26"/>
      <c r="AH334" s="26"/>
      <c r="AI334" s="26"/>
      <c r="AJ334" s="26"/>
      <c r="AK334" s="26">
        <v>0</v>
      </c>
      <c r="AL334" s="26"/>
      <c r="AM334" s="26">
        <v>0</v>
      </c>
      <c r="AN334" s="26"/>
      <c r="AO334" s="51">
        <f t="shared" ref="AO334:AO368" si="29">AK334+AE334+AA334</f>
        <v>10460</v>
      </c>
      <c r="AP334" s="26"/>
      <c r="AQ334" s="51">
        <f t="shared" si="27"/>
        <v>24224219</v>
      </c>
    </row>
    <row r="335" spans="1:44">
      <c r="A335" s="13" t="s">
        <v>233</v>
      </c>
      <c r="B335" s="13"/>
      <c r="C335" s="13" t="s">
        <v>15</v>
      </c>
      <c r="D335" s="13"/>
      <c r="E335" s="32">
        <v>44347</v>
      </c>
      <c r="F335" s="26"/>
      <c r="G335" s="26">
        <v>2988613</v>
      </c>
      <c r="H335" s="26"/>
      <c r="I335" s="26">
        <v>0</v>
      </c>
      <c r="J335" s="26"/>
      <c r="K335" s="26">
        <v>11501243</v>
      </c>
      <c r="L335" s="26"/>
      <c r="M335" s="26">
        <v>18749</v>
      </c>
      <c r="N335" s="26"/>
      <c r="O335" s="26">
        <v>902105</v>
      </c>
      <c r="P335" s="26"/>
      <c r="Q335" s="26">
        <v>102533</v>
      </c>
      <c r="R335" s="26"/>
      <c r="S335" s="26">
        <v>0</v>
      </c>
      <c r="T335" s="26"/>
      <c r="U335" s="26">
        <v>2200</v>
      </c>
      <c r="V335" s="26"/>
      <c r="W335" s="26">
        <f>300860+398</f>
        <v>301258</v>
      </c>
      <c r="X335" s="26"/>
      <c r="Y335" s="51">
        <f t="shared" si="25"/>
        <v>15816701</v>
      </c>
      <c r="Z335" s="26"/>
      <c r="AA335" s="26">
        <v>0</v>
      </c>
      <c r="AB335" s="26"/>
      <c r="AC335" s="26"/>
      <c r="AD335" s="26"/>
      <c r="AE335" s="26">
        <v>0</v>
      </c>
      <c r="AF335" s="26"/>
      <c r="AG335" s="26"/>
      <c r="AH335" s="26"/>
      <c r="AI335" s="26"/>
      <c r="AJ335" s="26"/>
      <c r="AK335" s="26">
        <v>61487</v>
      </c>
      <c r="AL335" s="26"/>
      <c r="AM335" s="26">
        <v>0</v>
      </c>
      <c r="AN335" s="26"/>
      <c r="AO335" s="51">
        <f t="shared" si="29"/>
        <v>61487</v>
      </c>
      <c r="AP335" s="26"/>
      <c r="AQ335" s="51">
        <f t="shared" si="27"/>
        <v>15878188</v>
      </c>
    </row>
    <row r="336" spans="1:44">
      <c r="A336" s="13" t="s">
        <v>703</v>
      </c>
      <c r="B336" s="13"/>
      <c r="C336" s="13" t="s">
        <v>66</v>
      </c>
      <c r="D336" s="13"/>
      <c r="E336" s="32">
        <v>45476</v>
      </c>
      <c r="F336" s="26"/>
      <c r="G336" s="26">
        <v>27225391</v>
      </c>
      <c r="H336" s="26"/>
      <c r="I336" s="26">
        <v>0</v>
      </c>
      <c r="J336" s="26"/>
      <c r="K336" s="26">
        <f>27125437+1525113</f>
        <v>28650550</v>
      </c>
      <c r="L336" s="26"/>
      <c r="M336" s="26">
        <v>336098</v>
      </c>
      <c r="N336" s="26"/>
      <c r="O336" s="26">
        <v>281289</v>
      </c>
      <c r="P336" s="26"/>
      <c r="Q336" s="26">
        <v>464675</v>
      </c>
      <c r="R336" s="26"/>
      <c r="S336" s="26">
        <v>0</v>
      </c>
      <c r="T336" s="26"/>
      <c r="U336" s="26">
        <v>0</v>
      </c>
      <c r="V336" s="26"/>
      <c r="W336" s="26">
        <f>675305+1436292+130611+83047</f>
        <v>2325255</v>
      </c>
      <c r="X336" s="26"/>
      <c r="Y336" s="51">
        <f t="shared" si="25"/>
        <v>59283258</v>
      </c>
      <c r="Z336" s="26"/>
      <c r="AA336" s="26">
        <v>71359</v>
      </c>
      <c r="AB336" s="26"/>
      <c r="AC336" s="26"/>
      <c r="AD336" s="26"/>
      <c r="AE336" s="26">
        <v>0</v>
      </c>
      <c r="AF336" s="26"/>
      <c r="AG336" s="26"/>
      <c r="AH336" s="26"/>
      <c r="AI336" s="26"/>
      <c r="AJ336" s="26"/>
      <c r="AK336" s="26">
        <v>56877</v>
      </c>
      <c r="AL336" s="26"/>
      <c r="AM336" s="26">
        <v>0</v>
      </c>
      <c r="AN336" s="26"/>
      <c r="AO336" s="51">
        <f t="shared" si="29"/>
        <v>128236</v>
      </c>
      <c r="AP336" s="26"/>
      <c r="AQ336" s="51">
        <f t="shared" si="27"/>
        <v>59411494</v>
      </c>
    </row>
    <row r="337" spans="1:44">
      <c r="A337" s="13" t="s">
        <v>712</v>
      </c>
      <c r="B337" s="13"/>
      <c r="C337" s="13" t="s">
        <v>69</v>
      </c>
      <c r="D337" s="13"/>
      <c r="E337" s="32">
        <v>50450</v>
      </c>
      <c r="F337" s="26"/>
      <c r="G337" s="26">
        <v>68613408</v>
      </c>
      <c r="H337" s="26"/>
      <c r="I337" s="26">
        <v>0</v>
      </c>
      <c r="J337" s="26"/>
      <c r="K337" s="26">
        <v>49582625</v>
      </c>
      <c r="L337" s="26"/>
      <c r="M337" s="26">
        <v>1955148</v>
      </c>
      <c r="N337" s="26"/>
      <c r="O337" s="26">
        <v>1523740</v>
      </c>
      <c r="P337" s="26"/>
      <c r="Q337" s="26">
        <v>1358760</v>
      </c>
      <c r="R337" s="26"/>
      <c r="S337" s="26">
        <v>3025536</v>
      </c>
      <c r="T337" s="26"/>
      <c r="U337" s="26">
        <v>0</v>
      </c>
      <c r="V337" s="26"/>
      <c r="W337" s="26">
        <f>5583324+405443</f>
        <v>5988767</v>
      </c>
      <c r="X337" s="26"/>
      <c r="Y337" s="51">
        <f t="shared" si="25"/>
        <v>132047984</v>
      </c>
      <c r="Z337" s="26"/>
      <c r="AA337" s="26">
        <v>19460344</v>
      </c>
      <c r="AB337" s="26"/>
      <c r="AC337" s="26"/>
      <c r="AD337" s="26"/>
      <c r="AE337" s="26">
        <v>5249000</v>
      </c>
      <c r="AF337" s="26"/>
      <c r="AG337" s="26"/>
      <c r="AH337" s="26"/>
      <c r="AI337" s="26"/>
      <c r="AJ337" s="26"/>
      <c r="AK337" s="26">
        <v>179406</v>
      </c>
      <c r="AL337" s="26"/>
      <c r="AM337" s="26">
        <v>0</v>
      </c>
      <c r="AN337" s="26"/>
      <c r="AO337" s="51">
        <f t="shared" si="29"/>
        <v>24888750</v>
      </c>
      <c r="AP337" s="26"/>
      <c r="AQ337" s="51">
        <f t="shared" si="27"/>
        <v>156936734</v>
      </c>
    </row>
    <row r="338" spans="1:44">
      <c r="A338" s="13" t="s">
        <v>656</v>
      </c>
      <c r="B338" s="13"/>
      <c r="C338" s="13" t="s">
        <v>62</v>
      </c>
      <c r="D338" s="13"/>
      <c r="E338" s="32">
        <v>44354</v>
      </c>
      <c r="F338" s="26"/>
      <c r="G338" s="26">
        <v>15437395</v>
      </c>
      <c r="H338" s="26"/>
      <c r="I338" s="26">
        <v>68244</v>
      </c>
      <c r="J338" s="26"/>
      <c r="K338" s="26">
        <v>30832323</v>
      </c>
      <c r="L338" s="26"/>
      <c r="M338" s="26">
        <v>344470</v>
      </c>
      <c r="N338" s="26"/>
      <c r="O338" s="26">
        <v>1495101</v>
      </c>
      <c r="P338" s="26"/>
      <c r="Q338" s="26">
        <v>574341</v>
      </c>
      <c r="R338" s="26"/>
      <c r="S338" s="26">
        <v>0</v>
      </c>
      <c r="T338" s="26"/>
      <c r="U338" s="26">
        <v>222398</v>
      </c>
      <c r="V338" s="26"/>
      <c r="W338" s="26">
        <f>230113+470075+47471</f>
        <v>747659</v>
      </c>
      <c r="X338" s="26"/>
      <c r="Y338" s="51">
        <f t="shared" si="25"/>
        <v>49721931</v>
      </c>
      <c r="Z338" s="26"/>
      <c r="AA338" s="26">
        <v>0</v>
      </c>
      <c r="AB338" s="26"/>
      <c r="AC338" s="26"/>
      <c r="AD338" s="26"/>
      <c r="AE338" s="26">
        <f>2000000+1784</f>
        <v>2001784</v>
      </c>
      <c r="AF338" s="26"/>
      <c r="AG338" s="26"/>
      <c r="AH338" s="26"/>
      <c r="AI338" s="26"/>
      <c r="AJ338" s="26"/>
      <c r="AK338" s="26">
        <v>0</v>
      </c>
      <c r="AL338" s="26"/>
      <c r="AM338" s="26">
        <v>0</v>
      </c>
      <c r="AN338" s="26"/>
      <c r="AO338" s="51">
        <f t="shared" si="29"/>
        <v>2001784</v>
      </c>
      <c r="AP338" s="26"/>
      <c r="AQ338" s="51">
        <f t="shared" si="27"/>
        <v>51723715</v>
      </c>
    </row>
    <row r="339" spans="1:44" ht="11.25" customHeight="1">
      <c r="A339" s="13" t="s">
        <v>688</v>
      </c>
      <c r="B339" s="13"/>
      <c r="C339" s="13" t="s">
        <v>64</v>
      </c>
      <c r="D339" s="13"/>
      <c r="E339" s="13">
        <v>50153</v>
      </c>
      <c r="F339" s="26"/>
      <c r="G339" s="26">
        <v>4237905</v>
      </c>
      <c r="H339" s="26"/>
      <c r="I339" s="26">
        <v>0</v>
      </c>
      <c r="J339" s="26"/>
      <c r="K339" s="26">
        <f>3877216+391116</f>
        <v>4268332</v>
      </c>
      <c r="L339" s="26"/>
      <c r="M339" s="26">
        <v>56886</v>
      </c>
      <c r="N339" s="26"/>
      <c r="O339" s="26">
        <v>416338</v>
      </c>
      <c r="P339" s="26"/>
      <c r="Q339" s="26">
        <v>81848</v>
      </c>
      <c r="R339" s="26"/>
      <c r="S339" s="26">
        <v>9721</v>
      </c>
      <c r="T339" s="26"/>
      <c r="U339" s="26">
        <v>0</v>
      </c>
      <c r="V339" s="26"/>
      <c r="W339" s="26">
        <f>47461+25617+193788+2900</f>
        <v>269766</v>
      </c>
      <c r="X339" s="26"/>
      <c r="Y339" s="51">
        <f t="shared" si="25"/>
        <v>9340796</v>
      </c>
      <c r="Z339" s="26"/>
      <c r="AA339" s="26">
        <v>399281</v>
      </c>
      <c r="AB339" s="26"/>
      <c r="AC339" s="26"/>
      <c r="AD339" s="26"/>
      <c r="AE339" s="26">
        <v>0</v>
      </c>
      <c r="AF339" s="26"/>
      <c r="AG339" s="26"/>
      <c r="AH339" s="26"/>
      <c r="AI339" s="26"/>
      <c r="AJ339" s="26"/>
      <c r="AK339" s="26">
        <v>0</v>
      </c>
      <c r="AL339" s="26"/>
      <c r="AM339" s="26">
        <v>0</v>
      </c>
      <c r="AN339" s="26"/>
      <c r="AO339" s="51">
        <f t="shared" si="29"/>
        <v>399281</v>
      </c>
      <c r="AP339" s="26"/>
      <c r="AQ339" s="51">
        <f t="shared" si="27"/>
        <v>9740077</v>
      </c>
    </row>
    <row r="340" spans="1:44">
      <c r="A340" s="13" t="s">
        <v>497</v>
      </c>
      <c r="B340" s="13"/>
      <c r="C340" s="13" t="s">
        <v>117</v>
      </c>
      <c r="D340" s="13"/>
      <c r="E340" s="32">
        <v>44362</v>
      </c>
      <c r="F340" s="26"/>
      <c r="G340" s="26">
        <v>18999596</v>
      </c>
      <c r="H340" s="26"/>
      <c r="I340" s="26">
        <v>0</v>
      </c>
      <c r="J340" s="26"/>
      <c r="K340" s="26">
        <f>10441399+1382308</f>
        <v>11823707</v>
      </c>
      <c r="L340" s="26"/>
      <c r="M340" s="26">
        <v>175776</v>
      </c>
      <c r="N340" s="26"/>
      <c r="O340" s="26">
        <v>378094</v>
      </c>
      <c r="P340" s="26"/>
      <c r="Q340" s="26">
        <v>208380</v>
      </c>
      <c r="R340" s="26"/>
      <c r="S340" s="26">
        <v>0</v>
      </c>
      <c r="T340" s="26"/>
      <c r="U340" s="26">
        <v>0</v>
      </c>
      <c r="V340" s="26"/>
      <c r="W340" s="26">
        <f>490852+202666+562535</f>
        <v>1256053</v>
      </c>
      <c r="X340" s="26"/>
      <c r="Y340" s="51">
        <f t="shared" si="25"/>
        <v>32841606</v>
      </c>
      <c r="Z340" s="26"/>
      <c r="AA340" s="26">
        <v>63000</v>
      </c>
      <c r="AB340" s="26"/>
      <c r="AC340" s="26"/>
      <c r="AD340" s="26"/>
      <c r="AE340" s="26">
        <v>0</v>
      </c>
      <c r="AF340" s="26"/>
      <c r="AG340" s="26"/>
      <c r="AH340" s="26"/>
      <c r="AI340" s="26"/>
      <c r="AJ340" s="26"/>
      <c r="AK340" s="26">
        <v>10</v>
      </c>
      <c r="AL340" s="26"/>
      <c r="AM340" s="26">
        <v>0</v>
      </c>
      <c r="AN340" s="26"/>
      <c r="AO340" s="51">
        <f t="shared" si="29"/>
        <v>63010</v>
      </c>
      <c r="AP340" s="26"/>
      <c r="AQ340" s="51">
        <f t="shared" si="27"/>
        <v>32904616</v>
      </c>
    </row>
    <row r="341" spans="1:44">
      <c r="A341" s="12" t="s">
        <v>1056</v>
      </c>
      <c r="B341" s="13"/>
      <c r="C341" s="13" t="s">
        <v>20</v>
      </c>
      <c r="D341" s="13"/>
      <c r="E341" s="32">
        <v>44370</v>
      </c>
      <c r="F341" s="26"/>
      <c r="G341" s="26">
        <v>48038178</v>
      </c>
      <c r="H341" s="26"/>
      <c r="I341" s="26">
        <v>0</v>
      </c>
      <c r="J341" s="26"/>
      <c r="K341" s="26">
        <v>19262821</v>
      </c>
      <c r="L341" s="26"/>
      <c r="M341" s="26">
        <v>574485</v>
      </c>
      <c r="N341" s="26"/>
      <c r="O341" s="26">
        <v>9332806</v>
      </c>
      <c r="P341" s="26"/>
      <c r="Q341" s="26">
        <v>121489</v>
      </c>
      <c r="R341" s="26"/>
      <c r="S341" s="26">
        <v>2248932</v>
      </c>
      <c r="T341" s="26"/>
      <c r="U341" s="26">
        <v>45241</v>
      </c>
      <c r="V341" s="26"/>
      <c r="W341" s="26">
        <f>689169+86077+1364218</f>
        <v>2139464</v>
      </c>
      <c r="X341" s="26"/>
      <c r="Y341" s="51">
        <f t="shared" si="25"/>
        <v>81763416</v>
      </c>
      <c r="Z341" s="26"/>
      <c r="AA341" s="26">
        <v>1754957</v>
      </c>
      <c r="AB341" s="26"/>
      <c r="AC341" s="26"/>
      <c r="AD341" s="26"/>
      <c r="AE341" s="26">
        <v>12678</v>
      </c>
      <c r="AF341" s="26"/>
      <c r="AG341" s="26"/>
      <c r="AH341" s="26"/>
      <c r="AI341" s="26"/>
      <c r="AJ341" s="26"/>
      <c r="AK341" s="26">
        <v>0</v>
      </c>
      <c r="AL341" s="26"/>
      <c r="AM341" s="26">
        <v>0</v>
      </c>
      <c r="AN341" s="26"/>
      <c r="AO341" s="51">
        <f t="shared" si="29"/>
        <v>1767635</v>
      </c>
      <c r="AP341" s="26"/>
      <c r="AQ341" s="51">
        <f t="shared" si="27"/>
        <v>83531051</v>
      </c>
      <c r="AR341" s="15" t="s">
        <v>905</v>
      </c>
    </row>
    <row r="342" spans="1:44">
      <c r="A342" s="13" t="s">
        <v>565</v>
      </c>
      <c r="B342" s="13"/>
      <c r="C342" s="13" t="s">
        <v>51</v>
      </c>
      <c r="D342" s="13"/>
      <c r="E342" s="32">
        <v>48850</v>
      </c>
      <c r="F342" s="26"/>
      <c r="G342" s="26">
        <v>3545181</v>
      </c>
      <c r="H342" s="26"/>
      <c r="I342" s="26">
        <v>0</v>
      </c>
      <c r="J342" s="26"/>
      <c r="K342" s="26">
        <v>14186879</v>
      </c>
      <c r="L342" s="26"/>
      <c r="M342" s="26">
        <v>267337</v>
      </c>
      <c r="N342" s="26"/>
      <c r="O342" s="26">
        <v>1909799</v>
      </c>
      <c r="P342" s="26"/>
      <c r="Q342" s="26">
        <v>213236</v>
      </c>
      <c r="R342" s="26"/>
      <c r="S342" s="26">
        <v>3253</v>
      </c>
      <c r="T342" s="26"/>
      <c r="U342" s="26">
        <v>18315</v>
      </c>
      <c r="V342" s="26"/>
      <c r="W342" s="26">
        <f>17937+899413+12655</f>
        <v>930005</v>
      </c>
      <c r="X342" s="26"/>
      <c r="Y342" s="51">
        <f t="shared" si="25"/>
        <v>21074005</v>
      </c>
      <c r="Z342" s="26"/>
      <c r="AA342" s="26">
        <v>0</v>
      </c>
      <c r="AB342" s="26"/>
      <c r="AC342" s="26"/>
      <c r="AD342" s="26"/>
      <c r="AE342" s="26">
        <v>1700000</v>
      </c>
      <c r="AF342" s="26"/>
      <c r="AG342" s="26"/>
      <c r="AH342" s="26"/>
      <c r="AI342" s="26"/>
      <c r="AJ342" s="26"/>
      <c r="AK342" s="26">
        <f>369353+2150</f>
        <v>371503</v>
      </c>
      <c r="AL342" s="26"/>
      <c r="AM342" s="26">
        <v>0</v>
      </c>
      <c r="AN342" s="26"/>
      <c r="AO342" s="51">
        <f t="shared" si="29"/>
        <v>2071503</v>
      </c>
      <c r="AP342" s="26"/>
      <c r="AQ342" s="51">
        <f t="shared" si="27"/>
        <v>23145508</v>
      </c>
    </row>
    <row r="343" spans="1:44" hidden="1">
      <c r="A343" s="12" t="s">
        <v>885</v>
      </c>
      <c r="B343" s="13"/>
      <c r="C343" s="13" t="s">
        <v>33</v>
      </c>
      <c r="D343" s="13"/>
      <c r="E343" s="32">
        <v>47456</v>
      </c>
      <c r="F343" s="26"/>
      <c r="G343" s="26">
        <v>1881172</v>
      </c>
      <c r="H343" s="26"/>
      <c r="I343" s="26">
        <v>1024868</v>
      </c>
      <c r="J343" s="26"/>
      <c r="K343" s="26">
        <v>4653424</v>
      </c>
      <c r="L343" s="26"/>
      <c r="M343" s="26">
        <v>47716</v>
      </c>
      <c r="N343" s="26"/>
      <c r="O343" s="26">
        <v>211878</v>
      </c>
      <c r="P343" s="26"/>
      <c r="Q343" s="26">
        <v>136999</v>
      </c>
      <c r="R343" s="26"/>
      <c r="S343" s="26"/>
      <c r="T343" s="26"/>
      <c r="U343" s="26">
        <v>47411</v>
      </c>
      <c r="V343" s="26"/>
      <c r="W343" s="26">
        <f>18998+137965+1025</f>
        <v>157988</v>
      </c>
      <c r="X343" s="26"/>
      <c r="Y343" s="51">
        <f t="shared" si="25"/>
        <v>8161456</v>
      </c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>
        <v>0</v>
      </c>
      <c r="AN343" s="26"/>
      <c r="AO343" s="51">
        <f t="shared" si="29"/>
        <v>0</v>
      </c>
      <c r="AP343" s="26"/>
      <c r="AQ343" s="51">
        <f t="shared" si="27"/>
        <v>8161456</v>
      </c>
    </row>
    <row r="344" spans="1:44">
      <c r="A344" s="13" t="s">
        <v>882</v>
      </c>
      <c r="B344" s="13"/>
      <c r="C344" s="13" t="s">
        <v>64</v>
      </c>
      <c r="D344" s="13"/>
      <c r="E344" s="32">
        <v>50229</v>
      </c>
      <c r="F344" s="26"/>
      <c r="G344" s="26">
        <v>1467454</v>
      </c>
      <c r="H344" s="26"/>
      <c r="I344" s="26">
        <v>0</v>
      </c>
      <c r="J344" s="26"/>
      <c r="K344" s="26">
        <f>4105644+286595</f>
        <v>4392239</v>
      </c>
      <c r="L344" s="26"/>
      <c r="M344" s="26">
        <v>288</v>
      </c>
      <c r="N344" s="26"/>
      <c r="O344" s="26">
        <v>940474</v>
      </c>
      <c r="P344" s="26"/>
      <c r="Q344" s="26">
        <v>91945</v>
      </c>
      <c r="R344" s="26"/>
      <c r="S344" s="26">
        <v>0</v>
      </c>
      <c r="T344" s="26"/>
      <c r="U344" s="26">
        <v>0</v>
      </c>
      <c r="V344" s="26"/>
      <c r="W344" s="26">
        <f>73172+18737+58876</f>
        <v>150785</v>
      </c>
      <c r="X344" s="26"/>
      <c r="Y344" s="51">
        <f t="shared" si="25"/>
        <v>7043185</v>
      </c>
      <c r="Z344" s="26"/>
      <c r="AA344" s="26">
        <v>0</v>
      </c>
      <c r="AB344" s="26"/>
      <c r="AC344" s="26"/>
      <c r="AD344" s="26"/>
      <c r="AE344" s="26">
        <v>0</v>
      </c>
      <c r="AF344" s="26"/>
      <c r="AG344" s="26"/>
      <c r="AH344" s="26"/>
      <c r="AI344" s="26"/>
      <c r="AJ344" s="26"/>
      <c r="AK344" s="26">
        <v>0</v>
      </c>
      <c r="AL344" s="26"/>
      <c r="AM344" s="26">
        <v>0</v>
      </c>
      <c r="AN344" s="26"/>
      <c r="AO344" s="51">
        <f t="shared" si="29"/>
        <v>0</v>
      </c>
      <c r="AP344" s="26"/>
      <c r="AQ344" s="51">
        <f t="shared" si="27"/>
        <v>7043185</v>
      </c>
    </row>
    <row r="345" spans="1:44">
      <c r="A345" s="13" t="s">
        <v>256</v>
      </c>
      <c r="B345" s="13"/>
      <c r="C345" s="13" t="s">
        <v>255</v>
      </c>
      <c r="D345" s="13"/>
      <c r="E345" s="32">
        <v>45484</v>
      </c>
      <c r="F345" s="26"/>
      <c r="G345" s="26">
        <v>3658710</v>
      </c>
      <c r="H345" s="26"/>
      <c r="I345" s="26">
        <v>0</v>
      </c>
      <c r="J345" s="26"/>
      <c r="K345" s="26">
        <f>4867694+477075</f>
        <v>5344769</v>
      </c>
      <c r="L345" s="26"/>
      <c r="M345" s="26">
        <v>60192</v>
      </c>
      <c r="N345" s="26"/>
      <c r="O345" s="26">
        <v>561582</v>
      </c>
      <c r="P345" s="26"/>
      <c r="Q345" s="26">
        <v>104196</v>
      </c>
      <c r="R345" s="26"/>
      <c r="S345" s="26">
        <v>0</v>
      </c>
      <c r="T345" s="26"/>
      <c r="U345" s="26">
        <v>0</v>
      </c>
      <c r="V345" s="26"/>
      <c r="W345" s="26">
        <f>330957+27834+205304</f>
        <v>564095</v>
      </c>
      <c r="X345" s="26"/>
      <c r="Y345" s="51">
        <f t="shared" si="25"/>
        <v>10293544</v>
      </c>
      <c r="Z345" s="26"/>
      <c r="AA345" s="26">
        <v>39204</v>
      </c>
      <c r="AB345" s="26"/>
      <c r="AC345" s="26"/>
      <c r="AD345" s="26"/>
      <c r="AE345" s="26">
        <v>0</v>
      </c>
      <c r="AF345" s="26"/>
      <c r="AG345" s="26"/>
      <c r="AH345" s="26"/>
      <c r="AI345" s="26"/>
      <c r="AJ345" s="26"/>
      <c r="AK345" s="26">
        <f>34848+500</f>
        <v>35348</v>
      </c>
      <c r="AL345" s="26"/>
      <c r="AM345" s="26">
        <v>0</v>
      </c>
      <c r="AN345" s="26"/>
      <c r="AO345" s="51">
        <f t="shared" si="29"/>
        <v>74552</v>
      </c>
      <c r="AP345" s="26"/>
      <c r="AQ345" s="51">
        <f t="shared" si="27"/>
        <v>10368096</v>
      </c>
    </row>
    <row r="346" spans="1:44">
      <c r="A346" s="13" t="s">
        <v>529</v>
      </c>
      <c r="B346" s="13"/>
      <c r="C346" s="13" t="s">
        <v>47</v>
      </c>
      <c r="D346" s="13"/>
      <c r="E346" s="32">
        <v>44388</v>
      </c>
      <c r="F346" s="26"/>
      <c r="G346" s="26">
        <v>51907319</v>
      </c>
      <c r="H346" s="26"/>
      <c r="I346" s="26">
        <v>0</v>
      </c>
      <c r="J346" s="26"/>
      <c r="K346" s="26">
        <v>34112475</v>
      </c>
      <c r="L346" s="26"/>
      <c r="M346" s="26">
        <v>761888</v>
      </c>
      <c r="N346" s="26"/>
      <c r="O346" s="26">
        <v>1066584</v>
      </c>
      <c r="P346" s="26"/>
      <c r="Q346" s="26">
        <v>1060465</v>
      </c>
      <c r="R346" s="26"/>
      <c r="S346" s="26">
        <v>0</v>
      </c>
      <c r="T346" s="26"/>
      <c r="U346" s="26">
        <v>68517</v>
      </c>
      <c r="V346" s="26"/>
      <c r="W346" s="26">
        <f>436038+484553+1525545</f>
        <v>2446136</v>
      </c>
      <c r="X346" s="26"/>
      <c r="Y346" s="51">
        <f t="shared" si="25"/>
        <v>91423384</v>
      </c>
      <c r="Z346" s="26"/>
      <c r="AA346" s="26">
        <v>474442</v>
      </c>
      <c r="AB346" s="26"/>
      <c r="AC346" s="26"/>
      <c r="AD346" s="26"/>
      <c r="AE346" s="26">
        <f>8485000+351600</f>
        <v>8836600</v>
      </c>
      <c r="AF346" s="26"/>
      <c r="AG346" s="26"/>
      <c r="AH346" s="26"/>
      <c r="AI346" s="26"/>
      <c r="AJ346" s="26"/>
      <c r="AK346" s="26">
        <v>0</v>
      </c>
      <c r="AL346" s="26"/>
      <c r="AM346" s="26">
        <v>0</v>
      </c>
      <c r="AN346" s="26"/>
      <c r="AO346" s="51">
        <f t="shared" si="29"/>
        <v>9311042</v>
      </c>
      <c r="AP346" s="26"/>
      <c r="AQ346" s="51">
        <f t="shared" si="27"/>
        <v>100734426</v>
      </c>
    </row>
    <row r="347" spans="1:44">
      <c r="A347" s="13" t="s">
        <v>532</v>
      </c>
      <c r="B347" s="13"/>
      <c r="C347" s="13" t="s">
        <v>531</v>
      </c>
      <c r="D347" s="13"/>
      <c r="E347" s="32">
        <v>48520</v>
      </c>
      <c r="F347" s="26"/>
      <c r="G347" s="26">
        <v>2703003</v>
      </c>
      <c r="H347" s="26"/>
      <c r="I347" s="26">
        <v>0</v>
      </c>
      <c r="J347" s="26"/>
      <c r="K347" s="26">
        <v>17786246</v>
      </c>
      <c r="L347" s="26"/>
      <c r="M347" s="26">
        <v>25592</v>
      </c>
      <c r="N347" s="26"/>
      <c r="O347" s="26">
        <v>642039</v>
      </c>
      <c r="P347" s="26"/>
      <c r="Q347" s="26">
        <v>109365</v>
      </c>
      <c r="R347" s="26"/>
      <c r="S347" s="26">
        <v>0</v>
      </c>
      <c r="T347" s="26"/>
      <c r="U347" s="26">
        <v>121491</v>
      </c>
      <c r="V347" s="26"/>
      <c r="W347" s="26">
        <f>115978+302113+6605</f>
        <v>424696</v>
      </c>
      <c r="X347" s="26"/>
      <c r="Y347" s="51">
        <f t="shared" si="25"/>
        <v>21812432</v>
      </c>
      <c r="Z347" s="26"/>
      <c r="AA347" s="26">
        <v>50000</v>
      </c>
      <c r="AB347" s="26"/>
      <c r="AC347" s="26"/>
      <c r="AD347" s="26"/>
      <c r="AE347" s="26">
        <v>0</v>
      </c>
      <c r="AF347" s="26"/>
      <c r="AG347" s="26"/>
      <c r="AH347" s="26"/>
      <c r="AI347" s="26"/>
      <c r="AJ347" s="26"/>
      <c r="AK347" s="26">
        <v>90726</v>
      </c>
      <c r="AL347" s="26"/>
      <c r="AM347" s="26">
        <v>0</v>
      </c>
      <c r="AN347" s="26"/>
      <c r="AO347" s="51">
        <f t="shared" si="29"/>
        <v>140726</v>
      </c>
      <c r="AP347" s="26"/>
      <c r="AQ347" s="51">
        <f t="shared" si="27"/>
        <v>21953158</v>
      </c>
    </row>
    <row r="348" spans="1:44">
      <c r="A348" s="13" t="s">
        <v>460</v>
      </c>
      <c r="B348" s="13"/>
      <c r="C348" s="13" t="s">
        <v>41</v>
      </c>
      <c r="D348" s="13"/>
      <c r="E348" s="32">
        <v>45492</v>
      </c>
      <c r="F348" s="26"/>
      <c r="G348" s="26">
        <v>67270002</v>
      </c>
      <c r="H348" s="26"/>
      <c r="I348" s="26">
        <v>0</v>
      </c>
      <c r="J348" s="26"/>
      <c r="K348" s="26">
        <v>39365158</v>
      </c>
      <c r="L348" s="26"/>
      <c r="M348" s="26">
        <v>1477837</v>
      </c>
      <c r="N348" s="26"/>
      <c r="O348" s="26">
        <v>1844293</v>
      </c>
      <c r="P348" s="26"/>
      <c r="Q348" s="26">
        <v>1347160</v>
      </c>
      <c r="R348" s="26"/>
      <c r="S348" s="26">
        <v>154534</v>
      </c>
      <c r="T348" s="26"/>
      <c r="U348" s="26">
        <v>217593</v>
      </c>
      <c r="V348" s="26"/>
      <c r="W348" s="26">
        <f>119918+116632+2222931</f>
        <v>2459481</v>
      </c>
      <c r="X348" s="26"/>
      <c r="Y348" s="51">
        <f t="shared" si="25"/>
        <v>114136058</v>
      </c>
      <c r="Z348" s="26"/>
      <c r="AA348" s="26">
        <v>470543</v>
      </c>
      <c r="AB348" s="26"/>
      <c r="AC348" s="26"/>
      <c r="AD348" s="26"/>
      <c r="AE348" s="26">
        <v>696000</v>
      </c>
      <c r="AF348" s="26"/>
      <c r="AG348" s="26"/>
      <c r="AH348" s="26"/>
      <c r="AI348" s="26"/>
      <c r="AJ348" s="26"/>
      <c r="AK348" s="26">
        <v>0</v>
      </c>
      <c r="AL348" s="26"/>
      <c r="AM348" s="26">
        <v>0</v>
      </c>
      <c r="AN348" s="26"/>
      <c r="AO348" s="51">
        <f t="shared" si="29"/>
        <v>1166543</v>
      </c>
      <c r="AP348" s="26"/>
      <c r="AQ348" s="51">
        <f t="shared" si="27"/>
        <v>115302601</v>
      </c>
    </row>
    <row r="349" spans="1:44">
      <c r="A349" s="13" t="s">
        <v>537</v>
      </c>
      <c r="B349" s="13"/>
      <c r="C349" s="13" t="s">
        <v>48</v>
      </c>
      <c r="D349" s="13"/>
      <c r="E349" s="32">
        <v>48629</v>
      </c>
      <c r="F349" s="26"/>
      <c r="G349" s="26">
        <v>4483540</v>
      </c>
      <c r="H349" s="26"/>
      <c r="I349" s="26">
        <v>1644494</v>
      </c>
      <c r="J349" s="26"/>
      <c r="K349" s="26">
        <v>7480120</v>
      </c>
      <c r="L349" s="26"/>
      <c r="M349" s="26">
        <v>84146</v>
      </c>
      <c r="N349" s="26"/>
      <c r="O349" s="26">
        <v>536096</v>
      </c>
      <c r="P349" s="26"/>
      <c r="Q349" s="26">
        <v>128864</v>
      </c>
      <c r="R349" s="26"/>
      <c r="S349" s="26">
        <v>0</v>
      </c>
      <c r="T349" s="26"/>
      <c r="U349" s="26">
        <v>41960</v>
      </c>
      <c r="V349" s="26"/>
      <c r="W349" s="26">
        <f>57940+3663+297010</f>
        <v>358613</v>
      </c>
      <c r="X349" s="26"/>
      <c r="Y349" s="51">
        <f t="shared" si="25"/>
        <v>14757833</v>
      </c>
      <c r="Z349" s="26"/>
      <c r="AA349" s="26">
        <v>474442</v>
      </c>
      <c r="AB349" s="26"/>
      <c r="AC349" s="26"/>
      <c r="AD349" s="26"/>
      <c r="AE349" s="26">
        <f>6574997+84166</f>
        <v>6659163</v>
      </c>
      <c r="AF349" s="26"/>
      <c r="AG349" s="26"/>
      <c r="AH349" s="26"/>
      <c r="AI349" s="26"/>
      <c r="AJ349" s="26"/>
      <c r="AK349" s="26">
        <v>47299</v>
      </c>
      <c r="AL349" s="26"/>
      <c r="AM349" s="26">
        <v>0</v>
      </c>
      <c r="AN349" s="26"/>
      <c r="AO349" s="51">
        <f t="shared" si="29"/>
        <v>7180904</v>
      </c>
      <c r="AP349" s="26"/>
      <c r="AQ349" s="51">
        <f t="shared" si="27"/>
        <v>21938737</v>
      </c>
    </row>
    <row r="350" spans="1:44">
      <c r="A350" s="13"/>
      <c r="B350" s="13"/>
      <c r="C350" s="13"/>
      <c r="D350" s="13"/>
      <c r="E350" s="32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51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51"/>
      <c r="AP350" s="26"/>
      <c r="AQ350" s="51"/>
    </row>
    <row r="351" spans="1:44">
      <c r="A351" s="13"/>
      <c r="B351" s="13"/>
      <c r="C351" s="13"/>
      <c r="D351" s="13"/>
      <c r="E351" s="32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51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51"/>
      <c r="AP351" s="26"/>
      <c r="AQ351" s="135" t="s">
        <v>805</v>
      </c>
    </row>
    <row r="352" spans="1:44">
      <c r="A352" s="13"/>
      <c r="B352" s="13"/>
      <c r="C352" s="13"/>
      <c r="D352" s="13"/>
      <c r="E352" s="32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51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51"/>
      <c r="AP352" s="26"/>
      <c r="AQ352" s="51"/>
    </row>
    <row r="353" spans="1:44">
      <c r="A353" s="13" t="s">
        <v>350</v>
      </c>
      <c r="B353" s="13"/>
      <c r="C353" s="13" t="s">
        <v>26</v>
      </c>
      <c r="D353" s="13"/>
      <c r="E353" s="32">
        <v>46920</v>
      </c>
      <c r="F353" s="26"/>
      <c r="G353" s="43">
        <v>12989029</v>
      </c>
      <c r="H353" s="43"/>
      <c r="I353" s="43">
        <v>0</v>
      </c>
      <c r="J353" s="43"/>
      <c r="K353" s="43">
        <v>21296839</v>
      </c>
      <c r="L353" s="43"/>
      <c r="M353" s="43">
        <v>406926</v>
      </c>
      <c r="N353" s="43"/>
      <c r="O353" s="43">
        <v>1139869</v>
      </c>
      <c r="P353" s="43"/>
      <c r="Q353" s="43">
        <v>316321</v>
      </c>
      <c r="R353" s="43"/>
      <c r="S353" s="43">
        <v>0</v>
      </c>
      <c r="T353" s="43"/>
      <c r="U353" s="43">
        <v>0</v>
      </c>
      <c r="V353" s="43"/>
      <c r="W353" s="43">
        <f>3421677+853963</f>
        <v>4275640</v>
      </c>
      <c r="X353" s="43"/>
      <c r="Y353" s="129">
        <f t="shared" si="25"/>
        <v>40424624</v>
      </c>
      <c r="Z353" s="43"/>
      <c r="AA353" s="43">
        <v>1417980</v>
      </c>
      <c r="AB353" s="43"/>
      <c r="AC353" s="43"/>
      <c r="AD353" s="43"/>
      <c r="AE353" s="43">
        <f>11926400+21501</f>
        <v>11947901</v>
      </c>
      <c r="AF353" s="43"/>
      <c r="AG353" s="43"/>
      <c r="AH353" s="43"/>
      <c r="AI353" s="43"/>
      <c r="AJ353" s="43"/>
      <c r="AK353" s="43">
        <v>175628</v>
      </c>
      <c r="AL353" s="43"/>
      <c r="AM353" s="43">
        <v>0</v>
      </c>
      <c r="AN353" s="43"/>
      <c r="AO353" s="129">
        <f t="shared" si="29"/>
        <v>13541509</v>
      </c>
      <c r="AP353" s="43"/>
      <c r="AQ353" s="129">
        <f t="shared" si="27"/>
        <v>53966133</v>
      </c>
    </row>
    <row r="354" spans="1:44">
      <c r="A354" s="13" t="s">
        <v>551</v>
      </c>
      <c r="B354" s="13"/>
      <c r="C354" s="13" t="s">
        <v>50</v>
      </c>
      <c r="D354" s="13"/>
      <c r="E354" s="32">
        <v>44396</v>
      </c>
      <c r="F354" s="26"/>
      <c r="G354" s="26">
        <v>30413393</v>
      </c>
      <c r="H354" s="26"/>
      <c r="I354" s="26">
        <v>0</v>
      </c>
      <c r="J354" s="26"/>
      <c r="K354" s="26">
        <v>22225976</v>
      </c>
      <c r="L354" s="26"/>
      <c r="M354" s="26">
        <v>2443595</v>
      </c>
      <c r="N354" s="26"/>
      <c r="O354" s="26">
        <v>636089</v>
      </c>
      <c r="P354" s="26"/>
      <c r="Q354" s="26">
        <v>215270</v>
      </c>
      <c r="R354" s="26"/>
      <c r="S354" s="26">
        <v>0</v>
      </c>
      <c r="T354" s="26"/>
      <c r="U354" s="26">
        <v>250000</v>
      </c>
      <c r="V354" s="26"/>
      <c r="W354" s="26">
        <f>846729+1292895</f>
        <v>2139624</v>
      </c>
      <c r="X354" s="26"/>
      <c r="Y354" s="51">
        <f t="shared" si="25"/>
        <v>58323947</v>
      </c>
      <c r="Z354" s="26"/>
      <c r="AA354" s="26">
        <v>172790</v>
      </c>
      <c r="AB354" s="26"/>
      <c r="AC354" s="26"/>
      <c r="AD354" s="26"/>
      <c r="AE354" s="26">
        <f>61500000+39250000+2640362</f>
        <v>103390362</v>
      </c>
      <c r="AF354" s="26"/>
      <c r="AG354" s="26"/>
      <c r="AH354" s="26"/>
      <c r="AI354" s="26"/>
      <c r="AJ354" s="26"/>
      <c r="AK354" s="26">
        <v>0</v>
      </c>
      <c r="AL354" s="26"/>
      <c r="AM354" s="26">
        <v>0</v>
      </c>
      <c r="AN354" s="26"/>
      <c r="AO354" s="51">
        <f t="shared" si="29"/>
        <v>103563152</v>
      </c>
      <c r="AP354" s="26"/>
      <c r="AQ354" s="51">
        <f t="shared" si="27"/>
        <v>161887099</v>
      </c>
    </row>
    <row r="355" spans="1:44">
      <c r="A355" s="13" t="s">
        <v>247</v>
      </c>
      <c r="B355" s="13"/>
      <c r="C355" s="13" t="s">
        <v>242</v>
      </c>
      <c r="D355" s="13"/>
      <c r="E355" s="32">
        <v>44404</v>
      </c>
      <c r="F355" s="26"/>
      <c r="G355" s="26">
        <v>34695348</v>
      </c>
      <c r="H355" s="26"/>
      <c r="I355" s="26">
        <v>0</v>
      </c>
      <c r="J355" s="26"/>
      <c r="K355" s="26">
        <f>18237+41772442+9851924</f>
        <v>51642603</v>
      </c>
      <c r="L355" s="26"/>
      <c r="M355" s="26">
        <v>223963</v>
      </c>
      <c r="N355" s="26"/>
      <c r="O355" s="26">
        <v>493420</v>
      </c>
      <c r="P355" s="26"/>
      <c r="Q355" s="26">
        <v>280515</v>
      </c>
      <c r="R355" s="26"/>
      <c r="S355" s="26">
        <v>0</v>
      </c>
      <c r="T355" s="26"/>
      <c r="U355" s="26">
        <v>39895</v>
      </c>
      <c r="V355" s="26"/>
      <c r="W355" s="26">
        <f>86662+75511+2325+142369+97048+667441</f>
        <v>1071356</v>
      </c>
      <c r="X355" s="26"/>
      <c r="Y355" s="51">
        <f t="shared" si="25"/>
        <v>88447100</v>
      </c>
      <c r="Z355" s="26"/>
      <c r="AA355" s="26">
        <v>1932</v>
      </c>
      <c r="AB355" s="26"/>
      <c r="AC355" s="26"/>
      <c r="AD355" s="26"/>
      <c r="AE355" s="26">
        <v>478000</v>
      </c>
      <c r="AF355" s="26"/>
      <c r="AG355" s="26"/>
      <c r="AH355" s="26"/>
      <c r="AI355" s="26"/>
      <c r="AJ355" s="26"/>
      <c r="AK355" s="26">
        <f>913+438257</f>
        <v>439170</v>
      </c>
      <c r="AL355" s="26"/>
      <c r="AM355" s="26">
        <v>0</v>
      </c>
      <c r="AN355" s="26"/>
      <c r="AO355" s="51">
        <f t="shared" si="29"/>
        <v>919102</v>
      </c>
      <c r="AP355" s="26"/>
      <c r="AQ355" s="51">
        <f t="shared" si="27"/>
        <v>89366202</v>
      </c>
    </row>
    <row r="356" spans="1:44">
      <c r="A356" s="13" t="s">
        <v>491</v>
      </c>
      <c r="B356" s="13"/>
      <c r="C356" s="13" t="s">
        <v>44</v>
      </c>
      <c r="D356" s="13"/>
      <c r="E356" s="32">
        <v>48173</v>
      </c>
      <c r="F356" s="26"/>
      <c r="G356" s="26">
        <v>11505270</v>
      </c>
      <c r="H356" s="26"/>
      <c r="I356" s="26">
        <v>0</v>
      </c>
      <c r="J356" s="26"/>
      <c r="K356" s="26">
        <v>16607868</v>
      </c>
      <c r="L356" s="26"/>
      <c r="M356" s="26">
        <v>139095</v>
      </c>
      <c r="N356" s="26"/>
      <c r="O356" s="26">
        <v>0</v>
      </c>
      <c r="P356" s="26"/>
      <c r="Q356" s="26">
        <v>335622</v>
      </c>
      <c r="R356" s="26"/>
      <c r="S356" s="26">
        <v>0</v>
      </c>
      <c r="T356" s="26"/>
      <c r="U356" s="26">
        <v>0</v>
      </c>
      <c r="V356" s="26"/>
      <c r="W356" s="26">
        <f>36472+404130</f>
        <v>440602</v>
      </c>
      <c r="X356" s="26"/>
      <c r="Y356" s="51">
        <f t="shared" si="25"/>
        <v>29028457</v>
      </c>
      <c r="Z356" s="26"/>
      <c r="AA356" s="26">
        <v>489316</v>
      </c>
      <c r="AB356" s="26"/>
      <c r="AC356" s="26"/>
      <c r="AD356" s="26"/>
      <c r="AE356" s="26">
        <v>50000</v>
      </c>
      <c r="AF356" s="26"/>
      <c r="AG356" s="26"/>
      <c r="AH356" s="26"/>
      <c r="AI356" s="26"/>
      <c r="AJ356" s="26"/>
      <c r="AK356" s="26">
        <v>465</v>
      </c>
      <c r="AL356" s="26"/>
      <c r="AM356" s="26">
        <v>0</v>
      </c>
      <c r="AN356" s="26"/>
      <c r="AO356" s="51">
        <f t="shared" si="29"/>
        <v>539781</v>
      </c>
      <c r="AP356" s="26"/>
      <c r="AQ356" s="51">
        <f t="shared" si="27"/>
        <v>29568238</v>
      </c>
      <c r="AR356" s="8" t="s">
        <v>956</v>
      </c>
    </row>
    <row r="357" spans="1:44">
      <c r="A357" s="13" t="s">
        <v>270</v>
      </c>
      <c r="B357" s="13"/>
      <c r="C357" s="13" t="s">
        <v>115</v>
      </c>
      <c r="D357" s="13"/>
      <c r="E357" s="32">
        <v>45500</v>
      </c>
      <c r="F357" s="26"/>
      <c r="G357" s="26">
        <v>33821961</v>
      </c>
      <c r="H357" s="26"/>
      <c r="I357" s="26">
        <v>0</v>
      </c>
      <c r="J357" s="26"/>
      <c r="K357" s="26">
        <v>27261509</v>
      </c>
      <c r="L357" s="26"/>
      <c r="M357" s="26">
        <v>977727</v>
      </c>
      <c r="N357" s="26"/>
      <c r="O357" s="26">
        <v>2529058</v>
      </c>
      <c r="P357" s="26"/>
      <c r="Q357" s="26">
        <v>356604</v>
      </c>
      <c r="R357" s="26"/>
      <c r="S357" s="26">
        <v>1051697</v>
      </c>
      <c r="T357" s="26"/>
      <c r="U357" s="26">
        <v>0</v>
      </c>
      <c r="V357" s="26"/>
      <c r="W357" s="26">
        <f>2325347+785158</f>
        <v>3110505</v>
      </c>
      <c r="X357" s="26"/>
      <c r="Y357" s="51">
        <f t="shared" si="25"/>
        <v>69109061</v>
      </c>
      <c r="Z357" s="26"/>
      <c r="AA357" s="26">
        <v>4000000</v>
      </c>
      <c r="AB357" s="26"/>
      <c r="AC357" s="26"/>
      <c r="AD357" s="26"/>
      <c r="AE357" s="26">
        <f>31375000+357126</f>
        <v>31732126</v>
      </c>
      <c r="AF357" s="26"/>
      <c r="AG357" s="26"/>
      <c r="AH357" s="26"/>
      <c r="AI357" s="26"/>
      <c r="AJ357" s="26"/>
      <c r="AK357" s="26">
        <v>44103</v>
      </c>
      <c r="AL357" s="26"/>
      <c r="AM357" s="26">
        <v>0</v>
      </c>
      <c r="AN357" s="26"/>
      <c r="AO357" s="51">
        <f t="shared" si="29"/>
        <v>35776229</v>
      </c>
      <c r="AP357" s="26"/>
      <c r="AQ357" s="51">
        <f t="shared" si="27"/>
        <v>104885290</v>
      </c>
    </row>
    <row r="358" spans="1:44" hidden="1">
      <c r="A358" s="12" t="s">
        <v>833</v>
      </c>
      <c r="B358" s="13"/>
      <c r="C358" s="13" t="s">
        <v>727</v>
      </c>
      <c r="D358" s="13"/>
      <c r="E358" s="32">
        <v>50633</v>
      </c>
      <c r="F358" s="26"/>
      <c r="G358" s="26">
        <v>2020850</v>
      </c>
      <c r="H358" s="26"/>
      <c r="I358" s="26">
        <v>583374</v>
      </c>
      <c r="J358" s="26"/>
      <c r="K358" s="26">
        <v>6525221</v>
      </c>
      <c r="L358" s="26"/>
      <c r="M358" s="26">
        <v>359563</v>
      </c>
      <c r="N358" s="26"/>
      <c r="O358" s="26">
        <v>514953</v>
      </c>
      <c r="P358" s="26"/>
      <c r="Q358" s="26">
        <v>96486</v>
      </c>
      <c r="R358" s="26"/>
      <c r="S358" s="26"/>
      <c r="T358" s="26"/>
      <c r="U358" s="26">
        <v>5054</v>
      </c>
      <c r="V358" s="26"/>
      <c r="W358" s="26">
        <f>34116+134819+228</f>
        <v>169163</v>
      </c>
      <c r="X358" s="26"/>
      <c r="Y358" s="51">
        <f t="shared" si="25"/>
        <v>10274664</v>
      </c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>
        <v>0</v>
      </c>
      <c r="AN358" s="26"/>
      <c r="AO358" s="51">
        <f t="shared" si="29"/>
        <v>0</v>
      </c>
      <c r="AP358" s="26"/>
      <c r="AQ358" s="51">
        <f t="shared" si="27"/>
        <v>10274664</v>
      </c>
    </row>
    <row r="359" spans="1:44" hidden="1">
      <c r="A359" s="13" t="s">
        <v>1001</v>
      </c>
      <c r="B359" s="13"/>
      <c r="C359" s="13" t="s">
        <v>603</v>
      </c>
      <c r="D359" s="13"/>
      <c r="E359" s="32">
        <v>49361</v>
      </c>
      <c r="F359" s="26"/>
      <c r="G359" s="26"/>
      <c r="H359" s="26"/>
      <c r="I359" s="26">
        <v>0</v>
      </c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51">
        <f t="shared" si="25"/>
        <v>0</v>
      </c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>
        <v>0</v>
      </c>
      <c r="AN359" s="26"/>
      <c r="AO359" s="51">
        <f t="shared" si="29"/>
        <v>0</v>
      </c>
      <c r="AP359" s="26"/>
      <c r="AQ359" s="51">
        <f t="shared" si="27"/>
        <v>0</v>
      </c>
      <c r="AR359" s="8" t="s">
        <v>967</v>
      </c>
    </row>
    <row r="360" spans="1:44">
      <c r="A360" s="13" t="s">
        <v>538</v>
      </c>
      <c r="B360" s="13"/>
      <c r="C360" s="13" t="s">
        <v>48</v>
      </c>
      <c r="D360" s="13"/>
      <c r="E360" s="32">
        <v>45518</v>
      </c>
      <c r="F360" s="26"/>
      <c r="G360" s="26">
        <v>5686744</v>
      </c>
      <c r="H360" s="26"/>
      <c r="I360" s="26">
        <v>0</v>
      </c>
      <c r="J360" s="26"/>
      <c r="K360" s="26">
        <f>9551704+976603</f>
        <v>10528307</v>
      </c>
      <c r="L360" s="26"/>
      <c r="M360" s="26">
        <v>228166</v>
      </c>
      <c r="N360" s="26"/>
      <c r="O360" s="26">
        <v>799546</v>
      </c>
      <c r="P360" s="26"/>
      <c r="Q360" s="26">
        <v>182218</v>
      </c>
      <c r="R360" s="26"/>
      <c r="S360" s="26">
        <v>0</v>
      </c>
      <c r="T360" s="26"/>
      <c r="U360" s="26">
        <v>0</v>
      </c>
      <c r="V360" s="26"/>
      <c r="W360" s="26">
        <f>30065+325892</f>
        <v>355957</v>
      </c>
      <c r="X360" s="26"/>
      <c r="Y360" s="51">
        <f t="shared" si="25"/>
        <v>17780938</v>
      </c>
      <c r="Z360" s="26"/>
      <c r="AA360" s="26">
        <v>1219470</v>
      </c>
      <c r="AB360" s="26"/>
      <c r="AC360" s="26"/>
      <c r="AD360" s="26"/>
      <c r="AE360" s="26">
        <f>13702982+1389157</f>
        <v>15092139</v>
      </c>
      <c r="AF360" s="26"/>
      <c r="AG360" s="26"/>
      <c r="AH360" s="26"/>
      <c r="AI360" s="26"/>
      <c r="AJ360" s="26"/>
      <c r="AK360" s="26">
        <v>11167</v>
      </c>
      <c r="AL360" s="26"/>
      <c r="AM360" s="26">
        <v>0</v>
      </c>
      <c r="AN360" s="26"/>
      <c r="AO360" s="51">
        <f t="shared" si="29"/>
        <v>16322776</v>
      </c>
      <c r="AP360" s="26"/>
      <c r="AQ360" s="51">
        <f t="shared" si="27"/>
        <v>34103714</v>
      </c>
    </row>
    <row r="361" spans="1:44">
      <c r="A361" s="13" t="s">
        <v>657</v>
      </c>
      <c r="B361" s="13"/>
      <c r="C361" s="13" t="s">
        <v>62</v>
      </c>
      <c r="D361" s="13"/>
      <c r="E361" s="32">
        <v>49890</v>
      </c>
      <c r="F361" s="26"/>
      <c r="G361" s="26">
        <v>5911445</v>
      </c>
      <c r="H361" s="26"/>
      <c r="I361" s="26">
        <v>0</v>
      </c>
      <c r="J361" s="26"/>
      <c r="K361" s="26">
        <v>18902657</v>
      </c>
      <c r="L361" s="26"/>
      <c r="M361" s="26">
        <v>167602</v>
      </c>
      <c r="N361" s="26"/>
      <c r="O361" s="26">
        <v>825996</v>
      </c>
      <c r="P361" s="26"/>
      <c r="Q361" s="26">
        <v>240164</v>
      </c>
      <c r="R361" s="26"/>
      <c r="S361" s="26">
        <v>0</v>
      </c>
      <c r="T361" s="26"/>
      <c r="U361" s="26">
        <v>34905</v>
      </c>
      <c r="V361" s="26"/>
      <c r="W361" s="26">
        <f>24975+297774+35015</f>
        <v>357764</v>
      </c>
      <c r="X361" s="26"/>
      <c r="Y361" s="51">
        <f t="shared" si="25"/>
        <v>26440533</v>
      </c>
      <c r="Z361" s="26"/>
      <c r="AA361" s="26">
        <v>0</v>
      </c>
      <c r="AB361" s="26"/>
      <c r="AC361" s="26"/>
      <c r="AD361" s="26"/>
      <c r="AE361" s="26">
        <v>0</v>
      </c>
      <c r="AF361" s="26"/>
      <c r="AG361" s="26"/>
      <c r="AH361" s="26"/>
      <c r="AI361" s="26"/>
      <c r="AJ361" s="26"/>
      <c r="AK361" s="26">
        <v>22398</v>
      </c>
      <c r="AL361" s="26"/>
      <c r="AM361" s="26">
        <v>0</v>
      </c>
      <c r="AN361" s="26"/>
      <c r="AO361" s="51">
        <f t="shared" si="29"/>
        <v>22398</v>
      </c>
      <c r="AP361" s="26"/>
      <c r="AQ361" s="51">
        <f t="shared" si="27"/>
        <v>26462931</v>
      </c>
    </row>
    <row r="362" spans="1:44">
      <c r="A362" s="13" t="s">
        <v>629</v>
      </c>
      <c r="B362" s="13"/>
      <c r="C362" s="13" t="s">
        <v>59</v>
      </c>
      <c r="D362" s="13"/>
      <c r="E362" s="32">
        <v>49627</v>
      </c>
      <c r="F362" s="26"/>
      <c r="G362" s="26">
        <v>1782911</v>
      </c>
      <c r="H362" s="26"/>
      <c r="I362" s="26">
        <v>0</v>
      </c>
      <c r="J362" s="26"/>
      <c r="K362" s="26">
        <v>11779882</v>
      </c>
      <c r="L362" s="26"/>
      <c r="M362" s="26">
        <v>8923</v>
      </c>
      <c r="N362" s="26"/>
      <c r="O362" s="26">
        <v>1656123</v>
      </c>
      <c r="P362" s="26"/>
      <c r="Q362" s="26">
        <v>188438</v>
      </c>
      <c r="R362" s="26"/>
      <c r="S362" s="26">
        <v>0</v>
      </c>
      <c r="T362" s="26"/>
      <c r="U362" s="26">
        <v>18246</v>
      </c>
      <c r="V362" s="26"/>
      <c r="W362" s="26">
        <f>135871+281429+935</f>
        <v>418235</v>
      </c>
      <c r="X362" s="26"/>
      <c r="Y362" s="51">
        <f t="shared" ref="Y362:Y425" si="30">SUM(G362:W362)</f>
        <v>15852758</v>
      </c>
      <c r="Z362" s="26"/>
      <c r="AA362" s="26">
        <v>0</v>
      </c>
      <c r="AB362" s="26"/>
      <c r="AC362" s="26"/>
      <c r="AD362" s="26"/>
      <c r="AE362" s="26">
        <v>0</v>
      </c>
      <c r="AF362" s="26"/>
      <c r="AG362" s="26"/>
      <c r="AH362" s="26"/>
      <c r="AI362" s="26"/>
      <c r="AJ362" s="26"/>
      <c r="AK362" s="26">
        <v>8495</v>
      </c>
      <c r="AL362" s="26"/>
      <c r="AM362" s="26">
        <v>0</v>
      </c>
      <c r="AN362" s="26"/>
      <c r="AO362" s="51">
        <f t="shared" si="29"/>
        <v>8495</v>
      </c>
      <c r="AP362" s="26"/>
      <c r="AQ362" s="51">
        <f t="shared" si="27"/>
        <v>15861253</v>
      </c>
    </row>
    <row r="363" spans="1:44">
      <c r="A363" s="13" t="s">
        <v>226</v>
      </c>
      <c r="B363" s="13"/>
      <c r="C363" s="13" t="s">
        <v>14</v>
      </c>
      <c r="D363" s="13"/>
      <c r="E363" s="32">
        <v>45948</v>
      </c>
      <c r="F363" s="26"/>
      <c r="G363" s="26">
        <v>4575638</v>
      </c>
      <c r="H363" s="26"/>
      <c r="I363" s="26">
        <v>572808</v>
      </c>
      <c r="J363" s="26"/>
      <c r="K363" s="26">
        <v>4352467</v>
      </c>
      <c r="L363" s="26"/>
      <c r="M363" s="26">
        <v>24644</v>
      </c>
      <c r="N363" s="26"/>
      <c r="O363" s="26">
        <v>108597</v>
      </c>
      <c r="P363" s="26"/>
      <c r="Q363" s="26">
        <v>108582</v>
      </c>
      <c r="R363" s="26"/>
      <c r="S363" s="26">
        <v>0</v>
      </c>
      <c r="T363" s="26"/>
      <c r="U363" s="26">
        <v>13106</v>
      </c>
      <c r="V363" s="26"/>
      <c r="W363" s="26">
        <f>128033+280205</f>
        <v>408238</v>
      </c>
      <c r="X363" s="26"/>
      <c r="Y363" s="51">
        <f t="shared" si="30"/>
        <v>10164080</v>
      </c>
      <c r="Z363" s="26"/>
      <c r="AA363" s="26">
        <v>0</v>
      </c>
      <c r="AB363" s="26"/>
      <c r="AC363" s="26"/>
      <c r="AD363" s="26"/>
      <c r="AE363" s="26">
        <v>0</v>
      </c>
      <c r="AF363" s="26"/>
      <c r="AG363" s="26"/>
      <c r="AH363" s="26"/>
      <c r="AI363" s="26"/>
      <c r="AJ363" s="26"/>
      <c r="AK363" s="26">
        <v>0</v>
      </c>
      <c r="AL363" s="26"/>
      <c r="AM363" s="26">
        <v>0</v>
      </c>
      <c r="AN363" s="26"/>
      <c r="AO363" s="51">
        <f t="shared" si="29"/>
        <v>0</v>
      </c>
      <c r="AP363" s="26"/>
      <c r="AQ363" s="51">
        <f t="shared" si="27"/>
        <v>10164080</v>
      </c>
    </row>
    <row r="364" spans="1:44" hidden="1">
      <c r="A364" s="12" t="s">
        <v>884</v>
      </c>
      <c r="B364" s="13"/>
      <c r="C364" s="13" t="s">
        <v>21</v>
      </c>
      <c r="D364" s="13"/>
      <c r="E364" s="32">
        <v>46672</v>
      </c>
      <c r="F364" s="26"/>
      <c r="G364" s="26">
        <v>1215674</v>
      </c>
      <c r="H364" s="26"/>
      <c r="I364" s="26">
        <v>959820</v>
      </c>
      <c r="J364" s="26"/>
      <c r="K364" s="26">
        <v>5058199</v>
      </c>
      <c r="L364" s="26"/>
      <c r="M364" s="26">
        <v>45779</v>
      </c>
      <c r="N364" s="26"/>
      <c r="O364" s="26">
        <v>340032</v>
      </c>
      <c r="P364" s="26"/>
      <c r="Q364" s="26">
        <v>149877</v>
      </c>
      <c r="R364" s="26"/>
      <c r="S364" s="26"/>
      <c r="T364" s="26"/>
      <c r="U364" s="26">
        <v>3350</v>
      </c>
      <c r="V364" s="26"/>
      <c r="W364" s="26">
        <f>178718+75+120668</f>
        <v>299461</v>
      </c>
      <c r="X364" s="26"/>
      <c r="Y364" s="51">
        <f t="shared" si="30"/>
        <v>8072192</v>
      </c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>
        <v>0</v>
      </c>
      <c r="AN364" s="26"/>
      <c r="AO364" s="51">
        <f t="shared" si="29"/>
        <v>0</v>
      </c>
      <c r="AP364" s="26"/>
      <c r="AQ364" s="51">
        <f t="shared" si="27"/>
        <v>8072192</v>
      </c>
    </row>
    <row r="365" spans="1:44">
      <c r="A365" s="13" t="s">
        <v>667</v>
      </c>
      <c r="B365" s="13"/>
      <c r="C365" s="13" t="s">
        <v>63</v>
      </c>
      <c r="D365" s="13"/>
      <c r="E365" s="32">
        <v>50039</v>
      </c>
      <c r="F365" s="26"/>
      <c r="G365" s="26">
        <v>3741716</v>
      </c>
      <c r="H365" s="26"/>
      <c r="I365" s="26">
        <v>0</v>
      </c>
      <c r="J365" s="26"/>
      <c r="K365" s="26">
        <v>4577321</v>
      </c>
      <c r="L365" s="26"/>
      <c r="M365" s="26">
        <v>203069</v>
      </c>
      <c r="N365" s="26"/>
      <c r="O365" s="26">
        <v>1203226</v>
      </c>
      <c r="P365" s="26"/>
      <c r="Q365" s="26">
        <v>115703</v>
      </c>
      <c r="R365" s="26"/>
      <c r="S365" s="26">
        <v>0</v>
      </c>
      <c r="T365" s="26"/>
      <c r="U365" s="26">
        <v>41107</v>
      </c>
      <c r="V365" s="26"/>
      <c r="W365" s="26">
        <f>185518+31904</f>
        <v>217422</v>
      </c>
      <c r="X365" s="26"/>
      <c r="Y365" s="51">
        <f t="shared" si="30"/>
        <v>10099564</v>
      </c>
      <c r="Z365" s="26"/>
      <c r="AA365" s="26">
        <v>201245</v>
      </c>
      <c r="AB365" s="26"/>
      <c r="AC365" s="26"/>
      <c r="AD365" s="26"/>
      <c r="AE365" s="26">
        <v>0</v>
      </c>
      <c r="AF365" s="26"/>
      <c r="AG365" s="26"/>
      <c r="AH365" s="26"/>
      <c r="AI365" s="26"/>
      <c r="AJ365" s="26"/>
      <c r="AK365" s="26">
        <v>0</v>
      </c>
      <c r="AL365" s="26"/>
      <c r="AM365" s="26">
        <v>0</v>
      </c>
      <c r="AN365" s="26"/>
      <c r="AO365" s="51">
        <f t="shared" si="29"/>
        <v>201245</v>
      </c>
      <c r="AP365" s="26"/>
      <c r="AQ365" s="51">
        <f t="shared" si="27"/>
        <v>10300809</v>
      </c>
    </row>
    <row r="366" spans="1:44" hidden="1">
      <c r="A366" s="12" t="s">
        <v>842</v>
      </c>
      <c r="B366" s="13"/>
      <c r="C366" s="13" t="s">
        <v>740</v>
      </c>
      <c r="D366" s="13"/>
      <c r="E366" s="32">
        <v>50740</v>
      </c>
      <c r="F366" s="26"/>
      <c r="G366" s="26">
        <v>3686838</v>
      </c>
      <c r="H366" s="26"/>
      <c r="I366" s="26">
        <v>0</v>
      </c>
      <c r="J366" s="26"/>
      <c r="K366" s="26">
        <f>2979+4878981+489515</f>
        <v>5371475</v>
      </c>
      <c r="L366" s="26"/>
      <c r="M366" s="26">
        <v>41444</v>
      </c>
      <c r="N366" s="26"/>
      <c r="O366" s="26">
        <v>675998</v>
      </c>
      <c r="P366" s="26"/>
      <c r="Q366" s="26">
        <v>194126</v>
      </c>
      <c r="R366" s="26"/>
      <c r="S366" s="26"/>
      <c r="T366" s="26"/>
      <c r="U366" s="26"/>
      <c r="V366" s="26"/>
      <c r="W366" s="26">
        <f>37936+40821+277069</f>
        <v>355826</v>
      </c>
      <c r="X366" s="26"/>
      <c r="Y366" s="51">
        <f t="shared" si="30"/>
        <v>10325707</v>
      </c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>
        <v>0</v>
      </c>
      <c r="AN366" s="26"/>
      <c r="AO366" s="51">
        <f t="shared" si="29"/>
        <v>0</v>
      </c>
      <c r="AP366" s="26"/>
      <c r="AQ366" s="51">
        <f t="shared" si="27"/>
        <v>10325707</v>
      </c>
    </row>
    <row r="367" spans="1:44">
      <c r="A367" s="13" t="s">
        <v>248</v>
      </c>
      <c r="B367" s="13"/>
      <c r="C367" s="13" t="s">
        <v>242</v>
      </c>
      <c r="D367" s="13"/>
      <c r="E367" s="32">
        <v>139303</v>
      </c>
      <c r="F367" s="26"/>
      <c r="G367" s="26">
        <v>11643644</v>
      </c>
      <c r="H367" s="26"/>
      <c r="I367" s="26">
        <v>0</v>
      </c>
      <c r="J367" s="26"/>
      <c r="K367" s="26">
        <v>7944595</v>
      </c>
      <c r="L367" s="26"/>
      <c r="M367" s="26">
        <v>42726</v>
      </c>
      <c r="N367" s="26"/>
      <c r="O367" s="26">
        <v>874207</v>
      </c>
      <c r="P367" s="26"/>
      <c r="Q367" s="26">
        <v>276518</v>
      </c>
      <c r="R367" s="26"/>
      <c r="S367" s="26">
        <v>674093</v>
      </c>
      <c r="T367" s="26"/>
      <c r="U367" s="26">
        <v>162270</v>
      </c>
      <c r="V367" s="26"/>
      <c r="W367" s="26">
        <f>230463+17890+622191</f>
        <v>870544</v>
      </c>
      <c r="X367" s="26"/>
      <c r="Y367" s="51">
        <f t="shared" si="30"/>
        <v>22488597</v>
      </c>
      <c r="Z367" s="26"/>
      <c r="AA367" s="8">
        <v>639938</v>
      </c>
      <c r="AB367" s="26"/>
      <c r="AC367" s="26"/>
      <c r="AD367" s="26"/>
      <c r="AE367" s="26">
        <v>365000</v>
      </c>
      <c r="AF367" s="26"/>
      <c r="AG367" s="26"/>
      <c r="AH367" s="26"/>
      <c r="AI367" s="26"/>
      <c r="AJ367" s="26"/>
      <c r="AK367" s="26">
        <v>0</v>
      </c>
      <c r="AL367" s="26"/>
      <c r="AM367" s="26">
        <v>0</v>
      </c>
      <c r="AN367" s="26"/>
      <c r="AO367" s="51">
        <f t="shared" si="29"/>
        <v>1004938</v>
      </c>
      <c r="AP367" s="26"/>
      <c r="AQ367" s="51">
        <f t="shared" si="27"/>
        <v>23493535</v>
      </c>
    </row>
    <row r="368" spans="1:44">
      <c r="A368" s="13" t="s">
        <v>444</v>
      </c>
      <c r="B368" s="13"/>
      <c r="C368" s="13" t="s">
        <v>37</v>
      </c>
      <c r="D368" s="13"/>
      <c r="E368" s="32">
        <v>47712</v>
      </c>
      <c r="F368" s="26"/>
      <c r="G368" s="26">
        <v>2297767</v>
      </c>
      <c r="H368" s="26"/>
      <c r="I368" s="26">
        <v>0</v>
      </c>
      <c r="J368" s="26"/>
      <c r="K368" s="26">
        <f>3060983+338856</f>
        <v>3399839</v>
      </c>
      <c r="L368" s="26"/>
      <c r="M368" s="26">
        <v>47169</v>
      </c>
      <c r="N368" s="26"/>
      <c r="O368" s="26">
        <v>245530</v>
      </c>
      <c r="P368" s="26"/>
      <c r="Q368" s="26">
        <v>82050</v>
      </c>
      <c r="R368" s="26"/>
      <c r="S368" s="26">
        <v>0</v>
      </c>
      <c r="T368" s="26"/>
      <c r="U368" s="26">
        <v>0</v>
      </c>
      <c r="V368" s="26"/>
      <c r="W368" s="26">
        <f>78724+44860+152953+651</f>
        <v>277188</v>
      </c>
      <c r="X368" s="26"/>
      <c r="Y368" s="51">
        <f t="shared" si="30"/>
        <v>6349543</v>
      </c>
      <c r="Z368" s="26"/>
      <c r="AA368" s="26">
        <v>120</v>
      </c>
      <c r="AB368" s="26"/>
      <c r="AC368" s="26"/>
      <c r="AD368" s="26"/>
      <c r="AE368" s="26">
        <v>162980</v>
      </c>
      <c r="AF368" s="26"/>
      <c r="AG368" s="26"/>
      <c r="AH368" s="26"/>
      <c r="AI368" s="26"/>
      <c r="AJ368" s="26"/>
      <c r="AK368" s="26">
        <v>70</v>
      </c>
      <c r="AL368" s="26"/>
      <c r="AM368" s="26">
        <v>0</v>
      </c>
      <c r="AN368" s="26"/>
      <c r="AO368" s="51">
        <f t="shared" si="29"/>
        <v>163170</v>
      </c>
      <c r="AP368" s="26"/>
      <c r="AQ368" s="51">
        <f t="shared" si="27"/>
        <v>6512713</v>
      </c>
    </row>
    <row r="369" spans="1:44">
      <c r="A369" s="13" t="s">
        <v>731</v>
      </c>
      <c r="B369" s="13"/>
      <c r="C369" s="13" t="s">
        <v>727</v>
      </c>
      <c r="D369" s="13"/>
      <c r="E369" s="32">
        <v>45526</v>
      </c>
      <c r="F369" s="26"/>
      <c r="G369" s="26">
        <v>2403082</v>
      </c>
      <c r="H369" s="26"/>
      <c r="I369" s="26">
        <v>705887</v>
      </c>
      <c r="J369" s="26"/>
      <c r="K369" s="26">
        <v>6558128</v>
      </c>
      <c r="L369" s="26"/>
      <c r="M369" s="26">
        <v>86065</v>
      </c>
      <c r="N369" s="26"/>
      <c r="O369" s="26">
        <v>448933</v>
      </c>
      <c r="P369" s="26"/>
      <c r="Q369" s="26">
        <v>99459</v>
      </c>
      <c r="R369" s="26"/>
      <c r="S369" s="26">
        <v>0</v>
      </c>
      <c r="T369" s="26"/>
      <c r="U369" s="26">
        <v>44803</v>
      </c>
      <c r="V369" s="26"/>
      <c r="W369" s="26">
        <f>182635+278091+8897</f>
        <v>469623</v>
      </c>
      <c r="X369" s="26"/>
      <c r="Y369" s="51">
        <f t="shared" si="30"/>
        <v>10815980</v>
      </c>
      <c r="Z369" s="26"/>
      <c r="AA369" s="26">
        <v>751024</v>
      </c>
      <c r="AB369" s="26"/>
      <c r="AC369" s="26"/>
      <c r="AD369" s="26"/>
      <c r="AE369" s="26">
        <v>0</v>
      </c>
      <c r="AF369" s="26"/>
      <c r="AG369" s="26"/>
      <c r="AH369" s="26"/>
      <c r="AI369" s="26"/>
      <c r="AJ369" s="26"/>
      <c r="AK369" s="26">
        <f>1313+4657</f>
        <v>5970</v>
      </c>
      <c r="AL369" s="26"/>
      <c r="AM369" s="26">
        <v>0</v>
      </c>
      <c r="AN369" s="26"/>
      <c r="AO369" s="51">
        <f t="shared" ref="AO369:AO404" si="31">AK369+AE369+AA369</f>
        <v>756994</v>
      </c>
      <c r="AP369" s="26"/>
      <c r="AQ369" s="51">
        <f t="shared" si="27"/>
        <v>11572974</v>
      </c>
    </row>
    <row r="370" spans="1:44">
      <c r="A370" s="13" t="s">
        <v>558</v>
      </c>
      <c r="B370" s="13"/>
      <c r="C370" s="13" t="s">
        <v>559</v>
      </c>
      <c r="D370" s="13"/>
      <c r="E370" s="32">
        <v>48777</v>
      </c>
      <c r="F370" s="26"/>
      <c r="G370" s="26">
        <v>4562240</v>
      </c>
      <c r="H370" s="26"/>
      <c r="I370" s="26">
        <v>0</v>
      </c>
      <c r="J370" s="26"/>
      <c r="K370" s="26">
        <v>32111658</v>
      </c>
      <c r="L370" s="26"/>
      <c r="M370" s="26">
        <v>655361</v>
      </c>
      <c r="N370" s="26"/>
      <c r="O370" s="26">
        <v>229176</v>
      </c>
      <c r="P370" s="26"/>
      <c r="Q370" s="26">
        <v>62095</v>
      </c>
      <c r="R370" s="26"/>
      <c r="S370" s="26">
        <v>0</v>
      </c>
      <c r="T370" s="26"/>
      <c r="U370" s="26">
        <v>58625</v>
      </c>
      <c r="V370" s="26"/>
      <c r="W370" s="26">
        <f>105970+428654</f>
        <v>534624</v>
      </c>
      <c r="X370" s="26"/>
      <c r="Y370" s="51">
        <f t="shared" si="30"/>
        <v>38213779</v>
      </c>
      <c r="Z370" s="26"/>
      <c r="AA370" s="26">
        <v>29875</v>
      </c>
      <c r="AB370" s="26"/>
      <c r="AC370" s="26"/>
      <c r="AD370" s="26"/>
      <c r="AE370" s="26">
        <v>0</v>
      </c>
      <c r="AF370" s="26"/>
      <c r="AG370" s="26"/>
      <c r="AH370" s="26"/>
      <c r="AI370" s="26"/>
      <c r="AJ370" s="26"/>
      <c r="AK370" s="26">
        <v>0</v>
      </c>
      <c r="AL370" s="26"/>
      <c r="AM370" s="26">
        <v>0</v>
      </c>
      <c r="AN370" s="26"/>
      <c r="AO370" s="51">
        <f t="shared" si="31"/>
        <v>29875</v>
      </c>
      <c r="AP370" s="26"/>
      <c r="AQ370" s="51">
        <f t="shared" si="27"/>
        <v>38243654</v>
      </c>
    </row>
    <row r="371" spans="1:44">
      <c r="A371" s="13" t="s">
        <v>858</v>
      </c>
      <c r="B371" s="13"/>
      <c r="C371" s="13" t="s">
        <v>78</v>
      </c>
      <c r="D371" s="13"/>
      <c r="E371" s="32">
        <v>45534</v>
      </c>
      <c r="F371" s="26"/>
      <c r="G371" s="26">
        <v>4476579</v>
      </c>
      <c r="H371" s="26"/>
      <c r="I371" s="26">
        <v>0</v>
      </c>
      <c r="J371" s="26"/>
      <c r="K371" s="26">
        <f>15937755+819910</f>
        <v>16757665</v>
      </c>
      <c r="L371" s="26"/>
      <c r="M371" s="26">
        <v>188447</v>
      </c>
      <c r="N371" s="26"/>
      <c r="O371" s="26">
        <v>781394</v>
      </c>
      <c r="P371" s="26"/>
      <c r="Q371" s="26">
        <v>245636</v>
      </c>
      <c r="R371" s="26"/>
      <c r="S371" s="26">
        <v>0</v>
      </c>
      <c r="T371" s="26"/>
      <c r="U371" s="26">
        <v>0</v>
      </c>
      <c r="V371" s="26"/>
      <c r="W371" s="26">
        <f>322666+76610+43173+187286</f>
        <v>629735</v>
      </c>
      <c r="X371" s="26"/>
      <c r="Y371" s="51">
        <f t="shared" si="30"/>
        <v>23079456</v>
      </c>
      <c r="Z371" s="26"/>
      <c r="AA371" s="26">
        <v>262505</v>
      </c>
      <c r="AB371" s="26"/>
      <c r="AC371" s="26"/>
      <c r="AD371" s="26"/>
      <c r="AE371" s="26">
        <v>0</v>
      </c>
      <c r="AF371" s="26"/>
      <c r="AG371" s="26"/>
      <c r="AH371" s="26"/>
      <c r="AI371" s="26"/>
      <c r="AJ371" s="26"/>
      <c r="AK371" s="26">
        <v>0</v>
      </c>
      <c r="AL371" s="26"/>
      <c r="AM371" s="26">
        <v>0</v>
      </c>
      <c r="AN371" s="26"/>
      <c r="AO371" s="51">
        <f t="shared" si="31"/>
        <v>262505</v>
      </c>
      <c r="AP371" s="26"/>
      <c r="AQ371" s="51">
        <f t="shared" si="27"/>
        <v>23341961</v>
      </c>
    </row>
    <row r="372" spans="1:44">
      <c r="A372" s="13" t="s">
        <v>457</v>
      </c>
      <c r="B372" s="13"/>
      <c r="C372" s="13" t="s">
        <v>40</v>
      </c>
      <c r="D372" s="13"/>
      <c r="E372" s="32">
        <v>44420</v>
      </c>
      <c r="F372" s="26"/>
      <c r="G372" s="26">
        <v>16078419</v>
      </c>
      <c r="H372" s="26"/>
      <c r="I372" s="26">
        <v>0</v>
      </c>
      <c r="J372" s="26"/>
      <c r="K372" s="26">
        <f>17083663+2555969</f>
        <v>19639632</v>
      </c>
      <c r="L372" s="26"/>
      <c r="M372" s="26">
        <v>198365</v>
      </c>
      <c r="N372" s="26"/>
      <c r="O372" s="26">
        <v>1182860</v>
      </c>
      <c r="P372" s="26"/>
      <c r="Q372" s="26">
        <v>148372</v>
      </c>
      <c r="R372" s="26"/>
      <c r="S372" s="26">
        <v>633929</v>
      </c>
      <c r="T372" s="26"/>
      <c r="U372" s="26">
        <v>6030</v>
      </c>
      <c r="V372" s="26"/>
      <c r="W372" s="26">
        <f>35886+7877+105230+503821+673</f>
        <v>653487</v>
      </c>
      <c r="X372" s="26"/>
      <c r="Y372" s="51">
        <f t="shared" si="30"/>
        <v>38541094</v>
      </c>
      <c r="Z372" s="26"/>
      <c r="AA372" s="26">
        <v>185328</v>
      </c>
      <c r="AB372" s="26"/>
      <c r="AC372" s="26"/>
      <c r="AD372" s="26"/>
      <c r="AE372" s="26">
        <v>46385</v>
      </c>
      <c r="AF372" s="26"/>
      <c r="AG372" s="26"/>
      <c r="AH372" s="26"/>
      <c r="AI372" s="26"/>
      <c r="AJ372" s="26"/>
      <c r="AK372" s="26">
        <v>0</v>
      </c>
      <c r="AL372" s="26"/>
      <c r="AM372" s="26">
        <v>0</v>
      </c>
      <c r="AN372" s="26"/>
      <c r="AO372" s="51">
        <f t="shared" si="31"/>
        <v>231713</v>
      </c>
      <c r="AP372" s="26"/>
      <c r="AQ372" s="51">
        <f t="shared" si="27"/>
        <v>38772807</v>
      </c>
    </row>
    <row r="373" spans="1:44">
      <c r="A373" s="13" t="s">
        <v>1076</v>
      </c>
      <c r="B373" s="13"/>
      <c r="C373" s="13" t="s">
        <v>32</v>
      </c>
      <c r="D373" s="13"/>
      <c r="E373" s="32">
        <v>44412</v>
      </c>
      <c r="F373" s="26"/>
      <c r="G373" s="26">
        <v>13935729</v>
      </c>
      <c r="H373" s="26"/>
      <c r="I373" s="26">
        <v>0</v>
      </c>
      <c r="J373" s="26"/>
      <c r="K373" s="26">
        <v>58753251</v>
      </c>
      <c r="L373" s="26"/>
      <c r="M373" s="26">
        <v>1988290</v>
      </c>
      <c r="N373" s="26"/>
      <c r="O373" s="26">
        <v>857821</v>
      </c>
      <c r="P373" s="26"/>
      <c r="Q373" s="26">
        <v>126760</v>
      </c>
      <c r="R373" s="26"/>
      <c r="S373" s="26">
        <v>0</v>
      </c>
      <c r="T373" s="26"/>
      <c r="U373" s="26">
        <v>0</v>
      </c>
      <c r="V373" s="26"/>
      <c r="W373" s="26">
        <f>332370+178724</f>
        <v>511094</v>
      </c>
      <c r="X373" s="26"/>
      <c r="Y373" s="51">
        <f t="shared" si="30"/>
        <v>76172945</v>
      </c>
      <c r="Z373" s="26"/>
      <c r="AA373" s="26">
        <v>144605</v>
      </c>
      <c r="AB373" s="26"/>
      <c r="AC373" s="26"/>
      <c r="AD373" s="26"/>
      <c r="AE373" s="26">
        <v>0</v>
      </c>
      <c r="AF373" s="26"/>
      <c r="AG373" s="26"/>
      <c r="AH373" s="26"/>
      <c r="AI373" s="26"/>
      <c r="AJ373" s="26"/>
      <c r="AK373" s="26">
        <v>0</v>
      </c>
      <c r="AL373" s="26"/>
      <c r="AM373" s="26">
        <v>0</v>
      </c>
      <c r="AN373" s="26"/>
      <c r="AO373" s="51">
        <f t="shared" si="31"/>
        <v>144605</v>
      </c>
      <c r="AP373" s="26"/>
      <c r="AQ373" s="51">
        <f t="shared" si="27"/>
        <v>76317550</v>
      </c>
      <c r="AR373" s="15" t="s">
        <v>905</v>
      </c>
    </row>
    <row r="374" spans="1:44">
      <c r="A374" s="13" t="s">
        <v>432</v>
      </c>
      <c r="B374" s="13"/>
      <c r="C374" s="13" t="s">
        <v>34</v>
      </c>
      <c r="D374" s="13"/>
      <c r="E374" s="32">
        <v>44438</v>
      </c>
      <c r="F374" s="26"/>
      <c r="G374" s="26">
        <v>8783350</v>
      </c>
      <c r="H374" s="26"/>
      <c r="I374" s="26">
        <v>0</v>
      </c>
      <c r="J374" s="26"/>
      <c r="K374" s="26">
        <v>13800289</v>
      </c>
      <c r="L374" s="26"/>
      <c r="M374" s="26">
        <v>287212</v>
      </c>
      <c r="N374" s="26"/>
      <c r="O374" s="26">
        <v>720449</v>
      </c>
      <c r="P374" s="26"/>
      <c r="Q374" s="26">
        <v>286904</v>
      </c>
      <c r="R374" s="26"/>
      <c r="S374" s="26">
        <v>234526</v>
      </c>
      <c r="T374" s="26"/>
      <c r="U374" s="26">
        <v>33275</v>
      </c>
      <c r="V374" s="26"/>
      <c r="W374" s="26">
        <f>7840+506964+41689</f>
        <v>556493</v>
      </c>
      <c r="X374" s="26"/>
      <c r="Y374" s="51">
        <f t="shared" ref="Y374:Y400" si="32">SUM(G374:W374)</f>
        <v>24702498</v>
      </c>
      <c r="Z374" s="26"/>
      <c r="AA374" s="26">
        <v>250368</v>
      </c>
      <c r="AB374" s="26"/>
      <c r="AC374" s="26">
        <v>0</v>
      </c>
      <c r="AD374" s="26"/>
      <c r="AE374" s="26">
        <v>488694</v>
      </c>
      <c r="AF374" s="26"/>
      <c r="AG374" s="26">
        <v>0</v>
      </c>
      <c r="AH374" s="26"/>
      <c r="AI374" s="26">
        <v>0</v>
      </c>
      <c r="AJ374" s="26"/>
      <c r="AK374" s="26">
        <v>62719</v>
      </c>
      <c r="AL374" s="26"/>
      <c r="AM374" s="26">
        <v>0</v>
      </c>
      <c r="AN374" s="26"/>
      <c r="AO374" s="51">
        <f t="shared" si="31"/>
        <v>801781</v>
      </c>
      <c r="AP374" s="26"/>
      <c r="AQ374" s="51">
        <f t="shared" si="27"/>
        <v>25504279</v>
      </c>
    </row>
    <row r="375" spans="1:44">
      <c r="A375" s="13" t="s">
        <v>224</v>
      </c>
      <c r="B375" s="13"/>
      <c r="C375" s="13" t="s">
        <v>13</v>
      </c>
      <c r="D375" s="13"/>
      <c r="E375" s="32">
        <v>44446</v>
      </c>
      <c r="F375" s="26"/>
      <c r="G375" s="26">
        <v>2506559</v>
      </c>
      <c r="H375" s="26"/>
      <c r="I375" s="26">
        <v>0</v>
      </c>
      <c r="J375" s="26"/>
      <c r="K375" s="26">
        <v>16526901</v>
      </c>
      <c r="L375" s="26"/>
      <c r="M375" s="26">
        <v>178355</v>
      </c>
      <c r="N375" s="26"/>
      <c r="O375" s="26">
        <v>701050</v>
      </c>
      <c r="P375" s="26"/>
      <c r="Q375" s="26">
        <v>65512</v>
      </c>
      <c r="R375" s="26"/>
      <c r="S375" s="26">
        <v>0</v>
      </c>
      <c r="T375" s="26"/>
      <c r="U375" s="26">
        <v>124012</v>
      </c>
      <c r="V375" s="26"/>
      <c r="W375" s="26">
        <f>69172+158831+18038</f>
        <v>246041</v>
      </c>
      <c r="X375" s="26"/>
      <c r="Y375" s="51">
        <f t="shared" si="32"/>
        <v>20348430</v>
      </c>
      <c r="Z375" s="26"/>
      <c r="AA375" s="26">
        <v>260139</v>
      </c>
      <c r="AB375" s="26"/>
      <c r="AC375" s="26">
        <v>0</v>
      </c>
      <c r="AD375" s="26"/>
      <c r="AE375" s="26">
        <v>0</v>
      </c>
      <c r="AF375" s="26"/>
      <c r="AG375" s="26">
        <v>0</v>
      </c>
      <c r="AH375" s="26"/>
      <c r="AI375" s="26">
        <v>0</v>
      </c>
      <c r="AJ375" s="26"/>
      <c r="AK375" s="26">
        <v>0</v>
      </c>
      <c r="AL375" s="26"/>
      <c r="AM375" s="26">
        <v>0</v>
      </c>
      <c r="AN375" s="26"/>
      <c r="AO375" s="51">
        <f t="shared" si="31"/>
        <v>260139</v>
      </c>
      <c r="AP375" s="26"/>
      <c r="AQ375" s="51">
        <f t="shared" ref="AQ375:AQ438" si="33">Y375+AO375</f>
        <v>20608569</v>
      </c>
    </row>
    <row r="376" spans="1:44">
      <c r="A376" s="13" t="s">
        <v>826</v>
      </c>
      <c r="B376" s="13"/>
      <c r="C376" s="13" t="s">
        <v>27</v>
      </c>
      <c r="D376" s="13"/>
      <c r="E376" s="32">
        <v>44461</v>
      </c>
      <c r="F376" s="26"/>
      <c r="G376" s="26">
        <v>48149546</v>
      </c>
      <c r="H376" s="26"/>
      <c r="I376" s="26">
        <v>0</v>
      </c>
      <c r="J376" s="26"/>
      <c r="K376" s="26">
        <f>716529+8294894+171203</f>
        <v>9182626</v>
      </c>
      <c r="L376" s="26"/>
      <c r="M376" s="26">
        <v>390094</v>
      </c>
      <c r="N376" s="26"/>
      <c r="O376" s="26">
        <v>589516</v>
      </c>
      <c r="P376" s="26"/>
      <c r="Q376" s="26">
        <v>419948</v>
      </c>
      <c r="R376" s="26"/>
      <c r="S376" s="26">
        <v>0</v>
      </c>
      <c r="T376" s="26"/>
      <c r="U376" s="26">
        <v>0</v>
      </c>
      <c r="V376" s="26"/>
      <c r="W376" s="26">
        <f>1397945+1294261</f>
        <v>2692206</v>
      </c>
      <c r="X376" s="26"/>
      <c r="Y376" s="51">
        <f t="shared" si="32"/>
        <v>61423936</v>
      </c>
      <c r="Z376" s="26"/>
      <c r="AA376" s="26">
        <v>75000</v>
      </c>
      <c r="AB376" s="26"/>
      <c r="AC376" s="26">
        <v>0</v>
      </c>
      <c r="AD376" s="26"/>
      <c r="AE376" s="26">
        <f>3400000+84705</f>
        <v>3484705</v>
      </c>
      <c r="AF376" s="26"/>
      <c r="AG376" s="26">
        <v>0</v>
      </c>
      <c r="AH376" s="26"/>
      <c r="AI376" s="26">
        <v>0</v>
      </c>
      <c r="AJ376" s="26"/>
      <c r="AK376" s="26">
        <v>0</v>
      </c>
      <c r="AL376" s="26"/>
      <c r="AM376" s="26">
        <v>0</v>
      </c>
      <c r="AN376" s="26"/>
      <c r="AO376" s="51">
        <f t="shared" si="31"/>
        <v>3559705</v>
      </c>
      <c r="AP376" s="26"/>
      <c r="AQ376" s="51">
        <f t="shared" si="33"/>
        <v>64983641</v>
      </c>
    </row>
    <row r="377" spans="1:44">
      <c r="A377" s="13" t="s">
        <v>630</v>
      </c>
      <c r="B377" s="13"/>
      <c r="C377" s="13" t="s">
        <v>59</v>
      </c>
      <c r="D377" s="13"/>
      <c r="E377" s="32">
        <v>44461</v>
      </c>
      <c r="F377" s="26"/>
      <c r="G377" s="26">
        <v>1169248</v>
      </c>
      <c r="H377" s="26"/>
      <c r="I377" s="26">
        <v>0</v>
      </c>
      <c r="J377" s="26"/>
      <c r="K377" s="26">
        <v>4780769</v>
      </c>
      <c r="L377" s="26"/>
      <c r="M377" s="26">
        <v>78890</v>
      </c>
      <c r="N377" s="26"/>
      <c r="O377" s="26">
        <v>932077</v>
      </c>
      <c r="P377" s="26"/>
      <c r="Q377" s="26">
        <v>37236</v>
      </c>
      <c r="R377" s="26"/>
      <c r="S377" s="26">
        <v>0</v>
      </c>
      <c r="T377" s="26"/>
      <c r="U377" s="26">
        <v>18389</v>
      </c>
      <c r="V377" s="26"/>
      <c r="W377" s="26">
        <f>15984+211047</f>
        <v>227031</v>
      </c>
      <c r="X377" s="26"/>
      <c r="Y377" s="51">
        <f t="shared" si="32"/>
        <v>7243640</v>
      </c>
      <c r="Z377" s="26"/>
      <c r="AA377" s="26">
        <v>0</v>
      </c>
      <c r="AB377" s="26"/>
      <c r="AC377" s="26">
        <v>0</v>
      </c>
      <c r="AD377" s="26"/>
      <c r="AE377" s="26">
        <v>3463000</v>
      </c>
      <c r="AF377" s="26"/>
      <c r="AG377" s="26">
        <v>0</v>
      </c>
      <c r="AH377" s="26"/>
      <c r="AI377" s="26">
        <v>0</v>
      </c>
      <c r="AJ377" s="26"/>
      <c r="AK377" s="26">
        <v>0</v>
      </c>
      <c r="AL377" s="26"/>
      <c r="AM377" s="26">
        <v>0</v>
      </c>
      <c r="AN377" s="26"/>
      <c r="AO377" s="51">
        <f t="shared" si="31"/>
        <v>3463000</v>
      </c>
      <c r="AP377" s="26"/>
      <c r="AQ377" s="51">
        <f t="shared" si="33"/>
        <v>10706640</v>
      </c>
    </row>
    <row r="378" spans="1:44">
      <c r="A378" s="13" t="s">
        <v>227</v>
      </c>
      <c r="B378" s="13"/>
      <c r="C378" s="13" t="s">
        <v>14</v>
      </c>
      <c r="D378" s="13"/>
      <c r="E378" s="32">
        <v>45955</v>
      </c>
      <c r="F378" s="26"/>
      <c r="G378" s="26">
        <v>2953449</v>
      </c>
      <c r="H378" s="26"/>
      <c r="I378" s="26">
        <v>1420610</v>
      </c>
      <c r="J378" s="26"/>
      <c r="K378" s="26">
        <v>4944342</v>
      </c>
      <c r="L378" s="26"/>
      <c r="M378" s="26">
        <v>181490</v>
      </c>
      <c r="N378" s="26"/>
      <c r="O378" s="26">
        <v>178137</v>
      </c>
      <c r="P378" s="26"/>
      <c r="Q378" s="26">
        <v>188199</v>
      </c>
      <c r="R378" s="26"/>
      <c r="S378" s="26">
        <v>30429</v>
      </c>
      <c r="T378" s="26"/>
      <c r="U378" s="26">
        <v>23535</v>
      </c>
      <c r="V378" s="26"/>
      <c r="W378" s="26">
        <f>34131+219824</f>
        <v>253955</v>
      </c>
      <c r="X378" s="26"/>
      <c r="Y378" s="51">
        <f t="shared" si="32"/>
        <v>10174146</v>
      </c>
      <c r="Z378" s="26"/>
      <c r="AA378" s="26">
        <v>45000</v>
      </c>
      <c r="AB378" s="26"/>
      <c r="AC378" s="26">
        <v>0</v>
      </c>
      <c r="AD378" s="26"/>
      <c r="AE378" s="26">
        <v>0</v>
      </c>
      <c r="AF378" s="26"/>
      <c r="AG378" s="26">
        <v>0</v>
      </c>
      <c r="AH378" s="26"/>
      <c r="AI378" s="26">
        <v>0</v>
      </c>
      <c r="AJ378" s="26"/>
      <c r="AK378" s="26">
        <v>0</v>
      </c>
      <c r="AL378" s="26"/>
      <c r="AM378" s="26">
        <v>0</v>
      </c>
      <c r="AN378" s="26"/>
      <c r="AO378" s="51">
        <f t="shared" si="31"/>
        <v>45000</v>
      </c>
      <c r="AP378" s="26"/>
      <c r="AQ378" s="51">
        <f t="shared" si="33"/>
        <v>10219146</v>
      </c>
    </row>
    <row r="379" spans="1:44" hidden="1">
      <c r="A379" s="12" t="s">
        <v>1041</v>
      </c>
      <c r="B379" s="13"/>
      <c r="C379" s="13" t="s">
        <v>14</v>
      </c>
      <c r="D379" s="13"/>
      <c r="E379" s="32">
        <v>45963</v>
      </c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51">
        <f t="shared" si="32"/>
        <v>0</v>
      </c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>
        <v>0</v>
      </c>
      <c r="AN379" s="26"/>
      <c r="AO379" s="51">
        <f t="shared" si="31"/>
        <v>0</v>
      </c>
      <c r="AP379" s="26"/>
      <c r="AQ379" s="51">
        <f t="shared" si="33"/>
        <v>0</v>
      </c>
    </row>
    <row r="380" spans="1:44">
      <c r="A380" s="13" t="s">
        <v>552</v>
      </c>
      <c r="B380" s="13"/>
      <c r="C380" s="13" t="s">
        <v>50</v>
      </c>
      <c r="D380" s="13"/>
      <c r="E380" s="32">
        <v>48710</v>
      </c>
      <c r="F380" s="26"/>
      <c r="G380" s="26">
        <v>4252567</v>
      </c>
      <c r="H380" s="26"/>
      <c r="I380" s="26">
        <v>0</v>
      </c>
      <c r="J380" s="26"/>
      <c r="K380" s="26">
        <f>6462410+926196</f>
        <v>7388606</v>
      </c>
      <c r="L380" s="26"/>
      <c r="M380" s="26">
        <v>86633</v>
      </c>
      <c r="N380" s="26"/>
      <c r="O380" s="26">
        <v>291996</v>
      </c>
      <c r="P380" s="26"/>
      <c r="Q380" s="26">
        <v>97956</v>
      </c>
      <c r="R380" s="26"/>
      <c r="S380" s="26">
        <v>0</v>
      </c>
      <c r="T380" s="26"/>
      <c r="U380" s="26">
        <v>0</v>
      </c>
      <c r="V380" s="26"/>
      <c r="W380" s="26">
        <f>37862+54533+231232</f>
        <v>323627</v>
      </c>
      <c r="X380" s="26"/>
      <c r="Y380" s="51">
        <f t="shared" si="32"/>
        <v>12441385</v>
      </c>
      <c r="Z380" s="26"/>
      <c r="AA380" s="26">
        <v>0</v>
      </c>
      <c r="AB380" s="26"/>
      <c r="AC380" s="26">
        <v>0</v>
      </c>
      <c r="AD380" s="26"/>
      <c r="AE380" s="26">
        <v>352250</v>
      </c>
      <c r="AF380" s="26"/>
      <c r="AG380" s="26">
        <v>0</v>
      </c>
      <c r="AH380" s="26"/>
      <c r="AI380" s="26">
        <v>0</v>
      </c>
      <c r="AJ380" s="26"/>
      <c r="AK380" s="26">
        <v>8550</v>
      </c>
      <c r="AL380" s="26"/>
      <c r="AM380" s="26">
        <v>0</v>
      </c>
      <c r="AN380" s="26"/>
      <c r="AO380" s="51">
        <f t="shared" si="31"/>
        <v>360800</v>
      </c>
      <c r="AP380" s="26"/>
      <c r="AQ380" s="51">
        <f t="shared" si="33"/>
        <v>12802185</v>
      </c>
    </row>
    <row r="381" spans="1:44" hidden="1">
      <c r="A381" s="13" t="s">
        <v>580</v>
      </c>
      <c r="B381" s="13"/>
      <c r="C381" s="13" t="s">
        <v>579</v>
      </c>
      <c r="D381" s="13"/>
      <c r="E381" s="32">
        <v>44479</v>
      </c>
      <c r="F381" s="26"/>
      <c r="G381" s="26"/>
      <c r="H381" s="26"/>
      <c r="I381" s="26">
        <v>0</v>
      </c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51">
        <f t="shared" si="32"/>
        <v>0</v>
      </c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>
        <v>0</v>
      </c>
      <c r="AN381" s="26"/>
      <c r="AO381" s="51">
        <f t="shared" si="31"/>
        <v>0</v>
      </c>
      <c r="AP381" s="26"/>
      <c r="AQ381" s="51">
        <f t="shared" si="33"/>
        <v>0</v>
      </c>
    </row>
    <row r="382" spans="1:44">
      <c r="A382" s="13" t="s">
        <v>445</v>
      </c>
      <c r="B382" s="13"/>
      <c r="C382" s="13" t="s">
        <v>37</v>
      </c>
      <c r="D382" s="13"/>
      <c r="E382" s="32">
        <v>47720</v>
      </c>
      <c r="F382" s="26"/>
      <c r="G382" s="26">
        <v>3104660</v>
      </c>
      <c r="H382" s="26"/>
      <c r="I382" s="26">
        <v>0</v>
      </c>
      <c r="J382" s="26"/>
      <c r="K382" s="26">
        <f>6007280+601532</f>
        <v>6608812</v>
      </c>
      <c r="L382" s="26"/>
      <c r="M382" s="26">
        <v>49160</v>
      </c>
      <c r="N382" s="26"/>
      <c r="O382" s="26">
        <v>361625</v>
      </c>
      <c r="P382" s="26"/>
      <c r="Q382" s="26">
        <v>227189</v>
      </c>
      <c r="R382" s="26"/>
      <c r="S382" s="26">
        <v>0</v>
      </c>
      <c r="T382" s="26"/>
      <c r="U382" s="26">
        <v>0</v>
      </c>
      <c r="V382" s="26"/>
      <c r="W382" s="26">
        <f>174613+37865+42337</f>
        <v>254815</v>
      </c>
      <c r="X382" s="26"/>
      <c r="Y382" s="51">
        <f t="shared" si="32"/>
        <v>10606261</v>
      </c>
      <c r="Z382" s="26"/>
      <c r="AA382" s="26">
        <v>0</v>
      </c>
      <c r="AB382" s="26"/>
      <c r="AC382" s="26">
        <v>0</v>
      </c>
      <c r="AD382" s="26"/>
      <c r="AE382" s="26">
        <v>58389</v>
      </c>
      <c r="AF382" s="26"/>
      <c r="AG382" s="26">
        <v>0</v>
      </c>
      <c r="AH382" s="26"/>
      <c r="AI382" s="26">
        <v>0</v>
      </c>
      <c r="AJ382" s="26"/>
      <c r="AK382" s="26">
        <v>1000</v>
      </c>
      <c r="AL382" s="26"/>
      <c r="AM382" s="26">
        <v>0</v>
      </c>
      <c r="AN382" s="26"/>
      <c r="AO382" s="51">
        <f t="shared" si="31"/>
        <v>59389</v>
      </c>
      <c r="AP382" s="26"/>
      <c r="AQ382" s="51">
        <f t="shared" si="33"/>
        <v>10665650</v>
      </c>
    </row>
    <row r="383" spans="1:44">
      <c r="A383" s="13" t="s">
        <v>249</v>
      </c>
      <c r="B383" s="13"/>
      <c r="C383" s="13" t="s">
        <v>242</v>
      </c>
      <c r="D383" s="13"/>
      <c r="E383" s="32">
        <v>46136</v>
      </c>
      <c r="F383" s="26"/>
      <c r="G383" s="26">
        <v>1594695</v>
      </c>
      <c r="H383" s="26"/>
      <c r="I383" s="26">
        <v>0</v>
      </c>
      <c r="J383" s="26"/>
      <c r="K383" s="26">
        <v>6672883</v>
      </c>
      <c r="L383" s="26"/>
      <c r="M383" s="26">
        <v>31009</v>
      </c>
      <c r="N383" s="26"/>
      <c r="O383" s="26">
        <v>39004</v>
      </c>
      <c r="P383" s="26"/>
      <c r="Q383" s="26">
        <v>0</v>
      </c>
      <c r="R383" s="26"/>
      <c r="S383" s="26">
        <v>0</v>
      </c>
      <c r="T383" s="26"/>
      <c r="U383" s="26">
        <v>0</v>
      </c>
      <c r="V383" s="26"/>
      <c r="W383" s="26">
        <f>108988+177102</f>
        <v>286090</v>
      </c>
      <c r="X383" s="26"/>
      <c r="Y383" s="51">
        <f t="shared" si="32"/>
        <v>8623681</v>
      </c>
      <c r="Z383" s="26"/>
      <c r="AA383" s="26">
        <v>32074</v>
      </c>
      <c r="AB383" s="26"/>
      <c r="AC383" s="26">
        <v>0</v>
      </c>
      <c r="AD383" s="26"/>
      <c r="AE383" s="26">
        <v>0</v>
      </c>
      <c r="AF383" s="26"/>
      <c r="AG383" s="26">
        <v>0</v>
      </c>
      <c r="AH383" s="26"/>
      <c r="AI383" s="26">
        <v>0</v>
      </c>
      <c r="AJ383" s="26"/>
      <c r="AK383" s="26">
        <v>0</v>
      </c>
      <c r="AL383" s="26"/>
      <c r="AM383" s="26">
        <v>0</v>
      </c>
      <c r="AN383" s="26"/>
      <c r="AO383" s="51">
        <f t="shared" si="31"/>
        <v>32074</v>
      </c>
      <c r="AP383" s="26"/>
      <c r="AQ383" s="51">
        <f t="shared" si="33"/>
        <v>8655755</v>
      </c>
    </row>
    <row r="384" spans="1:44">
      <c r="A384" s="13" t="s">
        <v>698</v>
      </c>
      <c r="B384" s="13"/>
      <c r="C384" s="13" t="s">
        <v>65</v>
      </c>
      <c r="D384" s="13"/>
      <c r="E384" s="32">
        <v>44487</v>
      </c>
      <c r="F384" s="26"/>
      <c r="G384" s="26">
        <v>12056733</v>
      </c>
      <c r="H384" s="26"/>
      <c r="I384" s="26">
        <v>0</v>
      </c>
      <c r="J384" s="26"/>
      <c r="K384" s="26">
        <v>12700879</v>
      </c>
      <c r="L384" s="26"/>
      <c r="M384" s="26">
        <v>151952</v>
      </c>
      <c r="N384" s="26"/>
      <c r="O384" s="26">
        <v>412928</v>
      </c>
      <c r="P384" s="26"/>
      <c r="Q384" s="26">
        <v>563764</v>
      </c>
      <c r="R384" s="26"/>
      <c r="S384" s="26">
        <v>0</v>
      </c>
      <c r="T384" s="26"/>
      <c r="U384" s="26">
        <v>117290</v>
      </c>
      <c r="V384" s="26"/>
      <c r="W384" s="26">
        <f>5106+366777+918536</f>
        <v>1290419</v>
      </c>
      <c r="X384" s="26"/>
      <c r="Y384" s="51">
        <f t="shared" si="32"/>
        <v>27293965</v>
      </c>
      <c r="Z384" s="26"/>
      <c r="AA384" s="26">
        <v>42000</v>
      </c>
      <c r="AB384" s="26"/>
      <c r="AC384" s="26">
        <v>0</v>
      </c>
      <c r="AD384" s="26"/>
      <c r="AE384" s="26">
        <v>0</v>
      </c>
      <c r="AF384" s="26"/>
      <c r="AG384" s="26">
        <v>0</v>
      </c>
      <c r="AH384" s="26"/>
      <c r="AI384" s="26">
        <v>0</v>
      </c>
      <c r="AJ384" s="26"/>
      <c r="AK384" s="26">
        <v>0</v>
      </c>
      <c r="AL384" s="26"/>
      <c r="AM384" s="26">
        <v>0</v>
      </c>
      <c r="AN384" s="26"/>
      <c r="AO384" s="51">
        <f t="shared" si="31"/>
        <v>42000</v>
      </c>
      <c r="AP384" s="26"/>
      <c r="AQ384" s="51">
        <f t="shared" si="33"/>
        <v>27335965</v>
      </c>
    </row>
    <row r="385" spans="1:43">
      <c r="A385" s="13" t="s">
        <v>271</v>
      </c>
      <c r="B385" s="13"/>
      <c r="C385" s="13" t="s">
        <v>115</v>
      </c>
      <c r="D385" s="13"/>
      <c r="E385" s="32">
        <v>45559</v>
      </c>
      <c r="F385" s="26"/>
      <c r="G385" s="26">
        <v>11794667</v>
      </c>
      <c r="H385" s="26"/>
      <c r="I385" s="26">
        <v>0</v>
      </c>
      <c r="J385" s="26"/>
      <c r="K385" s="26">
        <v>14600514</v>
      </c>
      <c r="L385" s="26"/>
      <c r="M385" s="26">
        <v>904438</v>
      </c>
      <c r="N385" s="26"/>
      <c r="O385" s="26">
        <v>864401</v>
      </c>
      <c r="P385" s="26"/>
      <c r="Q385" s="26">
        <v>0</v>
      </c>
      <c r="R385" s="26"/>
      <c r="S385" s="26">
        <v>0</v>
      </c>
      <c r="T385" s="26"/>
      <c r="U385" s="26">
        <v>0</v>
      </c>
      <c r="V385" s="26"/>
      <c r="W385" s="26">
        <v>264133</v>
      </c>
      <c r="X385" s="26"/>
      <c r="Y385" s="51">
        <f t="shared" si="32"/>
        <v>28428153</v>
      </c>
      <c r="Z385" s="26"/>
      <c r="AA385" s="26">
        <v>0</v>
      </c>
      <c r="AB385" s="26"/>
      <c r="AC385" s="26">
        <v>0</v>
      </c>
      <c r="AD385" s="26"/>
      <c r="AE385" s="26">
        <v>0</v>
      </c>
      <c r="AF385" s="26"/>
      <c r="AG385" s="26">
        <v>0</v>
      </c>
      <c r="AH385" s="26"/>
      <c r="AI385" s="26">
        <v>0</v>
      </c>
      <c r="AJ385" s="26"/>
      <c r="AK385" s="26">
        <v>0</v>
      </c>
      <c r="AL385" s="26"/>
      <c r="AM385" s="26">
        <v>0</v>
      </c>
      <c r="AN385" s="26"/>
      <c r="AO385" s="51">
        <f t="shared" si="31"/>
        <v>0</v>
      </c>
      <c r="AP385" s="26"/>
      <c r="AQ385" s="51">
        <f t="shared" si="33"/>
        <v>28428153</v>
      </c>
    </row>
    <row r="386" spans="1:43" hidden="1">
      <c r="A386" s="13" t="s">
        <v>637</v>
      </c>
      <c r="B386" s="13"/>
      <c r="C386" s="13" t="s">
        <v>60</v>
      </c>
      <c r="D386" s="13"/>
      <c r="E386" s="32">
        <v>49718</v>
      </c>
      <c r="F386" s="26"/>
      <c r="G386" s="26"/>
      <c r="H386" s="26"/>
      <c r="I386" s="26">
        <v>0</v>
      </c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51">
        <f t="shared" si="32"/>
        <v>0</v>
      </c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>
        <v>0</v>
      </c>
      <c r="AN386" s="26"/>
      <c r="AO386" s="51">
        <f t="shared" si="31"/>
        <v>0</v>
      </c>
      <c r="AP386" s="26"/>
      <c r="AQ386" s="51">
        <f t="shared" si="33"/>
        <v>0</v>
      </c>
    </row>
    <row r="387" spans="1:43">
      <c r="A387" s="13" t="s">
        <v>478</v>
      </c>
      <c r="B387" s="13"/>
      <c r="C387" s="13" t="s">
        <v>42</v>
      </c>
      <c r="D387" s="13"/>
      <c r="E387" s="13">
        <v>44453</v>
      </c>
      <c r="F387" s="26"/>
      <c r="G387" s="26">
        <v>28150223</v>
      </c>
      <c r="H387" s="26"/>
      <c r="I387" s="26">
        <v>0</v>
      </c>
      <c r="J387" s="26"/>
      <c r="K387" s="26">
        <f>18939+43994768+6116682</f>
        <v>50130389</v>
      </c>
      <c r="L387" s="26"/>
      <c r="M387" s="26">
        <v>609101</v>
      </c>
      <c r="N387" s="26"/>
      <c r="O387" s="26">
        <v>621504</v>
      </c>
      <c r="P387" s="26"/>
      <c r="Q387" s="26">
        <v>395450</v>
      </c>
      <c r="R387" s="26"/>
      <c r="S387" s="26">
        <v>0</v>
      </c>
      <c r="T387" s="26"/>
      <c r="U387" s="26">
        <v>0</v>
      </c>
      <c r="V387" s="26"/>
      <c r="W387" s="26">
        <f>106068+1067671+151117+1143373</f>
        <v>2468229</v>
      </c>
      <c r="X387" s="26"/>
      <c r="Y387" s="51">
        <f t="shared" si="32"/>
        <v>82374896</v>
      </c>
      <c r="Z387" s="26"/>
      <c r="AA387" s="26">
        <v>475881</v>
      </c>
      <c r="AB387" s="26"/>
      <c r="AC387" s="26">
        <v>0</v>
      </c>
      <c r="AD387" s="26"/>
      <c r="AE387" s="26">
        <v>0</v>
      </c>
      <c r="AF387" s="26"/>
      <c r="AG387" s="26">
        <v>0</v>
      </c>
      <c r="AH387" s="26"/>
      <c r="AI387" s="26">
        <v>0</v>
      </c>
      <c r="AJ387" s="26"/>
      <c r="AK387" s="26">
        <v>0</v>
      </c>
      <c r="AL387" s="26"/>
      <c r="AM387" s="26">
        <v>0</v>
      </c>
      <c r="AN387" s="26"/>
      <c r="AO387" s="51">
        <f t="shared" si="31"/>
        <v>475881</v>
      </c>
      <c r="AP387" s="26"/>
      <c r="AQ387" s="51">
        <f t="shared" si="33"/>
        <v>82850777</v>
      </c>
    </row>
    <row r="388" spans="1:43">
      <c r="A388" s="13" t="s">
        <v>382</v>
      </c>
      <c r="B388" s="13"/>
      <c r="C388" s="13" t="s">
        <v>30</v>
      </c>
      <c r="D388" s="13"/>
      <c r="E388" s="32">
        <v>47217</v>
      </c>
      <c r="F388" s="26"/>
      <c r="G388" s="26">
        <v>4630746</v>
      </c>
      <c r="H388" s="26"/>
      <c r="I388" s="26">
        <v>0</v>
      </c>
      <c r="J388" s="26"/>
      <c r="K388" s="26">
        <v>2792994</v>
      </c>
      <c r="L388" s="26"/>
      <c r="M388" s="26">
        <v>71327</v>
      </c>
      <c r="N388" s="26"/>
      <c r="O388" s="26">
        <v>266008</v>
      </c>
      <c r="P388" s="26"/>
      <c r="Q388" s="26">
        <v>92036</v>
      </c>
      <c r="R388" s="26"/>
      <c r="S388" s="26">
        <v>0</v>
      </c>
      <c r="T388" s="26"/>
      <c r="U388" s="26">
        <v>14282</v>
      </c>
      <c r="V388" s="26"/>
      <c r="W388" s="26">
        <f>112933+7819</f>
        <v>120752</v>
      </c>
      <c r="X388" s="26"/>
      <c r="Y388" s="51">
        <f t="shared" si="32"/>
        <v>7988145</v>
      </c>
      <c r="Z388" s="26"/>
      <c r="AA388" s="26">
        <v>74082</v>
      </c>
      <c r="AB388" s="26"/>
      <c r="AC388" s="26">
        <v>0</v>
      </c>
      <c r="AD388" s="26"/>
      <c r="AE388" s="26">
        <v>0</v>
      </c>
      <c r="AF388" s="26"/>
      <c r="AG388" s="26">
        <v>0</v>
      </c>
      <c r="AH388" s="26"/>
      <c r="AI388" s="26">
        <v>0</v>
      </c>
      <c r="AJ388" s="26"/>
      <c r="AK388" s="26">
        <v>0</v>
      </c>
      <c r="AL388" s="26"/>
      <c r="AM388" s="26">
        <v>0</v>
      </c>
      <c r="AN388" s="26"/>
      <c r="AO388" s="51">
        <f t="shared" si="31"/>
        <v>74082</v>
      </c>
      <c r="AP388" s="26"/>
      <c r="AQ388" s="51">
        <f t="shared" si="33"/>
        <v>8062227</v>
      </c>
    </row>
    <row r="389" spans="1:43">
      <c r="A389" s="13" t="s">
        <v>699</v>
      </c>
      <c r="B389" s="13"/>
      <c r="C389" s="13" t="s">
        <v>65</v>
      </c>
      <c r="D389" s="13"/>
      <c r="E389" s="32">
        <v>45542</v>
      </c>
      <c r="F389" s="26"/>
      <c r="G389" s="26">
        <v>2955329</v>
      </c>
      <c r="H389" s="26"/>
      <c r="I389" s="26">
        <v>0</v>
      </c>
      <c r="J389" s="26"/>
      <c r="K389" s="26">
        <f>6692868+1126626</f>
        <v>7819494</v>
      </c>
      <c r="L389" s="26"/>
      <c r="M389" s="26">
        <v>16747</v>
      </c>
      <c r="N389" s="26"/>
      <c r="O389" s="26">
        <v>656902</v>
      </c>
      <c r="P389" s="26"/>
      <c r="Q389" s="26">
        <v>153861</v>
      </c>
      <c r="R389" s="26"/>
      <c r="S389" s="26">
        <v>0</v>
      </c>
      <c r="T389" s="26"/>
      <c r="U389" s="26">
        <v>0</v>
      </c>
      <c r="V389" s="26"/>
      <c r="W389" s="26">
        <f>166470+25417+232585</f>
        <v>424472</v>
      </c>
      <c r="X389" s="26"/>
      <c r="Y389" s="51">
        <f t="shared" si="32"/>
        <v>12026805</v>
      </c>
      <c r="Z389" s="26"/>
      <c r="AA389" s="26">
        <v>0</v>
      </c>
      <c r="AB389" s="26"/>
      <c r="AC389" s="26">
        <v>0</v>
      </c>
      <c r="AD389" s="26"/>
      <c r="AE389" s="26">
        <v>0</v>
      </c>
      <c r="AF389" s="26"/>
      <c r="AG389" s="26">
        <v>0</v>
      </c>
      <c r="AH389" s="26"/>
      <c r="AI389" s="26">
        <v>0</v>
      </c>
      <c r="AJ389" s="26"/>
      <c r="AK389" s="26">
        <v>0</v>
      </c>
      <c r="AL389" s="26"/>
      <c r="AM389" s="26">
        <v>0</v>
      </c>
      <c r="AN389" s="26"/>
      <c r="AO389" s="51">
        <f t="shared" si="31"/>
        <v>0</v>
      </c>
      <c r="AP389" s="26"/>
      <c r="AQ389" s="51">
        <f t="shared" si="33"/>
        <v>12026805</v>
      </c>
    </row>
    <row r="390" spans="1:43">
      <c r="A390" s="13" t="s">
        <v>690</v>
      </c>
      <c r="B390" s="13"/>
      <c r="C390" s="13" t="s">
        <v>64</v>
      </c>
      <c r="D390" s="13"/>
      <c r="E390" s="32">
        <v>45567</v>
      </c>
      <c r="F390" s="26"/>
      <c r="G390" s="26">
        <v>3397552</v>
      </c>
      <c r="H390" s="26"/>
      <c r="I390" s="26">
        <v>0</v>
      </c>
      <c r="J390" s="26"/>
      <c r="K390" s="26">
        <v>9448739</v>
      </c>
      <c r="L390" s="26"/>
      <c r="M390" s="26">
        <v>28350</v>
      </c>
      <c r="N390" s="26"/>
      <c r="O390" s="26">
        <v>356463</v>
      </c>
      <c r="P390" s="26"/>
      <c r="Q390" s="26">
        <v>170514</v>
      </c>
      <c r="R390" s="26"/>
      <c r="S390" s="26">
        <v>0</v>
      </c>
      <c r="T390" s="26"/>
      <c r="U390" s="26">
        <v>6000</v>
      </c>
      <c r="V390" s="26"/>
      <c r="W390" s="26">
        <f>1400+180333+196197</f>
        <v>377930</v>
      </c>
      <c r="X390" s="26"/>
      <c r="Y390" s="51">
        <f t="shared" si="32"/>
        <v>13785548</v>
      </c>
      <c r="Z390" s="26"/>
      <c r="AA390" s="26">
        <v>32295</v>
      </c>
      <c r="AB390" s="26"/>
      <c r="AC390" s="26">
        <v>0</v>
      </c>
      <c r="AD390" s="26"/>
      <c r="AE390" s="26">
        <v>0</v>
      </c>
      <c r="AF390" s="26"/>
      <c r="AG390" s="26">
        <v>0</v>
      </c>
      <c r="AH390" s="26"/>
      <c r="AI390" s="26">
        <v>0</v>
      </c>
      <c r="AJ390" s="26"/>
      <c r="AK390" s="26">
        <v>0</v>
      </c>
      <c r="AL390" s="26"/>
      <c r="AM390" s="26">
        <v>0</v>
      </c>
      <c r="AN390" s="26"/>
      <c r="AO390" s="51">
        <f t="shared" si="31"/>
        <v>32295</v>
      </c>
      <c r="AP390" s="26"/>
      <c r="AQ390" s="51">
        <f t="shared" si="33"/>
        <v>13817843</v>
      </c>
    </row>
    <row r="391" spans="1:43">
      <c r="A391" s="13" t="s">
        <v>539</v>
      </c>
      <c r="B391" s="13"/>
      <c r="C391" s="13" t="s">
        <v>48</v>
      </c>
      <c r="D391" s="13"/>
      <c r="E391" s="32">
        <v>48637</v>
      </c>
      <c r="F391" s="26"/>
      <c r="G391" s="26">
        <v>1678060</v>
      </c>
      <c r="H391" s="26"/>
      <c r="I391" s="26">
        <v>1179732</v>
      </c>
      <c r="J391" s="26"/>
      <c r="K391" s="26">
        <f>7704290+276660</f>
        <v>7980950</v>
      </c>
      <c r="L391" s="26"/>
      <c r="M391" s="26">
        <v>365649</v>
      </c>
      <c r="N391" s="26"/>
      <c r="O391" s="26">
        <v>365301</v>
      </c>
      <c r="P391" s="26"/>
      <c r="Q391" s="26">
        <v>81981</v>
      </c>
      <c r="R391" s="26"/>
      <c r="S391" s="26">
        <v>0</v>
      </c>
      <c r="T391" s="26"/>
      <c r="U391" s="26">
        <v>20502</v>
      </c>
      <c r="V391" s="26"/>
      <c r="W391" s="26">
        <f>109579+31456+11243+521</f>
        <v>152799</v>
      </c>
      <c r="X391" s="26"/>
      <c r="Y391" s="51">
        <f t="shared" si="32"/>
        <v>11824974</v>
      </c>
      <c r="Z391" s="26"/>
      <c r="AA391" s="26">
        <v>0</v>
      </c>
      <c r="AB391" s="26"/>
      <c r="AC391" s="26">
        <v>0</v>
      </c>
      <c r="AD391" s="26"/>
      <c r="AE391" s="26">
        <v>0</v>
      </c>
      <c r="AF391" s="26"/>
      <c r="AG391" s="26">
        <v>0</v>
      </c>
      <c r="AH391" s="26"/>
      <c r="AI391" s="26">
        <v>0</v>
      </c>
      <c r="AJ391" s="26"/>
      <c r="AK391" s="26">
        <v>0</v>
      </c>
      <c r="AL391" s="26"/>
      <c r="AM391" s="26">
        <v>0</v>
      </c>
      <c r="AN391" s="26"/>
      <c r="AO391" s="51">
        <f t="shared" si="31"/>
        <v>0</v>
      </c>
      <c r="AP391" s="26"/>
      <c r="AQ391" s="51">
        <f t="shared" si="33"/>
        <v>11824974</v>
      </c>
    </row>
    <row r="392" spans="1:43">
      <c r="A392" s="13" t="s">
        <v>821</v>
      </c>
      <c r="B392" s="13"/>
      <c r="C392" s="13" t="s">
        <v>64</v>
      </c>
      <c r="D392" s="13"/>
      <c r="E392" s="32"/>
      <c r="F392" s="26"/>
      <c r="G392" s="26">
        <v>8454367</v>
      </c>
      <c r="H392" s="26"/>
      <c r="I392" s="26">
        <v>0</v>
      </c>
      <c r="J392" s="26"/>
      <c r="K392" s="26">
        <f>16996528+2309741</f>
        <v>19306269</v>
      </c>
      <c r="L392" s="26"/>
      <c r="M392" s="26">
        <v>73996</v>
      </c>
      <c r="N392" s="26"/>
      <c r="O392" s="26">
        <v>681394</v>
      </c>
      <c r="P392" s="26"/>
      <c r="Q392" s="26">
        <v>157431</v>
      </c>
      <c r="R392" s="26"/>
      <c r="S392" s="26">
        <v>0</v>
      </c>
      <c r="T392" s="26"/>
      <c r="U392" s="26">
        <v>13648</v>
      </c>
      <c r="V392" s="26"/>
      <c r="W392" s="26">
        <f>101628+397041+29723+24100+8035+435190</f>
        <v>995717</v>
      </c>
      <c r="X392" s="26"/>
      <c r="Y392" s="51">
        <f t="shared" si="32"/>
        <v>29682822</v>
      </c>
      <c r="Z392" s="26"/>
      <c r="AA392" s="26">
        <v>975596</v>
      </c>
      <c r="AB392" s="26"/>
      <c r="AC392" s="26">
        <v>0</v>
      </c>
      <c r="AD392" s="26"/>
      <c r="AE392" s="26">
        <v>18404241</v>
      </c>
      <c r="AF392" s="26"/>
      <c r="AG392" s="26">
        <v>0</v>
      </c>
      <c r="AH392" s="26"/>
      <c r="AI392" s="26">
        <v>0</v>
      </c>
      <c r="AJ392" s="26"/>
      <c r="AK392" s="26">
        <v>50</v>
      </c>
      <c r="AL392" s="26"/>
      <c r="AM392" s="26">
        <v>0</v>
      </c>
      <c r="AN392" s="26"/>
      <c r="AO392" s="51">
        <f t="shared" si="31"/>
        <v>19379887</v>
      </c>
      <c r="AP392" s="26"/>
      <c r="AQ392" s="51">
        <f t="shared" si="33"/>
        <v>49062709</v>
      </c>
    </row>
    <row r="393" spans="1:43">
      <c r="A393" s="13" t="s">
        <v>570</v>
      </c>
      <c r="B393" s="13"/>
      <c r="C393" s="13" t="s">
        <v>52</v>
      </c>
      <c r="D393" s="13"/>
      <c r="E393" s="32">
        <v>48900</v>
      </c>
      <c r="F393" s="26"/>
      <c r="G393" s="26">
        <v>2356471</v>
      </c>
      <c r="H393" s="26"/>
      <c r="I393" s="26">
        <v>0</v>
      </c>
      <c r="J393" s="26"/>
      <c r="K393" s="26">
        <v>7015698</v>
      </c>
      <c r="L393" s="26"/>
      <c r="M393" s="26">
        <v>33166</v>
      </c>
      <c r="N393" s="26"/>
      <c r="O393" s="26">
        <v>601498</v>
      </c>
      <c r="P393" s="26"/>
      <c r="Q393" s="26">
        <v>66629</v>
      </c>
      <c r="R393" s="26"/>
      <c r="S393" s="26">
        <v>0</v>
      </c>
      <c r="T393" s="26"/>
      <c r="U393" s="26">
        <v>8281</v>
      </c>
      <c r="V393" s="26"/>
      <c r="W393" s="26">
        <f>219830+2000+56506</f>
        <v>278336</v>
      </c>
      <c r="X393" s="26"/>
      <c r="Y393" s="51">
        <f t="shared" si="32"/>
        <v>10360079</v>
      </c>
      <c r="Z393" s="26"/>
      <c r="AA393" s="26">
        <v>278298</v>
      </c>
      <c r="AB393" s="26"/>
      <c r="AC393" s="26">
        <v>0</v>
      </c>
      <c r="AD393" s="26"/>
      <c r="AE393" s="26">
        <v>0</v>
      </c>
      <c r="AF393" s="26"/>
      <c r="AG393" s="26">
        <v>0</v>
      </c>
      <c r="AH393" s="26"/>
      <c r="AI393" s="26">
        <v>0</v>
      </c>
      <c r="AJ393" s="26"/>
      <c r="AK393" s="26">
        <v>1525</v>
      </c>
      <c r="AL393" s="26"/>
      <c r="AM393" s="26">
        <v>0</v>
      </c>
      <c r="AN393" s="26"/>
      <c r="AO393" s="51">
        <f t="shared" si="31"/>
        <v>279823</v>
      </c>
      <c r="AP393" s="26"/>
      <c r="AQ393" s="51">
        <f t="shared" si="33"/>
        <v>10639902</v>
      </c>
    </row>
    <row r="394" spans="1:43">
      <c r="A394" s="13" t="s">
        <v>668</v>
      </c>
      <c r="B394" s="13"/>
      <c r="C394" s="13" t="s">
        <v>63</v>
      </c>
      <c r="D394" s="13"/>
      <c r="E394" s="32">
        <v>50047</v>
      </c>
      <c r="F394" s="26"/>
      <c r="G394" s="26">
        <v>29667748</v>
      </c>
      <c r="H394" s="26"/>
      <c r="I394" s="26">
        <v>0</v>
      </c>
      <c r="J394" s="26"/>
      <c r="K394" s="26">
        <v>13987982</v>
      </c>
      <c r="L394" s="26"/>
      <c r="M394" s="26">
        <v>425552</v>
      </c>
      <c r="N394" s="26"/>
      <c r="O394" s="26">
        <v>232712</v>
      </c>
      <c r="P394" s="26"/>
      <c r="Q394" s="26">
        <v>805725</v>
      </c>
      <c r="R394" s="26"/>
      <c r="S394" s="26">
        <v>0</v>
      </c>
      <c r="T394" s="26"/>
      <c r="U394" s="26">
        <v>51767</v>
      </c>
      <c r="V394" s="26"/>
      <c r="W394" s="26">
        <f>978924+126771+77335</f>
        <v>1183030</v>
      </c>
      <c r="X394" s="26"/>
      <c r="Y394" s="51">
        <f t="shared" si="32"/>
        <v>46354516</v>
      </c>
      <c r="Z394" s="26"/>
      <c r="AA394" s="26">
        <v>37860</v>
      </c>
      <c r="AB394" s="26"/>
      <c r="AC394" s="26">
        <v>0</v>
      </c>
      <c r="AD394" s="26"/>
      <c r="AE394" s="26">
        <f>5999998+226735</f>
        <v>6226733</v>
      </c>
      <c r="AF394" s="26"/>
      <c r="AG394" s="26">
        <v>0</v>
      </c>
      <c r="AH394" s="26"/>
      <c r="AI394" s="26">
        <v>0</v>
      </c>
      <c r="AJ394" s="26"/>
      <c r="AK394" s="26">
        <v>173988</v>
      </c>
      <c r="AL394" s="26"/>
      <c r="AM394" s="26">
        <v>0</v>
      </c>
      <c r="AN394" s="26"/>
      <c r="AO394" s="51">
        <f t="shared" si="31"/>
        <v>6438581</v>
      </c>
      <c r="AP394" s="26"/>
      <c r="AQ394" s="51">
        <f t="shared" si="33"/>
        <v>52793097</v>
      </c>
    </row>
    <row r="395" spans="1:43">
      <c r="A395" s="13" t="s">
        <v>735</v>
      </c>
      <c r="B395" s="13"/>
      <c r="C395" s="13" t="s">
        <v>72</v>
      </c>
      <c r="D395" s="13"/>
      <c r="E395" s="32">
        <v>50708</v>
      </c>
      <c r="F395" s="26"/>
      <c r="G395" s="26">
        <v>2756091</v>
      </c>
      <c r="H395" s="26"/>
      <c r="I395" s="26">
        <v>0</v>
      </c>
      <c r="J395" s="26"/>
      <c r="K395" s="26">
        <v>4962925</v>
      </c>
      <c r="L395" s="26"/>
      <c r="M395" s="26">
        <v>28053</v>
      </c>
      <c r="N395" s="26"/>
      <c r="O395" s="26">
        <v>154731</v>
      </c>
      <c r="P395" s="26"/>
      <c r="Q395" s="26">
        <v>0</v>
      </c>
      <c r="R395" s="26"/>
      <c r="S395" s="26">
        <v>0</v>
      </c>
      <c r="T395" s="26"/>
      <c r="U395" s="26">
        <v>0</v>
      </c>
      <c r="V395" s="26"/>
      <c r="W395" s="26">
        <f>142801+157862</f>
        <v>300663</v>
      </c>
      <c r="X395" s="26"/>
      <c r="Y395" s="51">
        <f t="shared" si="32"/>
        <v>8202463</v>
      </c>
      <c r="Z395" s="26"/>
      <c r="AA395" s="26">
        <v>807861</v>
      </c>
      <c r="AB395" s="26"/>
      <c r="AC395" s="26">
        <v>0</v>
      </c>
      <c r="AD395" s="26"/>
      <c r="AE395" s="26">
        <v>0</v>
      </c>
      <c r="AF395" s="26"/>
      <c r="AG395" s="26">
        <v>0</v>
      </c>
      <c r="AH395" s="26"/>
      <c r="AI395" s="26">
        <v>0</v>
      </c>
      <c r="AJ395" s="26"/>
      <c r="AK395" s="26">
        <v>0</v>
      </c>
      <c r="AL395" s="26"/>
      <c r="AM395" s="26">
        <v>0</v>
      </c>
      <c r="AN395" s="26"/>
      <c r="AO395" s="51">
        <f t="shared" si="31"/>
        <v>807861</v>
      </c>
      <c r="AP395" s="26"/>
      <c r="AQ395" s="51">
        <f t="shared" si="33"/>
        <v>9010324</v>
      </c>
    </row>
    <row r="396" spans="1:43" hidden="1">
      <c r="A396" s="13" t="s">
        <v>574</v>
      </c>
      <c r="B396" s="13"/>
      <c r="C396" s="13" t="s">
        <v>53</v>
      </c>
      <c r="D396" s="13"/>
      <c r="E396" s="32">
        <v>48967</v>
      </c>
      <c r="F396" s="26"/>
      <c r="G396" s="26"/>
      <c r="H396" s="26"/>
      <c r="I396" s="26">
        <v>0</v>
      </c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51">
        <f t="shared" si="32"/>
        <v>0</v>
      </c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>
        <v>0</v>
      </c>
      <c r="AN396" s="26"/>
      <c r="AO396" s="51">
        <f t="shared" si="31"/>
        <v>0</v>
      </c>
      <c r="AP396" s="26"/>
      <c r="AQ396" s="51">
        <f t="shared" si="33"/>
        <v>0</v>
      </c>
    </row>
    <row r="397" spans="1:43">
      <c r="A397" s="13" t="s">
        <v>658</v>
      </c>
      <c r="B397" s="13"/>
      <c r="C397" s="13" t="s">
        <v>62</v>
      </c>
      <c r="D397" s="13"/>
      <c r="E397" s="32">
        <v>44503</v>
      </c>
      <c r="F397" s="26"/>
      <c r="G397" s="26">
        <v>22072445</v>
      </c>
      <c r="H397" s="26"/>
      <c r="I397" s="26">
        <v>0</v>
      </c>
      <c r="J397" s="26"/>
      <c r="K397" s="26">
        <f>19112986+1667463+143792</f>
        <v>20924241</v>
      </c>
      <c r="L397" s="26"/>
      <c r="M397" s="26">
        <v>67440</v>
      </c>
      <c r="N397" s="26"/>
      <c r="O397" s="26">
        <v>410734</v>
      </c>
      <c r="P397" s="26"/>
      <c r="Q397" s="26">
        <v>501756</v>
      </c>
      <c r="R397" s="26"/>
      <c r="S397" s="26">
        <v>0</v>
      </c>
      <c r="T397" s="26"/>
      <c r="U397" s="26">
        <v>23395</v>
      </c>
      <c r="V397" s="26"/>
      <c r="W397" s="26">
        <f>1221950+508753+135511+53020+204539</f>
        <v>2123773</v>
      </c>
      <c r="X397" s="26"/>
      <c r="Y397" s="51">
        <f t="shared" si="32"/>
        <v>46123784</v>
      </c>
      <c r="Z397" s="26"/>
      <c r="AA397" s="26">
        <v>155877</v>
      </c>
      <c r="AB397" s="26"/>
      <c r="AC397" s="26">
        <v>0</v>
      </c>
      <c r="AD397" s="26"/>
      <c r="AE397" s="26">
        <v>0</v>
      </c>
      <c r="AF397" s="26"/>
      <c r="AG397" s="26">
        <v>0</v>
      </c>
      <c r="AH397" s="26"/>
      <c r="AI397" s="26">
        <v>0</v>
      </c>
      <c r="AJ397" s="26"/>
      <c r="AK397" s="26">
        <v>0</v>
      </c>
      <c r="AL397" s="26"/>
      <c r="AM397" s="26">
        <v>0</v>
      </c>
      <c r="AN397" s="26"/>
      <c r="AO397" s="51">
        <f t="shared" si="31"/>
        <v>155877</v>
      </c>
      <c r="AP397" s="26"/>
      <c r="AQ397" s="51">
        <f t="shared" si="33"/>
        <v>46279661</v>
      </c>
    </row>
    <row r="398" spans="1:43" hidden="1">
      <c r="A398" s="13" t="s">
        <v>722</v>
      </c>
      <c r="B398" s="13"/>
      <c r="C398" s="13" t="s">
        <v>727</v>
      </c>
      <c r="D398" s="13"/>
      <c r="E398" s="32">
        <v>50641</v>
      </c>
      <c r="F398" s="26"/>
      <c r="G398" s="26"/>
      <c r="H398" s="26"/>
      <c r="I398" s="26">
        <v>0</v>
      </c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51">
        <f t="shared" si="32"/>
        <v>0</v>
      </c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>
        <v>0</v>
      </c>
      <c r="AN398" s="26"/>
      <c r="AO398" s="51">
        <f t="shared" si="31"/>
        <v>0</v>
      </c>
      <c r="AP398" s="26"/>
      <c r="AQ398" s="51">
        <f t="shared" si="33"/>
        <v>0</v>
      </c>
    </row>
    <row r="399" spans="1:43">
      <c r="A399" s="13" t="s">
        <v>401</v>
      </c>
      <c r="B399" s="13"/>
      <c r="C399" s="13" t="s">
        <v>32</v>
      </c>
      <c r="D399" s="13"/>
      <c r="E399" s="32">
        <v>44511</v>
      </c>
      <c r="F399" s="26"/>
      <c r="G399" s="26">
        <v>4823471</v>
      </c>
      <c r="H399" s="26"/>
      <c r="I399" s="26">
        <v>0</v>
      </c>
      <c r="J399" s="26"/>
      <c r="K399" s="26">
        <v>23034376</v>
      </c>
      <c r="L399" s="26"/>
      <c r="M399" s="26">
        <v>397997</v>
      </c>
      <c r="N399" s="26"/>
      <c r="O399" s="26">
        <v>144811</v>
      </c>
      <c r="P399" s="26"/>
      <c r="Q399" s="26">
        <v>51931</v>
      </c>
      <c r="R399" s="26"/>
      <c r="S399" s="26">
        <v>0</v>
      </c>
      <c r="T399" s="26"/>
      <c r="U399" s="26">
        <v>0</v>
      </c>
      <c r="V399" s="26"/>
      <c r="W399" s="26">
        <f>342189+4953</f>
        <v>347142</v>
      </c>
      <c r="X399" s="26"/>
      <c r="Y399" s="51">
        <f t="shared" si="32"/>
        <v>28799728</v>
      </c>
      <c r="Z399" s="26"/>
      <c r="AA399" s="26">
        <v>30000</v>
      </c>
      <c r="AB399" s="26"/>
      <c r="AC399" s="26"/>
      <c r="AD399" s="26"/>
      <c r="AE399" s="26">
        <v>0</v>
      </c>
      <c r="AF399" s="26"/>
      <c r="AG399" s="26"/>
      <c r="AH399" s="26"/>
      <c r="AI399" s="26"/>
      <c r="AJ399" s="26"/>
      <c r="AK399" s="26">
        <v>0</v>
      </c>
      <c r="AL399" s="26"/>
      <c r="AM399" s="26">
        <v>0</v>
      </c>
      <c r="AN399" s="26"/>
      <c r="AO399" s="51">
        <f t="shared" si="31"/>
        <v>30000</v>
      </c>
      <c r="AP399" s="26"/>
      <c r="AQ399" s="51">
        <f t="shared" si="33"/>
        <v>28829728</v>
      </c>
    </row>
    <row r="400" spans="1:43">
      <c r="A400" s="13" t="s">
        <v>479</v>
      </c>
      <c r="B400" s="13"/>
      <c r="C400" s="13" t="s">
        <v>42</v>
      </c>
      <c r="D400" s="13"/>
      <c r="E400" s="32">
        <v>48025</v>
      </c>
      <c r="F400" s="26"/>
      <c r="G400" s="26">
        <v>6255047</v>
      </c>
      <c r="H400" s="26"/>
      <c r="I400" s="26">
        <v>0</v>
      </c>
      <c r="J400" s="26"/>
      <c r="K400" s="26">
        <f>26932+9876116+1112237</f>
        <v>11015285</v>
      </c>
      <c r="L400" s="26"/>
      <c r="M400" s="26">
        <f>116711-43152</f>
        <v>73559</v>
      </c>
      <c r="N400" s="26"/>
      <c r="O400" s="26">
        <v>549920</v>
      </c>
      <c r="P400" s="26"/>
      <c r="Q400" s="26">
        <v>211464</v>
      </c>
      <c r="R400" s="26"/>
      <c r="S400" s="26">
        <v>0</v>
      </c>
      <c r="T400" s="26"/>
      <c r="U400" s="26">
        <v>0</v>
      </c>
      <c r="V400" s="26"/>
      <c r="W400" s="26">
        <f>351284+75261+239695</f>
        <v>666240</v>
      </c>
      <c r="X400" s="26"/>
      <c r="Y400" s="51">
        <f t="shared" si="32"/>
        <v>18771515</v>
      </c>
      <c r="Z400" s="26"/>
      <c r="AA400" s="26">
        <v>227454</v>
      </c>
      <c r="AB400" s="26"/>
      <c r="AC400" s="26">
        <v>0</v>
      </c>
      <c r="AD400" s="26"/>
      <c r="AE400" s="26">
        <v>0</v>
      </c>
      <c r="AF400" s="26"/>
      <c r="AG400" s="26">
        <v>0</v>
      </c>
      <c r="AH400" s="26"/>
      <c r="AI400" s="26">
        <v>0</v>
      </c>
      <c r="AJ400" s="26"/>
      <c r="AK400" s="26">
        <v>19171</v>
      </c>
      <c r="AL400" s="26"/>
      <c r="AM400" s="26">
        <v>0</v>
      </c>
      <c r="AN400" s="26"/>
      <c r="AO400" s="51">
        <f t="shared" si="31"/>
        <v>246625</v>
      </c>
      <c r="AP400" s="26"/>
      <c r="AQ400" s="51">
        <f t="shared" si="33"/>
        <v>19018140</v>
      </c>
    </row>
    <row r="401" spans="1:43">
      <c r="A401" s="13" t="s">
        <v>313</v>
      </c>
      <c r="B401" s="13"/>
      <c r="C401" s="13" t="s">
        <v>20</v>
      </c>
      <c r="D401" s="13"/>
      <c r="E401" s="32">
        <v>44529</v>
      </c>
      <c r="F401" s="26"/>
      <c r="G401" s="26">
        <v>35459539</v>
      </c>
      <c r="H401" s="26"/>
      <c r="I401" s="26">
        <v>0</v>
      </c>
      <c r="J401" s="26"/>
      <c r="K401" s="26">
        <v>16163121</v>
      </c>
      <c r="L401" s="26"/>
      <c r="M401" s="26">
        <v>308210</v>
      </c>
      <c r="N401" s="26"/>
      <c r="O401" s="26">
        <v>690452</v>
      </c>
      <c r="P401" s="26"/>
      <c r="Q401" s="26">
        <v>414674</v>
      </c>
      <c r="R401" s="26"/>
      <c r="S401" s="26">
        <v>0</v>
      </c>
      <c r="T401" s="26"/>
      <c r="U401" s="26">
        <v>0</v>
      </c>
      <c r="V401" s="26"/>
      <c r="W401" s="26">
        <f>760376+621315</f>
        <v>1381691</v>
      </c>
      <c r="X401" s="26"/>
      <c r="Y401" s="51">
        <f t="shared" ref="Y401:Y405" si="34">SUM(G401:W401)</f>
        <v>54417687</v>
      </c>
      <c r="Z401" s="26"/>
      <c r="AA401" s="26">
        <v>260000</v>
      </c>
      <c r="AB401" s="26"/>
      <c r="AC401" s="26">
        <v>0</v>
      </c>
      <c r="AD401" s="26"/>
      <c r="AE401" s="26">
        <v>0</v>
      </c>
      <c r="AF401" s="26"/>
      <c r="AG401" s="26">
        <v>0</v>
      </c>
      <c r="AH401" s="26"/>
      <c r="AI401" s="26">
        <v>0</v>
      </c>
      <c r="AJ401" s="26"/>
      <c r="AK401" s="26">
        <v>0</v>
      </c>
      <c r="AL401" s="26"/>
      <c r="AM401" s="26">
        <v>0</v>
      </c>
      <c r="AN401" s="26"/>
      <c r="AO401" s="51">
        <f t="shared" si="31"/>
        <v>260000</v>
      </c>
      <c r="AP401" s="26"/>
      <c r="AQ401" s="51">
        <f t="shared" si="33"/>
        <v>54677687</v>
      </c>
    </row>
    <row r="402" spans="1:43">
      <c r="A402" s="13" t="s">
        <v>492</v>
      </c>
      <c r="B402" s="13"/>
      <c r="C402" s="13" t="s">
        <v>44</v>
      </c>
      <c r="D402" s="13"/>
      <c r="E402" s="32">
        <v>44537</v>
      </c>
      <c r="F402" s="26"/>
      <c r="G402" s="26">
        <v>16596360</v>
      </c>
      <c r="H402" s="26"/>
      <c r="I402" s="26">
        <v>0</v>
      </c>
      <c r="J402" s="26"/>
      <c r="K402" s="26">
        <v>14171390</v>
      </c>
      <c r="L402" s="26"/>
      <c r="M402" s="26">
        <v>117442</v>
      </c>
      <c r="N402" s="26"/>
      <c r="O402" s="26">
        <v>468675</v>
      </c>
      <c r="P402" s="26"/>
      <c r="Q402" s="26">
        <v>250520</v>
      </c>
      <c r="R402" s="26"/>
      <c r="S402" s="26">
        <v>0</v>
      </c>
      <c r="T402" s="26"/>
      <c r="U402" s="26">
        <v>0</v>
      </c>
      <c r="V402" s="26"/>
      <c r="W402" s="26">
        <f>442570+780316</f>
        <v>1222886</v>
      </c>
      <c r="X402" s="26"/>
      <c r="Y402" s="51">
        <f t="shared" si="34"/>
        <v>32827273</v>
      </c>
      <c r="Z402" s="26"/>
      <c r="AA402" s="26">
        <v>107612</v>
      </c>
      <c r="AB402" s="26"/>
      <c r="AC402" s="26">
        <v>0</v>
      </c>
      <c r="AD402" s="26"/>
      <c r="AE402" s="26">
        <v>0</v>
      </c>
      <c r="AF402" s="26"/>
      <c r="AG402" s="26">
        <v>0</v>
      </c>
      <c r="AH402" s="26"/>
      <c r="AI402" s="26">
        <v>0</v>
      </c>
      <c r="AJ402" s="26"/>
      <c r="AK402" s="26">
        <v>0</v>
      </c>
      <c r="AL402" s="26"/>
      <c r="AM402" s="26">
        <v>0</v>
      </c>
      <c r="AN402" s="26"/>
      <c r="AO402" s="51">
        <f t="shared" si="31"/>
        <v>107612</v>
      </c>
      <c r="AP402" s="26"/>
      <c r="AQ402" s="51">
        <f t="shared" si="33"/>
        <v>32934885</v>
      </c>
    </row>
    <row r="403" spans="1:43">
      <c r="A403" s="13" t="s">
        <v>314</v>
      </c>
      <c r="B403" s="13"/>
      <c r="C403" s="13" t="s">
        <v>20</v>
      </c>
      <c r="D403" s="13"/>
      <c r="E403" s="32">
        <v>44545</v>
      </c>
      <c r="F403" s="26"/>
      <c r="G403" s="26">
        <v>33945326</v>
      </c>
      <c r="H403" s="26"/>
      <c r="I403" s="26">
        <v>0</v>
      </c>
      <c r="J403" s="26"/>
      <c r="K403" s="26">
        <v>13459733</v>
      </c>
      <c r="L403" s="26"/>
      <c r="M403" s="26">
        <v>481638</v>
      </c>
      <c r="N403" s="26"/>
      <c r="O403" s="26">
        <v>305695</v>
      </c>
      <c r="P403" s="26"/>
      <c r="Q403" s="26">
        <v>397324</v>
      </c>
      <c r="R403" s="26"/>
      <c r="S403" s="26">
        <v>0</v>
      </c>
      <c r="T403" s="26"/>
      <c r="U403" s="26">
        <v>116798</v>
      </c>
      <c r="V403" s="26"/>
      <c r="W403" s="26">
        <f>1175407+53711+195241</f>
        <v>1424359</v>
      </c>
      <c r="X403" s="26"/>
      <c r="Y403" s="51">
        <f t="shared" si="34"/>
        <v>50130873</v>
      </c>
      <c r="Z403" s="26"/>
      <c r="AA403" s="26">
        <v>225000</v>
      </c>
      <c r="AB403" s="26"/>
      <c r="AC403" s="26">
        <v>0</v>
      </c>
      <c r="AD403" s="26"/>
      <c r="AE403" s="26">
        <v>0</v>
      </c>
      <c r="AF403" s="26"/>
      <c r="AG403" s="26">
        <v>0</v>
      </c>
      <c r="AH403" s="26"/>
      <c r="AI403" s="26">
        <v>0</v>
      </c>
      <c r="AJ403" s="26"/>
      <c r="AK403" s="26">
        <v>4755</v>
      </c>
      <c r="AL403" s="26"/>
      <c r="AM403" s="26">
        <v>0</v>
      </c>
      <c r="AN403" s="26"/>
      <c r="AO403" s="51">
        <f t="shared" si="31"/>
        <v>229755</v>
      </c>
      <c r="AP403" s="26"/>
      <c r="AQ403" s="51">
        <f t="shared" si="33"/>
        <v>50360628</v>
      </c>
    </row>
    <row r="404" spans="1:43">
      <c r="A404" s="13" t="s">
        <v>704</v>
      </c>
      <c r="B404" s="13"/>
      <c r="C404" s="13" t="s">
        <v>66</v>
      </c>
      <c r="D404" s="13"/>
      <c r="E404" s="32">
        <v>50336</v>
      </c>
      <c r="F404" s="26"/>
      <c r="G404" s="26">
        <v>4756359</v>
      </c>
      <c r="H404" s="26"/>
      <c r="I404" s="26">
        <v>1654250</v>
      </c>
      <c r="J404" s="26"/>
      <c r="K404" s="26">
        <v>11729472</v>
      </c>
      <c r="L404" s="26"/>
      <c r="M404" s="26">
        <v>927409</v>
      </c>
      <c r="N404" s="26"/>
      <c r="O404" s="26">
        <v>386132</v>
      </c>
      <c r="P404" s="26"/>
      <c r="Q404" s="26">
        <v>112977</v>
      </c>
      <c r="R404" s="26"/>
      <c r="S404" s="26">
        <v>0</v>
      </c>
      <c r="T404" s="26"/>
      <c r="U404" s="26">
        <v>9838</v>
      </c>
      <c r="V404" s="26"/>
      <c r="W404" s="26">
        <f>341671+138376</f>
        <v>480047</v>
      </c>
      <c r="X404" s="26"/>
      <c r="Y404" s="51">
        <f t="shared" si="34"/>
        <v>20056484</v>
      </c>
      <c r="Z404" s="26"/>
      <c r="AA404" s="26">
        <v>300000</v>
      </c>
      <c r="AB404" s="26"/>
      <c r="AC404" s="26">
        <v>0</v>
      </c>
      <c r="AD404" s="26"/>
      <c r="AE404" s="26">
        <v>0</v>
      </c>
      <c r="AF404" s="26"/>
      <c r="AG404" s="26">
        <v>0</v>
      </c>
      <c r="AH404" s="26"/>
      <c r="AI404" s="26">
        <v>0</v>
      </c>
      <c r="AJ404" s="26"/>
      <c r="AK404" s="26">
        <v>18037</v>
      </c>
      <c r="AL404" s="26"/>
      <c r="AM404" s="26">
        <v>0</v>
      </c>
      <c r="AN404" s="26"/>
      <c r="AO404" s="51">
        <f t="shared" si="31"/>
        <v>318037</v>
      </c>
      <c r="AP404" s="26"/>
      <c r="AQ404" s="51">
        <f t="shared" si="33"/>
        <v>20374521</v>
      </c>
    </row>
    <row r="405" spans="1:43">
      <c r="A405" s="13" t="s">
        <v>262</v>
      </c>
      <c r="B405" s="13"/>
      <c r="C405" s="13" t="s">
        <v>17</v>
      </c>
      <c r="D405" s="13"/>
      <c r="E405" s="32">
        <v>46250</v>
      </c>
      <c r="F405" s="26"/>
      <c r="G405" s="26">
        <v>12903009</v>
      </c>
      <c r="H405" s="26"/>
      <c r="I405" s="26">
        <v>0</v>
      </c>
      <c r="J405" s="26"/>
      <c r="K405" s="26">
        <v>17670176</v>
      </c>
      <c r="L405" s="26"/>
      <c r="M405" s="26">
        <v>189149</v>
      </c>
      <c r="N405" s="26"/>
      <c r="O405" s="26">
        <v>1836500</v>
      </c>
      <c r="P405" s="26"/>
      <c r="Q405" s="26">
        <v>226241</v>
      </c>
      <c r="R405" s="26"/>
      <c r="S405" s="26">
        <v>0</v>
      </c>
      <c r="T405" s="26"/>
      <c r="U405" s="26">
        <v>25638</v>
      </c>
      <c r="V405" s="26"/>
      <c r="W405" s="26">
        <f>916962+40146+560</f>
        <v>957668</v>
      </c>
      <c r="X405" s="26"/>
      <c r="Y405" s="51">
        <f t="shared" si="34"/>
        <v>33808381</v>
      </c>
      <c r="Z405" s="26"/>
      <c r="AA405" s="26">
        <v>33149</v>
      </c>
      <c r="AB405" s="26"/>
      <c r="AC405" s="26">
        <v>0</v>
      </c>
      <c r="AD405" s="26"/>
      <c r="AE405" s="26">
        <v>0</v>
      </c>
      <c r="AF405" s="26"/>
      <c r="AG405" s="26">
        <v>0</v>
      </c>
      <c r="AH405" s="26"/>
      <c r="AI405" s="26"/>
      <c r="AJ405" s="26"/>
      <c r="AK405" s="26">
        <f>4245+79527</f>
        <v>83772</v>
      </c>
      <c r="AL405" s="26"/>
      <c r="AM405" s="26">
        <v>0</v>
      </c>
      <c r="AN405" s="26"/>
      <c r="AO405" s="51">
        <f>AK405+AE405+AA405+AI405</f>
        <v>116921</v>
      </c>
      <c r="AP405" s="26"/>
      <c r="AQ405" s="51">
        <f t="shared" si="33"/>
        <v>33925302</v>
      </c>
    </row>
    <row r="406" spans="1:43" s="35" customFormat="1" hidden="1">
      <c r="A406" s="34" t="s">
        <v>262</v>
      </c>
      <c r="B406" s="34"/>
      <c r="C406" s="34" t="s">
        <v>22</v>
      </c>
      <c r="D406" s="34"/>
      <c r="E406" s="34">
        <v>46722</v>
      </c>
      <c r="F406" s="43"/>
      <c r="G406" s="26"/>
      <c r="H406" s="26"/>
      <c r="I406" s="26">
        <v>0</v>
      </c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51">
        <f t="shared" si="30"/>
        <v>0</v>
      </c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>
        <v>0</v>
      </c>
      <c r="AN406" s="26"/>
      <c r="AO406" s="51">
        <f>AK406+AE406+AA406</f>
        <v>0</v>
      </c>
      <c r="AP406" s="26"/>
      <c r="AQ406" s="51">
        <f t="shared" si="33"/>
        <v>0</v>
      </c>
    </row>
    <row r="407" spans="1:43">
      <c r="A407" s="13" t="s">
        <v>553</v>
      </c>
      <c r="B407" s="13"/>
      <c r="C407" s="13" t="s">
        <v>50</v>
      </c>
      <c r="D407" s="13"/>
      <c r="E407" s="32">
        <v>48728</v>
      </c>
      <c r="F407" s="26"/>
      <c r="G407" s="26">
        <v>23725239</v>
      </c>
      <c r="H407" s="26"/>
      <c r="I407" s="26">
        <v>0</v>
      </c>
      <c r="J407" s="26"/>
      <c r="K407" s="26">
        <v>28192241</v>
      </c>
      <c r="L407" s="26"/>
      <c r="M407" s="26">
        <v>119426</v>
      </c>
      <c r="N407" s="26"/>
      <c r="O407" s="26">
        <v>663362</v>
      </c>
      <c r="P407" s="26"/>
      <c r="Q407" s="26">
        <v>479894</v>
      </c>
      <c r="R407" s="26"/>
      <c r="S407" s="26">
        <v>0</v>
      </c>
      <c r="T407" s="26"/>
      <c r="U407" s="26">
        <v>0</v>
      </c>
      <c r="V407" s="26"/>
      <c r="W407" s="26">
        <f>264130+2798089</f>
        <v>3062219</v>
      </c>
      <c r="X407" s="26"/>
      <c r="Y407" s="51">
        <f t="shared" si="30"/>
        <v>56242381</v>
      </c>
      <c r="Z407" s="26"/>
      <c r="AA407" s="26">
        <v>34000</v>
      </c>
      <c r="AB407" s="26"/>
      <c r="AC407" s="26">
        <v>0</v>
      </c>
      <c r="AD407" s="26"/>
      <c r="AE407" s="26">
        <v>0</v>
      </c>
      <c r="AF407" s="26"/>
      <c r="AG407" s="26">
        <v>0</v>
      </c>
      <c r="AH407" s="26"/>
      <c r="AI407" s="26"/>
      <c r="AJ407" s="26"/>
      <c r="AK407" s="26">
        <v>153300</v>
      </c>
      <c r="AL407" s="26"/>
      <c r="AM407" s="26">
        <v>0</v>
      </c>
      <c r="AN407" s="26"/>
      <c r="AO407" s="51">
        <f>AI407+AE407+AA407</f>
        <v>34000</v>
      </c>
      <c r="AP407" s="26"/>
      <c r="AQ407" s="51">
        <f t="shared" si="33"/>
        <v>56276381</v>
      </c>
    </row>
    <row r="408" spans="1:43">
      <c r="A408" s="13" t="s">
        <v>562</v>
      </c>
      <c r="B408" s="13"/>
      <c r="C408" s="13" t="s">
        <v>78</v>
      </c>
      <c r="D408" s="13"/>
      <c r="E408" s="32">
        <v>48819</v>
      </c>
      <c r="F408" s="26"/>
      <c r="G408" s="26">
        <v>3363163</v>
      </c>
      <c r="H408" s="26"/>
      <c r="I408" s="26">
        <v>1367847</v>
      </c>
      <c r="J408" s="26"/>
      <c r="K408" s="26">
        <f>7678017+867478</f>
        <v>8545495</v>
      </c>
      <c r="L408" s="26"/>
      <c r="M408" s="26">
        <v>296417</v>
      </c>
      <c r="N408" s="26"/>
      <c r="O408" s="26">
        <v>688486</v>
      </c>
      <c r="P408" s="26"/>
      <c r="Q408" s="26">
        <v>89594</v>
      </c>
      <c r="R408" s="26"/>
      <c r="S408" s="26">
        <v>0</v>
      </c>
      <c r="T408" s="26"/>
      <c r="U408" s="26">
        <v>0</v>
      </c>
      <c r="V408" s="26"/>
      <c r="W408" s="26">
        <f>27711+264+31155+238531</f>
        <v>297661</v>
      </c>
      <c r="X408" s="26"/>
      <c r="Y408" s="51">
        <f t="shared" si="30"/>
        <v>14648663</v>
      </c>
      <c r="Z408" s="26"/>
      <c r="AA408" s="26">
        <v>0</v>
      </c>
      <c r="AB408" s="26"/>
      <c r="AC408" s="26">
        <v>0</v>
      </c>
      <c r="AD408" s="26"/>
      <c r="AE408" s="26">
        <v>14500000</v>
      </c>
      <c r="AF408" s="26"/>
      <c r="AG408" s="26"/>
      <c r="AH408" s="26"/>
      <c r="AI408" s="26">
        <v>0</v>
      </c>
      <c r="AJ408" s="26"/>
      <c r="AK408" s="26">
        <v>407494</v>
      </c>
      <c r="AL408" s="26"/>
      <c r="AM408" s="26">
        <v>0</v>
      </c>
      <c r="AN408" s="26"/>
      <c r="AO408" s="51">
        <f>AG408+AE408+AA408</f>
        <v>14500000</v>
      </c>
      <c r="AP408" s="26"/>
      <c r="AQ408" s="51">
        <f t="shared" si="33"/>
        <v>29148663</v>
      </c>
    </row>
    <row r="409" spans="1:43">
      <c r="A409" s="13" t="s">
        <v>480</v>
      </c>
      <c r="B409" s="13"/>
      <c r="C409" s="12" t="s">
        <v>50</v>
      </c>
      <c r="D409" s="13"/>
      <c r="E409" s="32">
        <v>48033</v>
      </c>
      <c r="F409" s="26"/>
      <c r="G409" s="26">
        <v>7689040</v>
      </c>
      <c r="H409" s="26"/>
      <c r="I409" s="26">
        <v>0</v>
      </c>
      <c r="J409" s="26"/>
      <c r="K409" s="26">
        <v>13558174</v>
      </c>
      <c r="L409" s="26"/>
      <c r="M409" s="26">
        <v>229908</v>
      </c>
      <c r="N409" s="26"/>
      <c r="O409" s="26">
        <v>815034</v>
      </c>
      <c r="P409" s="26"/>
      <c r="Q409" s="26">
        <v>95162</v>
      </c>
      <c r="R409" s="26"/>
      <c r="S409" s="26">
        <v>0</v>
      </c>
      <c r="T409" s="26"/>
      <c r="U409" s="26">
        <v>25986</v>
      </c>
      <c r="V409" s="26"/>
      <c r="W409" s="26">
        <f>67691+87730+203333</f>
        <v>358754</v>
      </c>
      <c r="X409" s="26"/>
      <c r="Y409" s="51">
        <f t="shared" si="30"/>
        <v>22772058</v>
      </c>
      <c r="Z409" s="26"/>
      <c r="AA409" s="26">
        <v>0</v>
      </c>
      <c r="AB409" s="26"/>
      <c r="AC409" s="26">
        <v>0</v>
      </c>
      <c r="AD409" s="26"/>
      <c r="AE409" s="26">
        <v>0</v>
      </c>
      <c r="AF409" s="26"/>
      <c r="AG409" s="26">
        <v>0</v>
      </c>
      <c r="AH409" s="26"/>
      <c r="AI409" s="26">
        <v>0</v>
      </c>
      <c r="AJ409" s="26"/>
      <c r="AK409" s="26">
        <v>0</v>
      </c>
      <c r="AL409" s="26"/>
      <c r="AM409" s="26">
        <v>0</v>
      </c>
      <c r="AN409" s="26"/>
      <c r="AO409" s="51">
        <f t="shared" ref="AO409:AO445" si="35">AK409+AE409+AA409</f>
        <v>0</v>
      </c>
      <c r="AP409" s="26"/>
      <c r="AQ409" s="51">
        <f t="shared" si="33"/>
        <v>22772058</v>
      </c>
    </row>
    <row r="410" spans="1:43">
      <c r="A410" s="13" t="s">
        <v>480</v>
      </c>
      <c r="B410" s="13"/>
      <c r="C410" s="13" t="s">
        <v>42</v>
      </c>
      <c r="D410" s="13"/>
      <c r="E410" s="32">
        <v>48736</v>
      </c>
      <c r="F410" s="26"/>
      <c r="G410" s="26">
        <v>4692917</v>
      </c>
      <c r="H410" s="26"/>
      <c r="I410" s="26">
        <v>1966675</v>
      </c>
      <c r="J410" s="26"/>
      <c r="K410" s="26">
        <v>5940983</v>
      </c>
      <c r="L410" s="26"/>
      <c r="M410" s="26">
        <v>39899</v>
      </c>
      <c r="N410" s="26"/>
      <c r="O410" s="26">
        <v>599616</v>
      </c>
      <c r="P410" s="26"/>
      <c r="Q410" s="26">
        <v>210349</v>
      </c>
      <c r="R410" s="26"/>
      <c r="S410" s="26">
        <v>0</v>
      </c>
      <c r="T410" s="26"/>
      <c r="U410" s="26">
        <v>0</v>
      </c>
      <c r="V410" s="26"/>
      <c r="W410" s="26">
        <f>14000+309557+8805</f>
        <v>332362</v>
      </c>
      <c r="X410" s="26"/>
      <c r="Y410" s="51">
        <f t="shared" si="30"/>
        <v>13782801</v>
      </c>
      <c r="Z410" s="26"/>
      <c r="AA410" s="26">
        <v>58270</v>
      </c>
      <c r="AB410" s="26"/>
      <c r="AC410" s="26">
        <v>0</v>
      </c>
      <c r="AD410" s="26"/>
      <c r="AE410" s="26">
        <v>0</v>
      </c>
      <c r="AF410" s="26"/>
      <c r="AG410" s="26">
        <v>0</v>
      </c>
      <c r="AH410" s="26"/>
      <c r="AI410" s="26">
        <v>0</v>
      </c>
      <c r="AJ410" s="26"/>
      <c r="AK410" s="26">
        <v>19812</v>
      </c>
      <c r="AL410" s="26"/>
      <c r="AM410" s="26">
        <v>0</v>
      </c>
      <c r="AN410" s="26"/>
      <c r="AO410" s="51">
        <f t="shared" si="35"/>
        <v>78082</v>
      </c>
      <c r="AP410" s="26"/>
      <c r="AQ410" s="51">
        <f t="shared" si="33"/>
        <v>13860883</v>
      </c>
    </row>
    <row r="411" spans="1:43">
      <c r="A411" s="13" t="s">
        <v>402</v>
      </c>
      <c r="B411" s="13"/>
      <c r="C411" s="13" t="s">
        <v>32</v>
      </c>
      <c r="D411" s="13"/>
      <c r="E411" s="32">
        <v>47365</v>
      </c>
      <c r="F411" s="26"/>
      <c r="G411" s="26">
        <v>43221580</v>
      </c>
      <c r="H411" s="26"/>
      <c r="I411" s="26">
        <v>0</v>
      </c>
      <c r="J411" s="26"/>
      <c r="K411" s="26">
        <v>48147242</v>
      </c>
      <c r="L411" s="26"/>
      <c r="M411" s="26">
        <v>433779</v>
      </c>
      <c r="N411" s="26"/>
      <c r="O411" s="26">
        <v>908960</v>
      </c>
      <c r="P411" s="26"/>
      <c r="Q411" s="26">
        <v>670974</v>
      </c>
      <c r="R411" s="26"/>
      <c r="S411" s="26">
        <v>2974827</v>
      </c>
      <c r="T411" s="26"/>
      <c r="U411" s="26">
        <v>0</v>
      </c>
      <c r="V411" s="26"/>
      <c r="W411" s="26">
        <v>4213211</v>
      </c>
      <c r="X411" s="26"/>
      <c r="Y411" s="51">
        <f t="shared" si="30"/>
        <v>100570573</v>
      </c>
      <c r="Z411" s="26"/>
      <c r="AA411" s="26">
        <v>0</v>
      </c>
      <c r="AB411" s="26"/>
      <c r="AC411" s="26">
        <v>0</v>
      </c>
      <c r="AD411" s="26"/>
      <c r="AE411" s="26">
        <v>0</v>
      </c>
      <c r="AF411" s="26"/>
      <c r="AG411" s="26">
        <v>0</v>
      </c>
      <c r="AH411" s="26"/>
      <c r="AI411" s="26">
        <v>0</v>
      </c>
      <c r="AJ411" s="26"/>
      <c r="AK411" s="26">
        <v>67941</v>
      </c>
      <c r="AL411" s="26"/>
      <c r="AM411" s="26">
        <v>0</v>
      </c>
      <c r="AN411" s="26"/>
      <c r="AO411" s="51">
        <f t="shared" si="35"/>
        <v>67941</v>
      </c>
      <c r="AP411" s="26"/>
      <c r="AQ411" s="51">
        <f t="shared" si="33"/>
        <v>100638514</v>
      </c>
    </row>
    <row r="412" spans="1:43">
      <c r="A412" s="13" t="s">
        <v>402</v>
      </c>
      <c r="B412" s="13"/>
      <c r="C412" s="13" t="s">
        <v>59</v>
      </c>
      <c r="D412" s="13"/>
      <c r="E412" s="32">
        <v>49635</v>
      </c>
      <c r="F412" s="26"/>
      <c r="G412" s="26">
        <v>2003980</v>
      </c>
      <c r="H412" s="26"/>
      <c r="I412" s="26">
        <v>0</v>
      </c>
      <c r="J412" s="26"/>
      <c r="K412" s="26">
        <v>14995903</v>
      </c>
      <c r="L412" s="26"/>
      <c r="M412" s="26">
        <v>29165</v>
      </c>
      <c r="N412" s="26"/>
      <c r="O412" s="26">
        <v>8657</v>
      </c>
      <c r="P412" s="26"/>
      <c r="Q412" s="26">
        <v>144541</v>
      </c>
      <c r="R412" s="26"/>
      <c r="S412" s="26">
        <v>0</v>
      </c>
      <c r="T412" s="26"/>
      <c r="U412" s="26">
        <v>2571</v>
      </c>
      <c r="V412" s="26"/>
      <c r="W412" s="26">
        <f>39496+192286+71871</f>
        <v>303653</v>
      </c>
      <c r="X412" s="26"/>
      <c r="Y412" s="51">
        <f t="shared" si="30"/>
        <v>17488470</v>
      </c>
      <c r="Z412" s="26"/>
      <c r="AA412" s="26">
        <v>46840</v>
      </c>
      <c r="AB412" s="26"/>
      <c r="AC412" s="26"/>
      <c r="AD412" s="26"/>
      <c r="AE412" s="26">
        <v>0</v>
      </c>
      <c r="AF412" s="26"/>
      <c r="AG412" s="26"/>
      <c r="AH412" s="26"/>
      <c r="AI412" s="26"/>
      <c r="AJ412" s="26"/>
      <c r="AK412" s="26">
        <v>0</v>
      </c>
      <c r="AL412" s="26"/>
      <c r="AM412" s="26">
        <v>0</v>
      </c>
      <c r="AN412" s="26"/>
      <c r="AO412" s="51">
        <f t="shared" si="35"/>
        <v>46840</v>
      </c>
      <c r="AP412" s="26"/>
      <c r="AQ412" s="51">
        <f t="shared" si="33"/>
        <v>17535310</v>
      </c>
    </row>
    <row r="413" spans="1:43">
      <c r="A413" s="13" t="s">
        <v>402</v>
      </c>
      <c r="B413" s="13"/>
      <c r="C413" s="13" t="s">
        <v>62</v>
      </c>
      <c r="D413" s="13"/>
      <c r="E413" s="32">
        <v>49908</v>
      </c>
      <c r="F413" s="26"/>
      <c r="G413" s="26">
        <v>8049555</v>
      </c>
      <c r="H413" s="26"/>
      <c r="I413" s="26">
        <v>0</v>
      </c>
      <c r="J413" s="26"/>
      <c r="K413" s="26">
        <f>10778550+934757</f>
        <v>11713307</v>
      </c>
      <c r="L413" s="26"/>
      <c r="M413" s="26">
        <v>16825</v>
      </c>
      <c r="N413" s="26"/>
      <c r="O413" s="26">
        <v>518483</v>
      </c>
      <c r="P413" s="26"/>
      <c r="Q413" s="26">
        <v>212007</v>
      </c>
      <c r="R413" s="26"/>
      <c r="S413" s="26">
        <v>0</v>
      </c>
      <c r="T413" s="26"/>
      <c r="U413" s="26">
        <v>0</v>
      </c>
      <c r="V413" s="26"/>
      <c r="W413" s="26">
        <f>102594+159535+462433</f>
        <v>724562</v>
      </c>
      <c r="X413" s="26"/>
      <c r="Y413" s="51">
        <f t="shared" si="30"/>
        <v>21234739</v>
      </c>
      <c r="Z413" s="26"/>
      <c r="AA413" s="26">
        <v>158500</v>
      </c>
      <c r="AB413" s="26"/>
      <c r="AC413" s="26">
        <v>0</v>
      </c>
      <c r="AD413" s="26"/>
      <c r="AE413" s="26">
        <v>229064</v>
      </c>
      <c r="AF413" s="26"/>
      <c r="AG413" s="26">
        <v>0</v>
      </c>
      <c r="AH413" s="26"/>
      <c r="AI413" s="26">
        <v>0</v>
      </c>
      <c r="AJ413" s="26"/>
      <c r="AK413" s="26">
        <v>180</v>
      </c>
      <c r="AL413" s="26"/>
      <c r="AM413" s="26">
        <v>0</v>
      </c>
      <c r="AN413" s="26"/>
      <c r="AO413" s="51">
        <f t="shared" si="35"/>
        <v>387744</v>
      </c>
      <c r="AP413" s="26"/>
      <c r="AQ413" s="51">
        <f t="shared" si="33"/>
        <v>21622483</v>
      </c>
    </row>
    <row r="414" spans="1:43">
      <c r="A414" s="13" t="s">
        <v>263</v>
      </c>
      <c r="B414" s="13"/>
      <c r="C414" s="13" t="s">
        <v>17</v>
      </c>
      <c r="D414" s="13"/>
      <c r="E414" s="32">
        <v>46268</v>
      </c>
      <c r="F414" s="26"/>
      <c r="G414" s="26">
        <v>5985936</v>
      </c>
      <c r="H414" s="26"/>
      <c r="I414" s="26">
        <v>0</v>
      </c>
      <c r="J414" s="26"/>
      <c r="K414" s="26">
        <v>8421754</v>
      </c>
      <c r="L414" s="26"/>
      <c r="M414" s="26">
        <v>102843</v>
      </c>
      <c r="N414" s="26"/>
      <c r="O414" s="26">
        <v>1143353</v>
      </c>
      <c r="P414" s="26"/>
      <c r="Q414" s="26">
        <v>277031</v>
      </c>
      <c r="R414" s="26"/>
      <c r="S414" s="26">
        <v>0</v>
      </c>
      <c r="T414" s="26"/>
      <c r="U414" s="26">
        <v>0</v>
      </c>
      <c r="V414" s="26"/>
      <c r="W414" s="26">
        <f>402067+51995+11945</f>
        <v>466007</v>
      </c>
      <c r="X414" s="26"/>
      <c r="Y414" s="51">
        <f t="shared" si="30"/>
        <v>16396924</v>
      </c>
      <c r="Z414" s="26"/>
      <c r="AA414" s="26">
        <v>0</v>
      </c>
      <c r="AB414" s="26"/>
      <c r="AC414" s="26">
        <v>0</v>
      </c>
      <c r="AD414" s="26"/>
      <c r="AE414" s="26">
        <v>0</v>
      </c>
      <c r="AF414" s="26"/>
      <c r="AG414" s="26">
        <v>0</v>
      </c>
      <c r="AH414" s="26"/>
      <c r="AI414" s="26">
        <v>0</v>
      </c>
      <c r="AJ414" s="26"/>
      <c r="AK414" s="26">
        <v>1275</v>
      </c>
      <c r="AL414" s="26"/>
      <c r="AM414" s="26">
        <v>0</v>
      </c>
      <c r="AN414" s="26"/>
      <c r="AO414" s="51">
        <f t="shared" si="35"/>
        <v>1275</v>
      </c>
      <c r="AP414" s="26"/>
      <c r="AQ414" s="51">
        <f t="shared" si="33"/>
        <v>16398199</v>
      </c>
    </row>
    <row r="415" spans="1:43">
      <c r="A415" s="13" t="s">
        <v>736</v>
      </c>
      <c r="B415" s="13"/>
      <c r="C415" s="13" t="s">
        <v>72</v>
      </c>
      <c r="D415" s="13"/>
      <c r="E415" s="32">
        <v>50716</v>
      </c>
      <c r="F415" s="26"/>
      <c r="G415" s="26">
        <v>6724775</v>
      </c>
      <c r="H415" s="26"/>
      <c r="I415" s="26">
        <v>0</v>
      </c>
      <c r="J415" s="26"/>
      <c r="K415" s="26">
        <v>4525144</v>
      </c>
      <c r="L415" s="26"/>
      <c r="M415" s="26">
        <v>37457</v>
      </c>
      <c r="N415" s="26"/>
      <c r="O415" s="26">
        <v>268289</v>
      </c>
      <c r="P415" s="26"/>
      <c r="Q415" s="26">
        <v>80946</v>
      </c>
      <c r="R415" s="26"/>
      <c r="S415" s="26">
        <v>179299</v>
      </c>
      <c r="T415" s="26"/>
      <c r="U415" s="26">
        <v>12920</v>
      </c>
      <c r="V415" s="26"/>
      <c r="W415" s="26">
        <f>171133+193562</f>
        <v>364695</v>
      </c>
      <c r="X415" s="26"/>
      <c r="Y415" s="51">
        <f t="shared" si="30"/>
        <v>12193525</v>
      </c>
      <c r="Z415" s="26"/>
      <c r="AA415" s="26">
        <v>84116</v>
      </c>
      <c r="AB415" s="26"/>
      <c r="AC415" s="26">
        <v>0</v>
      </c>
      <c r="AD415" s="26"/>
      <c r="AE415" s="26">
        <v>0</v>
      </c>
      <c r="AF415" s="26"/>
      <c r="AG415" s="26">
        <v>0</v>
      </c>
      <c r="AH415" s="26"/>
      <c r="AI415" s="26">
        <v>0</v>
      </c>
      <c r="AJ415" s="26"/>
      <c r="AK415" s="26">
        <v>0</v>
      </c>
      <c r="AL415" s="26"/>
      <c r="AM415" s="26">
        <v>0</v>
      </c>
      <c r="AN415" s="26"/>
      <c r="AO415" s="51">
        <f t="shared" si="35"/>
        <v>84116</v>
      </c>
      <c r="AP415" s="26"/>
      <c r="AQ415" s="51">
        <f t="shared" si="33"/>
        <v>12277641</v>
      </c>
    </row>
    <row r="416" spans="1:43">
      <c r="A416" s="13" t="s">
        <v>669</v>
      </c>
      <c r="B416" s="13"/>
      <c r="C416" s="13" t="s">
        <v>63</v>
      </c>
      <c r="D416" s="13"/>
      <c r="E416" s="32">
        <v>44552</v>
      </c>
      <c r="F416" s="26"/>
      <c r="G416" s="26">
        <v>8876408</v>
      </c>
      <c r="H416" s="26"/>
      <c r="I416" s="26">
        <v>0</v>
      </c>
      <c r="J416" s="26"/>
      <c r="K416" s="26">
        <v>10389728</v>
      </c>
      <c r="L416" s="26"/>
      <c r="M416" s="26">
        <v>95267</v>
      </c>
      <c r="N416" s="26"/>
      <c r="O416" s="26">
        <v>2424439</v>
      </c>
      <c r="P416" s="26"/>
      <c r="Q416" s="26">
        <v>161081</v>
      </c>
      <c r="R416" s="26"/>
      <c r="S416" s="26">
        <v>0</v>
      </c>
      <c r="T416" s="26"/>
      <c r="U416" s="26">
        <v>40134</v>
      </c>
      <c r="V416" s="26"/>
      <c r="W416" s="26">
        <f>578779+2503+358400</f>
        <v>939682</v>
      </c>
      <c r="X416" s="26"/>
      <c r="Y416" s="51">
        <f t="shared" si="30"/>
        <v>22926739</v>
      </c>
      <c r="Z416" s="26"/>
      <c r="AA416" s="26">
        <v>21174</v>
      </c>
      <c r="AB416" s="26"/>
      <c r="AC416" s="26"/>
      <c r="AD416" s="26"/>
      <c r="AE416" s="26">
        <v>0</v>
      </c>
      <c r="AF416" s="26"/>
      <c r="AG416" s="26"/>
      <c r="AH416" s="26"/>
      <c r="AI416" s="26"/>
      <c r="AJ416" s="26"/>
      <c r="AK416" s="26">
        <v>0</v>
      </c>
      <c r="AL416" s="26"/>
      <c r="AM416" s="26">
        <v>0</v>
      </c>
      <c r="AN416" s="26"/>
      <c r="AO416" s="51">
        <f t="shared" si="35"/>
        <v>21174</v>
      </c>
      <c r="AP416" s="26"/>
      <c r="AQ416" s="51">
        <f t="shared" si="33"/>
        <v>22947913</v>
      </c>
    </row>
    <row r="417" spans="1:43">
      <c r="A417" s="13" t="s">
        <v>446</v>
      </c>
      <c r="B417" s="13"/>
      <c r="C417" s="13" t="s">
        <v>37</v>
      </c>
      <c r="D417" s="13"/>
      <c r="E417" s="32">
        <v>44560</v>
      </c>
      <c r="F417" s="26"/>
      <c r="G417" s="26">
        <v>7485993</v>
      </c>
      <c r="H417" s="26"/>
      <c r="I417" s="26">
        <v>1782939</v>
      </c>
      <c r="J417" s="26"/>
      <c r="K417" s="26">
        <v>16150996</v>
      </c>
      <c r="L417" s="26"/>
      <c r="M417" s="26">
        <v>431146</v>
      </c>
      <c r="N417" s="26"/>
      <c r="O417" s="26">
        <v>598005</v>
      </c>
      <c r="P417" s="26"/>
      <c r="Q417" s="26">
        <v>172492</v>
      </c>
      <c r="R417" s="26"/>
      <c r="S417" s="26">
        <v>0</v>
      </c>
      <c r="T417" s="26"/>
      <c r="U417" s="26">
        <v>119042</v>
      </c>
      <c r="V417" s="26"/>
      <c r="W417" s="26">
        <f>296613+413576+9205</f>
        <v>719394</v>
      </c>
      <c r="X417" s="26"/>
      <c r="Y417" s="51">
        <f t="shared" si="30"/>
        <v>27460007</v>
      </c>
      <c r="Z417" s="26"/>
      <c r="AA417" s="26">
        <v>100000</v>
      </c>
      <c r="AB417" s="26"/>
      <c r="AC417" s="26"/>
      <c r="AD417" s="26"/>
      <c r="AE417" s="26">
        <v>0</v>
      </c>
      <c r="AF417" s="26"/>
      <c r="AG417" s="26"/>
      <c r="AH417" s="26"/>
      <c r="AI417" s="26"/>
      <c r="AJ417" s="26"/>
      <c r="AK417" s="26">
        <v>0</v>
      </c>
      <c r="AL417" s="26"/>
      <c r="AM417" s="26">
        <v>0</v>
      </c>
      <c r="AN417" s="26"/>
      <c r="AO417" s="51">
        <f t="shared" si="35"/>
        <v>100000</v>
      </c>
      <c r="AP417" s="26"/>
      <c r="AQ417" s="51">
        <f t="shared" si="33"/>
        <v>27560007</v>
      </c>
    </row>
    <row r="418" spans="1:43">
      <c r="A418" s="13" t="s">
        <v>865</v>
      </c>
      <c r="B418" s="13"/>
      <c r="C418" s="13" t="s">
        <v>32</v>
      </c>
      <c r="D418" s="13"/>
      <c r="E418" s="32">
        <v>44578</v>
      </c>
      <c r="F418" s="26"/>
      <c r="G418" s="26">
        <v>11133228</v>
      </c>
      <c r="H418" s="26"/>
      <c r="I418" s="26">
        <v>0</v>
      </c>
      <c r="J418" s="26"/>
      <c r="K418" s="26">
        <v>13741636</v>
      </c>
      <c r="L418" s="26"/>
      <c r="M418" s="26">
        <v>230052</v>
      </c>
      <c r="N418" s="26"/>
      <c r="O418" s="26">
        <v>65896</v>
      </c>
      <c r="P418" s="26"/>
      <c r="Q418" s="26">
        <v>326999</v>
      </c>
      <c r="R418" s="26"/>
      <c r="S418" s="26">
        <v>0</v>
      </c>
      <c r="T418" s="26"/>
      <c r="U418" s="26">
        <v>0</v>
      </c>
      <c r="V418" s="26"/>
      <c r="W418" s="26">
        <f>384625+289109</f>
        <v>673734</v>
      </c>
      <c r="X418" s="26"/>
      <c r="Y418" s="51">
        <f t="shared" si="30"/>
        <v>26171545</v>
      </c>
      <c r="Z418" s="26"/>
      <c r="AA418" s="26">
        <v>45278</v>
      </c>
      <c r="AB418" s="26"/>
      <c r="AC418" s="26"/>
      <c r="AD418" s="26"/>
      <c r="AE418" s="26">
        <v>0</v>
      </c>
      <c r="AF418" s="26"/>
      <c r="AG418" s="26"/>
      <c r="AH418" s="26"/>
      <c r="AI418" s="26"/>
      <c r="AJ418" s="26"/>
      <c r="AK418" s="26">
        <v>0</v>
      </c>
      <c r="AL418" s="26"/>
      <c r="AM418" s="26">
        <v>0</v>
      </c>
      <c r="AN418" s="26"/>
      <c r="AO418" s="51">
        <f t="shared" si="35"/>
        <v>45278</v>
      </c>
      <c r="AP418" s="26"/>
      <c r="AQ418" s="51">
        <f t="shared" si="33"/>
        <v>26216823</v>
      </c>
    </row>
    <row r="419" spans="1:43">
      <c r="A419" s="13" t="s">
        <v>404</v>
      </c>
      <c r="B419" s="13"/>
      <c r="C419" s="13" t="s">
        <v>32</v>
      </c>
      <c r="D419" s="13"/>
      <c r="E419" s="32">
        <v>47373</v>
      </c>
      <c r="F419" s="26"/>
      <c r="G419" s="26">
        <v>29543990</v>
      </c>
      <c r="H419" s="26"/>
      <c r="I419" s="26">
        <v>0</v>
      </c>
      <c r="J419" s="26"/>
      <c r="K419" s="26">
        <v>35170424</v>
      </c>
      <c r="L419" s="26"/>
      <c r="M419" s="26">
        <v>807139</v>
      </c>
      <c r="N419" s="26"/>
      <c r="O419" s="26">
        <v>1524276</v>
      </c>
      <c r="P419" s="26"/>
      <c r="Q419" s="26">
        <v>1442080</v>
      </c>
      <c r="R419" s="26"/>
      <c r="S419" s="26">
        <v>8451191</v>
      </c>
      <c r="T419" s="26"/>
      <c r="U419" s="26">
        <v>0</v>
      </c>
      <c r="V419" s="26"/>
      <c r="W419" s="26">
        <f>674364+2158314</f>
        <v>2832678</v>
      </c>
      <c r="X419" s="26"/>
      <c r="Y419" s="51">
        <f t="shared" si="30"/>
        <v>79771778</v>
      </c>
      <c r="Z419" s="26"/>
      <c r="AA419" s="26">
        <v>411794</v>
      </c>
      <c r="AB419" s="26"/>
      <c r="AC419" s="26"/>
      <c r="AD419" s="26"/>
      <c r="AE419" s="26">
        <v>0</v>
      </c>
      <c r="AF419" s="26"/>
      <c r="AG419" s="26"/>
      <c r="AH419" s="26"/>
      <c r="AI419" s="26"/>
      <c r="AJ419" s="26"/>
      <c r="AK419" s="26">
        <v>7798</v>
      </c>
      <c r="AL419" s="26"/>
      <c r="AM419" s="26">
        <v>0</v>
      </c>
      <c r="AN419" s="26"/>
      <c r="AO419" s="51">
        <f t="shared" si="35"/>
        <v>419592</v>
      </c>
      <c r="AP419" s="26"/>
      <c r="AQ419" s="51">
        <f t="shared" si="33"/>
        <v>80191370</v>
      </c>
    </row>
    <row r="420" spans="1:43">
      <c r="A420" s="13" t="s">
        <v>554</v>
      </c>
      <c r="B420" s="13"/>
      <c r="C420" s="13" t="s">
        <v>50</v>
      </c>
      <c r="D420" s="13"/>
      <c r="E420" s="32">
        <v>44586</v>
      </c>
      <c r="F420" s="26"/>
      <c r="G420" s="26">
        <v>16504503</v>
      </c>
      <c r="H420" s="26"/>
      <c r="I420" s="26">
        <v>0</v>
      </c>
      <c r="J420" s="26"/>
      <c r="K420" s="26">
        <v>8501885</v>
      </c>
      <c r="L420" s="26"/>
      <c r="M420" s="26">
        <v>57197</v>
      </c>
      <c r="N420" s="26"/>
      <c r="O420" s="26">
        <v>151597</v>
      </c>
      <c r="P420" s="26"/>
      <c r="Q420" s="26">
        <v>312519</v>
      </c>
      <c r="R420" s="26"/>
      <c r="S420" s="26">
        <v>0</v>
      </c>
      <c r="T420" s="26"/>
      <c r="U420" s="26">
        <v>36258</v>
      </c>
      <c r="V420" s="26"/>
      <c r="W420" s="26">
        <f>387419+610482+4153</f>
        <v>1002054</v>
      </c>
      <c r="X420" s="26"/>
      <c r="Y420" s="51">
        <f t="shared" si="30"/>
        <v>26566013</v>
      </c>
      <c r="Z420" s="26"/>
      <c r="AA420" s="26">
        <v>2474127</v>
      </c>
      <c r="AB420" s="26"/>
      <c r="AC420" s="26"/>
      <c r="AD420" s="26"/>
      <c r="AE420" s="26">
        <v>0</v>
      </c>
      <c r="AF420" s="26"/>
      <c r="AG420" s="26"/>
      <c r="AH420" s="26"/>
      <c r="AI420" s="26"/>
      <c r="AJ420" s="26"/>
      <c r="AK420" s="26">
        <v>0</v>
      </c>
      <c r="AL420" s="26"/>
      <c r="AM420" s="26">
        <v>0</v>
      </c>
      <c r="AN420" s="26"/>
      <c r="AO420" s="51">
        <f t="shared" si="35"/>
        <v>2474127</v>
      </c>
      <c r="AP420" s="26"/>
      <c r="AQ420" s="51">
        <f t="shared" si="33"/>
        <v>29040140</v>
      </c>
    </row>
    <row r="421" spans="1:43">
      <c r="A421" s="13" t="s">
        <v>493</v>
      </c>
      <c r="B421" s="13"/>
      <c r="C421" s="13" t="s">
        <v>44</v>
      </c>
      <c r="D421" s="13"/>
      <c r="E421" s="32">
        <v>44594</v>
      </c>
      <c r="F421" s="26"/>
      <c r="G421" s="26">
        <v>7954695</v>
      </c>
      <c r="H421" s="26"/>
      <c r="I421" s="26">
        <v>0</v>
      </c>
      <c r="J421" s="26"/>
      <c r="K421" s="26">
        <v>6040991</v>
      </c>
      <c r="L421" s="26"/>
      <c r="M421" s="26">
        <v>51840</v>
      </c>
      <c r="N421" s="26"/>
      <c r="O421" s="26">
        <v>346204</v>
      </c>
      <c r="P421" s="26"/>
      <c r="Q421" s="26">
        <v>31449</v>
      </c>
      <c r="R421" s="26"/>
      <c r="S421" s="26">
        <v>0</v>
      </c>
      <c r="T421" s="26"/>
      <c r="U421" s="26">
        <v>0</v>
      </c>
      <c r="V421" s="26"/>
      <c r="W421" s="26">
        <f>258992+118826</f>
        <v>377818</v>
      </c>
      <c r="X421" s="26"/>
      <c r="Y421" s="51">
        <f t="shared" si="30"/>
        <v>14802997</v>
      </c>
      <c r="Z421" s="26"/>
      <c r="AA421" s="26">
        <v>78018</v>
      </c>
      <c r="AB421" s="26"/>
      <c r="AC421" s="26"/>
      <c r="AD421" s="26"/>
      <c r="AE421" s="26">
        <v>0</v>
      </c>
      <c r="AF421" s="26"/>
      <c r="AG421" s="26"/>
      <c r="AH421" s="26"/>
      <c r="AI421" s="26"/>
      <c r="AJ421" s="26"/>
      <c r="AK421" s="26">
        <v>0</v>
      </c>
      <c r="AL421" s="26"/>
      <c r="AM421" s="26">
        <v>0</v>
      </c>
      <c r="AN421" s="26"/>
      <c r="AO421" s="51">
        <f t="shared" si="35"/>
        <v>78018</v>
      </c>
      <c r="AP421" s="26"/>
      <c r="AQ421" s="51">
        <f t="shared" si="33"/>
        <v>14881015</v>
      </c>
    </row>
    <row r="422" spans="1:43" hidden="1">
      <c r="A422" s="13" t="s">
        <v>834</v>
      </c>
      <c r="B422" s="13"/>
      <c r="C422" s="13" t="s">
        <v>60</v>
      </c>
      <c r="D422" s="13"/>
      <c r="E422" s="32">
        <v>49726</v>
      </c>
      <c r="F422" s="26"/>
      <c r="G422" s="26"/>
      <c r="H422" s="26"/>
      <c r="I422" s="26">
        <v>0</v>
      </c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51">
        <f t="shared" si="30"/>
        <v>0</v>
      </c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>
        <v>0</v>
      </c>
      <c r="AN422" s="26"/>
      <c r="AO422" s="51">
        <f t="shared" si="35"/>
        <v>0</v>
      </c>
      <c r="AP422" s="26"/>
      <c r="AQ422" s="51">
        <f t="shared" si="33"/>
        <v>0</v>
      </c>
    </row>
    <row r="423" spans="1:43">
      <c r="A423" s="13" t="s">
        <v>335</v>
      </c>
      <c r="B423" s="13"/>
      <c r="C423" s="13" t="s">
        <v>23</v>
      </c>
      <c r="D423" s="13"/>
      <c r="E423" s="32">
        <v>46763</v>
      </c>
      <c r="F423" s="26"/>
      <c r="G423" s="26">
        <v>111067249</v>
      </c>
      <c r="H423" s="26"/>
      <c r="I423" s="26">
        <v>0</v>
      </c>
      <c r="J423" s="26"/>
      <c r="K423" s="26">
        <f>3430743+25564445+782081</f>
        <v>29777269</v>
      </c>
      <c r="L423" s="26"/>
      <c r="M423" s="26">
        <v>2159194</v>
      </c>
      <c r="N423" s="26"/>
      <c r="O423" s="26">
        <v>1371787</v>
      </c>
      <c r="P423" s="26"/>
      <c r="Q423" s="26">
        <v>590144</v>
      </c>
      <c r="R423" s="26"/>
      <c r="S423" s="26">
        <v>10941327</v>
      </c>
      <c r="T423" s="26"/>
      <c r="U423" s="26">
        <v>0</v>
      </c>
      <c r="V423" s="26"/>
      <c r="W423" s="26">
        <f>5007556+909292</f>
        <v>5916848</v>
      </c>
      <c r="X423" s="26"/>
      <c r="Y423" s="51">
        <f t="shared" si="30"/>
        <v>161823818</v>
      </c>
      <c r="Z423" s="26"/>
      <c r="AA423" s="26">
        <v>0</v>
      </c>
      <c r="AB423" s="26"/>
      <c r="AC423" s="26">
        <v>0</v>
      </c>
      <c r="AD423" s="26"/>
      <c r="AE423" s="26">
        <f>11900000+1233577+36400000</f>
        <v>49533577</v>
      </c>
      <c r="AF423" s="26"/>
      <c r="AG423" s="26">
        <v>0</v>
      </c>
      <c r="AH423" s="26"/>
      <c r="AI423" s="26">
        <v>0</v>
      </c>
      <c r="AJ423" s="26"/>
      <c r="AK423" s="26">
        <v>41586</v>
      </c>
      <c r="AL423" s="26"/>
      <c r="AM423" s="26">
        <v>0</v>
      </c>
      <c r="AN423" s="26"/>
      <c r="AO423" s="51">
        <f t="shared" si="35"/>
        <v>49575163</v>
      </c>
      <c r="AP423" s="26"/>
      <c r="AQ423" s="51">
        <f t="shared" si="33"/>
        <v>211398981</v>
      </c>
    </row>
    <row r="424" spans="1:43">
      <c r="A424" s="13" t="s">
        <v>315</v>
      </c>
      <c r="B424" s="13"/>
      <c r="C424" s="13" t="s">
        <v>20</v>
      </c>
      <c r="D424" s="13"/>
      <c r="E424" s="13">
        <v>46573</v>
      </c>
      <c r="F424" s="26"/>
      <c r="G424" s="26">
        <v>22244047</v>
      </c>
      <c r="H424" s="26"/>
      <c r="I424" s="26">
        <v>0</v>
      </c>
      <c r="J424" s="26"/>
      <c r="K424" s="26">
        <v>23639415</v>
      </c>
      <c r="L424" s="26"/>
      <c r="M424" s="26">
        <v>579925</v>
      </c>
      <c r="N424" s="26"/>
      <c r="O424" s="26">
        <v>346320</v>
      </c>
      <c r="P424" s="26"/>
      <c r="Q424" s="26">
        <v>469512</v>
      </c>
      <c r="R424" s="26"/>
      <c r="S424" s="26">
        <v>0</v>
      </c>
      <c r="T424" s="26"/>
      <c r="U424" s="26">
        <v>78639</v>
      </c>
      <c r="V424" s="26"/>
      <c r="W424" s="26">
        <f>1133667+6997+297276</f>
        <v>1437940</v>
      </c>
      <c r="X424" s="26"/>
      <c r="Y424" s="51">
        <f t="shared" si="30"/>
        <v>48795798</v>
      </c>
      <c r="Z424" s="26"/>
      <c r="AA424" s="26">
        <v>15098427</v>
      </c>
      <c r="AB424" s="26"/>
      <c r="AC424" s="26">
        <v>0</v>
      </c>
      <c r="AD424" s="26"/>
      <c r="AE424" s="26">
        <v>2908000</v>
      </c>
      <c r="AF424" s="26"/>
      <c r="AG424" s="26">
        <v>0</v>
      </c>
      <c r="AH424" s="26"/>
      <c r="AI424" s="26">
        <v>0</v>
      </c>
      <c r="AJ424" s="26"/>
      <c r="AK424" s="26">
        <v>0</v>
      </c>
      <c r="AL424" s="26"/>
      <c r="AM424" s="26">
        <v>0</v>
      </c>
      <c r="AN424" s="26"/>
      <c r="AO424" s="51">
        <f t="shared" si="35"/>
        <v>18006427</v>
      </c>
      <c r="AP424" s="26"/>
      <c r="AQ424" s="51">
        <f t="shared" si="33"/>
        <v>66802225</v>
      </c>
    </row>
    <row r="425" spans="1:43">
      <c r="A425" s="13" t="s">
        <v>613</v>
      </c>
      <c r="B425" s="13"/>
      <c r="C425" s="13" t="s">
        <v>112</v>
      </c>
      <c r="D425" s="13"/>
      <c r="E425" s="32">
        <v>49478</v>
      </c>
      <c r="F425" s="26"/>
      <c r="G425" s="26">
        <v>10850428</v>
      </c>
      <c r="H425" s="26"/>
      <c r="I425" s="26">
        <v>0</v>
      </c>
      <c r="J425" s="26"/>
      <c r="K425" s="26">
        <f>38272+5652753+623091</f>
        <v>6314116</v>
      </c>
      <c r="L425" s="26"/>
      <c r="M425" s="26">
        <v>309768</v>
      </c>
      <c r="N425" s="26"/>
      <c r="O425" s="26">
        <v>180546</v>
      </c>
      <c r="P425" s="26"/>
      <c r="Q425" s="26">
        <v>251515</v>
      </c>
      <c r="R425" s="26"/>
      <c r="S425" s="26">
        <v>0</v>
      </c>
      <c r="T425" s="26"/>
      <c r="U425" s="26">
        <v>66340</v>
      </c>
      <c r="V425" s="26"/>
      <c r="W425" s="26">
        <f>447816+172590+24455+38476</f>
        <v>683337</v>
      </c>
      <c r="X425" s="26"/>
      <c r="Y425" s="51">
        <f t="shared" si="30"/>
        <v>18656050</v>
      </c>
      <c r="Z425" s="26"/>
      <c r="AA425" s="26">
        <v>32570</v>
      </c>
      <c r="AB425" s="26"/>
      <c r="AC425" s="26">
        <v>0</v>
      </c>
      <c r="AD425" s="26"/>
      <c r="AE425" s="26">
        <v>0</v>
      </c>
      <c r="AF425" s="26"/>
      <c r="AG425" s="26">
        <v>0</v>
      </c>
      <c r="AH425" s="26"/>
      <c r="AI425" s="26">
        <v>0</v>
      </c>
      <c r="AJ425" s="26"/>
      <c r="AK425" s="26">
        <v>0</v>
      </c>
      <c r="AL425" s="26"/>
      <c r="AM425" s="26">
        <v>0</v>
      </c>
      <c r="AN425" s="26"/>
      <c r="AO425" s="51">
        <f t="shared" si="35"/>
        <v>32570</v>
      </c>
      <c r="AP425" s="26"/>
      <c r="AQ425" s="51">
        <f t="shared" si="33"/>
        <v>18688620</v>
      </c>
    </row>
    <row r="426" spans="1:43">
      <c r="A426" s="13" t="s">
        <v>316</v>
      </c>
      <c r="B426" s="13"/>
      <c r="C426" s="13" t="s">
        <v>20</v>
      </c>
      <c r="D426" s="13"/>
      <c r="E426" s="32">
        <v>46581</v>
      </c>
      <c r="F426" s="26"/>
      <c r="G426" s="26">
        <v>38961368</v>
      </c>
      <c r="H426" s="26"/>
      <c r="I426" s="26">
        <v>0</v>
      </c>
      <c r="J426" s="26"/>
      <c r="K426" s="26">
        <v>10366538</v>
      </c>
      <c r="L426" s="26"/>
      <c r="M426" s="26">
        <v>1745195</v>
      </c>
      <c r="N426" s="26"/>
      <c r="O426" s="26">
        <v>3465610</v>
      </c>
      <c r="P426" s="26"/>
      <c r="Q426" s="26">
        <v>202404</v>
      </c>
      <c r="R426" s="26"/>
      <c r="S426" s="26">
        <v>0</v>
      </c>
      <c r="T426" s="26"/>
      <c r="U426" s="26">
        <v>14270</v>
      </c>
      <c r="V426" s="26"/>
      <c r="W426" s="26">
        <f>79482+509306+6685+57101+63958</f>
        <v>716532</v>
      </c>
      <c r="X426" s="26"/>
      <c r="Y426" s="51">
        <f t="shared" ref="Y426:Y427" si="36">SUM(G426:W426)</f>
        <v>55471917</v>
      </c>
      <c r="Z426" s="26"/>
      <c r="AA426" s="26">
        <v>2659000</v>
      </c>
      <c r="AB426" s="26"/>
      <c r="AC426" s="26">
        <v>0</v>
      </c>
      <c r="AD426" s="26"/>
      <c r="AE426" s="26">
        <v>0</v>
      </c>
      <c r="AF426" s="26"/>
      <c r="AG426" s="26">
        <v>0</v>
      </c>
      <c r="AH426" s="26"/>
      <c r="AI426" s="26">
        <v>0</v>
      </c>
      <c r="AJ426" s="26"/>
      <c r="AK426" s="26">
        <v>760</v>
      </c>
      <c r="AL426" s="26"/>
      <c r="AM426" s="26">
        <v>0</v>
      </c>
      <c r="AN426" s="26"/>
      <c r="AO426" s="51">
        <f t="shared" si="35"/>
        <v>2659760</v>
      </c>
      <c r="AP426" s="26"/>
      <c r="AQ426" s="51">
        <f t="shared" si="33"/>
        <v>58131677</v>
      </c>
    </row>
    <row r="427" spans="1:43">
      <c r="A427" s="13" t="s">
        <v>498</v>
      </c>
      <c r="B427" s="13"/>
      <c r="C427" s="13" t="s">
        <v>117</v>
      </c>
      <c r="D427" s="13"/>
      <c r="E427" s="32">
        <v>44602</v>
      </c>
      <c r="F427" s="26"/>
      <c r="G427" s="26">
        <v>24663241</v>
      </c>
      <c r="H427" s="26"/>
      <c r="I427" s="26">
        <v>0</v>
      </c>
      <c r="J427" s="26"/>
      <c r="K427" s="26">
        <f>1855665+18696049</f>
        <v>20551714</v>
      </c>
      <c r="L427" s="26"/>
      <c r="M427" s="26">
        <v>255528</v>
      </c>
      <c r="N427" s="26"/>
      <c r="O427" s="26">
        <v>904815</v>
      </c>
      <c r="P427" s="26"/>
      <c r="Q427" s="26">
        <v>271023</v>
      </c>
      <c r="R427" s="26"/>
      <c r="S427" s="26">
        <v>367366</v>
      </c>
      <c r="T427" s="26"/>
      <c r="U427" s="26">
        <v>0</v>
      </c>
      <c r="V427" s="26"/>
      <c r="W427" s="26">
        <f>179454+154881+944859</f>
        <v>1279194</v>
      </c>
      <c r="X427" s="26"/>
      <c r="Y427" s="51">
        <f t="shared" si="36"/>
        <v>48292881</v>
      </c>
      <c r="Z427" s="26"/>
      <c r="AA427" s="26">
        <v>2046156</v>
      </c>
      <c r="AB427" s="26"/>
      <c r="AC427" s="26">
        <v>0</v>
      </c>
      <c r="AD427" s="26"/>
      <c r="AE427" s="26">
        <v>0</v>
      </c>
      <c r="AF427" s="26"/>
      <c r="AG427" s="26">
        <v>0</v>
      </c>
      <c r="AH427" s="26"/>
      <c r="AI427" s="26">
        <v>0</v>
      </c>
      <c r="AJ427" s="26"/>
      <c r="AK427" s="26">
        <v>54167</v>
      </c>
      <c r="AL427" s="26"/>
      <c r="AM427" s="26">
        <v>0</v>
      </c>
      <c r="AN427" s="26"/>
      <c r="AO427" s="51">
        <f t="shared" si="35"/>
        <v>2100323</v>
      </c>
      <c r="AP427" s="26"/>
      <c r="AQ427" s="51">
        <f t="shared" si="33"/>
        <v>50393204</v>
      </c>
    </row>
    <row r="428" spans="1:43">
      <c r="A428" s="13" t="s">
        <v>723</v>
      </c>
      <c r="B428" s="13"/>
      <c r="C428" s="13" t="s">
        <v>71</v>
      </c>
      <c r="D428" s="13"/>
      <c r="E428" s="32">
        <v>44610</v>
      </c>
      <c r="F428" s="26"/>
      <c r="G428" s="26">
        <v>8133474</v>
      </c>
      <c r="H428" s="26"/>
      <c r="I428" s="26">
        <v>0</v>
      </c>
      <c r="J428" s="26"/>
      <c r="K428" s="26">
        <v>8897748</v>
      </c>
      <c r="L428" s="26"/>
      <c r="M428" s="26">
        <v>356713</v>
      </c>
      <c r="N428" s="26"/>
      <c r="O428" s="26">
        <v>307054</v>
      </c>
      <c r="P428" s="26"/>
      <c r="Q428" s="26">
        <v>286568</v>
      </c>
      <c r="R428" s="26"/>
      <c r="S428" s="26">
        <v>0</v>
      </c>
      <c r="T428" s="26"/>
      <c r="U428" s="26">
        <v>52933</v>
      </c>
      <c r="V428" s="26"/>
      <c r="W428" s="26">
        <f>31511+303489+753</f>
        <v>335753</v>
      </c>
      <c r="X428" s="26"/>
      <c r="Y428" s="51">
        <f t="shared" ref="Y428:Y431" si="37">SUM(G428:W428)</f>
        <v>18370243</v>
      </c>
      <c r="Z428" s="26"/>
      <c r="AA428" s="26">
        <v>0</v>
      </c>
      <c r="AB428" s="26"/>
      <c r="AC428" s="26"/>
      <c r="AD428" s="26"/>
      <c r="AE428" s="26">
        <v>0</v>
      </c>
      <c r="AF428" s="26"/>
      <c r="AG428" s="26"/>
      <c r="AH428" s="26"/>
      <c r="AI428" s="26"/>
      <c r="AJ428" s="26"/>
      <c r="AK428" s="26">
        <v>100345</v>
      </c>
      <c r="AL428" s="26"/>
      <c r="AM428" s="26">
        <v>0</v>
      </c>
      <c r="AN428" s="26"/>
      <c r="AO428" s="51">
        <f t="shared" si="35"/>
        <v>100345</v>
      </c>
      <c r="AP428" s="26"/>
      <c r="AQ428" s="51">
        <f t="shared" si="33"/>
        <v>18470588</v>
      </c>
    </row>
    <row r="429" spans="1:43">
      <c r="A429" s="13" t="s">
        <v>659</v>
      </c>
      <c r="B429" s="13"/>
      <c r="C429" s="13" t="s">
        <v>62</v>
      </c>
      <c r="D429" s="13"/>
      <c r="E429" s="32">
        <v>49916</v>
      </c>
      <c r="F429" s="26"/>
      <c r="G429" s="26">
        <v>2698057</v>
      </c>
      <c r="H429" s="26"/>
      <c r="I429" s="26">
        <v>0</v>
      </c>
      <c r="J429" s="26"/>
      <c r="K429" s="26">
        <f>100+11081907+431625</f>
        <v>11513632</v>
      </c>
      <c r="L429" s="26"/>
      <c r="M429" s="26">
        <v>425517</v>
      </c>
      <c r="N429" s="26"/>
      <c r="O429" s="26">
        <v>465449</v>
      </c>
      <c r="P429" s="26"/>
      <c r="Q429" s="26">
        <v>167450</v>
      </c>
      <c r="R429" s="26"/>
      <c r="S429" s="26">
        <v>0</v>
      </c>
      <c r="T429" s="26"/>
      <c r="U429" s="26">
        <v>0</v>
      </c>
      <c r="V429" s="26"/>
      <c r="W429" s="26">
        <f>56429+30083+209445</f>
        <v>295957</v>
      </c>
      <c r="X429" s="26"/>
      <c r="Y429" s="51">
        <f t="shared" si="37"/>
        <v>15566062</v>
      </c>
      <c r="Z429" s="26"/>
      <c r="AA429" s="26">
        <v>15684</v>
      </c>
      <c r="AB429" s="26"/>
      <c r="AC429" s="26"/>
      <c r="AD429" s="26"/>
      <c r="AE429" s="26">
        <v>0</v>
      </c>
      <c r="AF429" s="26"/>
      <c r="AG429" s="26"/>
      <c r="AH429" s="26"/>
      <c r="AI429" s="26"/>
      <c r="AJ429" s="26"/>
      <c r="AK429" s="26">
        <v>8660</v>
      </c>
      <c r="AL429" s="26"/>
      <c r="AM429" s="26">
        <v>0</v>
      </c>
      <c r="AN429" s="26"/>
      <c r="AO429" s="51">
        <f t="shared" si="35"/>
        <v>24344</v>
      </c>
      <c r="AP429" s="26"/>
      <c r="AQ429" s="51">
        <f t="shared" si="33"/>
        <v>15590406</v>
      </c>
    </row>
    <row r="430" spans="1:43">
      <c r="A430" s="13" t="s">
        <v>737</v>
      </c>
      <c r="B430" s="13"/>
      <c r="C430" s="13" t="s">
        <v>72</v>
      </c>
      <c r="D430" s="13"/>
      <c r="E430" s="32">
        <v>50724</v>
      </c>
      <c r="F430" s="26"/>
      <c r="G430" s="26">
        <v>5316308</v>
      </c>
      <c r="H430" s="26"/>
      <c r="I430" s="26">
        <v>2301665</v>
      </c>
      <c r="J430" s="26"/>
      <c r="K430" s="26">
        <v>7602448</v>
      </c>
      <c r="L430" s="26"/>
      <c r="M430" s="26">
        <v>41198</v>
      </c>
      <c r="N430" s="26"/>
      <c r="O430" s="26">
        <v>620481</v>
      </c>
      <c r="P430" s="26"/>
      <c r="Q430" s="26">
        <v>145785</v>
      </c>
      <c r="R430" s="26"/>
      <c r="S430" s="26">
        <v>0</v>
      </c>
      <c r="T430" s="26"/>
      <c r="U430" s="26">
        <v>6786</v>
      </c>
      <c r="V430" s="26"/>
      <c r="W430" s="26">
        <f>137748+408374</f>
        <v>546122</v>
      </c>
      <c r="X430" s="26"/>
      <c r="Y430" s="51">
        <f t="shared" si="37"/>
        <v>16580793</v>
      </c>
      <c r="Z430" s="26"/>
      <c r="AA430" s="26">
        <v>35000</v>
      </c>
      <c r="AB430" s="26"/>
      <c r="AC430" s="26"/>
      <c r="AD430" s="26"/>
      <c r="AE430" s="26">
        <v>0</v>
      </c>
      <c r="AF430" s="26"/>
      <c r="AG430" s="26"/>
      <c r="AH430" s="26"/>
      <c r="AI430" s="26"/>
      <c r="AJ430" s="26"/>
      <c r="AK430" s="26">
        <v>0</v>
      </c>
      <c r="AL430" s="26"/>
      <c r="AM430" s="26">
        <v>0</v>
      </c>
      <c r="AN430" s="26"/>
      <c r="AO430" s="51">
        <f t="shared" si="35"/>
        <v>35000</v>
      </c>
      <c r="AP430" s="26"/>
      <c r="AQ430" s="51">
        <f t="shared" si="33"/>
        <v>16615793</v>
      </c>
    </row>
    <row r="431" spans="1:43">
      <c r="A431" s="13" t="s">
        <v>499</v>
      </c>
      <c r="B431" s="13"/>
      <c r="C431" s="13" t="s">
        <v>117</v>
      </c>
      <c r="D431" s="13"/>
      <c r="E431" s="32">
        <v>48215</v>
      </c>
      <c r="F431" s="26"/>
      <c r="G431" s="26">
        <v>9976494</v>
      </c>
      <c r="H431" s="26"/>
      <c r="I431" s="26">
        <v>0</v>
      </c>
      <c r="J431" s="26"/>
      <c r="K431" s="26">
        <f>3663153+224071</f>
        <v>3887224</v>
      </c>
      <c r="L431" s="26"/>
      <c r="M431" s="26">
        <v>249324</v>
      </c>
      <c r="N431" s="26"/>
      <c r="O431" s="26">
        <v>82751</v>
      </c>
      <c r="P431" s="26"/>
      <c r="Q431" s="26">
        <v>227635</v>
      </c>
      <c r="R431" s="26"/>
      <c r="S431" s="26">
        <v>0</v>
      </c>
      <c r="T431" s="26"/>
      <c r="U431" s="26">
        <v>0</v>
      </c>
      <c r="V431" s="26"/>
      <c r="W431" s="26">
        <f>190757+77616+2224</f>
        <v>270597</v>
      </c>
      <c r="X431" s="26"/>
      <c r="Y431" s="51">
        <f t="shared" si="37"/>
        <v>14694025</v>
      </c>
      <c r="Z431" s="26"/>
      <c r="AA431" s="26">
        <v>168050</v>
      </c>
      <c r="AB431" s="26"/>
      <c r="AC431" s="26"/>
      <c r="AD431" s="26"/>
      <c r="AE431" s="26">
        <v>0</v>
      </c>
      <c r="AF431" s="26"/>
      <c r="AG431" s="26"/>
      <c r="AH431" s="26"/>
      <c r="AI431" s="26"/>
      <c r="AJ431" s="26"/>
      <c r="AK431" s="26">
        <v>20746</v>
      </c>
      <c r="AL431" s="26"/>
      <c r="AM431" s="26">
        <v>0</v>
      </c>
      <c r="AN431" s="26"/>
      <c r="AO431" s="51">
        <f t="shared" si="35"/>
        <v>188796</v>
      </c>
      <c r="AP431" s="26"/>
      <c r="AQ431" s="51">
        <f t="shared" si="33"/>
        <v>14882821</v>
      </c>
    </row>
    <row r="432" spans="1:43" hidden="1">
      <c r="A432" s="13" t="s">
        <v>1047</v>
      </c>
      <c r="B432" s="13"/>
      <c r="C432" s="13" t="s">
        <v>603</v>
      </c>
      <c r="D432" s="13"/>
      <c r="E432" s="32">
        <v>49379</v>
      </c>
      <c r="F432" s="26"/>
      <c r="G432" s="26"/>
      <c r="H432" s="26"/>
      <c r="I432" s="26">
        <v>0</v>
      </c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51">
        <f t="shared" ref="Y432:Y485" si="38">SUM(G432:W432)</f>
        <v>0</v>
      </c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>
        <v>0</v>
      </c>
      <c r="AN432" s="26"/>
      <c r="AO432" s="51">
        <f t="shared" si="35"/>
        <v>0</v>
      </c>
      <c r="AP432" s="26"/>
      <c r="AQ432" s="51">
        <f t="shared" si="33"/>
        <v>0</v>
      </c>
    </row>
    <row r="433" spans="1:44" hidden="1">
      <c r="A433" s="13" t="s">
        <v>1046</v>
      </c>
      <c r="B433" s="13"/>
      <c r="C433" s="13" t="s">
        <v>603</v>
      </c>
      <c r="D433" s="13"/>
      <c r="E433" s="32">
        <v>49387</v>
      </c>
      <c r="F433" s="26"/>
      <c r="G433" s="26"/>
      <c r="H433" s="26"/>
      <c r="I433" s="26">
        <v>0</v>
      </c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51">
        <f t="shared" si="38"/>
        <v>0</v>
      </c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>
        <v>0</v>
      </c>
      <c r="AN433" s="26"/>
      <c r="AO433" s="51">
        <f t="shared" si="35"/>
        <v>0</v>
      </c>
      <c r="AP433" s="26"/>
      <c r="AQ433" s="51">
        <f t="shared" si="33"/>
        <v>0</v>
      </c>
    </row>
    <row r="434" spans="1:44">
      <c r="A434" s="13" t="s">
        <v>461</v>
      </c>
      <c r="B434" s="13"/>
      <c r="C434" s="13" t="s">
        <v>41</v>
      </c>
      <c r="D434" s="13"/>
      <c r="E434" s="32">
        <v>44628</v>
      </c>
      <c r="F434" s="26"/>
      <c r="G434" s="26">
        <v>10684658</v>
      </c>
      <c r="H434" s="26"/>
      <c r="I434" s="26">
        <v>0</v>
      </c>
      <c r="J434" s="26"/>
      <c r="K434" s="26">
        <v>36528429</v>
      </c>
      <c r="L434" s="26"/>
      <c r="M434" s="26">
        <v>746239</v>
      </c>
      <c r="N434" s="26"/>
      <c r="O434" s="26">
        <v>809439</v>
      </c>
      <c r="P434" s="26"/>
      <c r="Q434" s="26">
        <v>111159</v>
      </c>
      <c r="R434" s="26"/>
      <c r="S434" s="26">
        <v>0</v>
      </c>
      <c r="T434" s="26"/>
      <c r="U434" s="26">
        <v>0</v>
      </c>
      <c r="V434" s="26"/>
      <c r="W434" s="26">
        <f>192547+487371</f>
        <v>679918</v>
      </c>
      <c r="X434" s="26"/>
      <c r="Y434" s="51">
        <f t="shared" si="38"/>
        <v>49559842</v>
      </c>
      <c r="Z434" s="26"/>
      <c r="AA434" s="26">
        <v>408577</v>
      </c>
      <c r="AB434" s="26"/>
      <c r="AC434" s="26"/>
      <c r="AD434" s="26"/>
      <c r="AE434" s="26">
        <v>0</v>
      </c>
      <c r="AF434" s="26"/>
      <c r="AG434" s="26"/>
      <c r="AH434" s="26"/>
      <c r="AI434" s="26"/>
      <c r="AJ434" s="26"/>
      <c r="AK434" s="26">
        <v>10000</v>
      </c>
      <c r="AL434" s="26"/>
      <c r="AM434" s="26">
        <v>0</v>
      </c>
      <c r="AN434" s="26"/>
      <c r="AO434" s="51">
        <f t="shared" si="35"/>
        <v>418577</v>
      </c>
      <c r="AP434" s="26"/>
      <c r="AQ434" s="51">
        <f t="shared" si="33"/>
        <v>49978419</v>
      </c>
    </row>
    <row r="435" spans="1:44" hidden="1">
      <c r="A435" s="12" t="s">
        <v>1003</v>
      </c>
      <c r="B435" s="13"/>
      <c r="C435" s="13" t="s">
        <v>41</v>
      </c>
      <c r="D435" s="13"/>
      <c r="E435" s="32">
        <v>47894</v>
      </c>
      <c r="F435" s="26"/>
      <c r="G435" s="26"/>
      <c r="H435" s="26"/>
      <c r="I435" s="26">
        <v>0</v>
      </c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51">
        <f t="shared" si="38"/>
        <v>0</v>
      </c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>
        <v>0</v>
      </c>
      <c r="AN435" s="26"/>
      <c r="AO435" s="51">
        <f t="shared" si="35"/>
        <v>0</v>
      </c>
      <c r="AP435" s="26"/>
      <c r="AQ435" s="51">
        <f t="shared" si="33"/>
        <v>0</v>
      </c>
      <c r="AR435" s="8" t="s">
        <v>1029</v>
      </c>
    </row>
    <row r="436" spans="1:44">
      <c r="A436" s="13" t="s">
        <v>619</v>
      </c>
      <c r="B436" s="13"/>
      <c r="C436" s="13" t="s">
        <v>58</v>
      </c>
      <c r="D436" s="13"/>
      <c r="E436" s="32">
        <v>49510</v>
      </c>
      <c r="F436" s="26"/>
      <c r="G436" s="26">
        <v>1711223</v>
      </c>
      <c r="H436" s="26"/>
      <c r="I436" s="26">
        <v>0</v>
      </c>
      <c r="J436" s="26"/>
      <c r="K436" s="26">
        <v>8699341</v>
      </c>
      <c r="L436" s="26"/>
      <c r="M436" s="26">
        <v>73766</v>
      </c>
      <c r="N436" s="26"/>
      <c r="O436" s="26">
        <v>555489</v>
      </c>
      <c r="P436" s="26"/>
      <c r="Q436" s="26">
        <v>136339</v>
      </c>
      <c r="R436" s="26"/>
      <c r="S436" s="26">
        <v>0</v>
      </c>
      <c r="T436" s="26"/>
      <c r="U436" s="26">
        <v>13353</v>
      </c>
      <c r="V436" s="26"/>
      <c r="W436" s="26">
        <f>18718+86626+740</f>
        <v>106084</v>
      </c>
      <c r="X436" s="26"/>
      <c r="Y436" s="51">
        <f t="shared" si="38"/>
        <v>11295595</v>
      </c>
      <c r="Z436" s="26"/>
      <c r="AA436" s="26">
        <v>16881</v>
      </c>
      <c r="AB436" s="26"/>
      <c r="AC436" s="26"/>
      <c r="AD436" s="26"/>
      <c r="AE436" s="26">
        <v>0</v>
      </c>
      <c r="AF436" s="26"/>
      <c r="AG436" s="26"/>
      <c r="AH436" s="26"/>
      <c r="AI436" s="26"/>
      <c r="AJ436" s="26"/>
      <c r="AK436" s="26">
        <v>0</v>
      </c>
      <c r="AL436" s="26"/>
      <c r="AM436" s="26">
        <v>0</v>
      </c>
      <c r="AN436" s="26"/>
      <c r="AO436" s="51">
        <f t="shared" si="35"/>
        <v>16881</v>
      </c>
      <c r="AP436" s="26"/>
      <c r="AQ436" s="51">
        <f t="shared" si="33"/>
        <v>11312476</v>
      </c>
      <c r="AR436" s="8" t="s">
        <v>956</v>
      </c>
    </row>
    <row r="437" spans="1:44" hidden="1">
      <c r="A437" s="12" t="s">
        <v>1004</v>
      </c>
      <c r="B437" s="13"/>
      <c r="C437" s="13" t="s">
        <v>603</v>
      </c>
      <c r="D437" s="13"/>
      <c r="E437" s="32">
        <v>49395</v>
      </c>
      <c r="F437" s="26"/>
      <c r="G437" s="26"/>
      <c r="H437" s="26"/>
      <c r="I437" s="26">
        <v>0</v>
      </c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51">
        <f t="shared" si="38"/>
        <v>0</v>
      </c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>
        <v>0</v>
      </c>
      <c r="AN437" s="26"/>
      <c r="AO437" s="51">
        <f t="shared" si="35"/>
        <v>0</v>
      </c>
      <c r="AP437" s="26"/>
      <c r="AQ437" s="51">
        <f t="shared" si="33"/>
        <v>0</v>
      </c>
    </row>
    <row r="438" spans="1:44" hidden="1">
      <c r="A438" s="12" t="s">
        <v>1005</v>
      </c>
      <c r="B438" s="13"/>
      <c r="C438" s="13" t="s">
        <v>534</v>
      </c>
      <c r="D438" s="13"/>
      <c r="E438" s="32">
        <v>48579</v>
      </c>
      <c r="F438" s="26"/>
      <c r="G438" s="26">
        <v>2731218</v>
      </c>
      <c r="H438" s="26"/>
      <c r="I438" s="26">
        <v>1104878</v>
      </c>
      <c r="J438" s="26"/>
      <c r="K438" s="26">
        <v>6783489</v>
      </c>
      <c r="L438" s="26"/>
      <c r="M438" s="26">
        <v>85675</v>
      </c>
      <c r="N438" s="26"/>
      <c r="O438" s="26">
        <v>496139</v>
      </c>
      <c r="P438" s="26"/>
      <c r="Q438" s="26">
        <v>173360</v>
      </c>
      <c r="R438" s="26"/>
      <c r="S438" s="26">
        <v>2500</v>
      </c>
      <c r="T438" s="26"/>
      <c r="U438" s="26">
        <v>17761</v>
      </c>
      <c r="V438" s="26"/>
      <c r="W438" s="26">
        <f>40327+354079+1705</f>
        <v>396111</v>
      </c>
      <c r="X438" s="26"/>
      <c r="Y438" s="51">
        <f t="shared" si="38"/>
        <v>11791131</v>
      </c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>
        <v>0</v>
      </c>
      <c r="AN438" s="26"/>
      <c r="AO438" s="51">
        <f t="shared" si="35"/>
        <v>0</v>
      </c>
      <c r="AP438" s="26"/>
      <c r="AQ438" s="51">
        <f t="shared" si="33"/>
        <v>11791131</v>
      </c>
    </row>
    <row r="439" spans="1:44">
      <c r="A439" s="13" t="s">
        <v>317</v>
      </c>
      <c r="B439" s="13"/>
      <c r="C439" s="13" t="s">
        <v>20</v>
      </c>
      <c r="D439" s="13"/>
      <c r="E439" s="32">
        <v>44636</v>
      </c>
      <c r="F439" s="26"/>
      <c r="G439" s="26">
        <v>88641182</v>
      </c>
      <c r="H439" s="26"/>
      <c r="I439" s="26">
        <v>0</v>
      </c>
      <c r="J439" s="26"/>
      <c r="K439" s="26">
        <v>50991513</v>
      </c>
      <c r="L439" s="26"/>
      <c r="M439" s="26">
        <v>447950</v>
      </c>
      <c r="N439" s="26"/>
      <c r="O439" s="26">
        <v>2313978</v>
      </c>
      <c r="P439" s="26"/>
      <c r="Q439" s="26">
        <v>1042735</v>
      </c>
      <c r="R439" s="26"/>
      <c r="S439" s="26">
        <v>0</v>
      </c>
      <c r="T439" s="26"/>
      <c r="U439" s="26">
        <v>191206</v>
      </c>
      <c r="V439" s="26"/>
      <c r="W439" s="26">
        <f>1666735+2258646+305857</f>
        <v>4231238</v>
      </c>
      <c r="X439" s="26"/>
      <c r="Y439" s="51">
        <f t="shared" si="38"/>
        <v>147859802</v>
      </c>
      <c r="Z439" s="26"/>
      <c r="AA439" s="26">
        <v>313246</v>
      </c>
      <c r="AB439" s="26"/>
      <c r="AC439" s="26"/>
      <c r="AD439" s="26"/>
      <c r="AE439" s="26">
        <v>137000</v>
      </c>
      <c r="AF439" s="26"/>
      <c r="AG439" s="26"/>
      <c r="AH439" s="26"/>
      <c r="AI439" s="26"/>
      <c r="AJ439" s="26"/>
      <c r="AK439" s="26">
        <v>16567</v>
      </c>
      <c r="AL439" s="26"/>
      <c r="AM439" s="26">
        <v>0</v>
      </c>
      <c r="AN439" s="26"/>
      <c r="AO439" s="51">
        <f t="shared" si="35"/>
        <v>466813</v>
      </c>
      <c r="AP439" s="26"/>
      <c r="AQ439" s="51">
        <f t="shared" ref="AQ439:AQ505" si="39">Y439+AO439</f>
        <v>148326615</v>
      </c>
    </row>
    <row r="440" spans="1:44">
      <c r="A440" s="13"/>
      <c r="B440" s="13"/>
      <c r="C440" s="13"/>
      <c r="D440" s="13"/>
      <c r="E440" s="32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51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51"/>
      <c r="AP440" s="26"/>
      <c r="AQ440" s="51"/>
    </row>
    <row r="441" spans="1:44">
      <c r="A441" s="13"/>
      <c r="B441" s="13"/>
      <c r="C441" s="13"/>
      <c r="D441" s="13"/>
      <c r="E441" s="32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51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51"/>
      <c r="AP441" s="26"/>
      <c r="AQ441" s="135" t="s">
        <v>805</v>
      </c>
    </row>
    <row r="442" spans="1:44">
      <c r="A442" s="13"/>
      <c r="B442" s="13"/>
      <c r="C442" s="13"/>
      <c r="D442" s="13"/>
      <c r="E442" s="32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51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51"/>
      <c r="AP442" s="26"/>
      <c r="AQ442" s="51"/>
    </row>
    <row r="443" spans="1:44">
      <c r="A443" s="13" t="s">
        <v>433</v>
      </c>
      <c r="B443" s="13"/>
      <c r="C443" s="13" t="s">
        <v>34</v>
      </c>
      <c r="D443" s="13"/>
      <c r="E443" s="32">
        <v>47597</v>
      </c>
      <c r="F443" s="26"/>
      <c r="G443" s="43">
        <v>2941228</v>
      </c>
      <c r="H443" s="43"/>
      <c r="I443" s="43">
        <v>1801622</v>
      </c>
      <c r="J443" s="43"/>
      <c r="K443" s="43">
        <v>6243309</v>
      </c>
      <c r="L443" s="43"/>
      <c r="M443" s="43">
        <v>29793</v>
      </c>
      <c r="N443" s="43"/>
      <c r="O443" s="43">
        <v>388107</v>
      </c>
      <c r="P443" s="43"/>
      <c r="Q443" s="43">
        <v>223138</v>
      </c>
      <c r="R443" s="43"/>
      <c r="S443" s="43">
        <v>0</v>
      </c>
      <c r="T443" s="43"/>
      <c r="U443" s="43">
        <v>0</v>
      </c>
      <c r="V443" s="43"/>
      <c r="W443" s="43">
        <f>121568+285674+1524</f>
        <v>408766</v>
      </c>
      <c r="X443" s="43"/>
      <c r="Y443" s="129">
        <f t="shared" si="38"/>
        <v>12035963</v>
      </c>
      <c r="Z443" s="43"/>
      <c r="AA443" s="43">
        <v>79236</v>
      </c>
      <c r="AB443" s="43"/>
      <c r="AC443" s="43"/>
      <c r="AD443" s="43"/>
      <c r="AE443" s="43">
        <v>38960</v>
      </c>
      <c r="AF443" s="43"/>
      <c r="AG443" s="43"/>
      <c r="AH443" s="43"/>
      <c r="AI443" s="43"/>
      <c r="AJ443" s="43"/>
      <c r="AK443" s="43">
        <v>16520</v>
      </c>
      <c r="AL443" s="43"/>
      <c r="AM443" s="43">
        <v>0</v>
      </c>
      <c r="AN443" s="43"/>
      <c r="AO443" s="129">
        <f t="shared" si="35"/>
        <v>134716</v>
      </c>
      <c r="AP443" s="43"/>
      <c r="AQ443" s="129">
        <f t="shared" si="39"/>
        <v>12170679</v>
      </c>
    </row>
    <row r="444" spans="1:44" hidden="1">
      <c r="A444" s="12" t="s">
        <v>1007</v>
      </c>
      <c r="B444" s="13"/>
      <c r="C444" s="13" t="s">
        <v>576</v>
      </c>
      <c r="D444" s="13"/>
      <c r="E444" s="32">
        <v>45575</v>
      </c>
      <c r="F444" s="26"/>
      <c r="G444" s="26">
        <v>3709463</v>
      </c>
      <c r="H444" s="26"/>
      <c r="I444" s="26">
        <v>1720822</v>
      </c>
      <c r="J444" s="26"/>
      <c r="K444" s="26">
        <v>11146960</v>
      </c>
      <c r="L444" s="26"/>
      <c r="M444" s="26">
        <v>62929</v>
      </c>
      <c r="N444" s="26"/>
      <c r="O444" s="26">
        <v>87051</v>
      </c>
      <c r="P444" s="26"/>
      <c r="Q444" s="26">
        <v>132889</v>
      </c>
      <c r="R444" s="26"/>
      <c r="S444" s="26">
        <v>9625</v>
      </c>
      <c r="T444" s="26"/>
      <c r="U444" s="26">
        <v>12550</v>
      </c>
      <c r="V444" s="26"/>
      <c r="W444" s="26">
        <f>127739+361993</f>
        <v>489732</v>
      </c>
      <c r="X444" s="26"/>
      <c r="Y444" s="51">
        <f t="shared" si="38"/>
        <v>17372021</v>
      </c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>
        <v>0</v>
      </c>
      <c r="AN444" s="26"/>
      <c r="AO444" s="51">
        <f t="shared" si="35"/>
        <v>0</v>
      </c>
      <c r="AP444" s="26"/>
      <c r="AQ444" s="51">
        <f t="shared" si="39"/>
        <v>17372021</v>
      </c>
    </row>
    <row r="445" spans="1:44">
      <c r="A445" s="13" t="s">
        <v>340</v>
      </c>
      <c r="B445" s="13"/>
      <c r="C445" s="13" t="s">
        <v>24</v>
      </c>
      <c r="D445" s="13"/>
      <c r="E445" s="32">
        <v>46813</v>
      </c>
      <c r="F445" s="26"/>
      <c r="G445" s="26">
        <v>13371903</v>
      </c>
      <c r="H445" s="26"/>
      <c r="I445" s="26">
        <v>0</v>
      </c>
      <c r="J445" s="26"/>
      <c r="K445" s="26">
        <f>7865421+929827</f>
        <v>8795248</v>
      </c>
      <c r="L445" s="26"/>
      <c r="M445" s="26">
        <v>134029</v>
      </c>
      <c r="N445" s="26"/>
      <c r="O445" s="26">
        <v>1405000</v>
      </c>
      <c r="P445" s="26"/>
      <c r="Q445" s="26">
        <v>246527</v>
      </c>
      <c r="R445" s="26"/>
      <c r="S445" s="26">
        <v>0</v>
      </c>
      <c r="T445" s="26"/>
      <c r="U445" s="26">
        <v>0</v>
      </c>
      <c r="V445" s="26"/>
      <c r="W445" s="26">
        <f>274242+102972+667371+11393</f>
        <v>1055978</v>
      </c>
      <c r="X445" s="26"/>
      <c r="Y445" s="51">
        <f t="shared" si="38"/>
        <v>25008685</v>
      </c>
      <c r="Z445" s="26"/>
      <c r="AA445" s="26">
        <v>388572</v>
      </c>
      <c r="AB445" s="26"/>
      <c r="AC445" s="26"/>
      <c r="AD445" s="26"/>
      <c r="AE445" s="26">
        <v>2374148</v>
      </c>
      <c r="AF445" s="26"/>
      <c r="AG445" s="26"/>
      <c r="AH445" s="26"/>
      <c r="AI445" s="26"/>
      <c r="AJ445" s="26"/>
      <c r="AK445" s="26">
        <v>0</v>
      </c>
      <c r="AL445" s="26"/>
      <c r="AM445" s="26">
        <v>0</v>
      </c>
      <c r="AN445" s="26"/>
      <c r="AO445" s="51">
        <f t="shared" si="35"/>
        <v>2762720</v>
      </c>
      <c r="AP445" s="26"/>
      <c r="AQ445" s="51">
        <f t="shared" si="39"/>
        <v>27771405</v>
      </c>
    </row>
    <row r="446" spans="1:44" hidden="1">
      <c r="A446" s="12" t="s">
        <v>1008</v>
      </c>
      <c r="B446" s="12"/>
      <c r="C446" s="12" t="s">
        <v>10</v>
      </c>
      <c r="D446" s="13"/>
      <c r="E446" s="32"/>
      <c r="F446" s="26"/>
      <c r="G446" s="26">
        <v>3007117</v>
      </c>
      <c r="H446" s="26"/>
      <c r="I446" s="26"/>
      <c r="J446" s="26"/>
      <c r="K446" s="26">
        <v>3135255</v>
      </c>
      <c r="L446" s="26"/>
      <c r="M446" s="26">
        <v>69091</v>
      </c>
      <c r="N446" s="26"/>
      <c r="O446" s="26">
        <v>1616651</v>
      </c>
      <c r="P446" s="26"/>
      <c r="Q446" s="26">
        <v>70900</v>
      </c>
      <c r="R446" s="26"/>
      <c r="S446" s="26"/>
      <c r="T446" s="26"/>
      <c r="U446" s="26">
        <v>18212</v>
      </c>
      <c r="V446" s="26"/>
      <c r="W446" s="26">
        <f>147263+23754</f>
        <v>171017</v>
      </c>
      <c r="X446" s="26"/>
      <c r="Y446" s="51">
        <f t="shared" si="38"/>
        <v>8088243</v>
      </c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51"/>
      <c r="AP446" s="26"/>
      <c r="AQ446" s="51">
        <f t="shared" si="39"/>
        <v>8088243</v>
      </c>
    </row>
    <row r="447" spans="1:44">
      <c r="A447" s="13" t="s">
        <v>211</v>
      </c>
      <c r="B447" s="13"/>
      <c r="C447" s="13" t="s">
        <v>41</v>
      </c>
      <c r="D447" s="13"/>
      <c r="E447" s="32">
        <v>47902</v>
      </c>
      <c r="F447" s="26"/>
      <c r="G447" s="26">
        <v>14466126</v>
      </c>
      <c r="H447" s="26"/>
      <c r="I447" s="26">
        <v>0</v>
      </c>
      <c r="J447" s="26"/>
      <c r="K447" s="26">
        <v>12636433</v>
      </c>
      <c r="L447" s="26"/>
      <c r="M447" s="26">
        <v>16217</v>
      </c>
      <c r="N447" s="26"/>
      <c r="O447" s="26">
        <v>772699</v>
      </c>
      <c r="P447" s="26"/>
      <c r="Q447" s="26">
        <v>267742</v>
      </c>
      <c r="R447" s="26"/>
      <c r="S447" s="26">
        <v>0</v>
      </c>
      <c r="T447" s="26"/>
      <c r="U447" s="26">
        <v>0</v>
      </c>
      <c r="V447" s="26"/>
      <c r="W447" s="26">
        <f>864005+571348+13951+28140+112134</f>
        <v>1589578</v>
      </c>
      <c r="X447" s="26"/>
      <c r="Y447" s="51">
        <f t="shared" si="38"/>
        <v>29748795</v>
      </c>
      <c r="Z447" s="26"/>
      <c r="AA447" s="26">
        <v>2618500</v>
      </c>
      <c r="AB447" s="26"/>
      <c r="AC447" s="26"/>
      <c r="AD447" s="26"/>
      <c r="AE447" s="26">
        <v>0</v>
      </c>
      <c r="AF447" s="26"/>
      <c r="AG447" s="26"/>
      <c r="AH447" s="26"/>
      <c r="AI447" s="26"/>
      <c r="AJ447" s="26"/>
      <c r="AK447" s="26">
        <v>0</v>
      </c>
      <c r="AL447" s="26"/>
      <c r="AM447" s="26">
        <v>0</v>
      </c>
      <c r="AN447" s="26"/>
      <c r="AO447" s="51">
        <f t="shared" ref="AO447:AO493" si="40">AK447+AE447+AA447</f>
        <v>2618500</v>
      </c>
      <c r="AP447" s="26"/>
      <c r="AQ447" s="51">
        <f t="shared" si="39"/>
        <v>32367295</v>
      </c>
    </row>
    <row r="448" spans="1:44">
      <c r="A448" s="13" t="s">
        <v>211</v>
      </c>
      <c r="B448" s="13"/>
      <c r="C448" s="13" t="s">
        <v>62</v>
      </c>
      <c r="D448" s="13"/>
      <c r="E448" s="32">
        <v>49924</v>
      </c>
      <c r="F448" s="26"/>
      <c r="G448" s="26">
        <v>19602787</v>
      </c>
      <c r="H448" s="26"/>
      <c r="I448" s="26">
        <v>0</v>
      </c>
      <c r="J448" s="26"/>
      <c r="K448" s="26">
        <v>23607928</v>
      </c>
      <c r="L448" s="26"/>
      <c r="M448" s="26">
        <v>599623</v>
      </c>
      <c r="N448" s="26"/>
      <c r="O448" s="26">
        <v>1839777</v>
      </c>
      <c r="P448" s="26"/>
      <c r="Q448" s="26">
        <v>508095</v>
      </c>
      <c r="R448" s="26"/>
      <c r="S448" s="26">
        <v>0</v>
      </c>
      <c r="T448" s="26"/>
      <c r="U448" s="26">
        <v>114352</v>
      </c>
      <c r="V448" s="26"/>
      <c r="W448" s="26">
        <f>371376+952843+20744</f>
        <v>1344963</v>
      </c>
      <c r="X448" s="26"/>
      <c r="Y448" s="51">
        <f t="shared" si="38"/>
        <v>47617525</v>
      </c>
      <c r="Z448" s="26"/>
      <c r="AA448" s="26">
        <v>0</v>
      </c>
      <c r="AB448" s="26"/>
      <c r="AC448" s="26"/>
      <c r="AD448" s="26"/>
      <c r="AE448" s="26">
        <v>0</v>
      </c>
      <c r="AF448" s="26"/>
      <c r="AG448" s="26"/>
      <c r="AH448" s="26"/>
      <c r="AI448" s="26"/>
      <c r="AJ448" s="26"/>
      <c r="AK448" s="26">
        <v>15358</v>
      </c>
      <c r="AL448" s="26"/>
      <c r="AM448" s="26">
        <v>0</v>
      </c>
      <c r="AN448" s="26"/>
      <c r="AO448" s="51">
        <f t="shared" si="40"/>
        <v>15358</v>
      </c>
      <c r="AP448" s="26"/>
      <c r="AQ448" s="51">
        <f t="shared" si="39"/>
        <v>47632883</v>
      </c>
    </row>
    <row r="449" spans="1:44">
      <c r="A449" s="13" t="s">
        <v>738</v>
      </c>
      <c r="B449" s="13"/>
      <c r="C449" s="13" t="s">
        <v>72</v>
      </c>
      <c r="D449" s="13"/>
      <c r="E449" s="13">
        <v>45583</v>
      </c>
      <c r="F449" s="26"/>
      <c r="G449" s="26">
        <v>28902186</v>
      </c>
      <c r="H449" s="26"/>
      <c r="I449" s="26">
        <v>0</v>
      </c>
      <c r="J449" s="26"/>
      <c r="K449" s="26">
        <v>15118759</v>
      </c>
      <c r="L449" s="26"/>
      <c r="M449" s="26">
        <v>144448</v>
      </c>
      <c r="N449" s="26"/>
      <c r="O449" s="26">
        <v>185032</v>
      </c>
      <c r="P449" s="26"/>
      <c r="Q449" s="26">
        <v>0</v>
      </c>
      <c r="R449" s="26"/>
      <c r="S449" s="26">
        <v>0</v>
      </c>
      <c r="T449" s="26"/>
      <c r="U449" s="26">
        <v>0</v>
      </c>
      <c r="V449" s="26"/>
      <c r="W449" s="26">
        <v>1873966</v>
      </c>
      <c r="X449" s="26"/>
      <c r="Y449" s="51">
        <f t="shared" si="38"/>
        <v>46224391</v>
      </c>
      <c r="Z449" s="26"/>
      <c r="AA449" s="26">
        <v>447892</v>
      </c>
      <c r="AB449" s="26"/>
      <c r="AC449" s="26"/>
      <c r="AD449" s="26"/>
      <c r="AE449" s="26">
        <v>0</v>
      </c>
      <c r="AF449" s="26"/>
      <c r="AG449" s="26"/>
      <c r="AH449" s="26"/>
      <c r="AI449" s="26"/>
      <c r="AJ449" s="26"/>
      <c r="AK449" s="26">
        <v>3645</v>
      </c>
      <c r="AL449" s="26"/>
      <c r="AM449" s="26">
        <v>0</v>
      </c>
      <c r="AN449" s="26"/>
      <c r="AO449" s="51">
        <f t="shared" si="40"/>
        <v>451537</v>
      </c>
      <c r="AP449" s="26"/>
      <c r="AQ449" s="51">
        <f t="shared" si="39"/>
        <v>46675928</v>
      </c>
    </row>
    <row r="450" spans="1:44">
      <c r="A450" s="13" t="s">
        <v>371</v>
      </c>
      <c r="B450" s="13"/>
      <c r="C450" s="13" t="s">
        <v>28</v>
      </c>
      <c r="D450" s="13"/>
      <c r="E450" s="32">
        <v>47076</v>
      </c>
      <c r="F450" s="26"/>
      <c r="G450" s="26">
        <v>1350254</v>
      </c>
      <c r="H450" s="26"/>
      <c r="I450" s="26">
        <v>414306</v>
      </c>
      <c r="J450" s="26"/>
      <c r="K450" s="26">
        <v>4390233</v>
      </c>
      <c r="L450" s="26"/>
      <c r="M450" s="26">
        <v>58408</v>
      </c>
      <c r="N450" s="26"/>
      <c r="O450" s="26">
        <v>927660</v>
      </c>
      <c r="P450" s="26"/>
      <c r="Q450" s="26">
        <v>163939</v>
      </c>
      <c r="R450" s="26"/>
      <c r="S450" s="26">
        <v>0</v>
      </c>
      <c r="T450" s="26"/>
      <c r="U450" s="26">
        <v>28392</v>
      </c>
      <c r="V450" s="26"/>
      <c r="W450" s="26">
        <f>2304+169968</f>
        <v>172272</v>
      </c>
      <c r="X450" s="26"/>
      <c r="Y450" s="51">
        <f t="shared" si="38"/>
        <v>7505464</v>
      </c>
      <c r="Z450" s="26"/>
      <c r="AA450" s="26">
        <v>4830000</v>
      </c>
      <c r="AB450" s="26"/>
      <c r="AC450" s="26"/>
      <c r="AD450" s="26"/>
      <c r="AE450" s="26">
        <f>4831328+4830000</f>
        <v>9661328</v>
      </c>
      <c r="AF450" s="26"/>
      <c r="AG450" s="26"/>
      <c r="AH450" s="26"/>
      <c r="AI450" s="26"/>
      <c r="AJ450" s="26"/>
      <c r="AK450" s="26">
        <v>0</v>
      </c>
      <c r="AL450" s="26"/>
      <c r="AM450" s="26">
        <v>0</v>
      </c>
      <c r="AN450" s="26"/>
      <c r="AO450" s="51">
        <f t="shared" si="40"/>
        <v>14491328</v>
      </c>
      <c r="AP450" s="26"/>
      <c r="AQ450" s="51">
        <f t="shared" si="39"/>
        <v>21996792</v>
      </c>
      <c r="AR450" s="8" t="s">
        <v>956</v>
      </c>
    </row>
    <row r="451" spans="1:44">
      <c r="A451" s="13" t="s">
        <v>349</v>
      </c>
      <c r="B451" s="13"/>
      <c r="C451" s="13" t="s">
        <v>25</v>
      </c>
      <c r="D451" s="13"/>
      <c r="E451" s="32">
        <v>46896</v>
      </c>
      <c r="F451" s="26"/>
      <c r="G451" s="26">
        <v>41292565</v>
      </c>
      <c r="H451" s="26"/>
      <c r="I451" s="26">
        <v>12707691</v>
      </c>
      <c r="J451" s="26"/>
      <c r="K451" s="26">
        <f>51990846+3236286</f>
        <v>55227132</v>
      </c>
      <c r="L451" s="26"/>
      <c r="M451" s="26">
        <v>1549097</v>
      </c>
      <c r="N451" s="26"/>
      <c r="O451" s="26">
        <v>462861</v>
      </c>
      <c r="P451" s="26"/>
      <c r="Q451" s="26">
        <v>987737</v>
      </c>
      <c r="R451" s="26"/>
      <c r="S451" s="26">
        <v>0</v>
      </c>
      <c r="T451" s="26"/>
      <c r="U451" s="26">
        <v>109700</v>
      </c>
      <c r="V451" s="26"/>
      <c r="W451" s="26">
        <f>228291+51244+392681+479304+2568292</f>
        <v>3719812</v>
      </c>
      <c r="X451" s="26"/>
      <c r="Y451" s="51">
        <f t="shared" si="38"/>
        <v>116056595</v>
      </c>
      <c r="Z451" s="26"/>
      <c r="AA451" s="26">
        <v>0</v>
      </c>
      <c r="AB451" s="26"/>
      <c r="AC451" s="26"/>
      <c r="AD451" s="26"/>
      <c r="AE451" s="26">
        <v>0</v>
      </c>
      <c r="AF451" s="26"/>
      <c r="AG451" s="26"/>
      <c r="AH451" s="26"/>
      <c r="AI451" s="26"/>
      <c r="AJ451" s="26"/>
      <c r="AK451" s="26">
        <v>162</v>
      </c>
      <c r="AL451" s="26"/>
      <c r="AM451" s="26">
        <v>0</v>
      </c>
      <c r="AN451" s="26"/>
      <c r="AO451" s="51">
        <f t="shared" si="40"/>
        <v>162</v>
      </c>
      <c r="AP451" s="26"/>
      <c r="AQ451" s="51">
        <f t="shared" si="39"/>
        <v>116056757</v>
      </c>
    </row>
    <row r="452" spans="1:44">
      <c r="A452" s="13" t="s">
        <v>372</v>
      </c>
      <c r="B452" s="13"/>
      <c r="C452" s="13" t="s">
        <v>28</v>
      </c>
      <c r="D452" s="13"/>
      <c r="E452" s="32">
        <v>47084</v>
      </c>
      <c r="F452" s="26"/>
      <c r="G452" s="26">
        <v>4396042</v>
      </c>
      <c r="H452" s="26"/>
      <c r="I452" s="26">
        <v>0</v>
      </c>
      <c r="J452" s="26"/>
      <c r="K452" s="26">
        <v>11473159</v>
      </c>
      <c r="L452" s="26"/>
      <c r="M452" s="26">
        <v>287024</v>
      </c>
      <c r="N452" s="26"/>
      <c r="O452" s="26">
        <v>691596</v>
      </c>
      <c r="P452" s="26"/>
      <c r="Q452" s="26">
        <v>189847</v>
      </c>
      <c r="R452" s="26"/>
      <c r="S452" s="26">
        <v>103030</v>
      </c>
      <c r="T452" s="26"/>
      <c r="U452" s="26">
        <v>28601</v>
      </c>
      <c r="V452" s="26"/>
      <c r="W452" s="26">
        <f>124781+277207</f>
        <v>401988</v>
      </c>
      <c r="X452" s="26"/>
      <c r="Y452" s="51">
        <f t="shared" si="38"/>
        <v>17571287</v>
      </c>
      <c r="Z452" s="26"/>
      <c r="AA452" s="26">
        <v>20000</v>
      </c>
      <c r="AB452" s="26"/>
      <c r="AC452" s="26"/>
      <c r="AD452" s="26"/>
      <c r="AE452" s="26">
        <f>9999997+337835</f>
        <v>10337832</v>
      </c>
      <c r="AF452" s="26"/>
      <c r="AG452" s="26"/>
      <c r="AH452" s="26"/>
      <c r="AI452" s="26"/>
      <c r="AJ452" s="26"/>
      <c r="AK452" s="26">
        <v>2100</v>
      </c>
      <c r="AL452" s="26"/>
      <c r="AM452" s="26">
        <v>0</v>
      </c>
      <c r="AN452" s="26"/>
      <c r="AO452" s="51">
        <f t="shared" si="40"/>
        <v>10359932</v>
      </c>
      <c r="AP452" s="26"/>
      <c r="AQ452" s="51">
        <f t="shared" si="39"/>
        <v>27931219</v>
      </c>
    </row>
    <row r="453" spans="1:44">
      <c r="A453" s="13" t="s">
        <v>540</v>
      </c>
      <c r="B453" s="13"/>
      <c r="C453" s="13" t="s">
        <v>48</v>
      </c>
      <c r="D453" s="13"/>
      <c r="E453" s="32">
        <v>44644</v>
      </c>
      <c r="F453" s="26"/>
      <c r="G453" s="26">
        <v>15387973</v>
      </c>
      <c r="H453" s="26"/>
      <c r="I453" s="26">
        <v>0</v>
      </c>
      <c r="J453" s="26"/>
      <c r="K453" s="26">
        <f>15843854+2386862</f>
        <v>18230716</v>
      </c>
      <c r="L453" s="26"/>
      <c r="M453" s="26">
        <v>102858</v>
      </c>
      <c r="N453" s="26"/>
      <c r="O453" s="26">
        <v>5030</v>
      </c>
      <c r="P453" s="26"/>
      <c r="Q453" s="26">
        <v>491461</v>
      </c>
      <c r="R453" s="26"/>
      <c r="S453" s="26">
        <v>0</v>
      </c>
      <c r="T453" s="26"/>
      <c r="U453" s="26">
        <v>0</v>
      </c>
      <c r="V453" s="26"/>
      <c r="W453" s="26">
        <f>367843+69506+135222+37192</f>
        <v>609763</v>
      </c>
      <c r="X453" s="26"/>
      <c r="Y453" s="51">
        <f t="shared" si="38"/>
        <v>34827801</v>
      </c>
      <c r="Z453" s="26"/>
      <c r="AA453" s="26">
        <v>0</v>
      </c>
      <c r="AB453" s="26"/>
      <c r="AC453" s="26"/>
      <c r="AD453" s="26"/>
      <c r="AE453" s="26">
        <v>0</v>
      </c>
      <c r="AF453" s="26"/>
      <c r="AG453" s="26"/>
      <c r="AH453" s="26"/>
      <c r="AI453" s="26"/>
      <c r="AJ453" s="26"/>
      <c r="AK453" s="26">
        <v>1400</v>
      </c>
      <c r="AL453" s="26"/>
      <c r="AM453" s="26">
        <v>0</v>
      </c>
      <c r="AN453" s="26"/>
      <c r="AO453" s="51">
        <f t="shared" si="40"/>
        <v>1400</v>
      </c>
      <c r="AP453" s="26"/>
      <c r="AQ453" s="51">
        <f t="shared" si="39"/>
        <v>34829201</v>
      </c>
    </row>
    <row r="454" spans="1:44" hidden="1">
      <c r="A454" s="77" t="s">
        <v>1010</v>
      </c>
      <c r="B454" s="13"/>
      <c r="C454" s="13" t="s">
        <v>27</v>
      </c>
      <c r="D454" s="13"/>
      <c r="E454" s="32">
        <v>46995</v>
      </c>
      <c r="F454" s="26"/>
      <c r="G454" s="26"/>
      <c r="H454" s="26"/>
      <c r="I454" s="26">
        <v>0</v>
      </c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51">
        <f t="shared" si="38"/>
        <v>0</v>
      </c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>
        <v>0</v>
      </c>
      <c r="AN454" s="26"/>
      <c r="AO454" s="51">
        <f t="shared" si="40"/>
        <v>0</v>
      </c>
      <c r="AP454" s="26"/>
      <c r="AQ454" s="51">
        <f t="shared" si="39"/>
        <v>0</v>
      </c>
      <c r="AR454" s="8" t="s">
        <v>1011</v>
      </c>
    </row>
    <row r="455" spans="1:44">
      <c r="A455" s="13" t="s">
        <v>361</v>
      </c>
      <c r="B455" s="13"/>
      <c r="C455" s="13" t="s">
        <v>62</v>
      </c>
      <c r="D455" s="13"/>
      <c r="E455" s="32">
        <v>49932</v>
      </c>
      <c r="F455" s="26"/>
      <c r="G455" s="26">
        <v>25414726</v>
      </c>
      <c r="H455" s="26"/>
      <c r="I455" s="26">
        <v>0</v>
      </c>
      <c r="J455" s="26"/>
      <c r="K455" s="26">
        <f>22553352+3816218</f>
        <v>26369570</v>
      </c>
      <c r="L455" s="26"/>
      <c r="M455" s="26">
        <v>388998</v>
      </c>
      <c r="N455" s="26"/>
      <c r="O455" s="26">
        <v>759886</v>
      </c>
      <c r="P455" s="26"/>
      <c r="Q455" s="26">
        <v>724187</v>
      </c>
      <c r="R455" s="26"/>
      <c r="S455" s="26">
        <v>0</v>
      </c>
      <c r="T455" s="26"/>
      <c r="U455" s="26">
        <v>153852</v>
      </c>
      <c r="V455" s="26"/>
      <c r="W455" s="26">
        <f>46002+232121+205318+1240232+92472</f>
        <v>1816145</v>
      </c>
      <c r="X455" s="26"/>
      <c r="Y455" s="51">
        <f t="shared" si="38"/>
        <v>55627364</v>
      </c>
      <c r="Z455" s="26"/>
      <c r="AA455" s="26">
        <v>5600</v>
      </c>
      <c r="AB455" s="26"/>
      <c r="AC455" s="26"/>
      <c r="AD455" s="26"/>
      <c r="AE455" s="26">
        <v>0</v>
      </c>
      <c r="AF455" s="26"/>
      <c r="AG455" s="26"/>
      <c r="AH455" s="26"/>
      <c r="AI455" s="26"/>
      <c r="AJ455" s="26"/>
      <c r="AK455" s="26">
        <v>715</v>
      </c>
      <c r="AL455" s="26"/>
      <c r="AM455" s="26">
        <v>0</v>
      </c>
      <c r="AN455" s="26"/>
      <c r="AO455" s="51">
        <f t="shared" si="40"/>
        <v>6315</v>
      </c>
      <c r="AP455" s="26"/>
      <c r="AQ455" s="51">
        <f t="shared" si="39"/>
        <v>55633679</v>
      </c>
    </row>
    <row r="456" spans="1:44">
      <c r="A456" s="13" t="s">
        <v>522</v>
      </c>
      <c r="B456" s="13"/>
      <c r="C456" s="13" t="s">
        <v>46</v>
      </c>
      <c r="D456" s="13"/>
      <c r="E456" s="32">
        <v>48421</v>
      </c>
      <c r="F456" s="26"/>
      <c r="G456" s="26">
        <v>4353242</v>
      </c>
      <c r="H456" s="26"/>
      <c r="I456" s="26">
        <v>0</v>
      </c>
      <c r="J456" s="26"/>
      <c r="K456" s="26">
        <v>5976313</v>
      </c>
      <c r="L456" s="26"/>
      <c r="M456" s="26">
        <v>122388</v>
      </c>
      <c r="N456" s="26"/>
      <c r="O456" s="26">
        <v>1981743</v>
      </c>
      <c r="P456" s="26"/>
      <c r="Q456" s="26">
        <v>211690</v>
      </c>
      <c r="R456" s="26"/>
      <c r="S456" s="26">
        <v>0</v>
      </c>
      <c r="T456" s="26"/>
      <c r="U456" s="26">
        <v>29656</v>
      </c>
      <c r="V456" s="26"/>
      <c r="W456" s="26">
        <f>82252+386894</f>
        <v>469146</v>
      </c>
      <c r="X456" s="26"/>
      <c r="Y456" s="51">
        <f t="shared" si="38"/>
        <v>13144178</v>
      </c>
      <c r="Z456" s="26"/>
      <c r="AA456" s="26">
        <v>19640</v>
      </c>
      <c r="AB456" s="26"/>
      <c r="AC456" s="26"/>
      <c r="AD456" s="26"/>
      <c r="AE456" s="26">
        <v>0</v>
      </c>
      <c r="AF456" s="26"/>
      <c r="AG456" s="26"/>
      <c r="AH456" s="26"/>
      <c r="AI456" s="26"/>
      <c r="AJ456" s="26"/>
      <c r="AK456" s="26">
        <v>1500</v>
      </c>
      <c r="AL456" s="26"/>
      <c r="AM456" s="26">
        <v>0</v>
      </c>
      <c r="AN456" s="26"/>
      <c r="AO456" s="51">
        <f t="shared" si="40"/>
        <v>21140</v>
      </c>
      <c r="AP456" s="26"/>
      <c r="AQ456" s="51">
        <f t="shared" si="39"/>
        <v>13165318</v>
      </c>
    </row>
    <row r="457" spans="1:44">
      <c r="A457" s="13" t="s">
        <v>614</v>
      </c>
      <c r="B457" s="13"/>
      <c r="C457" s="13" t="s">
        <v>112</v>
      </c>
      <c r="D457" s="13"/>
      <c r="E457" s="32">
        <v>49460</v>
      </c>
      <c r="F457" s="26"/>
      <c r="G457" s="26">
        <v>1572261</v>
      </c>
      <c r="H457" s="26"/>
      <c r="I457" s="26">
        <v>732810</v>
      </c>
      <c r="J457" s="26"/>
      <c r="K457" s="26">
        <f>5490779+889086</f>
        <v>6379865</v>
      </c>
      <c r="L457" s="26"/>
      <c r="M457" s="26">
        <v>79257</v>
      </c>
      <c r="N457" s="26"/>
      <c r="O457" s="26">
        <v>352712</v>
      </c>
      <c r="P457" s="26"/>
      <c r="Q457" s="26">
        <v>97168</v>
      </c>
      <c r="R457" s="26"/>
      <c r="S457" s="26">
        <v>0</v>
      </c>
      <c r="T457" s="26"/>
      <c r="U457" s="26">
        <v>4508</v>
      </c>
      <c r="V457" s="26"/>
      <c r="W457" s="26">
        <f>62261+262+29240+189636</f>
        <v>281399</v>
      </c>
      <c r="X457" s="26"/>
      <c r="Y457" s="51">
        <f t="shared" si="38"/>
        <v>9499980</v>
      </c>
      <c r="Z457" s="26"/>
      <c r="AA457" s="26">
        <v>76000</v>
      </c>
      <c r="AB457" s="26"/>
      <c r="AC457" s="26"/>
      <c r="AD457" s="26"/>
      <c r="AE457" s="26">
        <v>0</v>
      </c>
      <c r="AF457" s="26"/>
      <c r="AG457" s="26"/>
      <c r="AH457" s="26"/>
      <c r="AI457" s="26"/>
      <c r="AJ457" s="26"/>
      <c r="AK457" s="26">
        <v>0</v>
      </c>
      <c r="AL457" s="26"/>
      <c r="AM457" s="26">
        <v>0</v>
      </c>
      <c r="AN457" s="26"/>
      <c r="AO457" s="51">
        <f t="shared" si="40"/>
        <v>76000</v>
      </c>
      <c r="AP457" s="26"/>
      <c r="AQ457" s="51">
        <f t="shared" si="39"/>
        <v>9575980</v>
      </c>
    </row>
    <row r="458" spans="1:44">
      <c r="A458" s="12" t="s">
        <v>514</v>
      </c>
      <c r="B458" s="13"/>
      <c r="C458" s="13" t="s">
        <v>45</v>
      </c>
      <c r="D458" s="13"/>
      <c r="E458" s="32">
        <v>48348</v>
      </c>
      <c r="F458" s="26"/>
      <c r="G458" s="26">
        <v>12020471</v>
      </c>
      <c r="H458" s="26"/>
      <c r="I458" s="26">
        <v>0</v>
      </c>
      <c r="J458" s="26"/>
      <c r="K458" s="26">
        <v>9234565</v>
      </c>
      <c r="L458" s="26"/>
      <c r="M458" s="26">
        <v>179799</v>
      </c>
      <c r="N458" s="26"/>
      <c r="O458" s="26">
        <v>198253</v>
      </c>
      <c r="P458" s="26"/>
      <c r="Q458" s="26">
        <v>301462</v>
      </c>
      <c r="R458" s="26"/>
      <c r="S458" s="26">
        <v>0</v>
      </c>
      <c r="T458" s="26"/>
      <c r="U458" s="26">
        <v>6654</v>
      </c>
      <c r="V458" s="26"/>
      <c r="W458" s="26">
        <f>12707+20741+690448</f>
        <v>723896</v>
      </c>
      <c r="X458" s="26"/>
      <c r="Y458" s="51">
        <f t="shared" si="38"/>
        <v>22665100</v>
      </c>
      <c r="Z458" s="26"/>
      <c r="AA458" s="26">
        <v>0</v>
      </c>
      <c r="AB458" s="26"/>
      <c r="AC458" s="26"/>
      <c r="AD458" s="26"/>
      <c r="AE458" s="26">
        <v>338000</v>
      </c>
      <c r="AF458" s="26"/>
      <c r="AG458" s="26"/>
      <c r="AH458" s="26"/>
      <c r="AI458" s="26"/>
      <c r="AJ458" s="26"/>
      <c r="AK458" s="26">
        <v>0</v>
      </c>
      <c r="AL458" s="26"/>
      <c r="AM458" s="26">
        <v>0</v>
      </c>
      <c r="AN458" s="26"/>
      <c r="AO458" s="51">
        <f t="shared" si="40"/>
        <v>338000</v>
      </c>
      <c r="AP458" s="26"/>
      <c r="AQ458" s="51">
        <f t="shared" si="39"/>
        <v>23003100</v>
      </c>
      <c r="AR458" s="15" t="s">
        <v>1012</v>
      </c>
    </row>
    <row r="459" spans="1:44">
      <c r="A459" s="13" t="s">
        <v>575</v>
      </c>
      <c r="B459" s="13"/>
      <c r="C459" s="13" t="s">
        <v>53</v>
      </c>
      <c r="D459" s="13"/>
      <c r="E459" s="32">
        <v>44651</v>
      </c>
      <c r="F459" s="26"/>
      <c r="G459" s="26">
        <v>13942185</v>
      </c>
      <c r="H459" s="26"/>
      <c r="I459" s="26">
        <v>0</v>
      </c>
      <c r="J459" s="26"/>
      <c r="K459" s="26">
        <f>19451+6813914+1123147</f>
        <v>7956512</v>
      </c>
      <c r="L459" s="26"/>
      <c r="M459" s="26">
        <v>340774</v>
      </c>
      <c r="N459" s="26"/>
      <c r="O459" s="26">
        <v>304935</v>
      </c>
      <c r="P459" s="26"/>
      <c r="Q459" s="26">
        <v>145057</v>
      </c>
      <c r="R459" s="26"/>
      <c r="S459" s="26">
        <v>0</v>
      </c>
      <c r="T459" s="26"/>
      <c r="U459" s="26">
        <v>49261</v>
      </c>
      <c r="V459" s="26"/>
      <c r="W459" s="26">
        <f>381800+4866+66284+264467</f>
        <v>717417</v>
      </c>
      <c r="X459" s="26"/>
      <c r="Y459" s="51">
        <f t="shared" si="38"/>
        <v>23456141</v>
      </c>
      <c r="Z459" s="26"/>
      <c r="AA459" s="26">
        <v>411970</v>
      </c>
      <c r="AB459" s="26"/>
      <c r="AC459" s="26"/>
      <c r="AD459" s="26"/>
      <c r="AE459" s="26">
        <v>0</v>
      </c>
      <c r="AF459" s="26"/>
      <c r="AG459" s="26"/>
      <c r="AH459" s="26"/>
      <c r="AI459" s="26"/>
      <c r="AJ459" s="26"/>
      <c r="AK459" s="26">
        <v>0</v>
      </c>
      <c r="AL459" s="26"/>
      <c r="AM459" s="26">
        <v>0</v>
      </c>
      <c r="AN459" s="26"/>
      <c r="AO459" s="51">
        <f t="shared" si="40"/>
        <v>411970</v>
      </c>
      <c r="AP459" s="26"/>
      <c r="AQ459" s="51">
        <f t="shared" si="39"/>
        <v>23868111</v>
      </c>
    </row>
    <row r="460" spans="1:44">
      <c r="A460" s="13" t="s">
        <v>631</v>
      </c>
      <c r="B460" s="13"/>
      <c r="C460" s="13" t="s">
        <v>59</v>
      </c>
      <c r="D460" s="13"/>
      <c r="E460" s="32">
        <v>44669</v>
      </c>
      <c r="F460" s="26"/>
      <c r="G460" s="26">
        <v>5815069</v>
      </c>
      <c r="H460" s="26"/>
      <c r="I460" s="26">
        <v>0</v>
      </c>
      <c r="J460" s="26"/>
      <c r="K460" s="26">
        <v>24755768</v>
      </c>
      <c r="L460" s="26"/>
      <c r="M460" s="26">
        <v>74087</v>
      </c>
      <c r="N460" s="26"/>
      <c r="O460" s="26">
        <v>731539</v>
      </c>
      <c r="P460" s="26"/>
      <c r="Q460" s="26">
        <v>107503</v>
      </c>
      <c r="R460" s="26"/>
      <c r="S460" s="26">
        <v>0</v>
      </c>
      <c r="T460" s="26"/>
      <c r="U460" s="26">
        <v>25002</v>
      </c>
      <c r="V460" s="26"/>
      <c r="W460" s="26">
        <f>162797+166934+25454+30462</f>
        <v>385647</v>
      </c>
      <c r="X460" s="26"/>
      <c r="Y460" s="51">
        <f t="shared" si="38"/>
        <v>31894615</v>
      </c>
      <c r="Z460" s="26"/>
      <c r="AA460" s="26">
        <v>2943</v>
      </c>
      <c r="AB460" s="26"/>
      <c r="AC460" s="26"/>
      <c r="AD460" s="26"/>
      <c r="AE460" s="26">
        <v>223240</v>
      </c>
      <c r="AF460" s="26"/>
      <c r="AG460" s="26"/>
      <c r="AH460" s="26"/>
      <c r="AI460" s="26"/>
      <c r="AJ460" s="26"/>
      <c r="AK460" s="26">
        <v>0</v>
      </c>
      <c r="AL460" s="26"/>
      <c r="AM460" s="26">
        <v>0</v>
      </c>
      <c r="AN460" s="26"/>
      <c r="AO460" s="51">
        <f t="shared" si="40"/>
        <v>226183</v>
      </c>
      <c r="AP460" s="26"/>
      <c r="AQ460" s="51">
        <f t="shared" si="39"/>
        <v>32120798</v>
      </c>
    </row>
    <row r="461" spans="1:44" hidden="1">
      <c r="A461" s="12" t="s">
        <v>1013</v>
      </c>
      <c r="B461" s="13"/>
      <c r="C461" s="13" t="s">
        <v>57</v>
      </c>
      <c r="D461" s="13"/>
      <c r="E461" s="32">
        <v>49288</v>
      </c>
      <c r="F461" s="26"/>
      <c r="G461" s="26">
        <v>3193098</v>
      </c>
      <c r="H461" s="26"/>
      <c r="I461" s="26">
        <v>3043799</v>
      </c>
      <c r="J461" s="26"/>
      <c r="K461" s="26">
        <v>8381091</v>
      </c>
      <c r="L461" s="26"/>
      <c r="M461" s="26">
        <v>114419</v>
      </c>
      <c r="N461" s="26"/>
      <c r="O461" s="26">
        <v>339082</v>
      </c>
      <c r="P461" s="26"/>
      <c r="Q461" s="26">
        <v>152216</v>
      </c>
      <c r="R461" s="26"/>
      <c r="S461" s="26"/>
      <c r="T461" s="26"/>
      <c r="U461" s="26">
        <v>38850</v>
      </c>
      <c r="V461" s="26"/>
      <c r="W461" s="26">
        <f>325546+20335</f>
        <v>345881</v>
      </c>
      <c r="X461" s="26"/>
      <c r="Y461" s="51">
        <f t="shared" si="38"/>
        <v>15608436</v>
      </c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>
        <v>0</v>
      </c>
      <c r="AN461" s="26"/>
      <c r="AO461" s="51">
        <f t="shared" si="40"/>
        <v>0</v>
      </c>
      <c r="AP461" s="26"/>
      <c r="AQ461" s="51">
        <f t="shared" si="39"/>
        <v>15608436</v>
      </c>
    </row>
    <row r="462" spans="1:44">
      <c r="A462" s="13" t="s">
        <v>405</v>
      </c>
      <c r="B462" s="13"/>
      <c r="C462" s="13" t="s">
        <v>32</v>
      </c>
      <c r="D462" s="13"/>
      <c r="E462" s="32">
        <v>44677</v>
      </c>
      <c r="F462" s="26"/>
      <c r="G462" s="26">
        <v>50200683</v>
      </c>
      <c r="H462" s="26"/>
      <c r="I462" s="26">
        <v>0</v>
      </c>
      <c r="J462" s="26"/>
      <c r="K462" s="26">
        <v>30314195</v>
      </c>
      <c r="L462" s="26"/>
      <c r="M462" s="26">
        <v>1028715</v>
      </c>
      <c r="N462" s="26"/>
      <c r="O462" s="26">
        <v>1639115</v>
      </c>
      <c r="P462" s="26"/>
      <c r="Q462" s="26">
        <v>0</v>
      </c>
      <c r="R462" s="26"/>
      <c r="S462" s="26">
        <v>0</v>
      </c>
      <c r="T462" s="26"/>
      <c r="U462" s="26">
        <v>0</v>
      </c>
      <c r="V462" s="26"/>
      <c r="W462" s="26">
        <f>1772493+1276150</f>
        <v>3048643</v>
      </c>
      <c r="X462" s="26"/>
      <c r="Y462" s="51">
        <f t="shared" si="38"/>
        <v>86231351</v>
      </c>
      <c r="Z462" s="26"/>
      <c r="AA462" s="26">
        <v>1402458</v>
      </c>
      <c r="AB462" s="26"/>
      <c r="AC462" s="26"/>
      <c r="AD462" s="26"/>
      <c r="AE462" s="26">
        <v>0</v>
      </c>
      <c r="AF462" s="26"/>
      <c r="AG462" s="26"/>
      <c r="AH462" s="26"/>
      <c r="AI462" s="26"/>
      <c r="AJ462" s="26"/>
      <c r="AK462" s="26">
        <v>77030</v>
      </c>
      <c r="AL462" s="26"/>
      <c r="AM462" s="26">
        <v>0</v>
      </c>
      <c r="AN462" s="26"/>
      <c r="AO462" s="51">
        <f t="shared" si="40"/>
        <v>1479488</v>
      </c>
      <c r="AP462" s="26"/>
      <c r="AQ462" s="51">
        <f t="shared" si="39"/>
        <v>87710839</v>
      </c>
    </row>
    <row r="463" spans="1:44">
      <c r="A463" s="13" t="s">
        <v>222</v>
      </c>
      <c r="B463" s="13"/>
      <c r="C463" s="13" t="s">
        <v>12</v>
      </c>
      <c r="D463" s="13"/>
      <c r="E463" s="32">
        <v>45880</v>
      </c>
      <c r="F463" s="26"/>
      <c r="G463" s="26">
        <v>4060888</v>
      </c>
      <c r="H463" s="26"/>
      <c r="I463" s="26">
        <v>0</v>
      </c>
      <c r="J463" s="26"/>
      <c r="K463" s="26">
        <v>8864295</v>
      </c>
      <c r="L463" s="26"/>
      <c r="M463" s="26">
        <v>28758</v>
      </c>
      <c r="N463" s="26"/>
      <c r="O463" s="26">
        <v>258982</v>
      </c>
      <c r="P463" s="26"/>
      <c r="Q463" s="26">
        <v>150423</v>
      </c>
      <c r="R463" s="26"/>
      <c r="S463" s="26">
        <v>0</v>
      </c>
      <c r="T463" s="26"/>
      <c r="U463" s="26">
        <v>30703</v>
      </c>
      <c r="V463" s="26"/>
      <c r="W463" s="26">
        <f>55716+965+168041</f>
        <v>224722</v>
      </c>
      <c r="X463" s="26"/>
      <c r="Y463" s="51">
        <f t="shared" si="38"/>
        <v>13618771</v>
      </c>
      <c r="Z463" s="26"/>
      <c r="AA463" s="26">
        <v>83374</v>
      </c>
      <c r="AB463" s="26"/>
      <c r="AC463" s="26"/>
      <c r="AD463" s="26"/>
      <c r="AE463" s="26">
        <v>635000</v>
      </c>
      <c r="AF463" s="26"/>
      <c r="AG463" s="26"/>
      <c r="AH463" s="26"/>
      <c r="AI463" s="26"/>
      <c r="AJ463" s="26"/>
      <c r="AK463" s="26">
        <v>0</v>
      </c>
      <c r="AL463" s="26"/>
      <c r="AM463" s="26">
        <v>0</v>
      </c>
      <c r="AN463" s="26"/>
      <c r="AO463" s="51">
        <f t="shared" si="40"/>
        <v>718374</v>
      </c>
      <c r="AP463" s="26"/>
      <c r="AQ463" s="51">
        <f t="shared" si="39"/>
        <v>14337145</v>
      </c>
    </row>
    <row r="464" spans="1:44">
      <c r="A464" s="13" t="s">
        <v>866</v>
      </c>
      <c r="B464" s="13"/>
      <c r="C464" s="13" t="s">
        <v>56</v>
      </c>
      <c r="D464" s="13"/>
      <c r="E464" s="32"/>
      <c r="F464" s="26"/>
      <c r="G464" s="26">
        <v>12218138</v>
      </c>
      <c r="H464" s="26"/>
      <c r="I464" s="26">
        <v>0</v>
      </c>
      <c r="J464" s="26"/>
      <c r="K464" s="26">
        <v>20471243</v>
      </c>
      <c r="L464" s="26"/>
      <c r="M464" s="26">
        <v>832169</v>
      </c>
      <c r="N464" s="26"/>
      <c r="O464" s="26">
        <v>893404</v>
      </c>
      <c r="P464" s="26"/>
      <c r="Q464" s="26">
        <v>199907</v>
      </c>
      <c r="R464" s="26"/>
      <c r="S464" s="26">
        <v>0</v>
      </c>
      <c r="T464" s="26"/>
      <c r="U464" s="26">
        <v>49923</v>
      </c>
      <c r="V464" s="26"/>
      <c r="W464" s="26">
        <f>183205+18343+423861</f>
        <v>625409</v>
      </c>
      <c r="X464" s="26"/>
      <c r="Y464" s="51">
        <f t="shared" si="38"/>
        <v>35290193</v>
      </c>
      <c r="Z464" s="26"/>
      <c r="AA464" s="26">
        <v>200000</v>
      </c>
      <c r="AB464" s="26"/>
      <c r="AC464" s="26"/>
      <c r="AD464" s="26"/>
      <c r="AE464" s="26">
        <v>0</v>
      </c>
      <c r="AF464" s="26"/>
      <c r="AG464" s="26"/>
      <c r="AH464" s="26"/>
      <c r="AI464" s="26"/>
      <c r="AJ464" s="26"/>
      <c r="AK464" s="26">
        <v>170000</v>
      </c>
      <c r="AL464" s="26"/>
      <c r="AM464" s="26">
        <v>0</v>
      </c>
      <c r="AN464" s="26"/>
      <c r="AO464" s="51">
        <f t="shared" si="40"/>
        <v>370000</v>
      </c>
      <c r="AP464" s="26"/>
      <c r="AQ464" s="51">
        <f t="shared" si="39"/>
        <v>35660193</v>
      </c>
    </row>
    <row r="465" spans="1:44">
      <c r="A465" s="13" t="s">
        <v>406</v>
      </c>
      <c r="B465" s="13"/>
      <c r="C465" s="13" t="s">
        <v>32</v>
      </c>
      <c r="D465" s="13"/>
      <c r="E465" s="32">
        <v>44693</v>
      </c>
      <c r="F465" s="26"/>
      <c r="G465" s="26">
        <v>6983870</v>
      </c>
      <c r="H465" s="26"/>
      <c r="I465" s="26">
        <v>0</v>
      </c>
      <c r="J465" s="26"/>
      <c r="K465" s="26">
        <v>7151056</v>
      </c>
      <c r="L465" s="26"/>
      <c r="M465" s="26">
        <v>56018</v>
      </c>
      <c r="N465" s="26"/>
      <c r="O465" s="26">
        <v>932949</v>
      </c>
      <c r="P465" s="26"/>
      <c r="Q465" s="26">
        <v>139514</v>
      </c>
      <c r="R465" s="26"/>
      <c r="S465" s="26">
        <v>0</v>
      </c>
      <c r="T465" s="26"/>
      <c r="U465" s="26">
        <v>28119</v>
      </c>
      <c r="V465" s="26"/>
      <c r="W465" s="26">
        <f>35764+304920+101848</f>
        <v>442532</v>
      </c>
      <c r="X465" s="26"/>
      <c r="Y465" s="51">
        <f t="shared" si="38"/>
        <v>15734058</v>
      </c>
      <c r="Z465" s="26"/>
      <c r="AA465" s="26">
        <v>58435</v>
      </c>
      <c r="AB465" s="26"/>
      <c r="AC465" s="26"/>
      <c r="AD465" s="26"/>
      <c r="AE465" s="26">
        <v>70000</v>
      </c>
      <c r="AF465" s="26"/>
      <c r="AG465" s="26"/>
      <c r="AH465" s="26"/>
      <c r="AI465" s="26"/>
      <c r="AJ465" s="26"/>
      <c r="AK465" s="26">
        <v>5800</v>
      </c>
      <c r="AL465" s="26"/>
      <c r="AM465" s="26">
        <v>0</v>
      </c>
      <c r="AN465" s="26"/>
      <c r="AO465" s="51">
        <f t="shared" si="40"/>
        <v>134235</v>
      </c>
      <c r="AP465" s="26"/>
      <c r="AQ465" s="51">
        <f t="shared" si="39"/>
        <v>15868293</v>
      </c>
    </row>
    <row r="466" spans="1:44">
      <c r="A466" s="13" t="s">
        <v>670</v>
      </c>
      <c r="B466" s="13"/>
      <c r="C466" s="13" t="s">
        <v>63</v>
      </c>
      <c r="D466" s="13"/>
      <c r="E466" s="32">
        <v>50054</v>
      </c>
      <c r="F466" s="26"/>
      <c r="G466" s="26">
        <v>25376159</v>
      </c>
      <c r="H466" s="26"/>
      <c r="I466" s="26">
        <v>0</v>
      </c>
      <c r="J466" s="26"/>
      <c r="K466" s="26">
        <v>8163399</v>
      </c>
      <c r="L466" s="26"/>
      <c r="M466" s="26">
        <v>473525</v>
      </c>
      <c r="N466" s="26"/>
      <c r="O466" s="26">
        <v>187727</v>
      </c>
      <c r="P466" s="26"/>
      <c r="Q466" s="26">
        <v>220683</v>
      </c>
      <c r="R466" s="26"/>
      <c r="S466" s="26">
        <v>0</v>
      </c>
      <c r="T466" s="26"/>
      <c r="U466" s="26">
        <v>21760</v>
      </c>
      <c r="V466" s="26"/>
      <c r="W466" s="26">
        <f>61605+592906+94031</f>
        <v>748542</v>
      </c>
      <c r="X466" s="26"/>
      <c r="Y466" s="51">
        <f t="shared" si="38"/>
        <v>35191795</v>
      </c>
      <c r="Z466" s="26"/>
      <c r="AA466" s="26">
        <v>125000</v>
      </c>
      <c r="AB466" s="26"/>
      <c r="AC466" s="26"/>
      <c r="AD466" s="26"/>
      <c r="AE466" s="26">
        <v>0</v>
      </c>
      <c r="AF466" s="26"/>
      <c r="AG466" s="26"/>
      <c r="AH466" s="26"/>
      <c r="AI466" s="26"/>
      <c r="AJ466" s="26"/>
      <c r="AK466" s="26">
        <v>250</v>
      </c>
      <c r="AL466" s="26"/>
      <c r="AM466" s="26">
        <v>0</v>
      </c>
      <c r="AN466" s="26"/>
      <c r="AO466" s="51">
        <f t="shared" si="40"/>
        <v>125250</v>
      </c>
      <c r="AP466" s="26"/>
      <c r="AQ466" s="51">
        <f t="shared" si="39"/>
        <v>35317045</v>
      </c>
    </row>
    <row r="467" spans="1:44">
      <c r="A467" s="13" t="s">
        <v>362</v>
      </c>
      <c r="B467" s="13"/>
      <c r="C467" s="13" t="s">
        <v>27</v>
      </c>
      <c r="D467" s="13"/>
      <c r="E467" s="32">
        <v>47001</v>
      </c>
      <c r="F467" s="26"/>
      <c r="G467" s="26">
        <v>32078335</v>
      </c>
      <c r="H467" s="26"/>
      <c r="I467" s="26">
        <v>0</v>
      </c>
      <c r="J467" s="26"/>
      <c r="K467" s="26">
        <f>33000+37896717+4041078</f>
        <v>41970795</v>
      </c>
      <c r="L467" s="26"/>
      <c r="M467" s="26">
        <v>1883116</v>
      </c>
      <c r="N467" s="26"/>
      <c r="O467" s="26">
        <v>477343</v>
      </c>
      <c r="P467" s="26"/>
      <c r="Q467" s="26">
        <v>535739</v>
      </c>
      <c r="R467" s="26"/>
      <c r="S467" s="26">
        <v>622412</v>
      </c>
      <c r="T467" s="26"/>
      <c r="U467" s="26">
        <v>0</v>
      </c>
      <c r="V467" s="26"/>
      <c r="W467" s="26">
        <f>355561+175047+1087964</f>
        <v>1618572</v>
      </c>
      <c r="X467" s="26"/>
      <c r="Y467" s="51">
        <f t="shared" si="38"/>
        <v>79186312</v>
      </c>
      <c r="Z467" s="26"/>
      <c r="AA467" s="26">
        <v>14234</v>
      </c>
      <c r="AB467" s="26"/>
      <c r="AC467" s="26"/>
      <c r="AD467" s="26"/>
      <c r="AE467" s="26">
        <f>55999988+2143788</f>
        <v>58143776</v>
      </c>
      <c r="AF467" s="26"/>
      <c r="AG467" s="26"/>
      <c r="AH467" s="26"/>
      <c r="AI467" s="26"/>
      <c r="AJ467" s="26"/>
      <c r="AK467" s="26">
        <v>15</v>
      </c>
      <c r="AL467" s="26"/>
      <c r="AM467" s="26">
        <v>0</v>
      </c>
      <c r="AN467" s="26"/>
      <c r="AO467" s="51">
        <f t="shared" si="40"/>
        <v>58158025</v>
      </c>
      <c r="AP467" s="26"/>
      <c r="AQ467" s="51">
        <f t="shared" si="39"/>
        <v>137344337</v>
      </c>
    </row>
    <row r="468" spans="1:44">
      <c r="A468" s="13" t="s">
        <v>318</v>
      </c>
      <c r="B468" s="13"/>
      <c r="C468" s="13" t="s">
        <v>20</v>
      </c>
      <c r="D468" s="13"/>
      <c r="E468" s="32">
        <v>46599</v>
      </c>
      <c r="F468" s="26"/>
      <c r="G468" s="26">
        <v>7862871</v>
      </c>
      <c r="H468" s="26"/>
      <c r="I468" s="26">
        <v>0</v>
      </c>
      <c r="J468" s="26"/>
      <c r="K468" s="26">
        <v>3836336</v>
      </c>
      <c r="L468" s="26"/>
      <c r="M468" s="26">
        <v>27606</v>
      </c>
      <c r="N468" s="26"/>
      <c r="O468" s="26">
        <v>215855</v>
      </c>
      <c r="P468" s="26"/>
      <c r="Q468" s="26">
        <v>75594</v>
      </c>
      <c r="R468" s="26"/>
      <c r="S468" s="26">
        <v>0</v>
      </c>
      <c r="T468" s="26"/>
      <c r="U468" s="26">
        <v>17296</v>
      </c>
      <c r="V468" s="26"/>
      <c r="W468" s="26">
        <f>115151+2641+384</f>
        <v>118176</v>
      </c>
      <c r="X468" s="26"/>
      <c r="Y468" s="51">
        <f t="shared" si="38"/>
        <v>12153734</v>
      </c>
      <c r="Z468" s="26"/>
      <c r="AA468" s="26">
        <v>56707</v>
      </c>
      <c r="AB468" s="26"/>
      <c r="AC468" s="26"/>
      <c r="AD468" s="26"/>
      <c r="AE468" s="26">
        <f>83527+1051507</f>
        <v>1135034</v>
      </c>
      <c r="AF468" s="26"/>
      <c r="AG468" s="26"/>
      <c r="AH468" s="26"/>
      <c r="AI468" s="26"/>
      <c r="AJ468" s="26"/>
      <c r="AK468" s="26">
        <v>0</v>
      </c>
      <c r="AL468" s="26"/>
      <c r="AM468" s="26">
        <v>0</v>
      </c>
      <c r="AN468" s="26"/>
      <c r="AO468" s="51">
        <f t="shared" si="40"/>
        <v>1191741</v>
      </c>
      <c r="AP468" s="26"/>
      <c r="AQ468" s="51">
        <f t="shared" si="39"/>
        <v>13345475</v>
      </c>
    </row>
    <row r="469" spans="1:44">
      <c r="A469" s="13" t="s">
        <v>523</v>
      </c>
      <c r="B469" s="13"/>
      <c r="C469" s="13" t="s">
        <v>46</v>
      </c>
      <c r="D469" s="13"/>
      <c r="E469" s="32">
        <v>48439</v>
      </c>
      <c r="F469" s="26"/>
      <c r="G469" s="26">
        <v>2686179</v>
      </c>
      <c r="H469" s="26"/>
      <c r="I469" s="26">
        <v>0</v>
      </c>
      <c r="J469" s="26"/>
      <c r="K469" s="26">
        <v>4503163</v>
      </c>
      <c r="L469" s="26"/>
      <c r="M469" s="26">
        <v>41437</v>
      </c>
      <c r="N469" s="26"/>
      <c r="O469" s="26">
        <v>1337275</v>
      </c>
      <c r="P469" s="26"/>
      <c r="Q469" s="26">
        <v>168811</v>
      </c>
      <c r="R469" s="26"/>
      <c r="S469" s="26">
        <v>285893</v>
      </c>
      <c r="T469" s="26"/>
      <c r="U469" s="26">
        <v>3909</v>
      </c>
      <c r="V469" s="26"/>
      <c r="W469" s="26">
        <f>175047+134666</f>
        <v>309713</v>
      </c>
      <c r="X469" s="26"/>
      <c r="Y469" s="51">
        <f t="shared" si="38"/>
        <v>9336380</v>
      </c>
      <c r="Z469" s="26"/>
      <c r="AA469" s="26">
        <v>0</v>
      </c>
      <c r="AB469" s="26"/>
      <c r="AC469" s="26"/>
      <c r="AD469" s="26"/>
      <c r="AE469" s="26">
        <v>0</v>
      </c>
      <c r="AF469" s="26"/>
      <c r="AG469" s="26"/>
      <c r="AH469" s="26"/>
      <c r="AI469" s="26"/>
      <c r="AJ469" s="26"/>
      <c r="AK469" s="26">
        <v>0</v>
      </c>
      <c r="AL469" s="26"/>
      <c r="AM469" s="26">
        <v>0</v>
      </c>
      <c r="AN469" s="26"/>
      <c r="AO469" s="51">
        <f t="shared" si="40"/>
        <v>0</v>
      </c>
      <c r="AP469" s="26"/>
      <c r="AQ469" s="51">
        <f t="shared" si="39"/>
        <v>9336380</v>
      </c>
    </row>
    <row r="470" spans="1:44">
      <c r="A470" s="13" t="s">
        <v>424</v>
      </c>
      <c r="B470" s="13"/>
      <c r="C470" s="13" t="s">
        <v>421</v>
      </c>
      <c r="D470" s="13"/>
      <c r="E470" s="32">
        <v>47506</v>
      </c>
      <c r="F470" s="26"/>
      <c r="G470" s="26">
        <v>1126262</v>
      </c>
      <c r="H470" s="26"/>
      <c r="I470" s="26">
        <v>513583</v>
      </c>
      <c r="J470" s="26"/>
      <c r="K470" s="26">
        <v>3043410</v>
      </c>
      <c r="L470" s="26"/>
      <c r="M470" s="26">
        <v>22711</v>
      </c>
      <c r="N470" s="26"/>
      <c r="O470" s="26">
        <v>584425</v>
      </c>
      <c r="P470" s="26"/>
      <c r="Q470" s="26">
        <v>58655</v>
      </c>
      <c r="R470" s="26"/>
      <c r="S470" s="26">
        <v>0</v>
      </c>
      <c r="T470" s="26"/>
      <c r="U470" s="26">
        <v>0</v>
      </c>
      <c r="V470" s="26"/>
      <c r="W470" s="26">
        <f>2243+54514</f>
        <v>56757</v>
      </c>
      <c r="X470" s="26"/>
      <c r="Y470" s="51">
        <f t="shared" si="38"/>
        <v>5405803</v>
      </c>
      <c r="Z470" s="26"/>
      <c r="AA470" s="26">
        <v>35000</v>
      </c>
      <c r="AB470" s="26"/>
      <c r="AC470" s="26"/>
      <c r="AD470" s="26"/>
      <c r="AE470" s="26">
        <v>0</v>
      </c>
      <c r="AF470" s="26"/>
      <c r="AG470" s="26"/>
      <c r="AH470" s="26"/>
      <c r="AI470" s="26"/>
      <c r="AJ470" s="26"/>
      <c r="AK470" s="26">
        <v>1007</v>
      </c>
      <c r="AL470" s="26"/>
      <c r="AM470" s="26">
        <v>0</v>
      </c>
      <c r="AN470" s="26"/>
      <c r="AO470" s="51">
        <f t="shared" si="40"/>
        <v>36007</v>
      </c>
      <c r="AP470" s="26"/>
      <c r="AQ470" s="51">
        <f t="shared" si="39"/>
        <v>5441810</v>
      </c>
      <c r="AR470" s="15" t="s">
        <v>905</v>
      </c>
    </row>
    <row r="471" spans="1:44">
      <c r="A471" s="13" t="s">
        <v>288</v>
      </c>
      <c r="B471" s="13"/>
      <c r="C471" s="13" t="s">
        <v>19</v>
      </c>
      <c r="D471" s="13"/>
      <c r="E471" s="32">
        <v>46474</v>
      </c>
      <c r="F471" s="26"/>
      <c r="G471" s="26">
        <v>2656134</v>
      </c>
      <c r="H471" s="26"/>
      <c r="I471" s="26">
        <v>0</v>
      </c>
      <c r="J471" s="26"/>
      <c r="K471" s="26">
        <f>8062010+1011734</f>
        <v>9073744</v>
      </c>
      <c r="L471" s="26"/>
      <c r="M471" s="26">
        <v>83752</v>
      </c>
      <c r="N471" s="26"/>
      <c r="O471" s="26">
        <v>233242</v>
      </c>
      <c r="P471" s="26"/>
      <c r="Q471" s="26">
        <v>156301</v>
      </c>
      <c r="R471" s="26"/>
      <c r="S471" s="26">
        <v>0</v>
      </c>
      <c r="T471" s="26"/>
      <c r="U471" s="26">
        <v>0</v>
      </c>
      <c r="V471" s="26"/>
      <c r="W471" s="26">
        <f>146773+52173+277864</f>
        <v>476810</v>
      </c>
      <c r="X471" s="26"/>
      <c r="Y471" s="51">
        <f t="shared" si="38"/>
        <v>12679983</v>
      </c>
      <c r="Z471" s="26"/>
      <c r="AA471" s="26">
        <v>0</v>
      </c>
      <c r="AB471" s="26"/>
      <c r="AC471" s="26"/>
      <c r="AD471" s="26"/>
      <c r="AE471" s="26">
        <v>36665</v>
      </c>
      <c r="AF471" s="26"/>
      <c r="AG471" s="26"/>
      <c r="AH471" s="26"/>
      <c r="AI471" s="26"/>
      <c r="AJ471" s="26"/>
      <c r="AK471" s="26">
        <v>6230</v>
      </c>
      <c r="AL471" s="26"/>
      <c r="AM471" s="26">
        <v>0</v>
      </c>
      <c r="AN471" s="26"/>
      <c r="AO471" s="51">
        <f t="shared" si="40"/>
        <v>42895</v>
      </c>
      <c r="AP471" s="26"/>
      <c r="AQ471" s="51">
        <f t="shared" si="39"/>
        <v>12722878</v>
      </c>
      <c r="AR471" s="8" t="s">
        <v>1014</v>
      </c>
    </row>
    <row r="472" spans="1:44">
      <c r="A472" s="13" t="s">
        <v>867</v>
      </c>
      <c r="B472" s="13"/>
      <c r="C472" s="13" t="s">
        <v>77</v>
      </c>
      <c r="D472" s="13"/>
      <c r="E472" s="32">
        <v>46078</v>
      </c>
      <c r="F472" s="26"/>
      <c r="G472" s="26">
        <v>2471907</v>
      </c>
      <c r="H472" s="26"/>
      <c r="I472" s="26">
        <v>0</v>
      </c>
      <c r="J472" s="26"/>
      <c r="K472" s="26">
        <v>9083926</v>
      </c>
      <c r="L472" s="26"/>
      <c r="M472" s="26">
        <v>63123</v>
      </c>
      <c r="N472" s="26"/>
      <c r="O472" s="26">
        <v>366302</v>
      </c>
      <c r="P472" s="26"/>
      <c r="Q472" s="26">
        <v>50405</v>
      </c>
      <c r="R472" s="26"/>
      <c r="S472" s="26">
        <v>0</v>
      </c>
      <c r="T472" s="26"/>
      <c r="U472" s="26">
        <v>2930</v>
      </c>
      <c r="V472" s="26"/>
      <c r="W472" s="26">
        <f>124031+192234+7694</f>
        <v>323959</v>
      </c>
      <c r="X472" s="26"/>
      <c r="Y472" s="51">
        <f t="shared" si="38"/>
        <v>12362552</v>
      </c>
      <c r="Z472" s="26"/>
      <c r="AA472" s="26">
        <v>0</v>
      </c>
      <c r="AB472" s="26"/>
      <c r="AC472" s="26"/>
      <c r="AD472" s="26"/>
      <c r="AE472" s="26">
        <v>0</v>
      </c>
      <c r="AF472" s="26"/>
      <c r="AG472" s="26"/>
      <c r="AH472" s="26"/>
      <c r="AI472" s="26"/>
      <c r="AJ472" s="26"/>
      <c r="AK472" s="26">
        <v>1400</v>
      </c>
      <c r="AL472" s="26"/>
      <c r="AM472" s="26">
        <v>0</v>
      </c>
      <c r="AN472" s="26"/>
      <c r="AO472" s="51">
        <f t="shared" si="40"/>
        <v>1400</v>
      </c>
      <c r="AP472" s="26"/>
      <c r="AQ472" s="51">
        <f t="shared" si="39"/>
        <v>12363952</v>
      </c>
    </row>
    <row r="473" spans="1:44">
      <c r="A473" s="13" t="s">
        <v>724</v>
      </c>
      <c r="B473" s="13"/>
      <c r="C473" s="13" t="s">
        <v>71</v>
      </c>
      <c r="D473" s="13"/>
      <c r="E473" s="32">
        <v>45591</v>
      </c>
      <c r="F473" s="26"/>
      <c r="G473" s="26">
        <v>3924379</v>
      </c>
      <c r="H473" s="26"/>
      <c r="I473" s="26">
        <v>0</v>
      </c>
      <c r="J473" s="26"/>
      <c r="K473" s="26">
        <v>9213662</v>
      </c>
      <c r="L473" s="26"/>
      <c r="M473" s="26">
        <v>101566</v>
      </c>
      <c r="N473" s="26"/>
      <c r="O473" s="26">
        <v>229341</v>
      </c>
      <c r="P473" s="26"/>
      <c r="Q473" s="26">
        <v>62283</v>
      </c>
      <c r="R473" s="26"/>
      <c r="S473" s="26">
        <v>0</v>
      </c>
      <c r="T473" s="26"/>
      <c r="U473" s="26">
        <v>3195</v>
      </c>
      <c r="V473" s="26"/>
      <c r="W473" s="26">
        <f>90237+200528+10330</f>
        <v>301095</v>
      </c>
      <c r="X473" s="26"/>
      <c r="Y473" s="51">
        <f t="shared" si="38"/>
        <v>13835521</v>
      </c>
      <c r="Z473" s="26"/>
      <c r="AA473" s="26">
        <v>2952028</v>
      </c>
      <c r="AB473" s="26"/>
      <c r="AC473" s="26"/>
      <c r="AD473" s="26"/>
      <c r="AE473" s="26">
        <v>0</v>
      </c>
      <c r="AF473" s="26"/>
      <c r="AG473" s="26"/>
      <c r="AH473" s="26"/>
      <c r="AI473" s="26"/>
      <c r="AJ473" s="26"/>
      <c r="AK473" s="26">
        <v>500</v>
      </c>
      <c r="AL473" s="26"/>
      <c r="AM473" s="26">
        <v>0</v>
      </c>
      <c r="AN473" s="26"/>
      <c r="AO473" s="51">
        <f t="shared" si="40"/>
        <v>2952528</v>
      </c>
      <c r="AP473" s="26"/>
      <c r="AQ473" s="51">
        <f t="shared" si="39"/>
        <v>16788049</v>
      </c>
    </row>
    <row r="474" spans="1:44">
      <c r="A474" s="13" t="s">
        <v>524</v>
      </c>
      <c r="B474" s="13"/>
      <c r="C474" s="13" t="s">
        <v>46</v>
      </c>
      <c r="D474" s="13"/>
      <c r="E474" s="32">
        <v>48447</v>
      </c>
      <c r="F474" s="26"/>
      <c r="G474" s="26">
        <v>6847602</v>
      </c>
      <c r="H474" s="26"/>
      <c r="I474" s="26">
        <v>0</v>
      </c>
      <c r="J474" s="26"/>
      <c r="K474" s="26">
        <v>8072214</v>
      </c>
      <c r="L474" s="26"/>
      <c r="M474" s="26">
        <v>91242</v>
      </c>
      <c r="N474" s="26"/>
      <c r="O474" s="26">
        <v>2770465</v>
      </c>
      <c r="P474" s="26"/>
      <c r="Q474" s="26">
        <v>264223</v>
      </c>
      <c r="R474" s="26"/>
      <c r="S474" s="26">
        <v>188753</v>
      </c>
      <c r="T474" s="26"/>
      <c r="U474" s="26">
        <v>0</v>
      </c>
      <c r="V474" s="26"/>
      <c r="W474" s="26">
        <f>332199+442714</f>
        <v>774913</v>
      </c>
      <c r="X474" s="26"/>
      <c r="Y474" s="51">
        <f t="shared" si="38"/>
        <v>19009412</v>
      </c>
      <c r="Z474" s="26"/>
      <c r="AA474" s="26">
        <v>92783</v>
      </c>
      <c r="AB474" s="26"/>
      <c r="AC474" s="26"/>
      <c r="AD474" s="26"/>
      <c r="AE474" s="26">
        <v>0</v>
      </c>
      <c r="AF474" s="26"/>
      <c r="AG474" s="26"/>
      <c r="AH474" s="26"/>
      <c r="AI474" s="26"/>
      <c r="AJ474" s="26"/>
      <c r="AK474" s="26">
        <v>0</v>
      </c>
      <c r="AL474" s="26"/>
      <c r="AM474" s="26">
        <v>0</v>
      </c>
      <c r="AN474" s="26"/>
      <c r="AO474" s="51">
        <f t="shared" si="40"/>
        <v>92783</v>
      </c>
      <c r="AP474" s="26"/>
      <c r="AQ474" s="51">
        <f t="shared" si="39"/>
        <v>19102195</v>
      </c>
    </row>
    <row r="475" spans="1:44">
      <c r="A475" s="13" t="s">
        <v>289</v>
      </c>
      <c r="B475" s="13"/>
      <c r="C475" s="13" t="s">
        <v>19</v>
      </c>
      <c r="D475" s="13"/>
      <c r="E475" s="32">
        <v>46482</v>
      </c>
      <c r="F475" s="26"/>
      <c r="G475" s="26">
        <v>7806241</v>
      </c>
      <c r="H475" s="26"/>
      <c r="I475" s="26">
        <v>0</v>
      </c>
      <c r="J475" s="26"/>
      <c r="K475" s="26">
        <v>12260794</v>
      </c>
      <c r="L475" s="26"/>
      <c r="M475" s="26">
        <v>136038</v>
      </c>
      <c r="N475" s="26"/>
      <c r="O475" s="26">
        <v>594744</v>
      </c>
      <c r="P475" s="26"/>
      <c r="Q475" s="26">
        <v>205064</v>
      </c>
      <c r="R475" s="26"/>
      <c r="S475" s="26">
        <v>0</v>
      </c>
      <c r="T475" s="26"/>
      <c r="U475" s="26">
        <v>42244</v>
      </c>
      <c r="V475" s="26"/>
      <c r="W475" s="26">
        <f>154701+481066+2554</f>
        <v>638321</v>
      </c>
      <c r="X475" s="26"/>
      <c r="Y475" s="51">
        <f t="shared" si="38"/>
        <v>21683446</v>
      </c>
      <c r="Z475" s="26"/>
      <c r="AA475" s="26">
        <v>60419</v>
      </c>
      <c r="AB475" s="26"/>
      <c r="AC475" s="26"/>
      <c r="AD475" s="26"/>
      <c r="AE475" s="26">
        <v>0</v>
      </c>
      <c r="AF475" s="26"/>
      <c r="AG475" s="26"/>
      <c r="AH475" s="26"/>
      <c r="AI475" s="26"/>
      <c r="AJ475" s="26"/>
      <c r="AK475" s="26">
        <v>22066</v>
      </c>
      <c r="AL475" s="26"/>
      <c r="AM475" s="26">
        <v>0</v>
      </c>
      <c r="AN475" s="26"/>
      <c r="AO475" s="51">
        <f t="shared" si="40"/>
        <v>82485</v>
      </c>
      <c r="AP475" s="26"/>
      <c r="AQ475" s="51">
        <f t="shared" si="39"/>
        <v>21765931</v>
      </c>
    </row>
    <row r="476" spans="1:44">
      <c r="A476" s="13" t="s">
        <v>425</v>
      </c>
      <c r="B476" s="13"/>
      <c r="C476" s="13" t="s">
        <v>421</v>
      </c>
      <c r="D476" s="13"/>
      <c r="E476" s="32">
        <v>47514</v>
      </c>
      <c r="F476" s="26"/>
      <c r="G476" s="26">
        <v>2317952</v>
      </c>
      <c r="H476" s="26"/>
      <c r="I476" s="26">
        <v>1033361</v>
      </c>
      <c r="J476" s="26"/>
      <c r="K476" s="26">
        <v>6479459</v>
      </c>
      <c r="L476" s="26"/>
      <c r="M476" s="26">
        <v>32763</v>
      </c>
      <c r="N476" s="26"/>
      <c r="O476" s="26">
        <v>407799</v>
      </c>
      <c r="P476" s="26"/>
      <c r="Q476" s="26">
        <v>175836</v>
      </c>
      <c r="R476" s="26"/>
      <c r="S476" s="26">
        <v>0</v>
      </c>
      <c r="T476" s="26"/>
      <c r="U476" s="26">
        <v>501</v>
      </c>
      <c r="V476" s="26"/>
      <c r="W476" s="26">
        <f>242439+72529+11430</f>
        <v>326398</v>
      </c>
      <c r="X476" s="26"/>
      <c r="Y476" s="51">
        <f t="shared" si="38"/>
        <v>10774069</v>
      </c>
      <c r="Z476" s="26"/>
      <c r="AA476" s="26">
        <v>1201614</v>
      </c>
      <c r="AB476" s="26"/>
      <c r="AC476" s="26"/>
      <c r="AD476" s="26"/>
      <c r="AE476" s="26">
        <v>0</v>
      </c>
      <c r="AF476" s="26"/>
      <c r="AG476" s="26"/>
      <c r="AH476" s="26"/>
      <c r="AI476" s="26"/>
      <c r="AJ476" s="26"/>
      <c r="AK476" s="26">
        <v>0</v>
      </c>
      <c r="AL476" s="26"/>
      <c r="AM476" s="26">
        <v>0</v>
      </c>
      <c r="AN476" s="26"/>
      <c r="AO476" s="51">
        <f t="shared" si="40"/>
        <v>1201614</v>
      </c>
      <c r="AP476" s="26"/>
      <c r="AQ476" s="51">
        <f t="shared" si="39"/>
        <v>11975683</v>
      </c>
    </row>
    <row r="477" spans="1:44">
      <c r="A477" s="13" t="s">
        <v>482</v>
      </c>
      <c r="B477" s="13"/>
      <c r="C477" s="13" t="s">
        <v>41</v>
      </c>
      <c r="D477" s="13"/>
      <c r="E477" s="32"/>
      <c r="F477" s="26"/>
      <c r="G477" s="26">
        <v>28633206</v>
      </c>
      <c r="H477" s="26"/>
      <c r="I477" s="26">
        <v>0</v>
      </c>
      <c r="J477" s="26"/>
      <c r="K477" s="26">
        <v>13946434</v>
      </c>
      <c r="L477" s="26"/>
      <c r="M477" s="26">
        <v>159998</v>
      </c>
      <c r="N477" s="26"/>
      <c r="O477" s="26">
        <v>511251</v>
      </c>
      <c r="P477" s="26"/>
      <c r="Q477" s="26">
        <v>539883</v>
      </c>
      <c r="R477" s="26"/>
      <c r="S477" s="26">
        <v>0</v>
      </c>
      <c r="T477" s="26"/>
      <c r="U477" s="26">
        <v>0</v>
      </c>
      <c r="V477" s="26"/>
      <c r="W477" s="26">
        <f>92593+347999+155985</f>
        <v>596577</v>
      </c>
      <c r="X477" s="26"/>
      <c r="Y477" s="51">
        <f t="shared" si="38"/>
        <v>44387349</v>
      </c>
      <c r="Z477" s="26"/>
      <c r="AA477" s="26">
        <v>301265</v>
      </c>
      <c r="AB477" s="26"/>
      <c r="AC477" s="26"/>
      <c r="AD477" s="26"/>
      <c r="AE477" s="26">
        <v>186811</v>
      </c>
      <c r="AF477" s="26"/>
      <c r="AG477" s="26"/>
      <c r="AH477" s="26"/>
      <c r="AI477" s="26"/>
      <c r="AJ477" s="26"/>
      <c r="AK477" s="26">
        <v>13041</v>
      </c>
      <c r="AL477" s="26"/>
      <c r="AM477" s="26">
        <v>0</v>
      </c>
      <c r="AN477" s="26"/>
      <c r="AO477" s="51">
        <f t="shared" si="40"/>
        <v>501117</v>
      </c>
      <c r="AP477" s="26"/>
      <c r="AQ477" s="51">
        <f t="shared" si="39"/>
        <v>44888466</v>
      </c>
    </row>
    <row r="478" spans="1:44">
      <c r="A478" s="13" t="s">
        <v>482</v>
      </c>
      <c r="B478" s="13"/>
      <c r="C478" s="13" t="s">
        <v>43</v>
      </c>
      <c r="D478" s="13"/>
      <c r="E478" s="32">
        <v>48090</v>
      </c>
      <c r="F478" s="26"/>
      <c r="G478" s="26">
        <v>1438122</v>
      </c>
      <c r="H478" s="26"/>
      <c r="I478" s="26">
        <v>498774</v>
      </c>
      <c r="J478" s="26"/>
      <c r="K478" s="26">
        <f>2340+4467426+393263</f>
        <v>4863029</v>
      </c>
      <c r="L478" s="26"/>
      <c r="M478" s="26">
        <v>32008</v>
      </c>
      <c r="N478" s="26"/>
      <c r="O478" s="26">
        <v>518499</v>
      </c>
      <c r="P478" s="26"/>
      <c r="Q478" s="26">
        <v>77369</v>
      </c>
      <c r="R478" s="26"/>
      <c r="S478" s="26">
        <v>0</v>
      </c>
      <c r="T478" s="26"/>
      <c r="U478" s="26">
        <v>5817</v>
      </c>
      <c r="V478" s="26"/>
      <c r="W478" s="26">
        <f>45262+35377+155+25070+210216+4480</f>
        <v>320560</v>
      </c>
      <c r="X478" s="26"/>
      <c r="Y478" s="51">
        <f t="shared" si="38"/>
        <v>7754178</v>
      </c>
      <c r="Z478" s="26"/>
      <c r="AA478" s="26">
        <v>8561</v>
      </c>
      <c r="AB478" s="26"/>
      <c r="AC478" s="26"/>
      <c r="AD478" s="26"/>
      <c r="AE478" s="26">
        <v>0</v>
      </c>
      <c r="AF478" s="26"/>
      <c r="AG478" s="26"/>
      <c r="AH478" s="26"/>
      <c r="AI478" s="26"/>
      <c r="AJ478" s="26"/>
      <c r="AK478" s="26">
        <v>0</v>
      </c>
      <c r="AL478" s="26"/>
      <c r="AM478" s="26">
        <v>0</v>
      </c>
      <c r="AN478" s="26"/>
      <c r="AO478" s="51">
        <f t="shared" si="40"/>
        <v>8561</v>
      </c>
      <c r="AP478" s="26"/>
      <c r="AQ478" s="51">
        <f t="shared" si="39"/>
        <v>7762739</v>
      </c>
    </row>
    <row r="479" spans="1:44">
      <c r="A479" s="13" t="s">
        <v>470</v>
      </c>
      <c r="B479" s="13"/>
      <c r="C479" s="13" t="s">
        <v>466</v>
      </c>
      <c r="D479" s="13"/>
      <c r="E479" s="32">
        <v>47944</v>
      </c>
      <c r="F479" s="26"/>
      <c r="G479" s="26">
        <v>1987774</v>
      </c>
      <c r="H479" s="26"/>
      <c r="I479" s="26">
        <v>0</v>
      </c>
      <c r="J479" s="26"/>
      <c r="K479" s="26">
        <v>17087877</v>
      </c>
      <c r="L479" s="26"/>
      <c r="M479" s="26">
        <v>86581</v>
      </c>
      <c r="N479" s="26"/>
      <c r="O479" s="26">
        <v>900322</v>
      </c>
      <c r="P479" s="26"/>
      <c r="Q479" s="26">
        <v>106368</v>
      </c>
      <c r="R479" s="26"/>
      <c r="S479" s="26">
        <v>573500</v>
      </c>
      <c r="T479" s="26"/>
      <c r="U479" s="9">
        <v>0</v>
      </c>
      <c r="V479" s="26"/>
      <c r="W479" s="26">
        <f>220894+80213</f>
        <v>301107</v>
      </c>
      <c r="X479" s="26"/>
      <c r="Y479" s="51">
        <f>SUM(G479:W479)</f>
        <v>21043529</v>
      </c>
      <c r="Z479" s="26"/>
      <c r="AA479" s="26">
        <v>600290</v>
      </c>
      <c r="AB479" s="26"/>
      <c r="AC479" s="26"/>
      <c r="AD479" s="26"/>
      <c r="AE479" s="26">
        <v>0</v>
      </c>
      <c r="AF479" s="26"/>
      <c r="AG479" s="26"/>
      <c r="AH479" s="26"/>
      <c r="AI479" s="26"/>
      <c r="AJ479" s="26"/>
      <c r="AK479" s="26">
        <v>0</v>
      </c>
      <c r="AL479" s="26"/>
      <c r="AM479" s="26">
        <v>0</v>
      </c>
      <c r="AN479" s="26"/>
      <c r="AO479" s="51">
        <f t="shared" si="40"/>
        <v>600290</v>
      </c>
      <c r="AP479" s="26"/>
      <c r="AQ479" s="51">
        <f t="shared" si="39"/>
        <v>21643819</v>
      </c>
      <c r="AR479" s="8" t="s">
        <v>956</v>
      </c>
    </row>
    <row r="480" spans="1:44">
      <c r="A480" s="13" t="s">
        <v>319</v>
      </c>
      <c r="B480" s="13"/>
      <c r="C480" s="13" t="s">
        <v>20</v>
      </c>
      <c r="D480" s="13"/>
      <c r="E480" s="32">
        <v>44701</v>
      </c>
      <c r="F480" s="26"/>
      <c r="G480" s="26">
        <v>28099864</v>
      </c>
      <c r="H480" s="26"/>
      <c r="I480" s="26">
        <v>0</v>
      </c>
      <c r="J480" s="26"/>
      <c r="K480" s="26">
        <f>7402508+1063772</f>
        <v>8466280</v>
      </c>
      <c r="L480" s="26"/>
      <c r="M480" s="26">
        <v>144994</v>
      </c>
      <c r="N480" s="26"/>
      <c r="O480" s="26">
        <v>75650</v>
      </c>
      <c r="P480" s="26"/>
      <c r="Q480" s="26">
        <v>261450</v>
      </c>
      <c r="R480" s="26"/>
      <c r="S480" s="26">
        <v>0</v>
      </c>
      <c r="T480" s="26"/>
      <c r="U480" s="26">
        <v>122470</v>
      </c>
      <c r="V480" s="26"/>
      <c r="W480" s="26">
        <f>310233+295270+217594+351342+13819</f>
        <v>1188258</v>
      </c>
      <c r="X480" s="26"/>
      <c r="Y480" s="51">
        <f t="shared" si="38"/>
        <v>38358966</v>
      </c>
      <c r="Z480" s="26"/>
      <c r="AA480" s="26">
        <v>31000</v>
      </c>
      <c r="AB480" s="26"/>
      <c r="AC480" s="26"/>
      <c r="AD480" s="26"/>
      <c r="AE480" s="26">
        <v>321818</v>
      </c>
      <c r="AF480" s="26"/>
      <c r="AG480" s="26"/>
      <c r="AH480" s="26"/>
      <c r="AI480" s="26"/>
      <c r="AJ480" s="26"/>
      <c r="AK480" s="26">
        <v>0</v>
      </c>
      <c r="AL480" s="26"/>
      <c r="AM480" s="26">
        <v>0</v>
      </c>
      <c r="AN480" s="26"/>
      <c r="AO480" s="51">
        <f t="shared" si="40"/>
        <v>352818</v>
      </c>
      <c r="AP480" s="26"/>
      <c r="AQ480" s="51">
        <f t="shared" si="39"/>
        <v>38711784</v>
      </c>
      <c r="AR480" s="15" t="s">
        <v>905</v>
      </c>
    </row>
    <row r="481" spans="1:44">
      <c r="A481" s="13" t="s">
        <v>391</v>
      </c>
      <c r="B481" s="13"/>
      <c r="C481" s="13" t="s">
        <v>31</v>
      </c>
      <c r="D481" s="13"/>
      <c r="E481" s="32">
        <v>47308</v>
      </c>
      <c r="F481" s="26"/>
      <c r="G481" s="26">
        <v>4518715</v>
      </c>
      <c r="H481" s="26"/>
      <c r="I481" s="26">
        <v>0</v>
      </c>
      <c r="J481" s="26"/>
      <c r="K481" s="26">
        <v>12825410</v>
      </c>
      <c r="L481" s="26"/>
      <c r="M481" s="26">
        <v>37103</v>
      </c>
      <c r="N481" s="26"/>
      <c r="O481" s="26">
        <v>451902</v>
      </c>
      <c r="P481" s="26"/>
      <c r="Q481" s="26">
        <v>104556</v>
      </c>
      <c r="R481" s="26"/>
      <c r="S481" s="26">
        <v>0</v>
      </c>
      <c r="T481" s="26"/>
      <c r="U481" s="26">
        <v>230837</v>
      </c>
      <c r="V481" s="26"/>
      <c r="W481" s="26">
        <f>131258+279776+62666</f>
        <v>473700</v>
      </c>
      <c r="X481" s="26"/>
      <c r="Y481" s="51">
        <f t="shared" si="38"/>
        <v>18642223</v>
      </c>
      <c r="Z481" s="26"/>
      <c r="AA481" s="26">
        <v>110814</v>
      </c>
      <c r="AB481" s="26"/>
      <c r="AC481" s="26"/>
      <c r="AD481" s="26"/>
      <c r="AE481" s="26">
        <v>0</v>
      </c>
      <c r="AF481" s="26"/>
      <c r="AG481" s="26"/>
      <c r="AH481" s="26"/>
      <c r="AI481" s="26"/>
      <c r="AJ481" s="26"/>
      <c r="AK481" s="26">
        <v>0</v>
      </c>
      <c r="AL481" s="26"/>
      <c r="AM481" s="26">
        <v>0</v>
      </c>
      <c r="AN481" s="26"/>
      <c r="AO481" s="51">
        <f t="shared" si="40"/>
        <v>110814</v>
      </c>
      <c r="AP481" s="26"/>
      <c r="AQ481" s="51">
        <f t="shared" si="39"/>
        <v>18753037</v>
      </c>
    </row>
    <row r="482" spans="1:44">
      <c r="A482" s="13" t="s">
        <v>593</v>
      </c>
      <c r="B482" s="13"/>
      <c r="C482" s="13" t="s">
        <v>56</v>
      </c>
      <c r="D482" s="13"/>
      <c r="E482" s="32">
        <v>49213</v>
      </c>
      <c r="F482" s="26"/>
      <c r="G482" s="26">
        <v>5110564</v>
      </c>
      <c r="H482" s="26"/>
      <c r="I482" s="26">
        <v>0</v>
      </c>
      <c r="J482" s="26"/>
      <c r="K482" s="26">
        <v>6215655</v>
      </c>
      <c r="L482" s="26"/>
      <c r="M482" s="26">
        <v>26839</v>
      </c>
      <c r="N482" s="26"/>
      <c r="O482" s="26">
        <v>371106</v>
      </c>
      <c r="P482" s="26"/>
      <c r="Q482" s="26">
        <v>94887</v>
      </c>
      <c r="R482" s="26"/>
      <c r="S482" s="26">
        <v>0</v>
      </c>
      <c r="T482" s="26"/>
      <c r="U482" s="26">
        <v>34234</v>
      </c>
      <c r="V482" s="26"/>
      <c r="W482" s="26">
        <f>255232+60756</f>
        <v>315988</v>
      </c>
      <c r="X482" s="26"/>
      <c r="Y482" s="51">
        <f t="shared" si="38"/>
        <v>12169273</v>
      </c>
      <c r="Z482" s="26"/>
      <c r="AA482" s="26">
        <v>0</v>
      </c>
      <c r="AB482" s="26"/>
      <c r="AC482" s="26"/>
      <c r="AD482" s="26"/>
      <c r="AE482" s="26">
        <v>0</v>
      </c>
      <c r="AF482" s="26"/>
      <c r="AG482" s="26"/>
      <c r="AH482" s="26"/>
      <c r="AI482" s="26"/>
      <c r="AJ482" s="26"/>
      <c r="AK482" s="26">
        <v>0</v>
      </c>
      <c r="AL482" s="26"/>
      <c r="AM482" s="26">
        <v>0</v>
      </c>
      <c r="AN482" s="26"/>
      <c r="AO482" s="51">
        <f t="shared" si="40"/>
        <v>0</v>
      </c>
      <c r="AP482" s="26"/>
      <c r="AQ482" s="51">
        <f t="shared" si="39"/>
        <v>12169273</v>
      </c>
    </row>
    <row r="483" spans="1:44">
      <c r="A483" s="12" t="s">
        <v>1060</v>
      </c>
      <c r="B483" s="13"/>
      <c r="C483" s="13" t="s">
        <v>242</v>
      </c>
      <c r="D483" s="13"/>
      <c r="E483" s="32">
        <v>46144</v>
      </c>
      <c r="F483" s="26"/>
      <c r="G483" s="26">
        <v>8669179</v>
      </c>
      <c r="H483" s="26"/>
      <c r="I483" s="26">
        <v>2917782</v>
      </c>
      <c r="J483" s="26"/>
      <c r="K483" s="26">
        <v>15911324</v>
      </c>
      <c r="L483" s="26"/>
      <c r="M483" s="26">
        <v>128325</v>
      </c>
      <c r="N483" s="26"/>
      <c r="O483" s="26">
        <v>91898</v>
      </c>
      <c r="P483" s="26"/>
      <c r="Q483" s="26">
        <v>582507</v>
      </c>
      <c r="R483" s="26"/>
      <c r="S483" s="26">
        <v>0</v>
      </c>
      <c r="T483" s="26"/>
      <c r="U483" s="8">
        <v>0</v>
      </c>
      <c r="V483" s="26"/>
      <c r="W483" s="26">
        <f>354711+876546</f>
        <v>1231257</v>
      </c>
      <c r="X483" s="26"/>
      <c r="Y483" s="51">
        <f>SUM(G483:W483)</f>
        <v>29532272</v>
      </c>
      <c r="Z483" s="26"/>
      <c r="AA483" s="26">
        <v>11365</v>
      </c>
      <c r="AB483" s="26"/>
      <c r="AC483" s="26"/>
      <c r="AD483" s="26"/>
      <c r="AE483" s="26">
        <v>0</v>
      </c>
      <c r="AF483" s="26"/>
      <c r="AG483" s="26"/>
      <c r="AH483" s="26"/>
      <c r="AI483" s="26"/>
      <c r="AJ483" s="26"/>
      <c r="AK483" s="26">
        <v>0</v>
      </c>
      <c r="AL483" s="26"/>
      <c r="AM483" s="26">
        <v>0</v>
      </c>
      <c r="AN483" s="26"/>
      <c r="AO483" s="51">
        <f t="shared" si="40"/>
        <v>11365</v>
      </c>
      <c r="AP483" s="26"/>
      <c r="AQ483" s="51">
        <f t="shared" si="39"/>
        <v>29543637</v>
      </c>
      <c r="AR483" s="15" t="s">
        <v>905</v>
      </c>
    </row>
    <row r="484" spans="1:44">
      <c r="A484" s="13" t="s">
        <v>739</v>
      </c>
      <c r="B484" s="13"/>
      <c r="C484" s="13" t="s">
        <v>72</v>
      </c>
      <c r="D484" s="13"/>
      <c r="E484" s="32">
        <v>45609</v>
      </c>
      <c r="F484" s="26"/>
      <c r="G484" s="26">
        <v>13913356</v>
      </c>
      <c r="H484" s="26"/>
      <c r="I484" s="26">
        <v>0</v>
      </c>
      <c r="J484" s="26"/>
      <c r="K484" s="26">
        <v>9280897</v>
      </c>
      <c r="L484" s="26"/>
      <c r="M484" s="26">
        <v>153611</v>
      </c>
      <c r="N484" s="26"/>
      <c r="O484" s="26">
        <v>477863</v>
      </c>
      <c r="P484" s="26"/>
      <c r="Q484" s="26">
        <v>237675</v>
      </c>
      <c r="R484" s="26"/>
      <c r="S484" s="26">
        <v>669802</v>
      </c>
      <c r="T484" s="26"/>
      <c r="U484" s="26">
        <v>1156608</v>
      </c>
      <c r="V484" s="26"/>
      <c r="W484" s="26">
        <f>107932+346488</f>
        <v>454420</v>
      </c>
      <c r="X484" s="26"/>
      <c r="Y484" s="51">
        <f t="shared" si="38"/>
        <v>26344232</v>
      </c>
      <c r="Z484" s="26"/>
      <c r="AA484" s="26">
        <v>92403</v>
      </c>
      <c r="AB484" s="26"/>
      <c r="AC484" s="26"/>
      <c r="AD484" s="26"/>
      <c r="AE484" s="26">
        <v>0</v>
      </c>
      <c r="AF484" s="26"/>
      <c r="AG484" s="26"/>
      <c r="AH484" s="26"/>
      <c r="AI484" s="26"/>
      <c r="AJ484" s="26"/>
      <c r="AK484" s="26">
        <v>0</v>
      </c>
      <c r="AL484" s="26"/>
      <c r="AM484" s="26">
        <v>0</v>
      </c>
      <c r="AN484" s="26"/>
      <c r="AO484" s="51">
        <f t="shared" si="40"/>
        <v>92403</v>
      </c>
      <c r="AP484" s="26"/>
      <c r="AQ484" s="51">
        <f t="shared" si="39"/>
        <v>26436635</v>
      </c>
    </row>
    <row r="485" spans="1:44">
      <c r="A485" s="13" t="s">
        <v>646</v>
      </c>
      <c r="B485" s="13"/>
      <c r="C485" s="13" t="s">
        <v>61</v>
      </c>
      <c r="D485" s="13"/>
      <c r="E485" s="13">
        <v>49817</v>
      </c>
      <c r="F485" s="26"/>
      <c r="G485" s="26">
        <v>1148963</v>
      </c>
      <c r="H485" s="26"/>
      <c r="I485" s="26">
        <v>338934</v>
      </c>
      <c r="J485" s="26"/>
      <c r="K485" s="26">
        <v>2574034</v>
      </c>
      <c r="L485" s="26"/>
      <c r="M485" s="26">
        <v>11454</v>
      </c>
      <c r="N485" s="26"/>
      <c r="O485" s="26">
        <v>314643</v>
      </c>
      <c r="P485" s="26"/>
      <c r="Q485" s="26">
        <v>54989</v>
      </c>
      <c r="R485" s="26"/>
      <c r="S485" s="26">
        <v>0</v>
      </c>
      <c r="T485" s="26"/>
      <c r="U485" s="26">
        <v>11878</v>
      </c>
      <c r="V485" s="26"/>
      <c r="W485" s="26">
        <f>20480+114983+75</f>
        <v>135538</v>
      </c>
      <c r="X485" s="26"/>
      <c r="Y485" s="51">
        <f t="shared" si="38"/>
        <v>4590433</v>
      </c>
      <c r="Z485" s="26"/>
      <c r="AA485" s="26">
        <v>0</v>
      </c>
      <c r="AB485" s="26"/>
      <c r="AC485" s="26"/>
      <c r="AD485" s="26"/>
      <c r="AE485" s="26">
        <v>0</v>
      </c>
      <c r="AF485" s="26"/>
      <c r="AG485" s="26"/>
      <c r="AH485" s="26"/>
      <c r="AI485" s="26"/>
      <c r="AJ485" s="26"/>
      <c r="AK485" s="26">
        <v>0</v>
      </c>
      <c r="AL485" s="26"/>
      <c r="AM485" s="26">
        <v>0</v>
      </c>
      <c r="AN485" s="26"/>
      <c r="AO485" s="51">
        <f t="shared" si="40"/>
        <v>0</v>
      </c>
      <c r="AP485" s="26"/>
      <c r="AQ485" s="51">
        <f t="shared" si="39"/>
        <v>4590433</v>
      </c>
    </row>
    <row r="486" spans="1:44">
      <c r="A486" s="13" t="s">
        <v>822</v>
      </c>
      <c r="B486" s="13"/>
      <c r="C486" s="13" t="s">
        <v>114</v>
      </c>
      <c r="D486" s="13"/>
      <c r="E486" s="32"/>
      <c r="F486" s="26"/>
      <c r="G486" s="26">
        <v>9060592</v>
      </c>
      <c r="H486" s="26"/>
      <c r="I486" s="26">
        <v>15175</v>
      </c>
      <c r="J486" s="26"/>
      <c r="K486" s="26">
        <f>10111728+1812333</f>
        <v>11924061</v>
      </c>
      <c r="L486" s="26"/>
      <c r="M486" s="26">
        <v>12886</v>
      </c>
      <c r="N486" s="26"/>
      <c r="O486" s="26">
        <v>665992</v>
      </c>
      <c r="P486" s="26"/>
      <c r="Q486" s="26">
        <v>222682</v>
      </c>
      <c r="R486" s="26"/>
      <c r="S486" s="26">
        <v>0</v>
      </c>
      <c r="T486" s="26"/>
      <c r="U486" s="26">
        <v>42844</v>
      </c>
      <c r="V486" s="26"/>
      <c r="W486" s="26">
        <f>382336+5330+63669+208517+30</f>
        <v>659882</v>
      </c>
      <c r="X486" s="26"/>
      <c r="Y486" s="51">
        <f t="shared" ref="Y486:Y539" si="41">SUM(G486:W486)</f>
        <v>22604114</v>
      </c>
      <c r="Z486" s="26"/>
      <c r="AA486" s="26">
        <v>402771</v>
      </c>
      <c r="AB486" s="26"/>
      <c r="AC486" s="26"/>
      <c r="AD486" s="26"/>
      <c r="AE486" s="26">
        <v>0</v>
      </c>
      <c r="AF486" s="26"/>
      <c r="AG486" s="26"/>
      <c r="AH486" s="26"/>
      <c r="AI486" s="26"/>
      <c r="AJ486" s="26"/>
      <c r="AK486" s="26">
        <v>0</v>
      </c>
      <c r="AL486" s="26"/>
      <c r="AM486" s="26">
        <v>0</v>
      </c>
      <c r="AN486" s="26"/>
      <c r="AO486" s="51">
        <f t="shared" si="40"/>
        <v>402771</v>
      </c>
      <c r="AP486" s="26"/>
      <c r="AQ486" s="51">
        <f t="shared" si="39"/>
        <v>23006885</v>
      </c>
    </row>
    <row r="487" spans="1:44">
      <c r="A487" s="13" t="s">
        <v>341</v>
      </c>
      <c r="B487" s="13"/>
      <c r="C487" s="13" t="s">
        <v>24</v>
      </c>
      <c r="D487" s="13"/>
      <c r="E487" s="32">
        <v>44743</v>
      </c>
      <c r="F487" s="26"/>
      <c r="G487" s="26">
        <v>18657994</v>
      </c>
      <c r="H487" s="26"/>
      <c r="I487" s="26">
        <v>0</v>
      </c>
      <c r="J487" s="26"/>
      <c r="K487" s="26">
        <f>22618868+6628778</f>
        <v>29247646</v>
      </c>
      <c r="L487" s="26"/>
      <c r="M487" s="26">
        <f>142668-10907</f>
        <v>131761</v>
      </c>
      <c r="N487" s="26"/>
      <c r="O487" s="26">
        <v>912558</v>
      </c>
      <c r="P487" s="26"/>
      <c r="Q487" s="26">
        <v>215229</v>
      </c>
      <c r="R487" s="26"/>
      <c r="S487" s="26">
        <v>0</v>
      </c>
      <c r="T487" s="26"/>
      <c r="U487" s="26">
        <v>0</v>
      </c>
      <c r="V487" s="26"/>
      <c r="W487" s="26">
        <f>94919+725686+500573+125312</f>
        <v>1446490</v>
      </c>
      <c r="X487" s="26"/>
      <c r="Y487" s="51">
        <f t="shared" si="41"/>
        <v>50611678</v>
      </c>
      <c r="Z487" s="26"/>
      <c r="AA487" s="26">
        <v>0</v>
      </c>
      <c r="AB487" s="26"/>
      <c r="AC487" s="26"/>
      <c r="AD487" s="26"/>
      <c r="AE487" s="26">
        <v>0</v>
      </c>
      <c r="AF487" s="26"/>
      <c r="AG487" s="26"/>
      <c r="AH487" s="26"/>
      <c r="AI487" s="26"/>
      <c r="AJ487" s="26"/>
      <c r="AK487" s="26">
        <v>15371</v>
      </c>
      <c r="AL487" s="26"/>
      <c r="AM487" s="26">
        <v>0</v>
      </c>
      <c r="AN487" s="26"/>
      <c r="AO487" s="51">
        <f t="shared" si="40"/>
        <v>15371</v>
      </c>
      <c r="AP487" s="26"/>
      <c r="AQ487" s="51">
        <f t="shared" si="39"/>
        <v>50627049</v>
      </c>
    </row>
    <row r="488" spans="1:44">
      <c r="A488" s="13" t="s">
        <v>660</v>
      </c>
      <c r="B488" s="13"/>
      <c r="C488" s="13" t="s">
        <v>62</v>
      </c>
      <c r="D488" s="13"/>
      <c r="E488" s="32">
        <v>49940</v>
      </c>
      <c r="F488" s="26"/>
      <c r="G488" s="26">
        <v>4249502</v>
      </c>
      <c r="H488" s="26"/>
      <c r="I488" s="26">
        <v>0</v>
      </c>
      <c r="J488" s="26"/>
      <c r="K488" s="26">
        <f>14227+10630941+911630</f>
        <v>11556798</v>
      </c>
      <c r="L488" s="26"/>
      <c r="M488" s="26">
        <v>163091</v>
      </c>
      <c r="N488" s="26"/>
      <c r="O488" s="26">
        <v>502736</v>
      </c>
      <c r="P488" s="26"/>
      <c r="Q488" s="26">
        <v>199811</v>
      </c>
      <c r="R488" s="26"/>
      <c r="S488" s="26">
        <v>0</v>
      </c>
      <c r="T488" s="26"/>
      <c r="U488" s="26">
        <v>0</v>
      </c>
      <c r="V488" s="26"/>
      <c r="W488" s="26">
        <f>158882+36290+297470+11672</f>
        <v>504314</v>
      </c>
      <c r="X488" s="26"/>
      <c r="Y488" s="51">
        <f t="shared" si="41"/>
        <v>17176252</v>
      </c>
      <c r="Z488" s="26"/>
      <c r="AA488" s="26">
        <v>750000</v>
      </c>
      <c r="AB488" s="26"/>
      <c r="AC488" s="26"/>
      <c r="AD488" s="26"/>
      <c r="AE488" s="26">
        <v>0</v>
      </c>
      <c r="AF488" s="26"/>
      <c r="AG488" s="26"/>
      <c r="AH488" s="26"/>
      <c r="AI488" s="26"/>
      <c r="AJ488" s="26"/>
      <c r="AK488" s="26">
        <v>74282</v>
      </c>
      <c r="AL488" s="26"/>
      <c r="AM488" s="26">
        <v>0</v>
      </c>
      <c r="AN488" s="26"/>
      <c r="AO488" s="51">
        <f t="shared" si="40"/>
        <v>824282</v>
      </c>
      <c r="AP488" s="26"/>
      <c r="AQ488" s="51">
        <f t="shared" si="39"/>
        <v>18000534</v>
      </c>
    </row>
    <row r="489" spans="1:44">
      <c r="A489" s="13" t="s">
        <v>585</v>
      </c>
      <c r="B489" s="13"/>
      <c r="C489" s="13" t="s">
        <v>55</v>
      </c>
      <c r="D489" s="13"/>
      <c r="E489" s="32">
        <v>49130</v>
      </c>
      <c r="F489" s="26"/>
      <c r="G489" s="26">
        <v>1885561</v>
      </c>
      <c r="H489" s="26"/>
      <c r="I489" s="26">
        <v>0</v>
      </c>
      <c r="J489" s="26"/>
      <c r="K489" s="26">
        <v>13051522</v>
      </c>
      <c r="L489" s="26"/>
      <c r="M489" s="26">
        <v>176636</v>
      </c>
      <c r="N489" s="26"/>
      <c r="O489" s="26">
        <v>520666</v>
      </c>
      <c r="P489" s="26"/>
      <c r="Q489" s="26">
        <v>97055</v>
      </c>
      <c r="R489" s="26"/>
      <c r="S489" s="26">
        <v>0</v>
      </c>
      <c r="T489" s="26"/>
      <c r="U489" s="26">
        <v>5264</v>
      </c>
      <c r="V489" s="26"/>
      <c r="W489" s="26">
        <f>76924+107974+16867</f>
        <v>201765</v>
      </c>
      <c r="X489" s="26"/>
      <c r="Y489" s="51">
        <f t="shared" si="41"/>
        <v>15938469</v>
      </c>
      <c r="Z489" s="26"/>
      <c r="AA489" s="26">
        <v>129389</v>
      </c>
      <c r="AB489" s="26"/>
      <c r="AC489" s="26"/>
      <c r="AD489" s="26"/>
      <c r="AE489" s="26">
        <v>0</v>
      </c>
      <c r="AF489" s="26"/>
      <c r="AG489" s="26"/>
      <c r="AH489" s="26"/>
      <c r="AI489" s="26"/>
      <c r="AJ489" s="26"/>
      <c r="AK489" s="26">
        <v>8501</v>
      </c>
      <c r="AL489" s="26"/>
      <c r="AM489" s="26">
        <v>0</v>
      </c>
      <c r="AN489" s="26"/>
      <c r="AO489" s="51">
        <f t="shared" si="40"/>
        <v>137890</v>
      </c>
      <c r="AP489" s="26"/>
      <c r="AQ489" s="51">
        <f t="shared" si="39"/>
        <v>16076359</v>
      </c>
    </row>
    <row r="490" spans="1:44">
      <c r="A490" s="13" t="s">
        <v>515</v>
      </c>
      <c r="B490" s="13"/>
      <c r="C490" s="13" t="s">
        <v>45</v>
      </c>
      <c r="D490" s="13"/>
      <c r="E490" s="32">
        <v>48355</v>
      </c>
      <c r="F490" s="26"/>
      <c r="G490" s="26">
        <v>1389165</v>
      </c>
      <c r="H490" s="26"/>
      <c r="I490" s="26">
        <v>411472</v>
      </c>
      <c r="J490" s="26"/>
      <c r="K490" s="26">
        <v>5002255</v>
      </c>
      <c r="L490" s="26"/>
      <c r="M490" s="26">
        <v>23550</v>
      </c>
      <c r="N490" s="26"/>
      <c r="O490" s="26">
        <v>358569</v>
      </c>
      <c r="P490" s="26"/>
      <c r="Q490" s="26">
        <v>73150</v>
      </c>
      <c r="R490" s="26"/>
      <c r="S490" s="26">
        <v>0</v>
      </c>
      <c r="T490" s="26"/>
      <c r="U490" s="26">
        <v>16078</v>
      </c>
      <c r="V490" s="26"/>
      <c r="W490" s="26">
        <f>17354+813+113058</f>
        <v>131225</v>
      </c>
      <c r="X490" s="26"/>
      <c r="Y490" s="51">
        <f t="shared" si="41"/>
        <v>7405464</v>
      </c>
      <c r="Z490" s="26"/>
      <c r="AA490" s="26">
        <v>27000</v>
      </c>
      <c r="AB490" s="26"/>
      <c r="AC490" s="26"/>
      <c r="AD490" s="26"/>
      <c r="AE490" s="26">
        <v>0</v>
      </c>
      <c r="AF490" s="26"/>
      <c r="AG490" s="26"/>
      <c r="AH490" s="26"/>
      <c r="AI490" s="26"/>
      <c r="AJ490" s="26"/>
      <c r="AK490" s="26">
        <v>0</v>
      </c>
      <c r="AL490" s="26"/>
      <c r="AM490" s="26">
        <v>0</v>
      </c>
      <c r="AN490" s="26"/>
      <c r="AO490" s="51">
        <f t="shared" si="40"/>
        <v>27000</v>
      </c>
      <c r="AP490" s="26"/>
      <c r="AQ490" s="51">
        <f t="shared" si="39"/>
        <v>7432464</v>
      </c>
    </row>
    <row r="491" spans="1:44">
      <c r="A491" s="13" t="s">
        <v>639</v>
      </c>
      <c r="B491" s="13"/>
      <c r="C491" s="13" t="s">
        <v>60</v>
      </c>
      <c r="D491" s="13"/>
      <c r="E491" s="32">
        <v>49684</v>
      </c>
      <c r="F491" s="26"/>
      <c r="G491" s="26">
        <v>2032376</v>
      </c>
      <c r="H491" s="26"/>
      <c r="I491" s="26">
        <v>1271767</v>
      </c>
      <c r="J491" s="26"/>
      <c r="K491" s="26">
        <f>4958179+471372</f>
        <v>5429551</v>
      </c>
      <c r="L491" s="26"/>
      <c r="M491" s="26">
        <v>57299</v>
      </c>
      <c r="N491" s="26"/>
      <c r="O491" s="26">
        <v>681438</v>
      </c>
      <c r="P491" s="26"/>
      <c r="Q491" s="26">
        <v>141414</v>
      </c>
      <c r="R491" s="26"/>
      <c r="S491" s="26">
        <v>0</v>
      </c>
      <c r="T491" s="26"/>
      <c r="U491" s="26">
        <v>2662</v>
      </c>
      <c r="V491" s="26"/>
      <c r="W491" s="26">
        <f>20501+10917+5923+44135+277844</f>
        <v>359320</v>
      </c>
      <c r="X491" s="26"/>
      <c r="Y491" s="51">
        <f t="shared" si="41"/>
        <v>9975827</v>
      </c>
      <c r="Z491" s="26"/>
      <c r="AA491" s="26">
        <v>1352915</v>
      </c>
      <c r="AB491" s="26"/>
      <c r="AC491" s="26"/>
      <c r="AD491" s="26"/>
      <c r="AE491" s="26">
        <v>0</v>
      </c>
      <c r="AF491" s="26"/>
      <c r="AG491" s="26"/>
      <c r="AH491" s="26"/>
      <c r="AI491" s="26"/>
      <c r="AJ491" s="26"/>
      <c r="AK491" s="26">
        <v>22032</v>
      </c>
      <c r="AL491" s="26"/>
      <c r="AM491" s="26">
        <v>0</v>
      </c>
      <c r="AN491" s="26"/>
      <c r="AO491" s="51">
        <f t="shared" si="40"/>
        <v>1374947</v>
      </c>
      <c r="AP491" s="26"/>
      <c r="AQ491" s="51">
        <f t="shared" si="39"/>
        <v>11350774</v>
      </c>
    </row>
    <row r="492" spans="1:44">
      <c r="A492" s="13" t="s">
        <v>234</v>
      </c>
      <c r="B492" s="13"/>
      <c r="C492" s="13" t="s">
        <v>15</v>
      </c>
      <c r="D492" s="13"/>
      <c r="E492" s="32">
        <v>46003</v>
      </c>
      <c r="F492" s="26"/>
      <c r="G492" s="26">
        <v>2851783</v>
      </c>
      <c r="H492" s="26"/>
      <c r="I492" s="26">
        <v>0</v>
      </c>
      <c r="J492" s="26"/>
      <c r="K492" s="26">
        <v>4121392</v>
      </c>
      <c r="L492" s="26"/>
      <c r="M492" s="26">
        <v>11557</v>
      </c>
      <c r="N492" s="26"/>
      <c r="O492" s="26">
        <v>905375</v>
      </c>
      <c r="P492" s="26"/>
      <c r="Q492" s="26">
        <v>147306</v>
      </c>
      <c r="R492" s="26"/>
      <c r="S492" s="26">
        <v>0</v>
      </c>
      <c r="T492" s="26"/>
      <c r="U492" s="26">
        <v>4831</v>
      </c>
      <c r="V492" s="26"/>
      <c r="W492" s="26">
        <f>10047+74853+12</f>
        <v>84912</v>
      </c>
      <c r="X492" s="26"/>
      <c r="Y492" s="51">
        <f t="shared" si="41"/>
        <v>8127156</v>
      </c>
      <c r="Z492" s="26"/>
      <c r="AA492" s="26">
        <v>117744</v>
      </c>
      <c r="AB492" s="26"/>
      <c r="AC492" s="26"/>
      <c r="AD492" s="26"/>
      <c r="AE492" s="26">
        <v>0</v>
      </c>
      <c r="AF492" s="26"/>
      <c r="AG492" s="26"/>
      <c r="AH492" s="26"/>
      <c r="AI492" s="26"/>
      <c r="AJ492" s="26"/>
      <c r="AK492" s="26">
        <v>0</v>
      </c>
      <c r="AL492" s="26"/>
      <c r="AM492" s="26">
        <v>0</v>
      </c>
      <c r="AN492" s="26"/>
      <c r="AO492" s="51">
        <f t="shared" si="40"/>
        <v>117744</v>
      </c>
      <c r="AP492" s="26"/>
      <c r="AQ492" s="51">
        <f t="shared" si="39"/>
        <v>8244900</v>
      </c>
    </row>
    <row r="493" spans="1:44">
      <c r="A493" s="12" t="s">
        <v>1061</v>
      </c>
      <c r="B493" s="13"/>
      <c r="C493" s="13" t="s">
        <v>20</v>
      </c>
      <c r="D493" s="13"/>
      <c r="E493" s="32">
        <v>44750</v>
      </c>
      <c r="F493" s="26"/>
      <c r="G493" s="26">
        <v>61957201</v>
      </c>
      <c r="H493" s="26"/>
      <c r="I493" s="26">
        <v>0</v>
      </c>
      <c r="J493" s="26"/>
      <c r="K493" s="26">
        <v>30598762</v>
      </c>
      <c r="L493" s="26"/>
      <c r="M493" s="26">
        <v>1308766</v>
      </c>
      <c r="N493" s="26"/>
      <c r="O493" s="26">
        <v>1531239</v>
      </c>
      <c r="P493" s="26"/>
      <c r="Q493" s="26">
        <v>169428</v>
      </c>
      <c r="R493" s="26"/>
      <c r="S493" s="26">
        <v>0</v>
      </c>
      <c r="T493" s="26"/>
      <c r="U493" s="26">
        <v>293449</v>
      </c>
      <c r="V493" s="26"/>
      <c r="W493" s="26">
        <f>908080+165751+423892</f>
        <v>1497723</v>
      </c>
      <c r="X493" s="26"/>
      <c r="Y493" s="51">
        <f t="shared" si="41"/>
        <v>97356568</v>
      </c>
      <c r="Z493" s="26"/>
      <c r="AA493" s="26">
        <v>475000</v>
      </c>
      <c r="AB493" s="26"/>
      <c r="AC493" s="26"/>
      <c r="AD493" s="26"/>
      <c r="AE493" s="26">
        <f>500000+107967+4999999</f>
        <v>5607966</v>
      </c>
      <c r="AF493" s="26"/>
      <c r="AG493" s="26"/>
      <c r="AH493" s="26"/>
      <c r="AI493" s="26"/>
      <c r="AJ493" s="26"/>
      <c r="AK493" s="26">
        <v>0</v>
      </c>
      <c r="AL493" s="26"/>
      <c r="AM493" s="26">
        <v>0</v>
      </c>
      <c r="AN493" s="26"/>
      <c r="AO493" s="51">
        <f t="shared" si="40"/>
        <v>6082966</v>
      </c>
      <c r="AP493" s="26"/>
      <c r="AQ493" s="51">
        <f t="shared" si="39"/>
        <v>103439534</v>
      </c>
      <c r="AR493" s="15" t="s">
        <v>905</v>
      </c>
    </row>
    <row r="494" spans="1:44" hidden="1">
      <c r="A494" s="12" t="s">
        <v>1034</v>
      </c>
      <c r="B494" s="12"/>
      <c r="C494" s="12" t="s">
        <v>10</v>
      </c>
      <c r="D494" s="13"/>
      <c r="E494" s="32"/>
      <c r="F494" s="26"/>
      <c r="G494" s="26">
        <v>15114016</v>
      </c>
      <c r="H494" s="26"/>
      <c r="I494" s="26"/>
      <c r="J494" s="26"/>
      <c r="K494" s="26">
        <v>9945051</v>
      </c>
      <c r="L494" s="26"/>
      <c r="M494" s="26">
        <v>655858</v>
      </c>
      <c r="N494" s="26"/>
      <c r="O494" s="26">
        <v>1254528</v>
      </c>
      <c r="P494" s="26"/>
      <c r="Q494" s="26">
        <v>368416</v>
      </c>
      <c r="R494" s="26"/>
      <c r="S494" s="26"/>
      <c r="T494" s="26"/>
      <c r="U494" s="26">
        <v>50564</v>
      </c>
      <c r="V494" s="26"/>
      <c r="W494" s="26">
        <f>5429+686248+14266</f>
        <v>705943</v>
      </c>
      <c r="X494" s="26"/>
      <c r="Y494" s="51">
        <f t="shared" si="41"/>
        <v>28094376</v>
      </c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51"/>
      <c r="AP494" s="26"/>
      <c r="AQ494" s="51">
        <f t="shared" si="39"/>
        <v>28094376</v>
      </c>
      <c r="AR494" s="15"/>
    </row>
    <row r="495" spans="1:44">
      <c r="A495" s="13" t="s">
        <v>494</v>
      </c>
      <c r="B495" s="13"/>
      <c r="C495" s="13" t="s">
        <v>44</v>
      </c>
      <c r="D495" s="13"/>
      <c r="E495" s="32">
        <v>44768</v>
      </c>
      <c r="F495" s="26"/>
      <c r="G495" s="26">
        <v>10073065</v>
      </c>
      <c r="H495" s="26"/>
      <c r="I495" s="26">
        <v>0</v>
      </c>
      <c r="J495" s="26"/>
      <c r="K495" s="26">
        <v>8931879</v>
      </c>
      <c r="L495" s="26"/>
      <c r="M495" s="26">
        <v>143706</v>
      </c>
      <c r="N495" s="26"/>
      <c r="O495" s="26">
        <v>1059817</v>
      </c>
      <c r="P495" s="26"/>
      <c r="Q495" s="26">
        <v>83783</v>
      </c>
      <c r="R495" s="26"/>
      <c r="S495" s="26">
        <v>0</v>
      </c>
      <c r="T495" s="26"/>
      <c r="U495" s="26">
        <v>0</v>
      </c>
      <c r="V495" s="26"/>
      <c r="W495" s="26">
        <f>92737+245531</f>
        <v>338268</v>
      </c>
      <c r="X495" s="26"/>
      <c r="Y495" s="51">
        <f t="shared" si="41"/>
        <v>20630518</v>
      </c>
      <c r="Z495" s="26"/>
      <c r="AA495" s="8">
        <v>119654</v>
      </c>
      <c r="AB495" s="26"/>
      <c r="AC495" s="26"/>
      <c r="AD495" s="26"/>
      <c r="AE495" s="26">
        <v>0</v>
      </c>
      <c r="AF495" s="26"/>
      <c r="AG495" s="26"/>
      <c r="AH495" s="26"/>
      <c r="AI495" s="26"/>
      <c r="AJ495" s="26"/>
      <c r="AK495" s="26">
        <v>0</v>
      </c>
      <c r="AL495" s="26"/>
      <c r="AM495" s="26">
        <v>0</v>
      </c>
      <c r="AN495" s="26"/>
      <c r="AO495" s="51">
        <f t="shared" ref="AO495:AO529" si="42">AK495+AE495+AA495</f>
        <v>119654</v>
      </c>
      <c r="AP495" s="26"/>
      <c r="AQ495" s="51">
        <f t="shared" si="39"/>
        <v>20750172</v>
      </c>
    </row>
    <row r="496" spans="1:44">
      <c r="A496" s="13" t="s">
        <v>615</v>
      </c>
      <c r="B496" s="13"/>
      <c r="C496" s="13" t="s">
        <v>112</v>
      </c>
      <c r="D496" s="13"/>
      <c r="E496" s="32">
        <v>44776</v>
      </c>
      <c r="F496" s="26"/>
      <c r="G496" s="26">
        <v>5854360</v>
      </c>
      <c r="H496" s="26"/>
      <c r="I496" s="26">
        <v>2449991</v>
      </c>
      <c r="J496" s="26"/>
      <c r="K496" s="26">
        <f>10367092+1411950</f>
        <v>11779042</v>
      </c>
      <c r="L496" s="26"/>
      <c r="M496" s="26">
        <v>84599</v>
      </c>
      <c r="N496" s="26"/>
      <c r="O496" s="26">
        <v>334857</v>
      </c>
      <c r="P496" s="26"/>
      <c r="Q496" s="26">
        <v>227248</v>
      </c>
      <c r="R496" s="26"/>
      <c r="S496" s="26">
        <v>0</v>
      </c>
      <c r="T496" s="26"/>
      <c r="U496" s="26">
        <v>0</v>
      </c>
      <c r="V496" s="26"/>
      <c r="W496" s="26">
        <f>332447+67372+555684+31685</f>
        <v>987188</v>
      </c>
      <c r="X496" s="26"/>
      <c r="Y496" s="51">
        <f t="shared" si="41"/>
        <v>21717285</v>
      </c>
      <c r="Z496" s="26"/>
      <c r="AA496" s="26">
        <v>0</v>
      </c>
      <c r="AB496" s="26"/>
      <c r="AC496" s="26"/>
      <c r="AD496" s="26"/>
      <c r="AE496" s="26">
        <v>222829</v>
      </c>
      <c r="AF496" s="26"/>
      <c r="AG496" s="26"/>
      <c r="AH496" s="26"/>
      <c r="AI496" s="26"/>
      <c r="AJ496" s="26"/>
      <c r="AK496" s="26">
        <v>0</v>
      </c>
      <c r="AL496" s="26"/>
      <c r="AM496" s="26">
        <v>0</v>
      </c>
      <c r="AN496" s="26"/>
      <c r="AO496" s="51">
        <f t="shared" si="42"/>
        <v>222829</v>
      </c>
      <c r="AP496" s="26"/>
      <c r="AQ496" s="51">
        <f t="shared" si="39"/>
        <v>21940114</v>
      </c>
    </row>
    <row r="497" spans="1:53">
      <c r="A497" s="12" t="s">
        <v>647</v>
      </c>
      <c r="B497" s="13"/>
      <c r="C497" s="13" t="s">
        <v>61</v>
      </c>
      <c r="D497" s="13"/>
      <c r="E497" s="32">
        <v>44784</v>
      </c>
      <c r="F497" s="26"/>
      <c r="G497" s="26">
        <v>13616196</v>
      </c>
      <c r="H497" s="26"/>
      <c r="I497" s="26">
        <v>0</v>
      </c>
      <c r="J497" s="26"/>
      <c r="K497" s="26">
        <v>22504030</v>
      </c>
      <c r="L497" s="26"/>
      <c r="M497" s="26">
        <v>89313</v>
      </c>
      <c r="N497" s="26"/>
      <c r="O497" s="26">
        <v>794974</v>
      </c>
      <c r="P497" s="26"/>
      <c r="Q497" s="26">
        <v>182554</v>
      </c>
      <c r="R497" s="26"/>
      <c r="S497" s="26">
        <v>205320</v>
      </c>
      <c r="T497" s="26"/>
      <c r="U497" s="26">
        <v>11692</v>
      </c>
      <c r="V497" s="26"/>
      <c r="W497" s="26">
        <f>684656+526352</f>
        <v>1211008</v>
      </c>
      <c r="X497" s="26"/>
      <c r="Y497" s="51">
        <f t="shared" si="41"/>
        <v>38615087</v>
      </c>
      <c r="Z497" s="26"/>
      <c r="AA497" s="26">
        <v>487826</v>
      </c>
      <c r="AB497" s="26"/>
      <c r="AC497" s="26"/>
      <c r="AD497" s="26"/>
      <c r="AE497" s="26">
        <f>149500+2525000</f>
        <v>2674500</v>
      </c>
      <c r="AF497" s="26"/>
      <c r="AG497" s="26"/>
      <c r="AH497" s="26"/>
      <c r="AI497" s="26"/>
      <c r="AJ497" s="26"/>
      <c r="AK497" s="26">
        <v>0</v>
      </c>
      <c r="AL497" s="26"/>
      <c r="AM497" s="26">
        <v>0</v>
      </c>
      <c r="AN497" s="26"/>
      <c r="AO497" s="51">
        <f t="shared" si="42"/>
        <v>3162326</v>
      </c>
      <c r="AP497" s="26"/>
      <c r="AQ497" s="51">
        <f t="shared" si="39"/>
        <v>41777413</v>
      </c>
    </row>
    <row r="498" spans="1:53">
      <c r="A498" s="13" t="s">
        <v>321</v>
      </c>
      <c r="B498" s="13"/>
      <c r="C498" s="13" t="s">
        <v>20</v>
      </c>
      <c r="D498" s="13"/>
      <c r="E498" s="32">
        <v>46607</v>
      </c>
      <c r="F498" s="26"/>
      <c r="G498" s="26">
        <v>49141109</v>
      </c>
      <c r="H498" s="26"/>
      <c r="I498" s="26">
        <v>0</v>
      </c>
      <c r="J498" s="26"/>
      <c r="K498" s="26">
        <f>16770025+1470741</f>
        <v>18240766</v>
      </c>
      <c r="L498" s="26"/>
      <c r="M498" s="26">
        <v>615132</v>
      </c>
      <c r="N498" s="26"/>
      <c r="O498" s="26">
        <v>1023962</v>
      </c>
      <c r="P498" s="26"/>
      <c r="Q498" s="26">
        <v>197602</v>
      </c>
      <c r="R498" s="26"/>
      <c r="S498" s="26">
        <v>685000</v>
      </c>
      <c r="T498" s="26"/>
      <c r="U498" s="26">
        <v>49842</v>
      </c>
      <c r="V498" s="26"/>
      <c r="W498" s="26">
        <f>582057+180989+72849+100</f>
        <v>835995</v>
      </c>
      <c r="X498" s="26"/>
      <c r="Y498" s="51">
        <f t="shared" si="41"/>
        <v>70789408</v>
      </c>
      <c r="Z498" s="26"/>
      <c r="AA498" s="26">
        <v>12219</v>
      </c>
      <c r="AB498" s="26"/>
      <c r="AC498" s="26"/>
      <c r="AD498" s="26"/>
      <c r="AE498" s="26">
        <v>0</v>
      </c>
      <c r="AF498" s="26"/>
      <c r="AG498" s="26"/>
      <c r="AH498" s="26"/>
      <c r="AI498" s="26"/>
      <c r="AJ498" s="26"/>
      <c r="AK498" s="26">
        <v>35572</v>
      </c>
      <c r="AL498" s="26"/>
      <c r="AM498" s="26">
        <v>0</v>
      </c>
      <c r="AN498" s="26"/>
      <c r="AO498" s="51">
        <f t="shared" si="42"/>
        <v>47791</v>
      </c>
      <c r="AP498" s="26"/>
      <c r="AQ498" s="51">
        <f t="shared" si="39"/>
        <v>70837199</v>
      </c>
    </row>
    <row r="499" spans="1:53">
      <c r="A499" s="13" t="s">
        <v>868</v>
      </c>
      <c r="B499" s="13"/>
      <c r="C499" s="13" t="s">
        <v>37</v>
      </c>
      <c r="D499" s="13"/>
      <c r="E499" s="32"/>
      <c r="F499" s="26"/>
      <c r="G499" s="26">
        <v>2287444</v>
      </c>
      <c r="H499" s="26"/>
      <c r="I499" s="26">
        <v>0</v>
      </c>
      <c r="J499" s="26"/>
      <c r="K499" s="26">
        <f>5147170+687489</f>
        <v>5834659</v>
      </c>
      <c r="L499" s="26"/>
      <c r="M499" s="26">
        <v>63666</v>
      </c>
      <c r="N499" s="26"/>
      <c r="O499" s="26">
        <v>274510</v>
      </c>
      <c r="P499" s="26"/>
      <c r="Q499" s="26">
        <v>116538</v>
      </c>
      <c r="R499" s="26"/>
      <c r="S499" s="26">
        <v>0</v>
      </c>
      <c r="T499" s="26"/>
      <c r="U499" s="26">
        <v>0</v>
      </c>
      <c r="V499" s="26"/>
      <c r="W499" s="26">
        <f>41285+29275+178668</f>
        <v>249228</v>
      </c>
      <c r="X499" s="26"/>
      <c r="Y499" s="51">
        <f t="shared" si="41"/>
        <v>8826045</v>
      </c>
      <c r="Z499" s="26"/>
      <c r="AA499" s="26">
        <v>11780</v>
      </c>
      <c r="AB499" s="26"/>
      <c r="AC499" s="26"/>
      <c r="AD499" s="26"/>
      <c r="AE499" s="26">
        <f>999999+78016</f>
        <v>1078015</v>
      </c>
      <c r="AF499" s="26"/>
      <c r="AG499" s="26"/>
      <c r="AH499" s="26"/>
      <c r="AI499" s="26"/>
      <c r="AJ499" s="26"/>
      <c r="AK499" s="26">
        <v>0</v>
      </c>
      <c r="AL499" s="26"/>
      <c r="AM499" s="26">
        <v>0</v>
      </c>
      <c r="AN499" s="26"/>
      <c r="AO499" s="51">
        <f t="shared" si="42"/>
        <v>1089795</v>
      </c>
      <c r="AP499" s="26"/>
      <c r="AQ499" s="51">
        <f t="shared" si="39"/>
        <v>9915840</v>
      </c>
    </row>
    <row r="500" spans="1:53">
      <c r="A500" s="13" t="s">
        <v>322</v>
      </c>
      <c r="B500" s="13"/>
      <c r="C500" s="13" t="s">
        <v>20</v>
      </c>
      <c r="D500" s="13"/>
      <c r="E500" s="32">
        <v>44792</v>
      </c>
      <c r="F500" s="26"/>
      <c r="G500" s="26">
        <v>43718778</v>
      </c>
      <c r="H500" s="26"/>
      <c r="I500" s="26">
        <v>0</v>
      </c>
      <c r="J500" s="26"/>
      <c r="K500" s="26">
        <v>18077183</v>
      </c>
      <c r="L500" s="26"/>
      <c r="M500" s="26">
        <v>201296</v>
      </c>
      <c r="N500" s="26"/>
      <c r="O500" s="26">
        <v>1792595</v>
      </c>
      <c r="P500" s="26"/>
      <c r="Q500" s="26">
        <v>308667</v>
      </c>
      <c r="R500" s="26"/>
      <c r="S500" s="26">
        <v>310589</v>
      </c>
      <c r="T500" s="26"/>
      <c r="U500" s="26">
        <v>56385</v>
      </c>
      <c r="V500" s="26"/>
      <c r="W500" s="26">
        <f>1032470+91914+943313</f>
        <v>2067697</v>
      </c>
      <c r="X500" s="26"/>
      <c r="Y500" s="51">
        <f t="shared" si="41"/>
        <v>66533190</v>
      </c>
      <c r="Z500" s="26"/>
      <c r="AA500" s="26">
        <v>680000</v>
      </c>
      <c r="AB500" s="26"/>
      <c r="AC500" s="26"/>
      <c r="AD500" s="26"/>
      <c r="AE500" s="26">
        <v>500000</v>
      </c>
      <c r="AF500" s="26"/>
      <c r="AG500" s="26"/>
      <c r="AH500" s="26"/>
      <c r="AI500" s="26"/>
      <c r="AJ500" s="26"/>
      <c r="AK500" s="26">
        <v>878389</v>
      </c>
      <c r="AL500" s="26"/>
      <c r="AM500" s="26">
        <v>0</v>
      </c>
      <c r="AN500" s="26"/>
      <c r="AO500" s="51">
        <f t="shared" si="42"/>
        <v>2058389</v>
      </c>
      <c r="AP500" s="26"/>
      <c r="AQ500" s="51">
        <f t="shared" si="39"/>
        <v>68591579</v>
      </c>
    </row>
    <row r="501" spans="1:53">
      <c r="A501" s="13" t="s">
        <v>471</v>
      </c>
      <c r="B501" s="13"/>
      <c r="C501" s="13" t="s">
        <v>466</v>
      </c>
      <c r="D501" s="13"/>
      <c r="E501" s="32">
        <v>47951</v>
      </c>
      <c r="F501" s="26"/>
      <c r="G501" s="26">
        <v>3938414</v>
      </c>
      <c r="H501" s="26"/>
      <c r="I501" s="26">
        <v>0</v>
      </c>
      <c r="J501" s="26"/>
      <c r="K501" s="26">
        <v>21229561</v>
      </c>
      <c r="L501" s="26"/>
      <c r="M501" s="26">
        <v>216843</v>
      </c>
      <c r="N501" s="26"/>
      <c r="O501" s="26">
        <v>154591</v>
      </c>
      <c r="P501" s="26"/>
      <c r="Q501" s="26">
        <v>119777</v>
      </c>
      <c r="R501" s="26"/>
      <c r="S501" s="26">
        <v>0</v>
      </c>
      <c r="T501" s="26"/>
      <c r="U501" s="26">
        <v>1880</v>
      </c>
      <c r="V501" s="26"/>
      <c r="W501" s="26">
        <f>243094+149027</f>
        <v>392121</v>
      </c>
      <c r="X501" s="26"/>
      <c r="Y501" s="51">
        <f t="shared" si="41"/>
        <v>26053187</v>
      </c>
      <c r="Z501" s="26"/>
      <c r="AA501" s="26">
        <v>534141</v>
      </c>
      <c r="AB501" s="26"/>
      <c r="AC501" s="26"/>
      <c r="AD501" s="26"/>
      <c r="AE501" s="26">
        <v>0</v>
      </c>
      <c r="AF501" s="26"/>
      <c r="AG501" s="26"/>
      <c r="AH501" s="26"/>
      <c r="AI501" s="26"/>
      <c r="AJ501" s="26"/>
      <c r="AK501" s="26">
        <v>0</v>
      </c>
      <c r="AL501" s="26"/>
      <c r="AM501" s="26">
        <v>0</v>
      </c>
      <c r="AN501" s="26"/>
      <c r="AO501" s="51">
        <f t="shared" si="42"/>
        <v>534141</v>
      </c>
      <c r="AP501" s="26"/>
      <c r="AQ501" s="51">
        <f t="shared" si="39"/>
        <v>26587328</v>
      </c>
    </row>
    <row r="502" spans="1:53">
      <c r="A502" s="13" t="s">
        <v>516</v>
      </c>
      <c r="B502" s="13"/>
      <c r="C502" s="13" t="s">
        <v>45</v>
      </c>
      <c r="D502" s="13"/>
      <c r="E502" s="32">
        <v>48363</v>
      </c>
      <c r="F502" s="26"/>
      <c r="G502" s="26">
        <v>6122349</v>
      </c>
      <c r="H502" s="26"/>
      <c r="I502" s="26">
        <v>0</v>
      </c>
      <c r="J502" s="26"/>
      <c r="K502" s="26">
        <f>20717201+574269</f>
        <v>21291470</v>
      </c>
      <c r="L502" s="26"/>
      <c r="M502" s="26">
        <v>395895</v>
      </c>
      <c r="N502" s="26"/>
      <c r="O502" s="26">
        <v>40979</v>
      </c>
      <c r="P502" s="26"/>
      <c r="Q502" s="26">
        <v>81258</v>
      </c>
      <c r="R502" s="26"/>
      <c r="S502" s="26">
        <v>0</v>
      </c>
      <c r="T502" s="26"/>
      <c r="U502" s="26">
        <v>0</v>
      </c>
      <c r="V502" s="26"/>
      <c r="W502" s="26">
        <f>120218+231776+26691+2640+224974</f>
        <v>606299</v>
      </c>
      <c r="X502" s="26"/>
      <c r="Y502" s="51">
        <f t="shared" si="41"/>
        <v>28538250</v>
      </c>
      <c r="Z502" s="26"/>
      <c r="AA502" s="26">
        <v>22444</v>
      </c>
      <c r="AB502" s="26"/>
      <c r="AC502" s="26"/>
      <c r="AD502" s="26"/>
      <c r="AE502" s="26">
        <v>0</v>
      </c>
      <c r="AF502" s="26"/>
      <c r="AG502" s="26"/>
      <c r="AH502" s="26"/>
      <c r="AI502" s="26"/>
      <c r="AJ502" s="26"/>
      <c r="AK502" s="26">
        <v>0</v>
      </c>
      <c r="AL502" s="26"/>
      <c r="AM502" s="26">
        <v>0</v>
      </c>
      <c r="AN502" s="26"/>
      <c r="AO502" s="51">
        <f t="shared" si="42"/>
        <v>22444</v>
      </c>
      <c r="AP502" s="26"/>
      <c r="AQ502" s="51">
        <f t="shared" si="39"/>
        <v>28560694</v>
      </c>
    </row>
    <row r="503" spans="1:53">
      <c r="A503" s="13" t="s">
        <v>594</v>
      </c>
      <c r="B503" s="13"/>
      <c r="C503" s="13" t="s">
        <v>56</v>
      </c>
      <c r="D503" s="13"/>
      <c r="E503" s="32">
        <v>49221</v>
      </c>
      <c r="F503" s="26"/>
      <c r="G503" s="26">
        <v>6727841</v>
      </c>
      <c r="H503" s="26"/>
      <c r="I503" s="26">
        <v>0</v>
      </c>
      <c r="J503" s="26"/>
      <c r="K503" s="26">
        <v>13411188</v>
      </c>
      <c r="L503" s="26"/>
      <c r="M503" s="26">
        <v>85444</v>
      </c>
      <c r="N503" s="26"/>
      <c r="O503" s="26">
        <v>77114</v>
      </c>
      <c r="P503" s="26"/>
      <c r="Q503" s="26">
        <v>175902</v>
      </c>
      <c r="R503" s="26"/>
      <c r="S503" s="26">
        <v>0</v>
      </c>
      <c r="T503" s="26"/>
      <c r="U503" s="26">
        <v>25</v>
      </c>
      <c r="V503" s="26"/>
      <c r="W503" s="26">
        <f>3148+415563+50065</f>
        <v>468776</v>
      </c>
      <c r="X503" s="26"/>
      <c r="Y503" s="51">
        <f t="shared" si="41"/>
        <v>20946290</v>
      </c>
      <c r="Z503" s="26"/>
      <c r="AA503" s="26">
        <v>18</v>
      </c>
      <c r="AB503" s="26"/>
      <c r="AC503" s="26"/>
      <c r="AD503" s="26"/>
      <c r="AE503" s="26">
        <v>0</v>
      </c>
      <c r="AF503" s="26"/>
      <c r="AG503" s="26"/>
      <c r="AH503" s="26"/>
      <c r="AI503" s="26"/>
      <c r="AJ503" s="26"/>
      <c r="AK503" s="26">
        <v>59300</v>
      </c>
      <c r="AL503" s="26"/>
      <c r="AM503" s="26">
        <v>0</v>
      </c>
      <c r="AN503" s="26"/>
      <c r="AO503" s="51">
        <f t="shared" si="42"/>
        <v>59318</v>
      </c>
      <c r="AP503" s="26"/>
      <c r="AQ503" s="51">
        <f t="shared" si="39"/>
        <v>21005608</v>
      </c>
    </row>
    <row r="504" spans="1:53" s="49" customFormat="1">
      <c r="A504" s="48" t="s">
        <v>594</v>
      </c>
      <c r="B504" s="48"/>
      <c r="C504" s="48" t="s">
        <v>71</v>
      </c>
      <c r="D504" s="48"/>
      <c r="E504" s="48">
        <v>50583</v>
      </c>
      <c r="F504" s="50"/>
      <c r="G504" s="26">
        <v>6407984</v>
      </c>
      <c r="H504" s="26"/>
      <c r="I504" s="26">
        <v>0</v>
      </c>
      <c r="J504" s="26"/>
      <c r="K504" s="26">
        <v>8308425</v>
      </c>
      <c r="L504" s="26"/>
      <c r="M504" s="26">
        <v>54990</v>
      </c>
      <c r="N504" s="26"/>
      <c r="O504" s="26">
        <v>804806</v>
      </c>
      <c r="P504" s="26"/>
      <c r="Q504" s="26">
        <v>134240</v>
      </c>
      <c r="R504" s="26"/>
      <c r="S504" s="26">
        <v>0</v>
      </c>
      <c r="T504" s="26"/>
      <c r="U504" s="26">
        <v>43649</v>
      </c>
      <c r="V504" s="26"/>
      <c r="W504" s="26">
        <f>328067+5230+222008</f>
        <v>555305</v>
      </c>
      <c r="X504" s="26"/>
      <c r="Y504" s="51">
        <f t="shared" si="41"/>
        <v>16309399</v>
      </c>
      <c r="Z504" s="26"/>
      <c r="AA504" s="26">
        <v>0</v>
      </c>
      <c r="AB504" s="26"/>
      <c r="AC504" s="26"/>
      <c r="AD504" s="26"/>
      <c r="AE504" s="26">
        <v>0</v>
      </c>
      <c r="AF504" s="26"/>
      <c r="AG504" s="26"/>
      <c r="AH504" s="26"/>
      <c r="AI504" s="26"/>
      <c r="AJ504" s="26"/>
      <c r="AK504" s="26">
        <v>0</v>
      </c>
      <c r="AL504" s="26"/>
      <c r="AM504" s="26">
        <v>0</v>
      </c>
      <c r="AN504" s="26"/>
      <c r="AO504" s="51">
        <f t="shared" si="42"/>
        <v>0</v>
      </c>
      <c r="AP504" s="26"/>
      <c r="AQ504" s="51">
        <f t="shared" si="39"/>
        <v>16309399</v>
      </c>
    </row>
    <row r="505" spans="1:53" s="26" customFormat="1">
      <c r="A505" s="13" t="s">
        <v>264</v>
      </c>
      <c r="B505" s="13"/>
      <c r="C505" s="13" t="s">
        <v>17</v>
      </c>
      <c r="D505" s="13"/>
      <c r="E505" s="32">
        <v>46276</v>
      </c>
      <c r="G505" s="26">
        <v>2545407</v>
      </c>
      <c r="I505" s="26">
        <v>991751</v>
      </c>
      <c r="K505" s="26">
        <v>4240622</v>
      </c>
      <c r="M505" s="26">
        <v>97994</v>
      </c>
      <c r="O505" s="26">
        <v>408533</v>
      </c>
      <c r="Q505" s="26">
        <v>117028</v>
      </c>
      <c r="S505" s="26">
        <v>0</v>
      </c>
      <c r="U505" s="26">
        <v>19702</v>
      </c>
      <c r="W505" s="26">
        <f>10218+103513</f>
        <v>113731</v>
      </c>
      <c r="Y505" s="51">
        <f t="shared" si="41"/>
        <v>8534768</v>
      </c>
      <c r="AA505" s="26">
        <v>0</v>
      </c>
      <c r="AE505" s="26">
        <v>100675</v>
      </c>
      <c r="AK505" s="26">
        <v>2600</v>
      </c>
      <c r="AM505" s="26">
        <v>0</v>
      </c>
      <c r="AO505" s="51">
        <f t="shared" si="42"/>
        <v>103275</v>
      </c>
      <c r="AQ505" s="51">
        <f t="shared" si="39"/>
        <v>8638043</v>
      </c>
    </row>
    <row r="506" spans="1:53">
      <c r="A506" s="13" t="s">
        <v>264</v>
      </c>
      <c r="B506" s="13"/>
      <c r="C506" s="13" t="s">
        <v>58</v>
      </c>
      <c r="D506" s="13"/>
      <c r="E506" s="32">
        <v>49528</v>
      </c>
      <c r="F506" s="26"/>
      <c r="G506" s="26">
        <v>1818541</v>
      </c>
      <c r="H506" s="26"/>
      <c r="I506" s="26">
        <v>63768</v>
      </c>
      <c r="J506" s="26"/>
      <c r="K506" s="26">
        <v>8706240</v>
      </c>
      <c r="L506" s="26"/>
      <c r="M506" s="26">
        <v>151605</v>
      </c>
      <c r="N506" s="26"/>
      <c r="O506" s="26">
        <v>677328</v>
      </c>
      <c r="P506" s="26"/>
      <c r="Q506" s="26">
        <v>57456</v>
      </c>
      <c r="R506" s="26"/>
      <c r="S506" s="26">
        <v>0</v>
      </c>
      <c r="T506" s="26"/>
      <c r="U506" s="26">
        <v>0</v>
      </c>
      <c r="V506" s="26"/>
      <c r="W506" s="26">
        <f>197586+175684+34975</f>
        <v>408245</v>
      </c>
      <c r="X506" s="26"/>
      <c r="Y506" s="51">
        <f t="shared" si="41"/>
        <v>11883183</v>
      </c>
      <c r="Z506" s="26"/>
      <c r="AA506" s="26">
        <v>0</v>
      </c>
      <c r="AB506" s="26"/>
      <c r="AC506" s="26"/>
      <c r="AD506" s="26"/>
      <c r="AE506" s="26">
        <v>0</v>
      </c>
      <c r="AF506" s="26"/>
      <c r="AG506" s="26"/>
      <c r="AH506" s="26"/>
      <c r="AI506" s="26"/>
      <c r="AJ506" s="26"/>
      <c r="AK506" s="26">
        <v>500</v>
      </c>
      <c r="AL506" s="26"/>
      <c r="AM506" s="26">
        <v>0</v>
      </c>
      <c r="AN506" s="26"/>
      <c r="AO506" s="51">
        <f t="shared" si="42"/>
        <v>500</v>
      </c>
      <c r="AP506" s="26"/>
      <c r="AQ506" s="51">
        <f t="shared" ref="AQ506:AQ572" si="43">Y506+AO506</f>
        <v>11883683</v>
      </c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</row>
    <row r="507" spans="1:53">
      <c r="A507" s="13" t="s">
        <v>284</v>
      </c>
      <c r="B507" s="13"/>
      <c r="C507" s="13" t="s">
        <v>114</v>
      </c>
      <c r="D507" s="13"/>
      <c r="E507" s="32">
        <v>46441</v>
      </c>
      <c r="F507" s="26"/>
      <c r="G507" s="26">
        <v>1799205</v>
      </c>
      <c r="H507" s="26"/>
      <c r="I507" s="26">
        <v>0</v>
      </c>
      <c r="J507" s="26"/>
      <c r="K507" s="26">
        <f>6745088+730537</f>
        <v>7475625</v>
      </c>
      <c r="L507" s="26"/>
      <c r="M507" s="26">
        <v>7819</v>
      </c>
      <c r="N507" s="26"/>
      <c r="O507" s="26">
        <v>343438</v>
      </c>
      <c r="P507" s="26"/>
      <c r="Q507" s="26">
        <v>100144</v>
      </c>
      <c r="R507" s="26"/>
      <c r="S507" s="26">
        <v>0</v>
      </c>
      <c r="T507" s="26"/>
      <c r="U507" s="26">
        <v>0</v>
      </c>
      <c r="V507" s="26"/>
      <c r="W507" s="26">
        <f>93911+125340</f>
        <v>219251</v>
      </c>
      <c r="X507" s="26"/>
      <c r="Y507" s="51">
        <f>SUM(G507:W507)</f>
        <v>9945482</v>
      </c>
      <c r="Z507" s="26"/>
      <c r="AA507" s="26">
        <v>180000</v>
      </c>
      <c r="AB507" s="26"/>
      <c r="AC507" s="26"/>
      <c r="AD507" s="26"/>
      <c r="AE507" s="26">
        <v>0</v>
      </c>
      <c r="AF507" s="26"/>
      <c r="AG507" s="26"/>
      <c r="AH507" s="26"/>
      <c r="AI507" s="26"/>
      <c r="AJ507" s="26"/>
      <c r="AK507" s="26">
        <v>0</v>
      </c>
      <c r="AL507" s="26"/>
      <c r="AM507" s="26">
        <v>0</v>
      </c>
      <c r="AN507" s="26"/>
      <c r="AO507" s="51">
        <f t="shared" si="42"/>
        <v>180000</v>
      </c>
      <c r="AP507" s="26"/>
      <c r="AQ507" s="51">
        <f t="shared" si="43"/>
        <v>10125482</v>
      </c>
    </row>
    <row r="508" spans="1:53">
      <c r="A508" s="13" t="s">
        <v>284</v>
      </c>
      <c r="B508" s="13"/>
      <c r="C508" s="13" t="s">
        <v>531</v>
      </c>
      <c r="D508" s="13"/>
      <c r="E508" s="32">
        <v>46441</v>
      </c>
      <c r="F508" s="26"/>
      <c r="G508" s="26">
        <v>1871252</v>
      </c>
      <c r="H508" s="26"/>
      <c r="I508" s="26">
        <v>0</v>
      </c>
      <c r="J508" s="26"/>
      <c r="K508" s="26">
        <v>6248843</v>
      </c>
      <c r="L508" s="26"/>
      <c r="M508" s="26">
        <v>38370</v>
      </c>
      <c r="N508" s="26"/>
      <c r="O508" s="26">
        <v>235620</v>
      </c>
      <c r="P508" s="26"/>
      <c r="Q508" s="26">
        <v>40684</v>
      </c>
      <c r="R508" s="26"/>
      <c r="S508" s="26">
        <v>0</v>
      </c>
      <c r="T508" s="26"/>
      <c r="U508" s="26">
        <v>219654</v>
      </c>
      <c r="V508" s="26"/>
      <c r="W508" s="26">
        <f>6926+92657</f>
        <v>99583</v>
      </c>
      <c r="X508" s="26"/>
      <c r="Y508" s="51">
        <f t="shared" si="41"/>
        <v>8754006</v>
      </c>
      <c r="Z508" s="26"/>
      <c r="AA508" s="26">
        <v>55879</v>
      </c>
      <c r="AB508" s="26"/>
      <c r="AC508" s="26"/>
      <c r="AD508" s="26"/>
      <c r="AE508" s="26">
        <v>0</v>
      </c>
      <c r="AF508" s="26"/>
      <c r="AG508" s="26"/>
      <c r="AH508" s="26"/>
      <c r="AI508" s="26"/>
      <c r="AJ508" s="26"/>
      <c r="AK508" s="26">
        <v>25245</v>
      </c>
      <c r="AL508" s="26"/>
      <c r="AM508" s="26">
        <v>0</v>
      </c>
      <c r="AN508" s="26"/>
      <c r="AO508" s="51">
        <f t="shared" si="42"/>
        <v>81124</v>
      </c>
      <c r="AP508" s="26"/>
      <c r="AQ508" s="51">
        <f t="shared" si="43"/>
        <v>8835130</v>
      </c>
    </row>
    <row r="509" spans="1:53" hidden="1">
      <c r="A509" s="13" t="s">
        <v>1035</v>
      </c>
      <c r="B509" s="13"/>
      <c r="C509" s="13" t="s">
        <v>579</v>
      </c>
      <c r="D509" s="13"/>
      <c r="E509" s="32"/>
      <c r="F509" s="26"/>
      <c r="G509" s="26">
        <v>963944</v>
      </c>
      <c r="H509" s="26"/>
      <c r="I509" s="26"/>
      <c r="J509" s="26"/>
      <c r="K509" s="26">
        <v>8894747</v>
      </c>
      <c r="L509" s="26"/>
      <c r="M509" s="26">
        <v>14730</v>
      </c>
      <c r="N509" s="26"/>
      <c r="O509" s="26">
        <v>200575</v>
      </c>
      <c r="P509" s="26"/>
      <c r="Q509" s="26">
        <v>90237</v>
      </c>
      <c r="R509" s="26"/>
      <c r="S509" s="26"/>
      <c r="T509" s="26"/>
      <c r="U509" s="26">
        <v>7640</v>
      </c>
      <c r="V509" s="26"/>
      <c r="W509" s="26">
        <f>5400+117622+114063</f>
        <v>237085</v>
      </c>
      <c r="X509" s="26"/>
      <c r="Y509" s="51">
        <f t="shared" si="41"/>
        <v>10408958</v>
      </c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51">
        <f t="shared" si="42"/>
        <v>0</v>
      </c>
      <c r="AP509" s="26"/>
      <c r="AQ509" s="51">
        <f t="shared" si="43"/>
        <v>10408958</v>
      </c>
    </row>
    <row r="510" spans="1:53">
      <c r="A510" s="13" t="s">
        <v>691</v>
      </c>
      <c r="B510" s="13"/>
      <c r="C510" s="13" t="s">
        <v>64</v>
      </c>
      <c r="D510" s="13"/>
      <c r="E510" s="32">
        <v>50237</v>
      </c>
      <c r="F510" s="26"/>
      <c r="G510" s="26">
        <v>1913308</v>
      </c>
      <c r="H510" s="26"/>
      <c r="I510" s="26">
        <v>0</v>
      </c>
      <c r="J510" s="26"/>
      <c r="K510" s="26">
        <v>12115922</v>
      </c>
      <c r="L510" s="26"/>
      <c r="M510" s="26">
        <v>565087</v>
      </c>
      <c r="N510" s="26"/>
      <c r="O510" s="26">
        <v>405076</v>
      </c>
      <c r="P510" s="26"/>
      <c r="Q510" s="26">
        <v>62561</v>
      </c>
      <c r="R510" s="26"/>
      <c r="S510" s="26">
        <v>0</v>
      </c>
      <c r="T510" s="26"/>
      <c r="U510" s="26">
        <v>3579</v>
      </c>
      <c r="V510" s="26"/>
      <c r="W510" s="26">
        <f>122008+79498</f>
        <v>201506</v>
      </c>
      <c r="X510" s="26"/>
      <c r="Y510" s="51">
        <f t="shared" si="41"/>
        <v>15267039</v>
      </c>
      <c r="Z510" s="26"/>
      <c r="AA510" s="26">
        <v>0</v>
      </c>
      <c r="AB510" s="26"/>
      <c r="AC510" s="26"/>
      <c r="AD510" s="26"/>
      <c r="AE510" s="26">
        <v>0</v>
      </c>
      <c r="AF510" s="26"/>
      <c r="AG510" s="26"/>
      <c r="AH510" s="26"/>
      <c r="AI510" s="26"/>
      <c r="AJ510" s="26"/>
      <c r="AK510" s="26">
        <v>0</v>
      </c>
      <c r="AL510" s="26"/>
      <c r="AM510" s="26">
        <v>0</v>
      </c>
      <c r="AN510" s="26"/>
      <c r="AO510" s="51">
        <f t="shared" si="42"/>
        <v>0</v>
      </c>
      <c r="AP510" s="26"/>
      <c r="AQ510" s="51">
        <f t="shared" si="43"/>
        <v>15267039</v>
      </c>
    </row>
    <row r="511" spans="1:53">
      <c r="A511" s="13" t="s">
        <v>481</v>
      </c>
      <c r="B511" s="13"/>
      <c r="C511" s="13" t="s">
        <v>42</v>
      </c>
      <c r="D511" s="13"/>
      <c r="E511" s="32">
        <v>48041</v>
      </c>
      <c r="F511" s="26"/>
      <c r="G511" s="26">
        <v>15668230</v>
      </c>
      <c r="H511" s="26"/>
      <c r="I511" s="26">
        <v>4336795</v>
      </c>
      <c r="J511" s="26"/>
      <c r="K511" s="26">
        <v>15745317</v>
      </c>
      <c r="L511" s="26"/>
      <c r="M511" s="26">
        <v>376426</v>
      </c>
      <c r="N511" s="26"/>
      <c r="O511" s="26">
        <v>505084</v>
      </c>
      <c r="P511" s="26"/>
      <c r="Q511" s="26">
        <v>340818</v>
      </c>
      <c r="R511" s="26"/>
      <c r="S511" s="26">
        <v>84871</v>
      </c>
      <c r="T511" s="26"/>
      <c r="U511" s="26">
        <v>0</v>
      </c>
      <c r="V511" s="26"/>
      <c r="W511" s="26">
        <f>286252+1047576</f>
        <v>1333828</v>
      </c>
      <c r="X511" s="26"/>
      <c r="Y511" s="51">
        <f t="shared" si="41"/>
        <v>38391369</v>
      </c>
      <c r="Z511" s="26"/>
      <c r="AA511" s="26">
        <v>0</v>
      </c>
      <c r="AB511" s="26"/>
      <c r="AC511" s="26"/>
      <c r="AD511" s="26"/>
      <c r="AE511" s="26">
        <v>0</v>
      </c>
      <c r="AF511" s="26"/>
      <c r="AG511" s="26"/>
      <c r="AH511" s="26"/>
      <c r="AI511" s="26"/>
      <c r="AJ511" s="26"/>
      <c r="AK511" s="26">
        <v>1265</v>
      </c>
      <c r="AL511" s="26"/>
      <c r="AM511" s="26">
        <v>0</v>
      </c>
      <c r="AN511" s="26"/>
      <c r="AO511" s="51">
        <f t="shared" si="42"/>
        <v>1265</v>
      </c>
      <c r="AP511" s="26"/>
      <c r="AQ511" s="51">
        <f t="shared" si="43"/>
        <v>38392634</v>
      </c>
    </row>
    <row r="512" spans="1:53">
      <c r="A512" s="13" t="s">
        <v>407</v>
      </c>
      <c r="B512" s="13"/>
      <c r="C512" s="13" t="s">
        <v>32</v>
      </c>
      <c r="D512" s="13"/>
      <c r="E512" s="32">
        <v>47381</v>
      </c>
      <c r="F512" s="26"/>
      <c r="G512" s="26">
        <v>15587577</v>
      </c>
      <c r="H512" s="26"/>
      <c r="I512" s="26">
        <v>0</v>
      </c>
      <c r="J512" s="26"/>
      <c r="K512" s="26">
        <v>19348054</v>
      </c>
      <c r="L512" s="26"/>
      <c r="M512" s="26">
        <v>165408</v>
      </c>
      <c r="N512" s="26"/>
      <c r="O512" s="26">
        <v>74378</v>
      </c>
      <c r="P512" s="26"/>
      <c r="Q512" s="26">
        <v>282487</v>
      </c>
      <c r="R512" s="26"/>
      <c r="S512" s="26">
        <v>112084</v>
      </c>
      <c r="T512" s="26"/>
      <c r="U512" s="26">
        <v>0</v>
      </c>
      <c r="V512" s="26"/>
      <c r="W512" s="26">
        <f>1327149+254033</f>
        <v>1581182</v>
      </c>
      <c r="X512" s="26"/>
      <c r="Y512" s="51">
        <f t="shared" si="41"/>
        <v>37151170</v>
      </c>
      <c r="Z512" s="26"/>
      <c r="AA512" s="26">
        <v>1000</v>
      </c>
      <c r="AB512" s="26"/>
      <c r="AC512" s="26"/>
      <c r="AD512" s="26"/>
      <c r="AE512" s="26">
        <v>0</v>
      </c>
      <c r="AF512" s="26"/>
      <c r="AG512" s="26"/>
      <c r="AH512" s="26"/>
      <c r="AI512" s="26"/>
      <c r="AJ512" s="26"/>
      <c r="AK512" s="26">
        <v>138190</v>
      </c>
      <c r="AL512" s="26"/>
      <c r="AM512" s="26">
        <v>0</v>
      </c>
      <c r="AN512" s="26"/>
      <c r="AO512" s="51">
        <f t="shared" si="42"/>
        <v>139190</v>
      </c>
      <c r="AP512" s="26"/>
      <c r="AQ512" s="51">
        <f t="shared" si="43"/>
        <v>37290360</v>
      </c>
    </row>
    <row r="513" spans="1:44">
      <c r="A513" s="13" t="s">
        <v>363</v>
      </c>
      <c r="B513" s="13"/>
      <c r="C513" s="13" t="s">
        <v>27</v>
      </c>
      <c r="D513" s="13"/>
      <c r="E513" s="32">
        <v>44800</v>
      </c>
      <c r="F513" s="26"/>
      <c r="G513" s="26">
        <v>99222737</v>
      </c>
      <c r="H513" s="26"/>
      <c r="I513" s="26">
        <v>0</v>
      </c>
      <c r="J513" s="26"/>
      <c r="K513" s="26">
        <f>116393859+18961145</f>
        <v>135355004</v>
      </c>
      <c r="L513" s="26"/>
      <c r="M513" s="26">
        <v>974009</v>
      </c>
      <c r="N513" s="26"/>
      <c r="O513" s="26">
        <v>834944</v>
      </c>
      <c r="P513" s="26"/>
      <c r="Q513" s="26">
        <v>0</v>
      </c>
      <c r="R513" s="26"/>
      <c r="S513" s="26">
        <v>0</v>
      </c>
      <c r="T513" s="26"/>
      <c r="U513" s="26">
        <v>0</v>
      </c>
      <c r="V513" s="26"/>
      <c r="W513" s="26">
        <v>10037234</v>
      </c>
      <c r="X513" s="26"/>
      <c r="Y513" s="51">
        <f t="shared" si="41"/>
        <v>246423928</v>
      </c>
      <c r="Z513" s="26"/>
      <c r="AA513" s="26">
        <v>1022766</v>
      </c>
      <c r="AB513" s="26"/>
      <c r="AC513" s="26"/>
      <c r="AD513" s="26"/>
      <c r="AE513" s="26">
        <v>0</v>
      </c>
      <c r="AF513" s="26"/>
      <c r="AG513" s="26"/>
      <c r="AH513" s="26"/>
      <c r="AI513" s="26"/>
      <c r="AJ513" s="26"/>
      <c r="AK513" s="26">
        <v>57808</v>
      </c>
      <c r="AL513" s="26"/>
      <c r="AM513" s="26">
        <v>0</v>
      </c>
      <c r="AN513" s="26"/>
      <c r="AO513" s="51">
        <f t="shared" si="42"/>
        <v>1080574</v>
      </c>
      <c r="AP513" s="26"/>
      <c r="AQ513" s="51">
        <f t="shared" si="43"/>
        <v>247504502</v>
      </c>
    </row>
    <row r="514" spans="1:44" hidden="1">
      <c r="A514" s="12" t="s">
        <v>1037</v>
      </c>
      <c r="B514" s="13"/>
      <c r="C514" s="13" t="s">
        <v>10</v>
      </c>
      <c r="D514" s="13"/>
      <c r="E514" s="32">
        <v>45807</v>
      </c>
      <c r="F514" s="29"/>
      <c r="G514" s="26">
        <v>2146139</v>
      </c>
      <c r="H514" s="26"/>
      <c r="I514" s="26">
        <v>1070732</v>
      </c>
      <c r="J514" s="26"/>
      <c r="K514" s="26">
        <v>5444656</v>
      </c>
      <c r="L514" s="26"/>
      <c r="M514" s="26">
        <v>54590</v>
      </c>
      <c r="N514" s="26"/>
      <c r="O514" s="26">
        <v>473649</v>
      </c>
      <c r="P514" s="26"/>
      <c r="Q514" s="26">
        <v>98830</v>
      </c>
      <c r="R514" s="26"/>
      <c r="S514" s="26"/>
      <c r="T514" s="26"/>
      <c r="U514" s="26">
        <v>52372</v>
      </c>
      <c r="V514" s="26"/>
      <c r="W514" s="26">
        <f>264735+4159</f>
        <v>268894</v>
      </c>
      <c r="X514" s="26"/>
      <c r="Y514" s="51">
        <f t="shared" si="41"/>
        <v>9609862</v>
      </c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>
        <v>0</v>
      </c>
      <c r="AN514" s="26"/>
      <c r="AO514" s="51">
        <f t="shared" si="42"/>
        <v>0</v>
      </c>
      <c r="AP514" s="26"/>
      <c r="AQ514" s="51">
        <f t="shared" si="43"/>
        <v>9609862</v>
      </c>
    </row>
    <row r="515" spans="1:44" hidden="1">
      <c r="A515" s="12" t="s">
        <v>1036</v>
      </c>
      <c r="B515" s="13"/>
      <c r="C515" s="13" t="s">
        <v>69</v>
      </c>
      <c r="D515" s="13"/>
      <c r="E515" s="32">
        <v>50427</v>
      </c>
      <c r="F515" s="26"/>
      <c r="G515" s="26">
        <v>31537044</v>
      </c>
      <c r="H515" s="26"/>
      <c r="I515" s="26">
        <v>0</v>
      </c>
      <c r="J515" s="26"/>
      <c r="K515" s="26">
        <v>17406913</v>
      </c>
      <c r="L515" s="26"/>
      <c r="M515" s="26">
        <v>273601</v>
      </c>
      <c r="N515" s="26"/>
      <c r="O515" s="26">
        <v>610416</v>
      </c>
      <c r="P515" s="26"/>
      <c r="Q515" s="26">
        <v>823344</v>
      </c>
      <c r="R515" s="26"/>
      <c r="S515" s="26"/>
      <c r="T515" s="26"/>
      <c r="U515" s="26">
        <v>568191</v>
      </c>
      <c r="V515" s="26"/>
      <c r="W515" s="26">
        <f>619706+634922+1189368</f>
        <v>2443996</v>
      </c>
      <c r="X515" s="26"/>
      <c r="Y515" s="51">
        <f t="shared" si="41"/>
        <v>53663505</v>
      </c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>
        <v>0</v>
      </c>
      <c r="AN515" s="26"/>
      <c r="AO515" s="51">
        <f t="shared" si="42"/>
        <v>0</v>
      </c>
      <c r="AP515" s="26"/>
      <c r="AQ515" s="51">
        <f t="shared" si="43"/>
        <v>53663505</v>
      </c>
    </row>
    <row r="516" spans="1:44">
      <c r="A516" s="13" t="s">
        <v>862</v>
      </c>
      <c r="B516" s="13"/>
      <c r="C516" s="13" t="s">
        <v>17</v>
      </c>
      <c r="D516" s="13"/>
      <c r="E516" s="32"/>
      <c r="F516" s="26"/>
      <c r="G516" s="26">
        <v>27397079</v>
      </c>
      <c r="H516" s="26"/>
      <c r="I516" s="26">
        <v>0</v>
      </c>
      <c r="J516" s="26"/>
      <c r="K516" s="26">
        <v>74170521</v>
      </c>
      <c r="L516" s="26"/>
      <c r="M516" s="26">
        <v>591030</v>
      </c>
      <c r="N516" s="26"/>
      <c r="O516" s="26">
        <v>1195941</v>
      </c>
      <c r="P516" s="26"/>
      <c r="Q516" s="26">
        <v>279393</v>
      </c>
      <c r="R516" s="26"/>
      <c r="S516" s="26">
        <v>0</v>
      </c>
      <c r="T516" s="26"/>
      <c r="U516" s="26">
        <v>75338</v>
      </c>
      <c r="V516" s="26"/>
      <c r="W516" s="26">
        <f>550860+1120832+19912</f>
        <v>1691604</v>
      </c>
      <c r="X516" s="26"/>
      <c r="Y516" s="51">
        <f t="shared" si="41"/>
        <v>105400906</v>
      </c>
      <c r="Z516" s="26"/>
      <c r="AA516" s="26">
        <v>11000</v>
      </c>
      <c r="AB516" s="26"/>
      <c r="AC516" s="26"/>
      <c r="AD516" s="26"/>
      <c r="AE516" s="26">
        <f>3064000+71586</f>
        <v>3135586</v>
      </c>
      <c r="AF516" s="26"/>
      <c r="AG516" s="26"/>
      <c r="AH516" s="26"/>
      <c r="AI516" s="26"/>
      <c r="AJ516" s="26"/>
      <c r="AK516" s="26">
        <v>115564</v>
      </c>
      <c r="AL516" s="26"/>
      <c r="AM516" s="26">
        <v>0</v>
      </c>
      <c r="AN516" s="26"/>
      <c r="AO516" s="51">
        <f t="shared" si="42"/>
        <v>3262150</v>
      </c>
      <c r="AP516" s="26"/>
      <c r="AQ516" s="51">
        <f t="shared" si="43"/>
        <v>108663056</v>
      </c>
    </row>
    <row r="517" spans="1:44">
      <c r="A517" s="12" t="s">
        <v>1062</v>
      </c>
      <c r="B517" s="13"/>
      <c r="C517" s="13" t="s">
        <v>117</v>
      </c>
      <c r="D517" s="13"/>
      <c r="E517" s="32">
        <v>48223</v>
      </c>
      <c r="F517" s="26"/>
      <c r="G517" s="26">
        <v>26276283</v>
      </c>
      <c r="H517" s="26"/>
      <c r="I517" s="26">
        <v>0</v>
      </c>
      <c r="J517" s="26"/>
      <c r="K517" s="26">
        <v>14961117</v>
      </c>
      <c r="L517" s="26"/>
      <c r="M517" s="26">
        <v>171972</v>
      </c>
      <c r="N517" s="26"/>
      <c r="O517" s="26">
        <v>1115690</v>
      </c>
      <c r="P517" s="26"/>
      <c r="Q517" s="26">
        <v>400749</v>
      </c>
      <c r="R517" s="26"/>
      <c r="S517" s="26">
        <v>0</v>
      </c>
      <c r="T517" s="26"/>
      <c r="U517" s="26">
        <v>62423</v>
      </c>
      <c r="V517" s="26"/>
      <c r="W517" s="26">
        <f>152377+801824+38693</f>
        <v>992894</v>
      </c>
      <c r="X517" s="26"/>
      <c r="Y517" s="51">
        <f t="shared" si="41"/>
        <v>43981128</v>
      </c>
      <c r="Z517" s="26"/>
      <c r="AA517" s="26">
        <v>3699404</v>
      </c>
      <c r="AB517" s="26"/>
      <c r="AC517" s="26"/>
      <c r="AD517" s="26"/>
      <c r="AE517" s="26">
        <v>0</v>
      </c>
      <c r="AF517" s="26"/>
      <c r="AG517" s="26"/>
      <c r="AH517" s="26"/>
      <c r="AI517" s="26"/>
      <c r="AJ517" s="26"/>
      <c r="AK517" s="26">
        <f>12250+3128</f>
        <v>15378</v>
      </c>
      <c r="AL517" s="26"/>
      <c r="AM517" s="26">
        <v>0</v>
      </c>
      <c r="AN517" s="26"/>
      <c r="AO517" s="51">
        <f t="shared" si="42"/>
        <v>3714782</v>
      </c>
      <c r="AP517" s="26"/>
      <c r="AQ517" s="51">
        <f t="shared" si="43"/>
        <v>47695910</v>
      </c>
      <c r="AR517" s="15" t="s">
        <v>905</v>
      </c>
    </row>
    <row r="518" spans="1:44">
      <c r="A518" s="13" t="s">
        <v>500</v>
      </c>
      <c r="B518" s="13"/>
      <c r="C518" s="13" t="s">
        <v>45</v>
      </c>
      <c r="D518" s="13"/>
      <c r="E518" s="32">
        <v>48371</v>
      </c>
      <c r="F518" s="26"/>
      <c r="G518" s="26">
        <v>3163454</v>
      </c>
      <c r="H518" s="26"/>
      <c r="I518" s="26">
        <v>1673500</v>
      </c>
      <c r="J518" s="26"/>
      <c r="K518" s="26">
        <f>2916+5306059+560764</f>
        <v>5869739</v>
      </c>
      <c r="L518" s="26"/>
      <c r="M518" s="26">
        <v>51902</v>
      </c>
      <c r="N518" s="26"/>
      <c r="O518" s="26">
        <v>4280</v>
      </c>
      <c r="P518" s="26"/>
      <c r="Q518" s="26">
        <v>149427</v>
      </c>
      <c r="R518" s="26"/>
      <c r="S518" s="26">
        <v>0</v>
      </c>
      <c r="T518" s="26"/>
      <c r="U518" s="26">
        <v>43755</v>
      </c>
      <c r="V518" s="26"/>
      <c r="W518" s="26">
        <f>33671+5000+345+32761+289658</f>
        <v>361435</v>
      </c>
      <c r="X518" s="26"/>
      <c r="Y518" s="51">
        <f t="shared" si="41"/>
        <v>11317492</v>
      </c>
      <c r="Z518" s="26"/>
      <c r="AA518" s="26">
        <v>15000</v>
      </c>
      <c r="AB518" s="26"/>
      <c r="AC518" s="26"/>
      <c r="AD518" s="26"/>
      <c r="AE518" s="26">
        <v>0</v>
      </c>
      <c r="AF518" s="26"/>
      <c r="AG518" s="26"/>
      <c r="AH518" s="26"/>
      <c r="AI518" s="26"/>
      <c r="AJ518" s="26"/>
      <c r="AK518" s="26">
        <v>0</v>
      </c>
      <c r="AL518" s="26"/>
      <c r="AM518" s="26">
        <v>0</v>
      </c>
      <c r="AN518" s="26"/>
      <c r="AO518" s="51">
        <f t="shared" si="42"/>
        <v>15000</v>
      </c>
      <c r="AP518" s="26"/>
      <c r="AQ518" s="51">
        <f t="shared" si="43"/>
        <v>11332492</v>
      </c>
    </row>
    <row r="519" spans="1:44">
      <c r="A519" s="13" t="s">
        <v>500</v>
      </c>
      <c r="B519" s="13"/>
      <c r="C519" s="13" t="s">
        <v>63</v>
      </c>
      <c r="D519" s="13"/>
      <c r="E519" s="32">
        <v>50062</v>
      </c>
      <c r="F519" s="26"/>
      <c r="G519" s="26">
        <v>11719796</v>
      </c>
      <c r="H519" s="26"/>
      <c r="I519" s="26">
        <v>0</v>
      </c>
      <c r="J519" s="26"/>
      <c r="K519" s="26">
        <v>14523041</v>
      </c>
      <c r="L519" s="26"/>
      <c r="M519" s="26">
        <v>37068</v>
      </c>
      <c r="N519" s="26"/>
      <c r="O519" s="26">
        <v>1859820</v>
      </c>
      <c r="P519" s="26"/>
      <c r="Q519" s="26">
        <v>319031</v>
      </c>
      <c r="R519" s="26"/>
      <c r="S519" s="26">
        <v>0</v>
      </c>
      <c r="T519" s="26"/>
      <c r="U519" s="26">
        <v>104086</v>
      </c>
      <c r="V519" s="26"/>
      <c r="W519" s="26">
        <f>20522+278020+44197</f>
        <v>342739</v>
      </c>
      <c r="X519" s="26"/>
      <c r="Y519" s="51">
        <f t="shared" si="41"/>
        <v>28905581</v>
      </c>
      <c r="Z519" s="26"/>
      <c r="AA519" s="26">
        <v>0</v>
      </c>
      <c r="AB519" s="26"/>
      <c r="AC519" s="26"/>
      <c r="AD519" s="26"/>
      <c r="AE519" s="26">
        <v>0</v>
      </c>
      <c r="AF519" s="26"/>
      <c r="AG519" s="26"/>
      <c r="AH519" s="26"/>
      <c r="AI519" s="26"/>
      <c r="AJ519" s="26"/>
      <c r="AK519" s="26">
        <v>3424</v>
      </c>
      <c r="AL519" s="26"/>
      <c r="AM519" s="26">
        <v>0</v>
      </c>
      <c r="AN519" s="26"/>
      <c r="AO519" s="51">
        <f t="shared" si="42"/>
        <v>3424</v>
      </c>
      <c r="AP519" s="26"/>
      <c r="AQ519" s="51">
        <f t="shared" si="43"/>
        <v>28909005</v>
      </c>
    </row>
    <row r="520" spans="1:44">
      <c r="A520" s="13" t="s">
        <v>871</v>
      </c>
      <c r="B520" s="13"/>
      <c r="C520" s="13" t="s">
        <v>32</v>
      </c>
      <c r="D520" s="13"/>
      <c r="E520" s="32">
        <v>44719</v>
      </c>
      <c r="F520" s="26"/>
      <c r="G520" s="26">
        <v>5452044</v>
      </c>
      <c r="H520" s="26"/>
      <c r="I520" s="26">
        <v>0</v>
      </c>
      <c r="J520" s="26"/>
      <c r="K520" s="26">
        <v>7580356</v>
      </c>
      <c r="L520" s="26"/>
      <c r="M520" s="26">
        <v>56186</v>
      </c>
      <c r="N520" s="26"/>
      <c r="O520" s="26">
        <v>50601</v>
      </c>
      <c r="P520" s="26"/>
      <c r="Q520" s="26">
        <v>38517</v>
      </c>
      <c r="R520" s="26"/>
      <c r="S520" s="26">
        <v>0</v>
      </c>
      <c r="T520" s="26"/>
      <c r="U520" s="26">
        <v>0</v>
      </c>
      <c r="V520" s="26"/>
      <c r="W520" s="26">
        <f>141009+396744</f>
        <v>537753</v>
      </c>
      <c r="X520" s="26"/>
      <c r="Y520" s="51">
        <f t="shared" si="41"/>
        <v>13715457</v>
      </c>
      <c r="Z520" s="26"/>
      <c r="AA520" s="26">
        <v>856129</v>
      </c>
      <c r="AB520" s="26"/>
      <c r="AC520" s="26"/>
      <c r="AD520" s="26"/>
      <c r="AE520" s="26">
        <v>0</v>
      </c>
      <c r="AF520" s="26"/>
      <c r="AG520" s="26"/>
      <c r="AH520" s="26"/>
      <c r="AI520" s="26"/>
      <c r="AJ520" s="26"/>
      <c r="AK520" s="26">
        <v>0</v>
      </c>
      <c r="AL520" s="26"/>
      <c r="AM520" s="26">
        <v>0</v>
      </c>
      <c r="AN520" s="26"/>
      <c r="AO520" s="51">
        <f t="shared" si="42"/>
        <v>856129</v>
      </c>
      <c r="AP520" s="26"/>
      <c r="AQ520" s="51">
        <f t="shared" si="43"/>
        <v>14571586</v>
      </c>
    </row>
    <row r="521" spans="1:44">
      <c r="A521" s="13" t="s">
        <v>870</v>
      </c>
      <c r="B521" s="13"/>
      <c r="C521" s="13" t="s">
        <v>15</v>
      </c>
      <c r="D521" s="13"/>
      <c r="E521" s="32">
        <v>45997</v>
      </c>
      <c r="F521" s="26"/>
      <c r="G521" s="26">
        <v>6862993</v>
      </c>
      <c r="H521" s="26"/>
      <c r="I521" s="26">
        <v>0</v>
      </c>
      <c r="J521" s="26"/>
      <c r="K521" s="26">
        <v>6485135</v>
      </c>
      <c r="L521" s="26"/>
      <c r="M521" s="26">
        <v>59908</v>
      </c>
      <c r="N521" s="26"/>
      <c r="O521" s="26">
        <v>1010931</v>
      </c>
      <c r="P521" s="26"/>
      <c r="Q521" s="26">
        <v>271190</v>
      </c>
      <c r="R521" s="26"/>
      <c r="S521" s="26">
        <v>0</v>
      </c>
      <c r="T521" s="26"/>
      <c r="U521" s="26">
        <v>68373</v>
      </c>
      <c r="V521" s="26"/>
      <c r="W521" s="26">
        <f>91396+296979+1300</f>
        <v>389675</v>
      </c>
      <c r="X521" s="26"/>
      <c r="Y521" s="51">
        <f t="shared" si="41"/>
        <v>15148205</v>
      </c>
      <c r="Z521" s="26"/>
      <c r="AA521" s="26">
        <v>0</v>
      </c>
      <c r="AB521" s="26"/>
      <c r="AC521" s="26"/>
      <c r="AD521" s="26"/>
      <c r="AE521" s="26">
        <v>0</v>
      </c>
      <c r="AF521" s="26"/>
      <c r="AG521" s="26"/>
      <c r="AH521" s="26"/>
      <c r="AI521" s="26"/>
      <c r="AJ521" s="26"/>
      <c r="AK521" s="26">
        <v>0</v>
      </c>
      <c r="AL521" s="26"/>
      <c r="AM521" s="26">
        <v>0</v>
      </c>
      <c r="AN521" s="26"/>
      <c r="AO521" s="51">
        <f t="shared" si="42"/>
        <v>0</v>
      </c>
      <c r="AP521" s="26"/>
      <c r="AQ521" s="51">
        <f t="shared" si="43"/>
        <v>15148205</v>
      </c>
    </row>
    <row r="522" spans="1:44" hidden="1">
      <c r="A522" s="12" t="s">
        <v>1038</v>
      </c>
      <c r="B522" s="13"/>
      <c r="C522" s="13" t="s">
        <v>534</v>
      </c>
      <c r="D522" s="13"/>
      <c r="E522" s="32">
        <v>48587</v>
      </c>
      <c r="F522" s="26"/>
      <c r="G522" s="26">
        <v>2722290</v>
      </c>
      <c r="H522" s="26"/>
      <c r="I522" s="26">
        <v>0</v>
      </c>
      <c r="J522" s="26"/>
      <c r="K522" s="26">
        <v>6577046</v>
      </c>
      <c r="L522" s="26"/>
      <c r="M522" s="26">
        <v>66836</v>
      </c>
      <c r="N522" s="26"/>
      <c r="O522" s="26">
        <v>109580</v>
      </c>
      <c r="P522" s="26"/>
      <c r="Q522" s="26">
        <v>317567</v>
      </c>
      <c r="R522" s="26"/>
      <c r="S522" s="26">
        <v>37913</v>
      </c>
      <c r="T522" s="26"/>
      <c r="U522" s="26">
        <v>10350</v>
      </c>
      <c r="V522" s="26"/>
      <c r="W522" s="26">
        <f>38121+226382+7323</f>
        <v>271826</v>
      </c>
      <c r="X522" s="26"/>
      <c r="Y522" s="51">
        <f t="shared" si="41"/>
        <v>10113408</v>
      </c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>
        <v>0</v>
      </c>
      <c r="AN522" s="26"/>
      <c r="AO522" s="51">
        <f t="shared" si="42"/>
        <v>0</v>
      </c>
      <c r="AP522" s="26"/>
      <c r="AQ522" s="51">
        <f t="shared" si="43"/>
        <v>10113408</v>
      </c>
    </row>
    <row r="523" spans="1:44" hidden="1">
      <c r="A523" s="12" t="s">
        <v>1039</v>
      </c>
      <c r="B523" s="13"/>
      <c r="C523" s="13" t="s">
        <v>14</v>
      </c>
      <c r="D523" s="13"/>
      <c r="E523" s="32">
        <v>44727</v>
      </c>
      <c r="F523" s="26"/>
      <c r="G523" s="26">
        <v>8098237</v>
      </c>
      <c r="H523" s="26"/>
      <c r="I523" s="26">
        <v>0</v>
      </c>
      <c r="J523" s="26"/>
      <c r="K523" s="26">
        <v>32219660</v>
      </c>
      <c r="L523" s="26"/>
      <c r="M523" s="26">
        <v>978893</v>
      </c>
      <c r="N523" s="26"/>
      <c r="O523" s="26">
        <v>691191</v>
      </c>
      <c r="P523" s="26"/>
      <c r="Q523" s="26">
        <v>164941</v>
      </c>
      <c r="R523" s="26"/>
      <c r="S523" s="26"/>
      <c r="T523" s="26"/>
      <c r="U523" s="26">
        <v>12139</v>
      </c>
      <c r="V523" s="26"/>
      <c r="W523" s="26">
        <f>269948+447351</f>
        <v>717299</v>
      </c>
      <c r="X523" s="26"/>
      <c r="Y523" s="51">
        <f t="shared" si="41"/>
        <v>42882360</v>
      </c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>
        <v>0</v>
      </c>
      <c r="AN523" s="26"/>
      <c r="AO523" s="51">
        <f t="shared" si="42"/>
        <v>0</v>
      </c>
      <c r="AP523" s="26"/>
      <c r="AQ523" s="51">
        <f t="shared" si="43"/>
        <v>42882360</v>
      </c>
    </row>
    <row r="524" spans="1:44">
      <c r="A524" s="12"/>
      <c r="B524" s="13"/>
      <c r="C524" s="13"/>
      <c r="D524" s="13"/>
      <c r="E524" s="32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51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51"/>
      <c r="AP524" s="26"/>
      <c r="AQ524" s="51"/>
    </row>
    <row r="525" spans="1:44">
      <c r="A525" s="12"/>
      <c r="B525" s="13"/>
      <c r="C525" s="13"/>
      <c r="D525" s="13"/>
      <c r="E525" s="32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51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51"/>
      <c r="AP525" s="26"/>
      <c r="AQ525" s="135" t="s">
        <v>805</v>
      </c>
    </row>
    <row r="526" spans="1:44">
      <c r="A526" s="12"/>
      <c r="B526" s="13"/>
      <c r="C526" s="13"/>
      <c r="D526" s="13"/>
      <c r="E526" s="32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51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51"/>
      <c r="AP526" s="26"/>
      <c r="AQ526" s="51"/>
    </row>
    <row r="527" spans="1:44">
      <c r="A527" s="13" t="s">
        <v>452</v>
      </c>
      <c r="B527" s="13"/>
      <c r="C527" s="13" t="s">
        <v>39</v>
      </c>
      <c r="D527" s="13"/>
      <c r="E527" s="32">
        <v>44826</v>
      </c>
      <c r="F527" s="26"/>
      <c r="G527" s="43">
        <v>4217557</v>
      </c>
      <c r="H527" s="43"/>
      <c r="I527" s="43">
        <v>0</v>
      </c>
      <c r="J527" s="43"/>
      <c r="K527" s="43">
        <v>19083093</v>
      </c>
      <c r="L527" s="43"/>
      <c r="M527" s="43">
        <v>249489</v>
      </c>
      <c r="N527" s="43"/>
      <c r="O527" s="43">
        <v>2791940</v>
      </c>
      <c r="P527" s="43"/>
      <c r="Q527" s="43">
        <v>320892</v>
      </c>
      <c r="R527" s="43"/>
      <c r="S527" s="43">
        <v>0</v>
      </c>
      <c r="T527" s="43"/>
      <c r="U527" s="43">
        <v>399208</v>
      </c>
      <c r="V527" s="43"/>
      <c r="W527" s="43">
        <f>112413+190986+19713</f>
        <v>323112</v>
      </c>
      <c r="X527" s="43"/>
      <c r="Y527" s="129">
        <f t="shared" si="41"/>
        <v>27385291</v>
      </c>
      <c r="Z527" s="43"/>
      <c r="AA527" s="43">
        <v>978706</v>
      </c>
      <c r="AB527" s="43"/>
      <c r="AC527" s="43"/>
      <c r="AD527" s="43"/>
      <c r="AE527" s="43">
        <v>0</v>
      </c>
      <c r="AF527" s="43"/>
      <c r="AG527" s="43"/>
      <c r="AH527" s="43"/>
      <c r="AI527" s="43"/>
      <c r="AJ527" s="43"/>
      <c r="AK527" s="43">
        <v>34665</v>
      </c>
      <c r="AL527" s="43"/>
      <c r="AM527" s="43">
        <v>0</v>
      </c>
      <c r="AN527" s="43"/>
      <c r="AO527" s="129">
        <f t="shared" si="42"/>
        <v>1013371</v>
      </c>
      <c r="AP527" s="43"/>
      <c r="AQ527" s="129">
        <f t="shared" si="43"/>
        <v>28398662</v>
      </c>
    </row>
    <row r="528" spans="1:44">
      <c r="A528" s="13" t="s">
        <v>671</v>
      </c>
      <c r="B528" s="13"/>
      <c r="C528" s="13" t="s">
        <v>63</v>
      </c>
      <c r="D528" s="13"/>
      <c r="E528" s="32">
        <v>44834</v>
      </c>
      <c r="F528" s="26"/>
      <c r="G528" s="26">
        <v>30384088</v>
      </c>
      <c r="H528" s="26"/>
      <c r="I528" s="26">
        <v>0</v>
      </c>
      <c r="J528" s="26"/>
      <c r="K528" s="26">
        <f>24748+21159032+2020049</f>
        <v>23203829</v>
      </c>
      <c r="L528" s="26"/>
      <c r="M528" s="26">
        <v>273193</v>
      </c>
      <c r="N528" s="26"/>
      <c r="O528" s="26">
        <v>1267229</v>
      </c>
      <c r="P528" s="26"/>
      <c r="Q528" s="26">
        <v>611584</v>
      </c>
      <c r="R528" s="26"/>
      <c r="S528" s="26">
        <v>0</v>
      </c>
      <c r="T528" s="26"/>
      <c r="U528" s="26">
        <v>0</v>
      </c>
      <c r="V528" s="26"/>
      <c r="W528" s="26">
        <f>858272+183904+422966</f>
        <v>1465142</v>
      </c>
      <c r="X528" s="26"/>
      <c r="Y528" s="51">
        <f t="shared" si="41"/>
        <v>57205065</v>
      </c>
      <c r="Z528" s="26"/>
      <c r="AA528" s="8">
        <v>16575</v>
      </c>
      <c r="AB528" s="26"/>
      <c r="AC528" s="26"/>
      <c r="AD528" s="26"/>
      <c r="AE528" s="26">
        <v>0</v>
      </c>
      <c r="AF528" s="26"/>
      <c r="AG528" s="26"/>
      <c r="AH528" s="26"/>
      <c r="AI528" s="26"/>
      <c r="AJ528" s="26"/>
      <c r="AK528" s="26">
        <v>0</v>
      </c>
      <c r="AL528" s="26"/>
      <c r="AM528" s="26">
        <v>0</v>
      </c>
      <c r="AN528" s="26"/>
      <c r="AO528" s="51">
        <f t="shared" si="42"/>
        <v>16575</v>
      </c>
      <c r="AP528" s="26"/>
      <c r="AQ528" s="51">
        <f t="shared" si="43"/>
        <v>57221640</v>
      </c>
    </row>
    <row r="529" spans="1:44" hidden="1">
      <c r="A529" s="13" t="s">
        <v>1040</v>
      </c>
      <c r="B529" s="13"/>
      <c r="C529" s="13" t="s">
        <v>65</v>
      </c>
      <c r="D529" s="13"/>
      <c r="E529" s="32">
        <v>50294</v>
      </c>
      <c r="F529" s="26"/>
      <c r="G529" s="26"/>
      <c r="H529" s="26"/>
      <c r="I529" s="26">
        <v>0</v>
      </c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51">
        <f t="shared" si="41"/>
        <v>0</v>
      </c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>
        <v>0</v>
      </c>
      <c r="AN529" s="26"/>
      <c r="AO529" s="51">
        <f t="shared" si="42"/>
        <v>0</v>
      </c>
      <c r="AP529" s="26"/>
      <c r="AQ529" s="51">
        <f t="shared" si="43"/>
        <v>0</v>
      </c>
      <c r="AR529" s="8" t="s">
        <v>967</v>
      </c>
    </row>
    <row r="530" spans="1:44">
      <c r="A530" s="13" t="s">
        <v>595</v>
      </c>
      <c r="B530" s="13"/>
      <c r="C530" s="13" t="s">
        <v>56</v>
      </c>
      <c r="D530" s="13"/>
      <c r="E530" s="32">
        <v>49239</v>
      </c>
      <c r="F530" s="26"/>
      <c r="G530" s="26">
        <v>15021731</v>
      </c>
      <c r="H530" s="26"/>
      <c r="I530" s="26">
        <v>0</v>
      </c>
      <c r="J530" s="26"/>
      <c r="K530" s="26">
        <v>8845828</v>
      </c>
      <c r="L530" s="26"/>
      <c r="M530" s="26">
        <v>45832</v>
      </c>
      <c r="N530" s="26"/>
      <c r="O530" s="26">
        <v>226012</v>
      </c>
      <c r="P530" s="26"/>
      <c r="Q530" s="26">
        <v>309978</v>
      </c>
      <c r="R530" s="26"/>
      <c r="S530" s="26">
        <v>203403</v>
      </c>
      <c r="T530" s="26"/>
      <c r="U530" s="26">
        <v>45198</v>
      </c>
      <c r="V530" s="26"/>
      <c r="W530" s="26">
        <f>1074+548284+228002</f>
        <v>777360</v>
      </c>
      <c r="X530" s="26"/>
      <c r="Y530" s="51">
        <f t="shared" si="41"/>
        <v>25475342</v>
      </c>
      <c r="Z530" s="26"/>
      <c r="AA530" s="8">
        <v>38345</v>
      </c>
      <c r="AB530" s="26"/>
      <c r="AC530" s="26"/>
      <c r="AD530" s="26"/>
      <c r="AE530" s="26">
        <v>0</v>
      </c>
      <c r="AF530" s="26"/>
      <c r="AG530" s="26"/>
      <c r="AH530" s="26"/>
      <c r="AI530" s="26"/>
      <c r="AJ530" s="26"/>
      <c r="AK530" s="26">
        <v>0</v>
      </c>
      <c r="AL530" s="26"/>
      <c r="AM530" s="26">
        <v>0</v>
      </c>
      <c r="AN530" s="26"/>
      <c r="AO530" s="51">
        <f t="shared" ref="AO530:AO561" si="44">AK530+AE530+AA530</f>
        <v>38345</v>
      </c>
      <c r="AP530" s="26"/>
      <c r="AQ530" s="51">
        <f t="shared" si="43"/>
        <v>25513687</v>
      </c>
    </row>
    <row r="531" spans="1:44">
      <c r="A531" s="13" t="s">
        <v>323</v>
      </c>
      <c r="B531" s="13"/>
      <c r="C531" s="13" t="s">
        <v>20</v>
      </c>
      <c r="D531" s="13"/>
      <c r="E531" s="32">
        <v>44842</v>
      </c>
      <c r="F531" s="26"/>
      <c r="G531" s="26">
        <v>56319296</v>
      </c>
      <c r="H531" s="26"/>
      <c r="I531" s="26">
        <v>0</v>
      </c>
      <c r="J531" s="26"/>
      <c r="K531" s="26">
        <v>25164257</v>
      </c>
      <c r="L531" s="26"/>
      <c r="M531" s="26">
        <v>237083</v>
      </c>
      <c r="N531" s="26"/>
      <c r="O531" s="26">
        <v>699895</v>
      </c>
      <c r="P531" s="26"/>
      <c r="Q531" s="26">
        <v>267329</v>
      </c>
      <c r="R531" s="26"/>
      <c r="S531" s="26">
        <v>0</v>
      </c>
      <c r="T531" s="26"/>
      <c r="U531" s="26">
        <v>0</v>
      </c>
      <c r="V531" s="26"/>
      <c r="W531" s="26">
        <f>1528987+1159446</f>
        <v>2688433</v>
      </c>
      <c r="X531" s="26"/>
      <c r="Y531" s="51">
        <f t="shared" si="41"/>
        <v>85376293</v>
      </c>
      <c r="Z531" s="26"/>
      <c r="AA531" s="26">
        <v>41032</v>
      </c>
      <c r="AB531" s="26"/>
      <c r="AC531" s="26"/>
      <c r="AD531" s="26"/>
      <c r="AE531" s="26">
        <v>4685420</v>
      </c>
      <c r="AF531" s="26"/>
      <c r="AG531" s="26"/>
      <c r="AH531" s="26"/>
      <c r="AI531" s="26"/>
      <c r="AJ531" s="26"/>
      <c r="AK531" s="26">
        <v>21739</v>
      </c>
      <c r="AL531" s="26"/>
      <c r="AM531" s="26">
        <v>0</v>
      </c>
      <c r="AN531" s="26"/>
      <c r="AO531" s="51">
        <f t="shared" si="44"/>
        <v>4748191</v>
      </c>
      <c r="AP531" s="26"/>
      <c r="AQ531" s="51">
        <f t="shared" si="43"/>
        <v>90124484</v>
      </c>
    </row>
    <row r="532" spans="1:44">
      <c r="A532" s="13" t="s">
        <v>517</v>
      </c>
      <c r="B532" s="13"/>
      <c r="C532" s="13" t="s">
        <v>45</v>
      </c>
      <c r="D532" s="13"/>
      <c r="E532" s="32">
        <v>44859</v>
      </c>
      <c r="F532" s="26"/>
      <c r="G532" s="26">
        <v>4945147</v>
      </c>
      <c r="H532" s="26"/>
      <c r="I532" s="26">
        <v>0</v>
      </c>
      <c r="J532" s="26"/>
      <c r="K532" s="26">
        <v>13425699</v>
      </c>
      <c r="L532" s="26"/>
      <c r="M532" s="26">
        <v>57688</v>
      </c>
      <c r="N532" s="26"/>
      <c r="O532" s="26">
        <v>1137803</v>
      </c>
      <c r="P532" s="26"/>
      <c r="Q532" s="26">
        <v>196347</v>
      </c>
      <c r="R532" s="26"/>
      <c r="S532" s="26">
        <v>0</v>
      </c>
      <c r="T532" s="26"/>
      <c r="U532" s="26">
        <v>64976</v>
      </c>
      <c r="V532" s="26"/>
      <c r="W532" s="26">
        <f>71609+18517+198316</f>
        <v>288442</v>
      </c>
      <c r="X532" s="26"/>
      <c r="Y532" s="51">
        <f t="shared" si="41"/>
        <v>20116102</v>
      </c>
      <c r="Z532" s="26"/>
      <c r="AA532" s="26">
        <v>5000</v>
      </c>
      <c r="AB532" s="26"/>
      <c r="AC532" s="26"/>
      <c r="AD532" s="26"/>
      <c r="AE532" s="26">
        <v>0</v>
      </c>
      <c r="AF532" s="26"/>
      <c r="AG532" s="26"/>
      <c r="AH532" s="26"/>
      <c r="AI532" s="26"/>
      <c r="AJ532" s="26"/>
      <c r="AK532" s="26">
        <v>0</v>
      </c>
      <c r="AL532" s="26"/>
      <c r="AM532" s="26">
        <v>0</v>
      </c>
      <c r="AN532" s="26"/>
      <c r="AO532" s="51">
        <f t="shared" si="44"/>
        <v>5000</v>
      </c>
      <c r="AP532" s="26"/>
      <c r="AQ532" s="51">
        <f t="shared" si="43"/>
        <v>20121102</v>
      </c>
    </row>
    <row r="533" spans="1:44">
      <c r="A533" s="13" t="s">
        <v>732</v>
      </c>
      <c r="B533" s="13"/>
      <c r="C533" s="13" t="s">
        <v>727</v>
      </c>
      <c r="D533" s="13"/>
      <c r="E533" s="32">
        <v>50658</v>
      </c>
      <c r="F533" s="26"/>
      <c r="G533" s="26">
        <v>1437408</v>
      </c>
      <c r="H533" s="26"/>
      <c r="I533" s="26">
        <v>770644</v>
      </c>
      <c r="J533" s="26"/>
      <c r="K533" s="26">
        <v>3011798</v>
      </c>
      <c r="L533" s="26"/>
      <c r="M533" s="26">
        <v>61562</v>
      </c>
      <c r="N533" s="26"/>
      <c r="O533" s="26">
        <v>170989</v>
      </c>
      <c r="P533" s="26"/>
      <c r="Q533" s="26">
        <v>86556</v>
      </c>
      <c r="R533" s="26"/>
      <c r="S533" s="26">
        <v>0</v>
      </c>
      <c r="T533" s="26"/>
      <c r="U533" s="26">
        <v>14188</v>
      </c>
      <c r="V533" s="26"/>
      <c r="W533" s="26">
        <f>102915+80374</f>
        <v>183289</v>
      </c>
      <c r="X533" s="26"/>
      <c r="Y533" s="51">
        <f t="shared" si="41"/>
        <v>5736434</v>
      </c>
      <c r="Z533" s="26"/>
      <c r="AA533" s="26">
        <v>134308</v>
      </c>
      <c r="AB533" s="26"/>
      <c r="AC533" s="26"/>
      <c r="AD533" s="26"/>
      <c r="AE533" s="26">
        <v>71735</v>
      </c>
      <c r="AF533" s="26"/>
      <c r="AG533" s="26"/>
      <c r="AH533" s="26"/>
      <c r="AI533" s="26"/>
      <c r="AJ533" s="26"/>
      <c r="AK533" s="26">
        <v>0</v>
      </c>
      <c r="AL533" s="26"/>
      <c r="AM533" s="26">
        <v>0</v>
      </c>
      <c r="AN533" s="26"/>
      <c r="AO533" s="51">
        <f t="shared" si="44"/>
        <v>206043</v>
      </c>
      <c r="AP533" s="26"/>
      <c r="AQ533" s="51">
        <f t="shared" si="43"/>
        <v>5942477</v>
      </c>
    </row>
    <row r="534" spans="1:44">
      <c r="A534" s="13" t="s">
        <v>387</v>
      </c>
      <c r="B534" s="13"/>
      <c r="C534" s="13" t="s">
        <v>116</v>
      </c>
      <c r="D534" s="13"/>
      <c r="E534" s="32">
        <v>47274</v>
      </c>
      <c r="F534" s="26"/>
      <c r="G534" s="26">
        <v>16772145</v>
      </c>
      <c r="H534" s="26"/>
      <c r="I534" s="26">
        <v>0</v>
      </c>
      <c r="J534" s="26"/>
      <c r="K534" s="26">
        <v>9696589</v>
      </c>
      <c r="L534" s="26"/>
      <c r="M534" s="26">
        <v>32924</v>
      </c>
      <c r="N534" s="26"/>
      <c r="O534" s="26">
        <v>448620</v>
      </c>
      <c r="P534" s="26"/>
      <c r="Q534" s="26">
        <v>394789</v>
      </c>
      <c r="R534" s="26"/>
      <c r="S534" s="26">
        <v>0</v>
      </c>
      <c r="T534" s="26"/>
      <c r="U534" s="26">
        <v>0</v>
      </c>
      <c r="V534" s="26"/>
      <c r="W534" s="26">
        <f>562807+439955</f>
        <v>1002762</v>
      </c>
      <c r="X534" s="26"/>
      <c r="Y534" s="51">
        <f t="shared" si="41"/>
        <v>28347829</v>
      </c>
      <c r="Z534" s="26"/>
      <c r="AA534" s="26">
        <v>365490</v>
      </c>
      <c r="AB534" s="26"/>
      <c r="AC534" s="26"/>
      <c r="AD534" s="26"/>
      <c r="AE534" s="26">
        <v>0</v>
      </c>
      <c r="AF534" s="26"/>
      <c r="AG534" s="26"/>
      <c r="AH534" s="26"/>
      <c r="AI534" s="26"/>
      <c r="AJ534" s="26"/>
      <c r="AK534" s="26">
        <v>139770</v>
      </c>
      <c r="AL534" s="26"/>
      <c r="AM534" s="26">
        <v>0</v>
      </c>
      <c r="AN534" s="26"/>
      <c r="AO534" s="51">
        <f t="shared" si="44"/>
        <v>505260</v>
      </c>
      <c r="AP534" s="26"/>
      <c r="AQ534" s="51">
        <f t="shared" si="43"/>
        <v>28853089</v>
      </c>
    </row>
    <row r="535" spans="1:44">
      <c r="A535" s="13" t="s">
        <v>373</v>
      </c>
      <c r="B535" s="13"/>
      <c r="C535" s="13" t="s">
        <v>28</v>
      </c>
      <c r="D535" s="13"/>
      <c r="E535" s="32">
        <v>47092</v>
      </c>
      <c r="F535" s="26"/>
      <c r="G535" s="26">
        <v>6579386</v>
      </c>
      <c r="H535" s="26"/>
      <c r="I535" s="26">
        <v>2328174</v>
      </c>
      <c r="J535" s="26"/>
      <c r="K535" s="26">
        <v>6705770</v>
      </c>
      <c r="L535" s="26"/>
      <c r="M535" s="26">
        <v>321960</v>
      </c>
      <c r="N535" s="26"/>
      <c r="O535" s="26">
        <v>656503</v>
      </c>
      <c r="P535" s="26"/>
      <c r="Q535" s="26">
        <v>161810</v>
      </c>
      <c r="R535" s="26"/>
      <c r="S535" s="26">
        <v>0</v>
      </c>
      <c r="T535" s="26"/>
      <c r="U535" s="26">
        <v>11663</v>
      </c>
      <c r="V535" s="26"/>
      <c r="W535" s="26">
        <f>181521+251913</f>
        <v>433434</v>
      </c>
      <c r="X535" s="26"/>
      <c r="Y535" s="51">
        <f t="shared" si="41"/>
        <v>17198700</v>
      </c>
      <c r="Z535" s="26"/>
      <c r="AA535" s="26">
        <v>614154</v>
      </c>
      <c r="AB535" s="26"/>
      <c r="AC535" s="26"/>
      <c r="AD535" s="26"/>
      <c r="AE535" s="26">
        <v>0</v>
      </c>
      <c r="AF535" s="26"/>
      <c r="AG535" s="26"/>
      <c r="AH535" s="26"/>
      <c r="AI535" s="26"/>
      <c r="AJ535" s="26"/>
      <c r="AK535" s="26">
        <v>0</v>
      </c>
      <c r="AL535" s="26"/>
      <c r="AM535" s="26">
        <v>0</v>
      </c>
      <c r="AN535" s="26"/>
      <c r="AO535" s="51">
        <f t="shared" si="44"/>
        <v>614154</v>
      </c>
      <c r="AP535" s="26"/>
      <c r="AQ535" s="51">
        <f t="shared" si="43"/>
        <v>17812854</v>
      </c>
    </row>
    <row r="536" spans="1:44">
      <c r="A536" s="13" t="s">
        <v>861</v>
      </c>
      <c r="B536" s="13"/>
      <c r="C536" s="13" t="s">
        <v>49</v>
      </c>
      <c r="D536" s="13"/>
      <c r="E536" s="32">
        <v>48652</v>
      </c>
      <c r="F536" s="26"/>
      <c r="G536" s="26">
        <v>7159914</v>
      </c>
      <c r="H536" s="26"/>
      <c r="I536" s="26">
        <v>0</v>
      </c>
      <c r="J536" s="26"/>
      <c r="K536" s="26">
        <v>18674902</v>
      </c>
      <c r="L536" s="26"/>
      <c r="M536" s="26">
        <v>50982</v>
      </c>
      <c r="N536" s="26"/>
      <c r="O536" s="26">
        <v>187719</v>
      </c>
      <c r="P536" s="26"/>
      <c r="Q536" s="26">
        <v>197210</v>
      </c>
      <c r="R536" s="26"/>
      <c r="S536" s="26">
        <v>0</v>
      </c>
      <c r="T536" s="26"/>
      <c r="U536" s="26">
        <v>62674</v>
      </c>
      <c r="V536" s="26"/>
      <c r="W536" s="26">
        <f>189570+353268+325</f>
        <v>543163</v>
      </c>
      <c r="X536" s="26"/>
      <c r="Y536" s="51">
        <f t="shared" si="41"/>
        <v>26876564</v>
      </c>
      <c r="Z536" s="26"/>
      <c r="AA536" s="26">
        <v>79318</v>
      </c>
      <c r="AB536" s="26"/>
      <c r="AC536" s="26"/>
      <c r="AD536" s="26"/>
      <c r="AE536" s="26">
        <v>25000000</v>
      </c>
      <c r="AF536" s="26"/>
      <c r="AG536" s="26"/>
      <c r="AH536" s="26"/>
      <c r="AI536" s="26"/>
      <c r="AJ536" s="26"/>
      <c r="AK536" s="26">
        <v>1138</v>
      </c>
      <c r="AL536" s="26"/>
      <c r="AM536" s="26">
        <v>0</v>
      </c>
      <c r="AN536" s="26"/>
      <c r="AO536" s="51">
        <f t="shared" si="44"/>
        <v>25080456</v>
      </c>
      <c r="AP536" s="26"/>
      <c r="AQ536" s="51">
        <f t="shared" si="43"/>
        <v>51957020</v>
      </c>
    </row>
    <row r="537" spans="1:44">
      <c r="A537" s="13" t="s">
        <v>409</v>
      </c>
      <c r="B537" s="13"/>
      <c r="C537" s="13" t="s">
        <v>32</v>
      </c>
      <c r="D537" s="13"/>
      <c r="E537" s="32">
        <v>44867</v>
      </c>
      <c r="F537" s="26"/>
      <c r="G537" s="26">
        <v>59952750</v>
      </c>
      <c r="H537" s="26"/>
      <c r="I537" s="26">
        <v>0</v>
      </c>
      <c r="J537" s="26"/>
      <c r="K537" s="26">
        <v>21977810</v>
      </c>
      <c r="L537" s="26"/>
      <c r="M537" s="26">
        <v>1309571</v>
      </c>
      <c r="N537" s="26"/>
      <c r="O537" s="26">
        <v>979643</v>
      </c>
      <c r="P537" s="26"/>
      <c r="Q537" s="26">
        <v>478633</v>
      </c>
      <c r="R537" s="26"/>
      <c r="S537" s="26">
        <v>0</v>
      </c>
      <c r="T537" s="26"/>
      <c r="U537" s="26">
        <v>0</v>
      </c>
      <c r="V537" s="26"/>
      <c r="W537" s="26">
        <f>1721474+526397</f>
        <v>2247871</v>
      </c>
      <c r="X537" s="26"/>
      <c r="Y537" s="51">
        <f t="shared" si="41"/>
        <v>86946278</v>
      </c>
      <c r="Z537" s="26"/>
      <c r="AA537" s="26">
        <v>1312425</v>
      </c>
      <c r="AB537" s="26"/>
      <c r="AC537" s="26"/>
      <c r="AD537" s="26"/>
      <c r="AE537" s="26">
        <v>0</v>
      </c>
      <c r="AF537" s="26"/>
      <c r="AG537" s="26"/>
      <c r="AH537" s="26"/>
      <c r="AI537" s="26"/>
      <c r="AJ537" s="26"/>
      <c r="AK537" s="26">
        <v>195</v>
      </c>
      <c r="AL537" s="26"/>
      <c r="AM537" s="26">
        <v>0</v>
      </c>
      <c r="AN537" s="26"/>
      <c r="AO537" s="51">
        <f t="shared" si="44"/>
        <v>1312620</v>
      </c>
      <c r="AP537" s="26"/>
      <c r="AQ537" s="51">
        <f t="shared" si="43"/>
        <v>88258898</v>
      </c>
    </row>
    <row r="538" spans="1:44">
      <c r="A538" s="13" t="s">
        <v>501</v>
      </c>
      <c r="B538" s="13"/>
      <c r="C538" s="13" t="s">
        <v>117</v>
      </c>
      <c r="D538" s="13"/>
      <c r="E538" s="13">
        <v>44875</v>
      </c>
      <c r="F538" s="26"/>
      <c r="G538" s="26">
        <v>55740104</v>
      </c>
      <c r="H538" s="26"/>
      <c r="I538" s="26">
        <v>0</v>
      </c>
      <c r="J538" s="26"/>
      <c r="K538" s="26">
        <f>26647470+3043596</f>
        <v>29691066</v>
      </c>
      <c r="L538" s="26"/>
      <c r="M538" s="26">
        <v>556054</v>
      </c>
      <c r="N538" s="26"/>
      <c r="O538" s="26">
        <v>623148</v>
      </c>
      <c r="P538" s="26"/>
      <c r="Q538" s="26">
        <v>693851</v>
      </c>
      <c r="R538" s="26"/>
      <c r="S538" s="26">
        <v>0</v>
      </c>
      <c r="T538" s="26"/>
      <c r="U538" s="26">
        <v>51757</v>
      </c>
      <c r="V538" s="26"/>
      <c r="W538" s="26">
        <f>524748+68322+59104+407022+1137131+33327</f>
        <v>2229654</v>
      </c>
      <c r="X538" s="26"/>
      <c r="Y538" s="51">
        <f t="shared" si="41"/>
        <v>89585634</v>
      </c>
      <c r="Z538" s="26"/>
      <c r="AA538" s="26">
        <v>363311</v>
      </c>
      <c r="AB538" s="26"/>
      <c r="AC538" s="26"/>
      <c r="AD538" s="26"/>
      <c r="AE538" s="26">
        <f>78999981+1070085+15500000+16350+90637</f>
        <v>95677053</v>
      </c>
      <c r="AF538" s="26"/>
      <c r="AG538" s="26"/>
      <c r="AH538" s="26"/>
      <c r="AI538" s="26"/>
      <c r="AJ538" s="26"/>
      <c r="AK538" s="26">
        <v>25674</v>
      </c>
      <c r="AL538" s="26"/>
      <c r="AM538" s="26">
        <v>0</v>
      </c>
      <c r="AN538" s="26"/>
      <c r="AO538" s="51">
        <f t="shared" si="44"/>
        <v>96066038</v>
      </c>
      <c r="AP538" s="26"/>
      <c r="AQ538" s="51">
        <f t="shared" si="43"/>
        <v>185651672</v>
      </c>
    </row>
    <row r="539" spans="1:44">
      <c r="A539" s="13" t="s">
        <v>472</v>
      </c>
      <c r="B539" s="13"/>
      <c r="C539" s="13" t="s">
        <v>466</v>
      </c>
      <c r="D539" s="13"/>
      <c r="E539" s="32">
        <v>47969</v>
      </c>
      <c r="F539" s="26"/>
      <c r="G539" s="26">
        <v>1007346</v>
      </c>
      <c r="H539" s="26"/>
      <c r="I539" s="26">
        <v>0</v>
      </c>
      <c r="J539" s="26"/>
      <c r="K539" s="26">
        <v>7073327</v>
      </c>
      <c r="L539" s="26"/>
      <c r="M539" s="26">
        <v>162967</v>
      </c>
      <c r="N539" s="26"/>
      <c r="O539" s="26">
        <v>525305</v>
      </c>
      <c r="P539" s="26"/>
      <c r="Q539" s="26">
        <v>66288</v>
      </c>
      <c r="R539" s="26"/>
      <c r="S539" s="26">
        <v>0</v>
      </c>
      <c r="T539" s="26"/>
      <c r="U539" s="26">
        <v>9306</v>
      </c>
      <c r="V539" s="26"/>
      <c r="W539" s="26">
        <f>19744+89052</f>
        <v>108796</v>
      </c>
      <c r="X539" s="26"/>
      <c r="Y539" s="51">
        <f t="shared" si="41"/>
        <v>8953335</v>
      </c>
      <c r="Z539" s="26"/>
      <c r="AA539" s="26">
        <v>27850</v>
      </c>
      <c r="AB539" s="26"/>
      <c r="AC539" s="26"/>
      <c r="AD539" s="26"/>
      <c r="AE539" s="26">
        <v>0</v>
      </c>
      <c r="AF539" s="26"/>
      <c r="AG539" s="26"/>
      <c r="AH539" s="26"/>
      <c r="AI539" s="26"/>
      <c r="AJ539" s="26"/>
      <c r="AK539" s="26">
        <v>0</v>
      </c>
      <c r="AL539" s="26"/>
      <c r="AM539" s="26">
        <v>0</v>
      </c>
      <c r="AN539" s="26"/>
      <c r="AO539" s="51">
        <f t="shared" si="44"/>
        <v>27850</v>
      </c>
      <c r="AP539" s="26"/>
      <c r="AQ539" s="51">
        <f t="shared" si="43"/>
        <v>8981185</v>
      </c>
      <c r="AR539" s="8" t="s">
        <v>956</v>
      </c>
    </row>
    <row r="540" spans="1:44">
      <c r="A540" s="12" t="s">
        <v>251</v>
      </c>
      <c r="B540" s="13"/>
      <c r="C540" s="13" t="s">
        <v>242</v>
      </c>
      <c r="D540" s="13"/>
      <c r="E540" s="32">
        <v>46151</v>
      </c>
      <c r="F540" s="26"/>
      <c r="G540" s="26">
        <v>21078609</v>
      </c>
      <c r="H540" s="26"/>
      <c r="I540" s="26">
        <v>0</v>
      </c>
      <c r="J540" s="26"/>
      <c r="K540" s="26">
        <v>13214080</v>
      </c>
      <c r="L540" s="26"/>
      <c r="M540" s="26">
        <v>332797</v>
      </c>
      <c r="N540" s="26"/>
      <c r="O540" s="26">
        <v>935425</v>
      </c>
      <c r="P540" s="26"/>
      <c r="Q540" s="26">
        <v>0</v>
      </c>
      <c r="R540" s="26"/>
      <c r="S540" s="26">
        <v>0</v>
      </c>
      <c r="T540" s="26"/>
      <c r="U540" s="26">
        <v>0</v>
      </c>
      <c r="V540" s="26"/>
      <c r="W540" s="26">
        <f>581578+843724</f>
        <v>1425302</v>
      </c>
      <c r="X540" s="26"/>
      <c r="Y540" s="51">
        <f t="shared" ref="Y540:Y562" si="45">SUM(G540:W540)</f>
        <v>36986213</v>
      </c>
      <c r="Z540" s="26"/>
      <c r="AA540" s="26">
        <v>0</v>
      </c>
      <c r="AB540" s="26"/>
      <c r="AC540" s="26"/>
      <c r="AD540" s="26"/>
      <c r="AE540" s="26">
        <v>0</v>
      </c>
      <c r="AF540" s="26"/>
      <c r="AG540" s="26"/>
      <c r="AH540" s="26"/>
      <c r="AI540" s="26"/>
      <c r="AJ540" s="26"/>
      <c r="AK540" s="26">
        <v>0</v>
      </c>
      <c r="AL540" s="26"/>
      <c r="AM540" s="26">
        <v>0</v>
      </c>
      <c r="AN540" s="26"/>
      <c r="AO540" s="51">
        <f t="shared" si="44"/>
        <v>0</v>
      </c>
      <c r="AP540" s="26"/>
      <c r="AQ540" s="51">
        <f t="shared" si="43"/>
        <v>36986213</v>
      </c>
      <c r="AR540" s="15" t="s">
        <v>905</v>
      </c>
    </row>
    <row r="541" spans="1:44">
      <c r="A541" s="13" t="s">
        <v>672</v>
      </c>
      <c r="B541" s="13"/>
      <c r="C541" s="13" t="s">
        <v>63</v>
      </c>
      <c r="D541" s="13"/>
      <c r="E541" s="32">
        <v>44883</v>
      </c>
      <c r="F541" s="26"/>
      <c r="G541" s="26">
        <v>14279277</v>
      </c>
      <c r="H541" s="26"/>
      <c r="I541" s="26">
        <v>0</v>
      </c>
      <c r="J541" s="26"/>
      <c r="K541" s="26">
        <v>12247852</v>
      </c>
      <c r="L541" s="26"/>
      <c r="M541" s="26">
        <v>275510</v>
      </c>
      <c r="N541" s="26"/>
      <c r="O541" s="26">
        <v>513033</v>
      </c>
      <c r="P541" s="26"/>
      <c r="Q541" s="26">
        <v>573177</v>
      </c>
      <c r="R541" s="26"/>
      <c r="S541" s="26">
        <v>0</v>
      </c>
      <c r="T541" s="26"/>
      <c r="U541" s="26">
        <v>101735</v>
      </c>
      <c r="V541" s="26"/>
      <c r="W541" s="26">
        <f>12774+421141+7620</f>
        <v>441535</v>
      </c>
      <c r="X541" s="26"/>
      <c r="Y541" s="51">
        <f t="shared" si="45"/>
        <v>28432119</v>
      </c>
      <c r="Z541" s="26"/>
      <c r="AA541" s="26">
        <v>0</v>
      </c>
      <c r="AB541" s="26"/>
      <c r="AC541" s="26"/>
      <c r="AD541" s="26"/>
      <c r="AE541" s="26">
        <v>0</v>
      </c>
      <c r="AF541" s="26"/>
      <c r="AG541" s="26"/>
      <c r="AH541" s="26"/>
      <c r="AI541" s="26"/>
      <c r="AJ541" s="26"/>
      <c r="AK541" s="26">
        <v>0</v>
      </c>
      <c r="AL541" s="26"/>
      <c r="AM541" s="26">
        <v>0</v>
      </c>
      <c r="AN541" s="26"/>
      <c r="AO541" s="51">
        <f t="shared" si="44"/>
        <v>0</v>
      </c>
      <c r="AP541" s="26"/>
      <c r="AQ541" s="51">
        <f t="shared" si="43"/>
        <v>28432119</v>
      </c>
    </row>
    <row r="542" spans="1:44">
      <c r="A542" s="13" t="s">
        <v>583</v>
      </c>
      <c r="B542" s="13"/>
      <c r="C542" s="13" t="s">
        <v>54</v>
      </c>
      <c r="D542" s="13"/>
      <c r="E542" s="32">
        <v>49098</v>
      </c>
      <c r="F542" s="26"/>
      <c r="G542" s="26">
        <v>10259650</v>
      </c>
      <c r="H542" s="26"/>
      <c r="I542" s="26">
        <v>2919566</v>
      </c>
      <c r="J542" s="26"/>
      <c r="K542" s="26">
        <f>137888+50907714+1568192</f>
        <v>52613794</v>
      </c>
      <c r="L542" s="26"/>
      <c r="M542" s="26">
        <v>1253789</v>
      </c>
      <c r="N542" s="26"/>
      <c r="O542" s="26">
        <v>107823</v>
      </c>
      <c r="P542" s="26"/>
      <c r="Q542" s="26">
        <v>378890</v>
      </c>
      <c r="R542" s="26"/>
      <c r="S542" s="26">
        <v>0</v>
      </c>
      <c r="T542" s="26"/>
      <c r="U542" s="26">
        <v>140567</v>
      </c>
      <c r="V542" s="26"/>
      <c r="W542" s="26">
        <f>68367+13402+101465+639938</f>
        <v>823172</v>
      </c>
      <c r="X542" s="26"/>
      <c r="Y542" s="51">
        <f t="shared" si="45"/>
        <v>68497251</v>
      </c>
      <c r="Z542" s="26"/>
      <c r="AA542" s="26">
        <v>446637</v>
      </c>
      <c r="AB542" s="26"/>
      <c r="AC542" s="26"/>
      <c r="AD542" s="26"/>
      <c r="AE542" s="26">
        <v>0</v>
      </c>
      <c r="AF542" s="26"/>
      <c r="AG542" s="26"/>
      <c r="AH542" s="26"/>
      <c r="AI542" s="26"/>
      <c r="AJ542" s="26"/>
      <c r="AK542" s="26">
        <v>19685</v>
      </c>
      <c r="AL542" s="26"/>
      <c r="AM542" s="26">
        <v>0</v>
      </c>
      <c r="AN542" s="26"/>
      <c r="AO542" s="51">
        <f t="shared" si="44"/>
        <v>466322</v>
      </c>
      <c r="AP542" s="26"/>
      <c r="AQ542" s="51">
        <f t="shared" si="43"/>
        <v>68963573</v>
      </c>
    </row>
    <row r="543" spans="1:44">
      <c r="A543" s="13" t="s">
        <v>265</v>
      </c>
      <c r="B543" s="13"/>
      <c r="C543" s="13" t="s">
        <v>17</v>
      </c>
      <c r="D543" s="13"/>
      <c r="E543" s="32">
        <v>46243</v>
      </c>
      <c r="F543" s="26"/>
      <c r="G543" s="26">
        <v>10384483</v>
      </c>
      <c r="H543" s="26"/>
      <c r="I543" s="26">
        <v>0</v>
      </c>
      <c r="J543" s="26"/>
      <c r="K543" s="26">
        <v>20711790</v>
      </c>
      <c r="L543" s="26"/>
      <c r="M543" s="26">
        <v>159054</v>
      </c>
      <c r="N543" s="26"/>
      <c r="O543" s="26">
        <v>1366293</v>
      </c>
      <c r="P543" s="26"/>
      <c r="Q543" s="26">
        <v>242339</v>
      </c>
      <c r="R543" s="26"/>
      <c r="S543" s="26">
        <v>0</v>
      </c>
      <c r="T543" s="26"/>
      <c r="U543" s="26">
        <v>27722</v>
      </c>
      <c r="V543" s="26"/>
      <c r="W543" s="26">
        <f>78939+17616+870773</f>
        <v>967328</v>
      </c>
      <c r="X543" s="26"/>
      <c r="Y543" s="51">
        <f t="shared" si="45"/>
        <v>33859009</v>
      </c>
      <c r="Z543" s="26"/>
      <c r="AA543" s="26">
        <v>322047</v>
      </c>
      <c r="AB543" s="26"/>
      <c r="AC543" s="26"/>
      <c r="AD543" s="26"/>
      <c r="AE543" s="26">
        <v>0</v>
      </c>
      <c r="AF543" s="26"/>
      <c r="AG543" s="26"/>
      <c r="AH543" s="26"/>
      <c r="AI543" s="26"/>
      <c r="AJ543" s="26"/>
      <c r="AK543" s="26">
        <v>0</v>
      </c>
      <c r="AL543" s="26"/>
      <c r="AM543" s="26">
        <v>0</v>
      </c>
      <c r="AN543" s="26"/>
      <c r="AO543" s="51">
        <f t="shared" si="44"/>
        <v>322047</v>
      </c>
      <c r="AP543" s="26"/>
      <c r="AQ543" s="51">
        <f t="shared" si="43"/>
        <v>34181056</v>
      </c>
    </row>
    <row r="544" spans="1:44">
      <c r="A544" s="13" t="s">
        <v>1073</v>
      </c>
      <c r="B544" s="13"/>
      <c r="C544" s="13" t="s">
        <v>32</v>
      </c>
      <c r="D544" s="13"/>
      <c r="E544" s="32">
        <v>47399</v>
      </c>
      <c r="F544" s="26"/>
      <c r="G544" s="26">
        <v>12179923</v>
      </c>
      <c r="H544" s="26"/>
      <c r="I544" s="26">
        <v>0</v>
      </c>
      <c r="J544" s="26"/>
      <c r="K544" s="26">
        <v>8086883</v>
      </c>
      <c r="L544" s="26"/>
      <c r="M544" s="26">
        <v>124214</v>
      </c>
      <c r="N544" s="26"/>
      <c r="O544" s="26">
        <v>247740</v>
      </c>
      <c r="P544" s="26"/>
      <c r="Q544" s="26">
        <v>182999</v>
      </c>
      <c r="R544" s="26"/>
      <c r="S544" s="26">
        <v>0</v>
      </c>
      <c r="T544" s="26"/>
      <c r="U544" s="26">
        <v>0</v>
      </c>
      <c r="V544" s="26"/>
      <c r="W544" s="26">
        <f>518910+233175</f>
        <v>752085</v>
      </c>
      <c r="X544" s="26"/>
      <c r="Y544" s="51">
        <f t="shared" si="45"/>
        <v>21573844</v>
      </c>
      <c r="Z544" s="26"/>
      <c r="AA544" s="26">
        <v>1043825</v>
      </c>
      <c r="AB544" s="26"/>
      <c r="AC544" s="26"/>
      <c r="AD544" s="26"/>
      <c r="AE544" s="26">
        <v>0</v>
      </c>
      <c r="AF544" s="26"/>
      <c r="AG544" s="26"/>
      <c r="AH544" s="26"/>
      <c r="AI544" s="26"/>
      <c r="AJ544" s="26"/>
      <c r="AK544" s="26">
        <v>900</v>
      </c>
      <c r="AL544" s="26"/>
      <c r="AM544" s="26">
        <v>0</v>
      </c>
      <c r="AN544" s="26"/>
      <c r="AO544" s="51">
        <f t="shared" si="44"/>
        <v>1044725</v>
      </c>
      <c r="AP544" s="26"/>
      <c r="AQ544" s="51">
        <f t="shared" si="43"/>
        <v>22618569</v>
      </c>
      <c r="AR544" s="15" t="s">
        <v>905</v>
      </c>
    </row>
    <row r="545" spans="1:44">
      <c r="A545" s="13" t="s">
        <v>640</v>
      </c>
      <c r="B545" s="13"/>
      <c r="C545" s="13" t="s">
        <v>60</v>
      </c>
      <c r="D545" s="13"/>
      <c r="E545" s="32">
        <v>44891</v>
      </c>
      <c r="F545" s="26"/>
      <c r="G545" s="26">
        <v>9209166</v>
      </c>
      <c r="H545" s="26"/>
      <c r="I545" s="26">
        <v>0</v>
      </c>
      <c r="J545" s="26"/>
      <c r="K545" s="26">
        <f>15921+13077999+1919815</f>
        <v>15013735</v>
      </c>
      <c r="L545" s="26"/>
      <c r="M545" s="26">
        <v>50630</v>
      </c>
      <c r="N545" s="26"/>
      <c r="O545" s="26">
        <v>1233544</v>
      </c>
      <c r="P545" s="26"/>
      <c r="Q545" s="26">
        <v>324850</v>
      </c>
      <c r="R545" s="26"/>
      <c r="S545" s="26">
        <v>136907</v>
      </c>
      <c r="T545" s="26"/>
      <c r="U545" s="26">
        <v>0</v>
      </c>
      <c r="V545" s="26"/>
      <c r="W545" s="26">
        <f>394586+83415+357481+69410</f>
        <v>904892</v>
      </c>
      <c r="X545" s="26"/>
      <c r="Y545" s="51">
        <f t="shared" si="45"/>
        <v>26873724</v>
      </c>
      <c r="Z545" s="26"/>
      <c r="AA545" s="26">
        <v>337397</v>
      </c>
      <c r="AB545" s="26"/>
      <c r="AC545" s="26"/>
      <c r="AD545" s="26"/>
      <c r="AE545" s="26">
        <v>0</v>
      </c>
      <c r="AF545" s="26"/>
      <c r="AG545" s="26"/>
      <c r="AH545" s="26"/>
      <c r="AI545" s="26"/>
      <c r="AJ545" s="26"/>
      <c r="AK545" s="26">
        <v>0</v>
      </c>
      <c r="AL545" s="26"/>
      <c r="AM545" s="26">
        <v>0</v>
      </c>
      <c r="AN545" s="26"/>
      <c r="AO545" s="51">
        <f t="shared" si="44"/>
        <v>337397</v>
      </c>
      <c r="AP545" s="26"/>
      <c r="AQ545" s="51">
        <f t="shared" si="43"/>
        <v>27211121</v>
      </c>
    </row>
    <row r="546" spans="1:44">
      <c r="A546" s="13" t="s">
        <v>541</v>
      </c>
      <c r="B546" s="13"/>
      <c r="C546" s="13" t="s">
        <v>48</v>
      </c>
      <c r="D546" s="13"/>
      <c r="E546" s="32">
        <v>45617</v>
      </c>
      <c r="F546" s="26"/>
      <c r="G546" s="26">
        <v>12204578</v>
      </c>
      <c r="H546" s="26"/>
      <c r="I546" s="26">
        <v>0</v>
      </c>
      <c r="J546" s="26"/>
      <c r="K546" s="26">
        <f>10488063+934817</f>
        <v>11422880</v>
      </c>
      <c r="L546" s="26"/>
      <c r="M546" s="26">
        <v>60669</v>
      </c>
      <c r="N546" s="26"/>
      <c r="O546" s="26">
        <v>201945</v>
      </c>
      <c r="P546" s="26"/>
      <c r="Q546" s="26">
        <v>731217</v>
      </c>
      <c r="R546" s="26"/>
      <c r="S546" s="26">
        <v>0</v>
      </c>
      <c r="T546" s="26"/>
      <c r="U546" s="26">
        <v>0</v>
      </c>
      <c r="V546" s="26"/>
      <c r="W546" s="26">
        <f>235342+607517</f>
        <v>842859</v>
      </c>
      <c r="X546" s="26"/>
      <c r="Y546" s="51">
        <f t="shared" si="45"/>
        <v>25464148</v>
      </c>
      <c r="Z546" s="26"/>
      <c r="AA546" s="26">
        <v>35300</v>
      </c>
      <c r="AB546" s="26"/>
      <c r="AC546" s="26"/>
      <c r="AD546" s="26"/>
      <c r="AE546" s="26">
        <v>0</v>
      </c>
      <c r="AF546" s="26"/>
      <c r="AG546" s="26"/>
      <c r="AH546" s="26"/>
      <c r="AI546" s="26"/>
      <c r="AJ546" s="26"/>
      <c r="AK546" s="26">
        <f>448+4107</f>
        <v>4555</v>
      </c>
      <c r="AL546" s="26"/>
      <c r="AM546" s="26">
        <v>0</v>
      </c>
      <c r="AN546" s="26"/>
      <c r="AO546" s="51">
        <f t="shared" si="44"/>
        <v>39855</v>
      </c>
      <c r="AP546" s="26"/>
      <c r="AQ546" s="51">
        <f t="shared" si="43"/>
        <v>25504003</v>
      </c>
    </row>
    <row r="547" spans="1:44">
      <c r="A547" s="13" t="s">
        <v>502</v>
      </c>
      <c r="B547" s="13"/>
      <c r="C547" s="13" t="s">
        <v>117</v>
      </c>
      <c r="D547" s="13"/>
      <c r="E547" s="32">
        <v>44909</v>
      </c>
      <c r="F547" s="26"/>
      <c r="G547" s="26">
        <v>105699938</v>
      </c>
      <c r="H547" s="26"/>
      <c r="I547" s="26">
        <v>0</v>
      </c>
      <c r="J547" s="26"/>
      <c r="K547" s="26">
        <f>295597310+54073343</f>
        <v>349670653</v>
      </c>
      <c r="L547" s="26"/>
      <c r="M547" s="26">
        <v>4916848</v>
      </c>
      <c r="N547" s="26"/>
      <c r="O547" s="26">
        <v>2889694</v>
      </c>
      <c r="P547" s="26"/>
      <c r="Q547" s="26">
        <v>1096809</v>
      </c>
      <c r="R547" s="26"/>
      <c r="S547" s="26">
        <v>0</v>
      </c>
      <c r="T547" s="26"/>
      <c r="U547" s="26">
        <v>0</v>
      </c>
      <c r="V547" s="26"/>
      <c r="W547" s="26">
        <f>16274444+20000+309764+1664852+809245</f>
        <v>19078305</v>
      </c>
      <c r="X547" s="26"/>
      <c r="Y547" s="51">
        <f t="shared" si="45"/>
        <v>483352247</v>
      </c>
      <c r="Z547" s="26"/>
      <c r="AA547" s="26">
        <v>10417146</v>
      </c>
      <c r="AB547" s="26"/>
      <c r="AC547" s="26"/>
      <c r="AD547" s="26"/>
      <c r="AE547" s="26">
        <f>31999995+381995</f>
        <v>32381990</v>
      </c>
      <c r="AF547" s="26"/>
      <c r="AG547" s="26"/>
      <c r="AH547" s="26"/>
      <c r="AI547" s="26"/>
      <c r="AJ547" s="26"/>
      <c r="AK547" s="26">
        <v>0</v>
      </c>
      <c r="AL547" s="26"/>
      <c r="AM547" s="26">
        <v>0</v>
      </c>
      <c r="AN547" s="26"/>
      <c r="AO547" s="51">
        <f t="shared" si="44"/>
        <v>42799136</v>
      </c>
      <c r="AP547" s="26"/>
      <c r="AQ547" s="51">
        <f t="shared" si="43"/>
        <v>526151383</v>
      </c>
    </row>
    <row r="548" spans="1:44">
      <c r="A548" s="13" t="s">
        <v>1024</v>
      </c>
      <c r="B548" s="13"/>
      <c r="C548" s="13" t="s">
        <v>117</v>
      </c>
      <c r="D548" s="13"/>
      <c r="E548" s="32"/>
      <c r="F548" s="26"/>
      <c r="G548" s="26">
        <v>0</v>
      </c>
      <c r="H548" s="26"/>
      <c r="I548" s="26">
        <v>0</v>
      </c>
      <c r="J548" s="26"/>
      <c r="K548" s="8">
        <v>351146</v>
      </c>
      <c r="L548" s="8"/>
      <c r="M548" s="8">
        <v>19764</v>
      </c>
      <c r="N548" s="8"/>
      <c r="O548" s="8">
        <v>191848</v>
      </c>
      <c r="P548" s="8"/>
      <c r="Q548" s="8">
        <v>0</v>
      </c>
      <c r="R548" s="8"/>
      <c r="S548" s="8">
        <v>0</v>
      </c>
      <c r="T548" s="8"/>
      <c r="U548" s="8">
        <v>472159</v>
      </c>
      <c r="V548" s="8"/>
      <c r="W548" s="8">
        <f>3567481+48284</f>
        <v>3615765</v>
      </c>
      <c r="X548" s="26"/>
      <c r="Y548" s="51">
        <f t="shared" si="45"/>
        <v>4650682</v>
      </c>
      <c r="Z548" s="26"/>
      <c r="AA548" s="26">
        <v>0</v>
      </c>
      <c r="AB548" s="26"/>
      <c r="AC548" s="26"/>
      <c r="AD548" s="26"/>
      <c r="AE548" s="26">
        <v>0</v>
      </c>
      <c r="AF548" s="26"/>
      <c r="AG548" s="26"/>
      <c r="AH548" s="26"/>
      <c r="AI548" s="26"/>
      <c r="AJ548" s="26"/>
      <c r="AK548" s="26">
        <v>0</v>
      </c>
      <c r="AL548" s="26"/>
      <c r="AM548" s="26"/>
      <c r="AN548" s="26"/>
      <c r="AO548" s="51">
        <f t="shared" si="44"/>
        <v>0</v>
      </c>
      <c r="AP548" s="26"/>
      <c r="AQ548" s="51">
        <f t="shared" si="43"/>
        <v>4650682</v>
      </c>
    </row>
    <row r="549" spans="1:44">
      <c r="A549" s="13" t="s">
        <v>1074</v>
      </c>
      <c r="B549" s="13"/>
      <c r="C549" s="13" t="s">
        <v>39</v>
      </c>
      <c r="D549" s="13"/>
      <c r="E549" s="32">
        <v>44917</v>
      </c>
      <c r="F549" s="26"/>
      <c r="G549" s="26">
        <v>1476261</v>
      </c>
      <c r="H549" s="26"/>
      <c r="I549" s="26">
        <v>0</v>
      </c>
      <c r="J549" s="26"/>
      <c r="K549" s="26">
        <v>5413724</v>
      </c>
      <c r="L549" s="26"/>
      <c r="M549" s="26">
        <v>85689</v>
      </c>
      <c r="N549" s="26"/>
      <c r="O549" s="26">
        <v>30101</v>
      </c>
      <c r="P549" s="26"/>
      <c r="Q549" s="26">
        <v>123579</v>
      </c>
      <c r="R549" s="26"/>
      <c r="S549" s="26">
        <v>0</v>
      </c>
      <c r="T549" s="26"/>
      <c r="U549" s="26">
        <v>476</v>
      </c>
      <c r="V549" s="26"/>
      <c r="W549" s="26">
        <f>114194+76526+2790</f>
        <v>193510</v>
      </c>
      <c r="X549" s="26"/>
      <c r="Y549" s="51">
        <f t="shared" si="45"/>
        <v>7323340</v>
      </c>
      <c r="Z549" s="26"/>
      <c r="AA549" s="26">
        <v>43795</v>
      </c>
      <c r="AB549" s="26"/>
      <c r="AC549" s="26"/>
      <c r="AD549" s="26"/>
      <c r="AE549" s="26">
        <v>72126</v>
      </c>
      <c r="AF549" s="26"/>
      <c r="AG549" s="26"/>
      <c r="AH549" s="26"/>
      <c r="AI549" s="26"/>
      <c r="AJ549" s="26"/>
      <c r="AK549" s="26">
        <v>270</v>
      </c>
      <c r="AL549" s="26"/>
      <c r="AM549" s="26">
        <v>0</v>
      </c>
      <c r="AN549" s="26"/>
      <c r="AO549" s="51">
        <f t="shared" si="44"/>
        <v>116191</v>
      </c>
      <c r="AP549" s="26"/>
      <c r="AQ549" s="51">
        <f t="shared" si="43"/>
        <v>7439531</v>
      </c>
      <c r="AR549" s="15" t="s">
        <v>905</v>
      </c>
    </row>
    <row r="550" spans="1:44">
      <c r="A550" s="13" t="s">
        <v>257</v>
      </c>
      <c r="B550" s="13"/>
      <c r="C550" s="13" t="s">
        <v>255</v>
      </c>
      <c r="D550" s="13"/>
      <c r="E550" s="32">
        <v>46201</v>
      </c>
      <c r="F550" s="26"/>
      <c r="G550" s="26">
        <v>1785024</v>
      </c>
      <c r="H550" s="26"/>
      <c r="I550" s="26">
        <v>1668094</v>
      </c>
      <c r="J550" s="26"/>
      <c r="K550" s="26">
        <f>2520+5727399+458247</f>
        <v>6188166</v>
      </c>
      <c r="L550" s="26"/>
      <c r="M550" s="26">
        <v>39153</v>
      </c>
      <c r="N550" s="26"/>
      <c r="O550" s="26">
        <v>396656</v>
      </c>
      <c r="P550" s="26"/>
      <c r="Q550" s="26">
        <v>194726</v>
      </c>
      <c r="R550" s="26"/>
      <c r="S550" s="26">
        <v>0</v>
      </c>
      <c r="T550" s="26"/>
      <c r="U550" s="26">
        <v>45359</v>
      </c>
      <c r="V550" s="26"/>
      <c r="W550" s="26">
        <f>6480+4077+35566+258242</f>
        <v>304365</v>
      </c>
      <c r="X550" s="26"/>
      <c r="Y550" s="51">
        <f t="shared" si="45"/>
        <v>10621543</v>
      </c>
      <c r="Z550" s="26"/>
      <c r="AA550" s="26">
        <v>295274</v>
      </c>
      <c r="AB550" s="26"/>
      <c r="AC550" s="26"/>
      <c r="AD550" s="26"/>
      <c r="AE550" s="26">
        <v>0</v>
      </c>
      <c r="AF550" s="26"/>
      <c r="AG550" s="26"/>
      <c r="AH550" s="26"/>
      <c r="AI550" s="26"/>
      <c r="AJ550" s="26"/>
      <c r="AK550" s="26">
        <v>0</v>
      </c>
      <c r="AL550" s="26"/>
      <c r="AM550" s="26">
        <v>0</v>
      </c>
      <c r="AN550" s="26"/>
      <c r="AO550" s="51">
        <f t="shared" si="44"/>
        <v>295274</v>
      </c>
      <c r="AP550" s="26"/>
      <c r="AQ550" s="51">
        <f t="shared" si="43"/>
        <v>10916817</v>
      </c>
    </row>
    <row r="551" spans="1:44">
      <c r="A551" s="13" t="s">
        <v>600</v>
      </c>
      <c r="B551" s="13"/>
      <c r="C551" s="13" t="s">
        <v>57</v>
      </c>
      <c r="D551" s="13"/>
      <c r="E551" s="32">
        <v>91397</v>
      </c>
      <c r="F551" s="26"/>
      <c r="G551" s="26">
        <v>4040094</v>
      </c>
      <c r="H551" s="26"/>
      <c r="I551" s="26">
        <v>0</v>
      </c>
      <c r="J551" s="26"/>
      <c r="K551" s="26">
        <v>5335287</v>
      </c>
      <c r="L551" s="26"/>
      <c r="M551" s="26">
        <v>160967</v>
      </c>
      <c r="N551" s="26"/>
      <c r="O551" s="26">
        <v>138799</v>
      </c>
      <c r="P551" s="26"/>
      <c r="Q551" s="26">
        <v>120584</v>
      </c>
      <c r="R551" s="26"/>
      <c r="S551" s="26">
        <v>0</v>
      </c>
      <c r="T551" s="26"/>
      <c r="U551" s="26">
        <v>10715</v>
      </c>
      <c r="V551" s="26"/>
      <c r="W551" s="26">
        <f>11166+253391+11312</f>
        <v>275869</v>
      </c>
      <c r="X551" s="26"/>
      <c r="Y551" s="51">
        <f t="shared" si="45"/>
        <v>10082315</v>
      </c>
      <c r="Z551" s="26"/>
      <c r="AA551" s="26">
        <v>120655</v>
      </c>
      <c r="AB551" s="26"/>
      <c r="AC551" s="26"/>
      <c r="AD551" s="26"/>
      <c r="AE551" s="26">
        <v>0</v>
      </c>
      <c r="AF551" s="26"/>
      <c r="AG551" s="26"/>
      <c r="AH551" s="26"/>
      <c r="AI551" s="26"/>
      <c r="AJ551" s="26"/>
      <c r="AK551" s="26">
        <v>0</v>
      </c>
      <c r="AL551" s="26"/>
      <c r="AM551" s="26">
        <v>0</v>
      </c>
      <c r="AN551" s="26"/>
      <c r="AO551" s="51">
        <f t="shared" si="44"/>
        <v>120655</v>
      </c>
      <c r="AP551" s="26"/>
      <c r="AQ551" s="51">
        <f t="shared" si="43"/>
        <v>10202970</v>
      </c>
    </row>
    <row r="552" spans="1:44">
      <c r="A552" s="13" t="s">
        <v>225</v>
      </c>
      <c r="B552" s="13"/>
      <c r="C552" s="13" t="s">
        <v>13</v>
      </c>
      <c r="D552" s="13"/>
      <c r="E552" s="32">
        <v>45922</v>
      </c>
      <c r="F552" s="26"/>
      <c r="G552" s="26">
        <v>853424</v>
      </c>
      <c r="H552" s="26"/>
      <c r="I552" s="26">
        <v>5</v>
      </c>
      <c r="J552" s="26"/>
      <c r="K552" s="26">
        <v>8790038</v>
      </c>
      <c r="L552" s="26"/>
      <c r="M552" s="26">
        <v>5825</v>
      </c>
      <c r="N552" s="26"/>
      <c r="O552" s="26">
        <v>513259</v>
      </c>
      <c r="P552" s="26"/>
      <c r="Q552" s="26">
        <v>68852</v>
      </c>
      <c r="R552" s="26"/>
      <c r="S552" s="26">
        <v>0</v>
      </c>
      <c r="T552" s="26"/>
      <c r="U552" s="26">
        <v>1000</v>
      </c>
      <c r="V552" s="26"/>
      <c r="W552" s="26">
        <f>78819+83241+523</f>
        <v>162583</v>
      </c>
      <c r="X552" s="26"/>
      <c r="Y552" s="51">
        <f t="shared" si="45"/>
        <v>10394986</v>
      </c>
      <c r="Z552" s="26"/>
      <c r="AA552" s="26">
        <v>24000</v>
      </c>
      <c r="AB552" s="26"/>
      <c r="AC552" s="26"/>
      <c r="AD552" s="26"/>
      <c r="AE552" s="26">
        <v>77528</v>
      </c>
      <c r="AF552" s="26"/>
      <c r="AG552" s="26"/>
      <c r="AH552" s="26"/>
      <c r="AI552" s="26"/>
      <c r="AJ552" s="26"/>
      <c r="AK552" s="26">
        <v>6675</v>
      </c>
      <c r="AL552" s="26"/>
      <c r="AM552" s="26">
        <v>0</v>
      </c>
      <c r="AN552" s="26"/>
      <c r="AO552" s="51">
        <f t="shared" si="44"/>
        <v>108203</v>
      </c>
      <c r="AP552" s="26"/>
      <c r="AQ552" s="51">
        <f t="shared" si="43"/>
        <v>10503189</v>
      </c>
    </row>
    <row r="553" spans="1:44">
      <c r="A553" s="13" t="s">
        <v>566</v>
      </c>
      <c r="B553" s="13"/>
      <c r="C553" s="13" t="s">
        <v>51</v>
      </c>
      <c r="D553" s="13"/>
      <c r="E553" s="32">
        <v>48876</v>
      </c>
      <c r="F553" s="26"/>
      <c r="G553" s="26">
        <v>7580585</v>
      </c>
      <c r="H553" s="26"/>
      <c r="I553" s="26">
        <v>0</v>
      </c>
      <c r="J553" s="26"/>
      <c r="K553" s="26">
        <v>19360227</v>
      </c>
      <c r="L553" s="26"/>
      <c r="M553" s="26">
        <v>278893</v>
      </c>
      <c r="N553" s="26"/>
      <c r="O553" s="26">
        <v>700112</v>
      </c>
      <c r="P553" s="26"/>
      <c r="Q553" s="26">
        <v>311691</v>
      </c>
      <c r="R553" s="26"/>
      <c r="S553" s="26">
        <v>291546</v>
      </c>
      <c r="T553" s="26"/>
      <c r="U553" s="26">
        <v>309820</v>
      </c>
      <c r="V553" s="26"/>
      <c r="W553" s="26">
        <f>103553+620088+450</f>
        <v>724091</v>
      </c>
      <c r="X553" s="26"/>
      <c r="Y553" s="51">
        <f t="shared" si="45"/>
        <v>29556965</v>
      </c>
      <c r="Z553" s="26"/>
      <c r="AA553" s="26">
        <v>0</v>
      </c>
      <c r="AB553" s="26"/>
      <c r="AC553" s="26"/>
      <c r="AD553" s="26"/>
      <c r="AE553" s="26">
        <v>0</v>
      </c>
      <c r="AF553" s="26"/>
      <c r="AG553" s="26"/>
      <c r="AH553" s="26"/>
      <c r="AI553" s="26"/>
      <c r="AJ553" s="26"/>
      <c r="AK553" s="26">
        <v>9103</v>
      </c>
      <c r="AL553" s="26"/>
      <c r="AM553" s="26">
        <v>0</v>
      </c>
      <c r="AN553" s="26"/>
      <c r="AO553" s="51">
        <f t="shared" si="44"/>
        <v>9103</v>
      </c>
      <c r="AP553" s="26"/>
      <c r="AQ553" s="51">
        <f t="shared" si="43"/>
        <v>29566068</v>
      </c>
    </row>
    <row r="554" spans="1:44" hidden="1">
      <c r="A554" s="12" t="s">
        <v>1018</v>
      </c>
      <c r="B554" s="13"/>
      <c r="C554" s="13" t="s">
        <v>21</v>
      </c>
      <c r="D554" s="13"/>
      <c r="E554" s="32">
        <v>46680</v>
      </c>
      <c r="F554" s="26"/>
      <c r="G554" s="26">
        <v>1990845</v>
      </c>
      <c r="H554" s="26"/>
      <c r="I554" s="26">
        <v>1079522</v>
      </c>
      <c r="J554" s="26"/>
      <c r="K554" s="26">
        <v>3595031</v>
      </c>
      <c r="L554" s="26"/>
      <c r="M554" s="26">
        <v>49554</v>
      </c>
      <c r="N554" s="26"/>
      <c r="O554" s="26">
        <v>828449</v>
      </c>
      <c r="P554" s="26"/>
      <c r="Q554" s="26">
        <v>154609</v>
      </c>
      <c r="R554" s="26"/>
      <c r="S554" s="26"/>
      <c r="T554" s="26"/>
      <c r="U554" s="26">
        <v>13510</v>
      </c>
      <c r="V554" s="26"/>
      <c r="W554" s="26">
        <f>8923+193698+543</f>
        <v>203164</v>
      </c>
      <c r="X554" s="26"/>
      <c r="Y554" s="51">
        <f t="shared" si="45"/>
        <v>7914684</v>
      </c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>
        <v>0</v>
      </c>
      <c r="AN554" s="26"/>
      <c r="AO554" s="51">
        <f t="shared" si="44"/>
        <v>0</v>
      </c>
      <c r="AP554" s="26"/>
      <c r="AQ554" s="51">
        <f t="shared" si="43"/>
        <v>7914684</v>
      </c>
    </row>
    <row r="555" spans="1:44">
      <c r="A555" s="13" t="s">
        <v>725</v>
      </c>
      <c r="B555" s="13"/>
      <c r="C555" s="13" t="s">
        <v>71</v>
      </c>
      <c r="D555" s="13"/>
      <c r="E555" s="32">
        <v>50591</v>
      </c>
      <c r="F555" s="26"/>
      <c r="G555" s="26">
        <v>6896195</v>
      </c>
      <c r="H555" s="26"/>
      <c r="I555" s="26">
        <v>0</v>
      </c>
      <c r="J555" s="26"/>
      <c r="K555" s="26">
        <f>139433+9716938+1092844</f>
        <v>10949215</v>
      </c>
      <c r="L555" s="26"/>
      <c r="M555" s="26">
        <v>46711</v>
      </c>
      <c r="N555" s="26"/>
      <c r="O555" s="26">
        <v>546491</v>
      </c>
      <c r="P555" s="26"/>
      <c r="Q555" s="26">
        <v>253072</v>
      </c>
      <c r="R555" s="26"/>
      <c r="S555" s="26">
        <v>0</v>
      </c>
      <c r="T555" s="26"/>
      <c r="U555" s="26">
        <v>7611</v>
      </c>
      <c r="V555" s="26"/>
      <c r="W555" s="26">
        <f>76521+607+82803+427287</f>
        <v>587218</v>
      </c>
      <c r="X555" s="26"/>
      <c r="Y555" s="51">
        <f t="shared" si="45"/>
        <v>19286513</v>
      </c>
      <c r="Z555" s="26"/>
      <c r="AA555" s="26">
        <v>377115</v>
      </c>
      <c r="AB555" s="26"/>
      <c r="AC555" s="26"/>
      <c r="AD555" s="26"/>
      <c r="AE555" s="26">
        <v>0</v>
      </c>
      <c r="AF555" s="26"/>
      <c r="AG555" s="26"/>
      <c r="AH555" s="26"/>
      <c r="AI555" s="26"/>
      <c r="AJ555" s="26"/>
      <c r="AK555" s="26">
        <v>0</v>
      </c>
      <c r="AL555" s="26"/>
      <c r="AM555" s="26">
        <v>0</v>
      </c>
      <c r="AN555" s="26"/>
      <c r="AO555" s="51">
        <f t="shared" si="44"/>
        <v>377115</v>
      </c>
      <c r="AP555" s="26"/>
      <c r="AQ555" s="51">
        <f t="shared" si="43"/>
        <v>19663628</v>
      </c>
    </row>
    <row r="556" spans="1:44">
      <c r="A556" s="13" t="s">
        <v>555</v>
      </c>
      <c r="B556" s="13"/>
      <c r="C556" s="13" t="s">
        <v>50</v>
      </c>
      <c r="D556" s="13"/>
      <c r="E556" s="32">
        <v>48694</v>
      </c>
      <c r="F556" s="26"/>
      <c r="G556" s="26">
        <v>10790388</v>
      </c>
      <c r="H556" s="26"/>
      <c r="I556" s="26">
        <v>0</v>
      </c>
      <c r="J556" s="26"/>
      <c r="K556" s="26">
        <v>29296663</v>
      </c>
      <c r="L556" s="26"/>
      <c r="M556" s="26">
        <v>260220</v>
      </c>
      <c r="N556" s="26"/>
      <c r="O556" s="26">
        <v>836903</v>
      </c>
      <c r="P556" s="26"/>
      <c r="Q556" s="26">
        <v>147943</v>
      </c>
      <c r="R556" s="26"/>
      <c r="S556" s="26">
        <v>50704</v>
      </c>
      <c r="T556" s="26"/>
      <c r="U556" s="26">
        <v>0</v>
      </c>
      <c r="V556" s="26"/>
      <c r="W556" s="26">
        <f>331023+604949</f>
        <v>935972</v>
      </c>
      <c r="X556" s="26"/>
      <c r="Y556" s="51">
        <f t="shared" si="45"/>
        <v>42318793</v>
      </c>
      <c r="Z556" s="26"/>
      <c r="AA556" s="26">
        <v>332573</v>
      </c>
      <c r="AB556" s="26"/>
      <c r="AC556" s="26"/>
      <c r="AD556" s="26"/>
      <c r="AE556" s="26">
        <v>0</v>
      </c>
      <c r="AF556" s="26"/>
      <c r="AG556" s="26"/>
      <c r="AH556" s="26"/>
      <c r="AI556" s="26"/>
      <c r="AJ556" s="26"/>
      <c r="AK556" s="26">
        <v>15341</v>
      </c>
      <c r="AL556" s="26"/>
      <c r="AM556" s="26">
        <v>0</v>
      </c>
      <c r="AN556" s="26"/>
      <c r="AO556" s="51">
        <f t="shared" si="44"/>
        <v>347914</v>
      </c>
      <c r="AP556" s="26"/>
      <c r="AQ556" s="51">
        <f t="shared" si="43"/>
        <v>42666707</v>
      </c>
    </row>
    <row r="557" spans="1:44">
      <c r="A557" s="13" t="s">
        <v>542</v>
      </c>
      <c r="B557" s="13"/>
      <c r="C557" s="13" t="s">
        <v>48</v>
      </c>
      <c r="D557" s="13"/>
      <c r="E557" s="13">
        <v>44925</v>
      </c>
      <c r="F557" s="26"/>
      <c r="G557" s="26">
        <v>26095058</v>
      </c>
      <c r="H557" s="26"/>
      <c r="I557" s="26">
        <v>0</v>
      </c>
      <c r="J557" s="26"/>
      <c r="K557" s="26">
        <v>20451541</v>
      </c>
      <c r="L557" s="26"/>
      <c r="M557" s="26">
        <v>416284</v>
      </c>
      <c r="N557" s="26"/>
      <c r="O557" s="26">
        <v>983202</v>
      </c>
      <c r="P557" s="26"/>
      <c r="Q557" s="26">
        <v>955886</v>
      </c>
      <c r="R557" s="26"/>
      <c r="S557" s="26">
        <v>0</v>
      </c>
      <c r="T557" s="26"/>
      <c r="U557" s="26">
        <v>0</v>
      </c>
      <c r="V557" s="26"/>
      <c r="W557" s="26">
        <f>1194811+251930</f>
        <v>1446741</v>
      </c>
      <c r="X557" s="26"/>
      <c r="Y557" s="51">
        <f t="shared" si="45"/>
        <v>50348712</v>
      </c>
      <c r="Z557" s="26"/>
      <c r="AA557" s="26">
        <v>147084</v>
      </c>
      <c r="AB557" s="26"/>
      <c r="AC557" s="26"/>
      <c r="AD557" s="26"/>
      <c r="AE557" s="26">
        <v>0</v>
      </c>
      <c r="AF557" s="26"/>
      <c r="AG557" s="26"/>
      <c r="AH557" s="26"/>
      <c r="AI557" s="26"/>
      <c r="AJ557" s="26"/>
      <c r="AK557" s="26">
        <v>100</v>
      </c>
      <c r="AL557" s="26"/>
      <c r="AM557" s="26">
        <v>0</v>
      </c>
      <c r="AN557" s="26"/>
      <c r="AO557" s="51">
        <f t="shared" si="44"/>
        <v>147184</v>
      </c>
      <c r="AP557" s="26"/>
      <c r="AQ557" s="51">
        <f t="shared" si="43"/>
        <v>50495896</v>
      </c>
    </row>
    <row r="558" spans="1:44">
      <c r="A558" s="13" t="s">
        <v>701</v>
      </c>
      <c r="B558" s="13"/>
      <c r="C558" s="13" t="s">
        <v>65</v>
      </c>
      <c r="D558" s="13"/>
      <c r="E558" s="32">
        <v>50302</v>
      </c>
      <c r="F558" s="26"/>
      <c r="G558" s="26">
        <v>5601698</v>
      </c>
      <c r="H558" s="26"/>
      <c r="I558" s="26">
        <v>0</v>
      </c>
      <c r="J558" s="26"/>
      <c r="K558" s="26">
        <f>6858722+684661</f>
        <v>7543383</v>
      </c>
      <c r="L558" s="26"/>
      <c r="M558" s="26">
        <v>36680</v>
      </c>
      <c r="N558" s="26"/>
      <c r="O558" s="26">
        <v>354739</v>
      </c>
      <c r="P558" s="26"/>
      <c r="Q558" s="26">
        <v>128017</v>
      </c>
      <c r="R558" s="26"/>
      <c r="S558" s="26">
        <v>0</v>
      </c>
      <c r="T558" s="26"/>
      <c r="U558" s="26">
        <v>0</v>
      </c>
      <c r="V558" s="26"/>
      <c r="W558" s="26">
        <f>139045+71826+291323</f>
        <v>502194</v>
      </c>
      <c r="X558" s="26"/>
      <c r="Y558" s="51">
        <f t="shared" si="45"/>
        <v>14166711</v>
      </c>
      <c r="Z558" s="26"/>
      <c r="AA558" s="26">
        <v>80</v>
      </c>
      <c r="AB558" s="26"/>
      <c r="AC558" s="26"/>
      <c r="AD558" s="26"/>
      <c r="AE558" s="26">
        <v>0</v>
      </c>
      <c r="AF558" s="26"/>
      <c r="AG558" s="26"/>
      <c r="AH558" s="26"/>
      <c r="AI558" s="26"/>
      <c r="AJ558" s="26"/>
      <c r="AK558" s="26">
        <v>0</v>
      </c>
      <c r="AL558" s="26"/>
      <c r="AM558" s="26">
        <v>0</v>
      </c>
      <c r="AN558" s="26"/>
      <c r="AO558" s="51">
        <f t="shared" si="44"/>
        <v>80</v>
      </c>
      <c r="AP558" s="26"/>
      <c r="AQ558" s="51">
        <f t="shared" si="43"/>
        <v>14166791</v>
      </c>
    </row>
    <row r="559" spans="1:44">
      <c r="A559" s="13" t="s">
        <v>661</v>
      </c>
      <c r="B559" s="13"/>
      <c r="C559" s="13" t="s">
        <v>62</v>
      </c>
      <c r="D559" s="13"/>
      <c r="E559" s="32">
        <v>49957</v>
      </c>
      <c r="F559" s="26"/>
      <c r="G559" s="26">
        <v>4747701</v>
      </c>
      <c r="H559" s="26"/>
      <c r="I559" s="26">
        <v>0</v>
      </c>
      <c r="J559" s="26"/>
      <c r="K559" s="26">
        <v>9024821</v>
      </c>
      <c r="L559" s="26"/>
      <c r="M559" s="26">
        <v>64186</v>
      </c>
      <c r="N559" s="26"/>
      <c r="O559" s="26">
        <v>685140</v>
      </c>
      <c r="P559" s="26"/>
      <c r="Q559" s="26">
        <v>364836</v>
      </c>
      <c r="R559" s="26"/>
      <c r="S559" s="26">
        <v>0</v>
      </c>
      <c r="T559" s="26"/>
      <c r="U559" s="26">
        <v>7422</v>
      </c>
      <c r="V559" s="26"/>
      <c r="W559" s="26">
        <f>348045+32000</f>
        <v>380045</v>
      </c>
      <c r="X559" s="26"/>
      <c r="Y559" s="51">
        <f t="shared" si="45"/>
        <v>15274151</v>
      </c>
      <c r="Z559" s="26"/>
      <c r="AA559" s="26">
        <v>358610</v>
      </c>
      <c r="AB559" s="26"/>
      <c r="AC559" s="26"/>
      <c r="AD559" s="26"/>
      <c r="AE559" s="26">
        <v>0</v>
      </c>
      <c r="AF559" s="26"/>
      <c r="AG559" s="26"/>
      <c r="AH559" s="26"/>
      <c r="AI559" s="26"/>
      <c r="AJ559" s="26"/>
      <c r="AK559" s="26">
        <v>0</v>
      </c>
      <c r="AL559" s="26"/>
      <c r="AM559" s="26">
        <v>0</v>
      </c>
      <c r="AN559" s="26"/>
      <c r="AO559" s="51">
        <f t="shared" si="44"/>
        <v>358610</v>
      </c>
      <c r="AP559" s="26"/>
      <c r="AQ559" s="51">
        <f t="shared" si="43"/>
        <v>15632761</v>
      </c>
    </row>
    <row r="560" spans="1:44" hidden="1">
      <c r="A560" s="12" t="s">
        <v>1025</v>
      </c>
      <c r="B560" s="13"/>
      <c r="C560" s="13" t="s">
        <v>57</v>
      </c>
      <c r="D560" s="13"/>
      <c r="E560" s="32">
        <v>49296</v>
      </c>
      <c r="F560" s="26"/>
      <c r="G560" s="26">
        <v>2615233</v>
      </c>
      <c r="H560" s="26"/>
      <c r="I560" s="26">
        <v>789332</v>
      </c>
      <c r="J560" s="26"/>
      <c r="K560" s="26">
        <v>5450462</v>
      </c>
      <c r="L560" s="26"/>
      <c r="M560" s="26">
        <v>29150</v>
      </c>
      <c r="N560" s="26"/>
      <c r="O560" s="26">
        <v>166325</v>
      </c>
      <c r="P560" s="26"/>
      <c r="Q560" s="26">
        <v>209783</v>
      </c>
      <c r="R560" s="26"/>
      <c r="S560" s="26"/>
      <c r="T560" s="26"/>
      <c r="U560" s="26"/>
      <c r="V560" s="26"/>
      <c r="W560" s="26">
        <f>283506+28319+45618</f>
        <v>357443</v>
      </c>
      <c r="X560" s="26"/>
      <c r="Y560" s="51">
        <f t="shared" si="45"/>
        <v>9617728</v>
      </c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>
        <v>0</v>
      </c>
      <c r="AN560" s="26"/>
      <c r="AO560" s="51">
        <f t="shared" si="44"/>
        <v>0</v>
      </c>
      <c r="AP560" s="26"/>
      <c r="AQ560" s="51">
        <f t="shared" si="43"/>
        <v>9617728</v>
      </c>
    </row>
    <row r="561" spans="1:44">
      <c r="A561" s="13" t="s">
        <v>673</v>
      </c>
      <c r="B561" s="13"/>
      <c r="C561" s="13" t="s">
        <v>63</v>
      </c>
      <c r="D561" s="13"/>
      <c r="E561" s="32">
        <v>50070</v>
      </c>
      <c r="F561" s="26"/>
      <c r="G561" s="26">
        <v>38097326</v>
      </c>
      <c r="H561" s="26"/>
      <c r="I561" s="26">
        <v>0</v>
      </c>
      <c r="J561" s="26"/>
      <c r="K561" s="26">
        <v>16651368</v>
      </c>
      <c r="L561" s="26"/>
      <c r="M561" s="26">
        <v>317097</v>
      </c>
      <c r="N561" s="26"/>
      <c r="O561" s="26">
        <v>732800</v>
      </c>
      <c r="P561" s="26"/>
      <c r="Q561" s="26">
        <v>313039</v>
      </c>
      <c r="R561" s="26"/>
      <c r="S561" s="26">
        <v>50261</v>
      </c>
      <c r="T561" s="26"/>
      <c r="U561" s="26">
        <v>21329</v>
      </c>
      <c r="V561" s="26"/>
      <c r="W561" s="26">
        <f>52190+107377+972076</f>
        <v>1131643</v>
      </c>
      <c r="X561" s="26"/>
      <c r="Y561" s="51">
        <f t="shared" si="45"/>
        <v>57314863</v>
      </c>
      <c r="Z561" s="26"/>
      <c r="AA561" s="26">
        <v>0</v>
      </c>
      <c r="AB561" s="26"/>
      <c r="AC561" s="26"/>
      <c r="AD561" s="26"/>
      <c r="AE561" s="26">
        <v>476349</v>
      </c>
      <c r="AF561" s="26"/>
      <c r="AG561" s="26"/>
      <c r="AH561" s="26"/>
      <c r="AI561" s="26"/>
      <c r="AJ561" s="26"/>
      <c r="AK561" s="26">
        <v>0</v>
      </c>
      <c r="AL561" s="26"/>
      <c r="AM561" s="26">
        <v>0</v>
      </c>
      <c r="AN561" s="26"/>
      <c r="AO561" s="51">
        <f t="shared" si="44"/>
        <v>476349</v>
      </c>
      <c r="AP561" s="26"/>
      <c r="AQ561" s="51">
        <f t="shared" si="43"/>
        <v>57791212</v>
      </c>
    </row>
    <row r="562" spans="1:44">
      <c r="A562" s="13" t="s">
        <v>236</v>
      </c>
      <c r="B562" s="13"/>
      <c r="C562" s="13" t="s">
        <v>15</v>
      </c>
      <c r="D562" s="13"/>
      <c r="E562" s="32">
        <v>46011</v>
      </c>
      <c r="F562" s="26"/>
      <c r="G562" s="26">
        <v>2687497</v>
      </c>
      <c r="H562" s="26"/>
      <c r="I562" s="26">
        <v>0</v>
      </c>
      <c r="J562" s="26"/>
      <c r="K562" s="26">
        <v>12125206</v>
      </c>
      <c r="L562" s="26"/>
      <c r="M562" s="26">
        <v>13337</v>
      </c>
      <c r="N562" s="26"/>
      <c r="O562" s="26">
        <v>756116</v>
      </c>
      <c r="P562" s="26"/>
      <c r="Q562" s="26">
        <v>128768</v>
      </c>
      <c r="R562" s="26"/>
      <c r="S562" s="26">
        <v>0</v>
      </c>
      <c r="T562" s="26"/>
      <c r="U562" s="26">
        <v>31956</v>
      </c>
      <c r="V562" s="26"/>
      <c r="W562" s="26">
        <f>64282+141562+7398</f>
        <v>213242</v>
      </c>
      <c r="X562" s="26"/>
      <c r="Y562" s="51">
        <f t="shared" si="45"/>
        <v>15956122</v>
      </c>
      <c r="Z562" s="26"/>
      <c r="AA562" s="26">
        <v>118446</v>
      </c>
      <c r="AB562" s="26"/>
      <c r="AC562" s="26"/>
      <c r="AD562" s="26"/>
      <c r="AE562" s="26">
        <v>853000</v>
      </c>
      <c r="AF562" s="26"/>
      <c r="AG562" s="26"/>
      <c r="AH562" s="26"/>
      <c r="AI562" s="26"/>
      <c r="AJ562" s="26"/>
      <c r="AK562" s="26">
        <v>0</v>
      </c>
      <c r="AL562" s="26"/>
      <c r="AM562" s="26">
        <v>0</v>
      </c>
      <c r="AN562" s="26"/>
      <c r="AO562" s="51">
        <f t="shared" ref="AO562:AO575" si="46">AK562+AE562+AA562</f>
        <v>971446</v>
      </c>
      <c r="AP562" s="26"/>
      <c r="AQ562" s="51">
        <f t="shared" si="43"/>
        <v>16927568</v>
      </c>
    </row>
    <row r="563" spans="1:44">
      <c r="A563" s="13" t="s">
        <v>620</v>
      </c>
      <c r="B563" s="13"/>
      <c r="C563" s="13" t="s">
        <v>58</v>
      </c>
      <c r="D563" s="13"/>
      <c r="E563" s="32">
        <v>49536</v>
      </c>
      <c r="F563" s="26"/>
      <c r="G563" s="26">
        <v>3537459</v>
      </c>
      <c r="H563" s="26"/>
      <c r="I563" s="26">
        <v>1095388</v>
      </c>
      <c r="J563" s="26"/>
      <c r="K563" s="26">
        <v>12177427</v>
      </c>
      <c r="L563" s="26"/>
      <c r="M563" s="26">
        <v>76576</v>
      </c>
      <c r="N563" s="26"/>
      <c r="O563" s="26">
        <v>2055288</v>
      </c>
      <c r="P563" s="26"/>
      <c r="Q563" s="26">
        <v>110667</v>
      </c>
      <c r="R563" s="26"/>
      <c r="S563" s="26">
        <v>0</v>
      </c>
      <c r="T563" s="26"/>
      <c r="U563" s="26">
        <v>43685</v>
      </c>
      <c r="V563" s="26"/>
      <c r="W563" s="26">
        <f>52540+453418+18828</f>
        <v>524786</v>
      </c>
      <c r="X563" s="26"/>
      <c r="Y563" s="51">
        <f t="shared" ref="Y563:Y630" si="47">SUM(G563:W563)</f>
        <v>19621276</v>
      </c>
      <c r="Z563" s="26"/>
      <c r="AA563" s="26">
        <v>10259</v>
      </c>
      <c r="AB563" s="26"/>
      <c r="AC563" s="26"/>
      <c r="AD563" s="26"/>
      <c r="AE563" s="26">
        <v>903000</v>
      </c>
      <c r="AF563" s="26"/>
      <c r="AG563" s="26"/>
      <c r="AH563" s="26"/>
      <c r="AI563" s="26"/>
      <c r="AJ563" s="26"/>
      <c r="AK563" s="26">
        <v>0</v>
      </c>
      <c r="AL563" s="26"/>
      <c r="AM563" s="26">
        <v>0</v>
      </c>
      <c r="AN563" s="26"/>
      <c r="AO563" s="51">
        <f t="shared" si="46"/>
        <v>913259</v>
      </c>
      <c r="AP563" s="26"/>
      <c r="AQ563" s="51">
        <f t="shared" si="43"/>
        <v>20534535</v>
      </c>
    </row>
    <row r="564" spans="1:44">
      <c r="A564" s="13" t="s">
        <v>285</v>
      </c>
      <c r="B564" s="13"/>
      <c r="C564" s="13" t="s">
        <v>114</v>
      </c>
      <c r="D564" s="13"/>
      <c r="E564" s="32">
        <v>46458</v>
      </c>
      <c r="F564" s="26"/>
      <c r="G564" s="26">
        <v>2520289</v>
      </c>
      <c r="H564" s="26"/>
      <c r="I564" s="26">
        <v>646790</v>
      </c>
      <c r="J564" s="26"/>
      <c r="K564" s="26">
        <f>7299247+888949</f>
        <v>8188196</v>
      </c>
      <c r="L564" s="26"/>
      <c r="M564" s="26">
        <v>230351</v>
      </c>
      <c r="N564" s="26"/>
      <c r="O564" s="26">
        <v>515577</v>
      </c>
      <c r="P564" s="26"/>
      <c r="Q564" s="26">
        <v>188936</v>
      </c>
      <c r="R564" s="26"/>
      <c r="S564" s="26">
        <v>0</v>
      </c>
      <c r="T564" s="26"/>
      <c r="U564" s="26">
        <v>0</v>
      </c>
      <c r="V564" s="26"/>
      <c r="W564" s="26">
        <f>51910+22563+283212+23324</f>
        <v>381009</v>
      </c>
      <c r="X564" s="26"/>
      <c r="Y564" s="51">
        <f t="shared" si="47"/>
        <v>12671148</v>
      </c>
      <c r="Z564" s="26"/>
      <c r="AA564" s="26">
        <v>17768</v>
      </c>
      <c r="AB564" s="26"/>
      <c r="AC564" s="26"/>
      <c r="AD564" s="26"/>
      <c r="AE564" s="26">
        <v>0</v>
      </c>
      <c r="AF564" s="26"/>
      <c r="AG564" s="26"/>
      <c r="AH564" s="26"/>
      <c r="AI564" s="26"/>
      <c r="AJ564" s="26"/>
      <c r="AK564" s="26">
        <v>11801</v>
      </c>
      <c r="AL564" s="26"/>
      <c r="AM564" s="26">
        <v>0</v>
      </c>
      <c r="AN564" s="26"/>
      <c r="AO564" s="51">
        <f t="shared" si="46"/>
        <v>29569</v>
      </c>
      <c r="AP564" s="26"/>
      <c r="AQ564" s="51">
        <f t="shared" si="43"/>
        <v>12700717</v>
      </c>
    </row>
    <row r="565" spans="1:44">
      <c r="A565" s="13" t="s">
        <v>364</v>
      </c>
      <c r="B565" s="13"/>
      <c r="C565" s="13" t="s">
        <v>27</v>
      </c>
      <c r="D565" s="13"/>
      <c r="E565" s="32">
        <v>44933</v>
      </c>
      <c r="F565" s="26"/>
      <c r="G565" s="26">
        <v>71388527</v>
      </c>
      <c r="H565" s="26"/>
      <c r="I565" s="26">
        <v>0</v>
      </c>
      <c r="J565" s="26"/>
      <c r="K565" s="26">
        <f>1498040+15027738+1126281</f>
        <v>17652059</v>
      </c>
      <c r="L565" s="26"/>
      <c r="M565" s="26">
        <v>1143736</v>
      </c>
      <c r="N565" s="26"/>
      <c r="O565" s="26">
        <v>118003</v>
      </c>
      <c r="P565" s="26"/>
      <c r="Q565" s="26">
        <v>1477757</v>
      </c>
      <c r="R565" s="26"/>
      <c r="S565" s="26">
        <v>0</v>
      </c>
      <c r="T565" s="26"/>
      <c r="U565" s="26">
        <v>0</v>
      </c>
      <c r="V565" s="26"/>
      <c r="W565" s="26">
        <f>1106532+3595271</f>
        <v>4701803</v>
      </c>
      <c r="X565" s="26"/>
      <c r="Y565" s="51">
        <f t="shared" si="47"/>
        <v>96481885</v>
      </c>
      <c r="Z565" s="26"/>
      <c r="AA565" s="26">
        <v>97550</v>
      </c>
      <c r="AB565" s="26"/>
      <c r="AC565" s="26"/>
      <c r="AD565" s="26"/>
      <c r="AE565" s="26">
        <v>5754</v>
      </c>
      <c r="AF565" s="26"/>
      <c r="AG565" s="26"/>
      <c r="AH565" s="26"/>
      <c r="AI565" s="26"/>
      <c r="AJ565" s="26"/>
      <c r="AK565" s="26">
        <v>0</v>
      </c>
      <c r="AL565" s="26"/>
      <c r="AM565" s="26">
        <v>0</v>
      </c>
      <c r="AN565" s="26"/>
      <c r="AO565" s="51">
        <f t="shared" si="46"/>
        <v>103304</v>
      </c>
      <c r="AP565" s="26"/>
      <c r="AQ565" s="51">
        <f t="shared" si="43"/>
        <v>96585189</v>
      </c>
    </row>
    <row r="566" spans="1:44" hidden="1">
      <c r="A566" s="12" t="s">
        <v>1026</v>
      </c>
      <c r="B566" s="13"/>
      <c r="C566" s="13" t="s">
        <v>740</v>
      </c>
      <c r="D566" s="13"/>
      <c r="E566" s="32">
        <v>45625</v>
      </c>
      <c r="F566" s="26"/>
      <c r="G566" s="26">
        <v>4170105</v>
      </c>
      <c r="H566" s="26"/>
      <c r="I566" s="26">
        <v>2692233</v>
      </c>
      <c r="J566" s="26"/>
      <c r="K566" s="26">
        <v>8148917</v>
      </c>
      <c r="L566" s="26"/>
      <c r="M566" s="26">
        <v>51629</v>
      </c>
      <c r="N566" s="26"/>
      <c r="O566" s="26">
        <v>746733</v>
      </c>
      <c r="P566" s="26"/>
      <c r="Q566" s="26">
        <v>170687</v>
      </c>
      <c r="R566" s="26"/>
      <c r="S566" s="26">
        <v>52946</v>
      </c>
      <c r="T566" s="26"/>
      <c r="U566" s="26">
        <v>112380</v>
      </c>
      <c r="V566" s="26"/>
      <c r="W566" s="26">
        <f>95366+355889</f>
        <v>451255</v>
      </c>
      <c r="X566" s="26"/>
      <c r="Y566" s="51">
        <f t="shared" si="47"/>
        <v>16596885</v>
      </c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>
        <v>0</v>
      </c>
      <c r="AN566" s="26"/>
      <c r="AO566" s="51">
        <f t="shared" si="46"/>
        <v>0</v>
      </c>
      <c r="AP566" s="26"/>
      <c r="AQ566" s="51">
        <f t="shared" si="43"/>
        <v>16596885</v>
      </c>
    </row>
    <row r="567" spans="1:44" hidden="1">
      <c r="A567" s="12" t="s">
        <v>1027</v>
      </c>
      <c r="B567" s="13"/>
      <c r="C567" s="13" t="s">
        <v>421</v>
      </c>
      <c r="D567" s="13"/>
      <c r="E567" s="32">
        <v>47522</v>
      </c>
      <c r="F567" s="26"/>
      <c r="G567" s="26">
        <v>1475406</v>
      </c>
      <c r="H567" s="26"/>
      <c r="I567" s="26">
        <v>347867</v>
      </c>
      <c r="J567" s="26"/>
      <c r="K567" s="26">
        <f>2100+4557069+531120</f>
        <v>5090289</v>
      </c>
      <c r="L567" s="26"/>
      <c r="M567" s="26">
        <v>26657</v>
      </c>
      <c r="N567" s="26"/>
      <c r="O567" s="26">
        <v>75343</v>
      </c>
      <c r="P567" s="26"/>
      <c r="Q567" s="26">
        <v>52222</v>
      </c>
      <c r="R567" s="26"/>
      <c r="S567" s="26"/>
      <c r="T567" s="26"/>
      <c r="U567" s="26"/>
      <c r="V567" s="26"/>
      <c r="W567" s="26">
        <f>34540+103932+42987+135656</f>
        <v>317115</v>
      </c>
      <c r="X567" s="26"/>
      <c r="Y567" s="51">
        <f t="shared" si="47"/>
        <v>7384899</v>
      </c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>
        <v>0</v>
      </c>
      <c r="AN567" s="26"/>
      <c r="AO567" s="51">
        <f t="shared" si="46"/>
        <v>0</v>
      </c>
      <c r="AP567" s="26"/>
      <c r="AQ567" s="51">
        <f t="shared" si="43"/>
        <v>7384899</v>
      </c>
    </row>
    <row r="568" spans="1:44">
      <c r="A568" s="13" t="s">
        <v>258</v>
      </c>
      <c r="B568" s="13"/>
      <c r="C568" s="13" t="s">
        <v>255</v>
      </c>
      <c r="D568" s="13"/>
      <c r="E568" s="32">
        <v>44941</v>
      </c>
      <c r="F568" s="26"/>
      <c r="G568" s="26">
        <v>10524469</v>
      </c>
      <c r="H568" s="26"/>
      <c r="I568" s="26">
        <v>0</v>
      </c>
      <c r="J568" s="26"/>
      <c r="K568" s="26">
        <f>53993+12219854+1681515</f>
        <v>13955362</v>
      </c>
      <c r="L568" s="26"/>
      <c r="M568" s="26">
        <v>184566</v>
      </c>
      <c r="N568" s="26"/>
      <c r="O568" s="26">
        <v>628035</v>
      </c>
      <c r="P568" s="26"/>
      <c r="Q568" s="26">
        <v>329290</v>
      </c>
      <c r="R568" s="26"/>
      <c r="S568" s="26">
        <v>0</v>
      </c>
      <c r="T568" s="26"/>
      <c r="U568" s="26">
        <v>0</v>
      </c>
      <c r="V568" s="26"/>
      <c r="W568" s="26">
        <f>104318+79344+379391+21060</f>
        <v>584113</v>
      </c>
      <c r="X568" s="26"/>
      <c r="Y568" s="51">
        <f t="shared" si="47"/>
        <v>26205835</v>
      </c>
      <c r="Z568" s="26"/>
      <c r="AA568" s="26">
        <v>0</v>
      </c>
      <c r="AB568" s="26"/>
      <c r="AC568" s="26"/>
      <c r="AD568" s="26"/>
      <c r="AE568" s="26">
        <v>0</v>
      </c>
      <c r="AF568" s="26"/>
      <c r="AG568" s="26"/>
      <c r="AH568" s="26"/>
      <c r="AI568" s="26"/>
      <c r="AJ568" s="26"/>
      <c r="AK568" s="26">
        <v>74797</v>
      </c>
      <c r="AL568" s="26"/>
      <c r="AM568" s="26">
        <v>0</v>
      </c>
      <c r="AN568" s="26"/>
      <c r="AO568" s="51">
        <f t="shared" si="46"/>
        <v>74797</v>
      </c>
      <c r="AP568" s="26"/>
      <c r="AQ568" s="51">
        <f t="shared" si="43"/>
        <v>26280632</v>
      </c>
    </row>
    <row r="569" spans="1:44" hidden="1">
      <c r="A569" s="12" t="s">
        <v>1028</v>
      </c>
      <c r="B569" s="13"/>
      <c r="C569" s="13" t="s">
        <v>59</v>
      </c>
      <c r="D569" s="13"/>
      <c r="E569" s="32">
        <v>49643</v>
      </c>
      <c r="F569" s="26"/>
      <c r="G569" s="26">
        <v>1447973</v>
      </c>
      <c r="H569" s="26"/>
      <c r="I569" s="26">
        <v>0</v>
      </c>
      <c r="J569" s="26"/>
      <c r="K569" s="26">
        <v>8707991</v>
      </c>
      <c r="L569" s="26"/>
      <c r="M569" s="26">
        <v>59541</v>
      </c>
      <c r="N569" s="26"/>
      <c r="O569" s="26">
        <v>1272939</v>
      </c>
      <c r="P569" s="26"/>
      <c r="Q569" s="26">
        <v>92326</v>
      </c>
      <c r="R569" s="26"/>
      <c r="S569" s="26"/>
      <c r="T569" s="26"/>
      <c r="U569" s="26">
        <v>15192</v>
      </c>
      <c r="V569" s="26"/>
      <c r="W569" s="26">
        <f>39729+229717+2450</f>
        <v>271896</v>
      </c>
      <c r="X569" s="26"/>
      <c r="Y569" s="51">
        <f t="shared" si="47"/>
        <v>11867858</v>
      </c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>
        <v>0</v>
      </c>
      <c r="AN569" s="26"/>
      <c r="AO569" s="51">
        <f t="shared" si="46"/>
        <v>0</v>
      </c>
      <c r="AP569" s="26"/>
      <c r="AQ569" s="51">
        <f t="shared" si="43"/>
        <v>11867858</v>
      </c>
    </row>
    <row r="570" spans="1:44">
      <c r="A570" s="13" t="s">
        <v>556</v>
      </c>
      <c r="B570" s="13"/>
      <c r="C570" s="13" t="s">
        <v>50</v>
      </c>
      <c r="D570" s="13"/>
      <c r="E570" s="32">
        <v>48744</v>
      </c>
      <c r="F570" s="26"/>
      <c r="G570" s="26">
        <v>4937253</v>
      </c>
      <c r="H570" s="26"/>
      <c r="I570" s="26">
        <v>2922120</v>
      </c>
      <c r="J570" s="26"/>
      <c r="K570" s="26">
        <f>9121113+677518</f>
        <v>9798631</v>
      </c>
      <c r="L570" s="26"/>
      <c r="M570" s="26">
        <v>409606</v>
      </c>
      <c r="N570" s="26"/>
      <c r="O570" s="26">
        <v>109333</v>
      </c>
      <c r="P570" s="26"/>
      <c r="Q570" s="26">
        <v>338832</v>
      </c>
      <c r="R570" s="26"/>
      <c r="S570" s="26">
        <v>0</v>
      </c>
      <c r="T570" s="26"/>
      <c r="U570" s="26">
        <v>52137</v>
      </c>
      <c r="V570" s="26"/>
      <c r="W570" s="26">
        <f>164845+5496+113437+526+540688</f>
        <v>824992</v>
      </c>
      <c r="X570" s="26"/>
      <c r="Y570" s="51">
        <f t="shared" si="47"/>
        <v>19392904</v>
      </c>
      <c r="Z570" s="26"/>
      <c r="AA570" s="26">
        <v>53200</v>
      </c>
      <c r="AB570" s="26"/>
      <c r="AC570" s="26"/>
      <c r="AD570" s="26"/>
      <c r="AE570" s="26">
        <v>4629</v>
      </c>
      <c r="AF570" s="26"/>
      <c r="AG570" s="26"/>
      <c r="AH570" s="26"/>
      <c r="AI570" s="26"/>
      <c r="AJ570" s="26"/>
      <c r="AK570" s="26">
        <v>916</v>
      </c>
      <c r="AL570" s="26"/>
      <c r="AM570" s="26">
        <v>0</v>
      </c>
      <c r="AN570" s="26"/>
      <c r="AO570" s="51">
        <f t="shared" si="46"/>
        <v>58745</v>
      </c>
      <c r="AP570" s="26"/>
      <c r="AQ570" s="51">
        <f t="shared" si="43"/>
        <v>19451649</v>
      </c>
    </row>
    <row r="571" spans="1:44">
      <c r="A571" s="13" t="s">
        <v>419</v>
      </c>
      <c r="B571" s="13"/>
      <c r="C571" s="13" t="s">
        <v>33</v>
      </c>
      <c r="D571" s="13"/>
      <c r="E571" s="32">
        <v>47464</v>
      </c>
      <c r="F571" s="26"/>
      <c r="G571" s="26">
        <v>6837917</v>
      </c>
      <c r="H571" s="26"/>
      <c r="I571" s="26">
        <v>0</v>
      </c>
      <c r="J571" s="26"/>
      <c r="K571" s="26">
        <v>3916192</v>
      </c>
      <c r="L571" s="26"/>
      <c r="M571" s="26">
        <v>175119</v>
      </c>
      <c r="N571" s="26"/>
      <c r="O571" s="26">
        <v>614978</v>
      </c>
      <c r="P571" s="26"/>
      <c r="Q571" s="26">
        <v>120537</v>
      </c>
      <c r="R571" s="26"/>
      <c r="S571" s="26">
        <v>104636</v>
      </c>
      <c r="T571" s="26"/>
      <c r="U571" s="26">
        <v>59017</v>
      </c>
      <c r="V571" s="26"/>
      <c r="W571" s="26">
        <f>88317+194800</f>
        <v>283117</v>
      </c>
      <c r="X571" s="26"/>
      <c r="Y571" s="51">
        <f t="shared" si="47"/>
        <v>12111513</v>
      </c>
      <c r="Z571" s="26"/>
      <c r="AA571" s="26">
        <v>42296</v>
      </c>
      <c r="AB571" s="26"/>
      <c r="AC571" s="26"/>
      <c r="AD571" s="26"/>
      <c r="AE571" s="26">
        <v>0</v>
      </c>
      <c r="AF571" s="26"/>
      <c r="AG571" s="26"/>
      <c r="AH571" s="26"/>
      <c r="AI571" s="26"/>
      <c r="AJ571" s="26"/>
      <c r="AK571" s="26">
        <v>0</v>
      </c>
      <c r="AL571" s="26"/>
      <c r="AM571" s="26">
        <v>0</v>
      </c>
      <c r="AN571" s="26"/>
      <c r="AO571" s="51">
        <f t="shared" si="46"/>
        <v>42296</v>
      </c>
      <c r="AP571" s="26"/>
      <c r="AQ571" s="51">
        <f t="shared" si="43"/>
        <v>12153809</v>
      </c>
    </row>
    <row r="572" spans="1:44">
      <c r="A572" s="13" t="s">
        <v>706</v>
      </c>
      <c r="B572" s="13"/>
      <c r="C572" s="13" t="s">
        <v>67</v>
      </c>
      <c r="D572" s="13"/>
      <c r="E572" s="32">
        <v>44966</v>
      </c>
      <c r="F572" s="26"/>
      <c r="G572" s="26">
        <v>7055803</v>
      </c>
      <c r="H572" s="26"/>
      <c r="I572" s="26">
        <v>2226941</v>
      </c>
      <c r="J572" s="26"/>
      <c r="K572" s="26">
        <v>12756961</v>
      </c>
      <c r="L572" s="26"/>
      <c r="M572" s="26">
        <v>116698</v>
      </c>
      <c r="N572" s="26"/>
      <c r="O572" s="26">
        <v>802019</v>
      </c>
      <c r="P572" s="26"/>
      <c r="Q572" s="26">
        <v>122971</v>
      </c>
      <c r="R572" s="26"/>
      <c r="S572" s="26">
        <v>198490</v>
      </c>
      <c r="T572" s="26"/>
      <c r="U572" s="26">
        <v>80769</v>
      </c>
      <c r="V572" s="26"/>
      <c r="W572" s="26">
        <f>164118+462129</f>
        <v>626247</v>
      </c>
      <c r="X572" s="26"/>
      <c r="Y572" s="51">
        <f t="shared" si="47"/>
        <v>23986899</v>
      </c>
      <c r="Z572" s="26"/>
      <c r="AA572" s="26">
        <v>0</v>
      </c>
      <c r="AB572" s="26"/>
      <c r="AC572" s="26"/>
      <c r="AD572" s="26"/>
      <c r="AE572" s="26">
        <v>0</v>
      </c>
      <c r="AF572" s="26"/>
      <c r="AG572" s="26"/>
      <c r="AH572" s="26"/>
      <c r="AI572" s="26"/>
      <c r="AJ572" s="26"/>
      <c r="AK572" s="26">
        <v>0</v>
      </c>
      <c r="AL572" s="26"/>
      <c r="AM572" s="26">
        <v>0</v>
      </c>
      <c r="AN572" s="26"/>
      <c r="AO572" s="51">
        <f t="shared" si="46"/>
        <v>0</v>
      </c>
      <c r="AP572" s="26"/>
      <c r="AQ572" s="51">
        <f t="shared" si="43"/>
        <v>23986899</v>
      </c>
    </row>
    <row r="573" spans="1:44">
      <c r="A573" s="13" t="s">
        <v>557</v>
      </c>
      <c r="B573" s="13"/>
      <c r="C573" s="13" t="s">
        <v>50</v>
      </c>
      <c r="D573" s="13"/>
      <c r="E573" s="32">
        <v>44958</v>
      </c>
      <c r="F573" s="26"/>
      <c r="G573" s="26">
        <v>21910877</v>
      </c>
      <c r="H573" s="26"/>
      <c r="I573" s="26">
        <v>0</v>
      </c>
      <c r="J573" s="26"/>
      <c r="K573" s="26">
        <v>13047494</v>
      </c>
      <c r="L573" s="26"/>
      <c r="M573" s="26">
        <v>854137</v>
      </c>
      <c r="N573" s="26"/>
      <c r="O573" s="26">
        <v>796844</v>
      </c>
      <c r="P573" s="26"/>
      <c r="Q573" s="26">
        <v>396386</v>
      </c>
      <c r="R573" s="26"/>
      <c r="S573" s="26">
        <v>0</v>
      </c>
      <c r="T573" s="26"/>
      <c r="U573" s="26">
        <v>52268</v>
      </c>
      <c r="V573" s="26"/>
      <c r="W573" s="26">
        <f>300262+1050312</f>
        <v>1350574</v>
      </c>
      <c r="X573" s="26"/>
      <c r="Y573" s="51">
        <f t="shared" si="47"/>
        <v>38408580</v>
      </c>
      <c r="Z573" s="26"/>
      <c r="AA573" s="26">
        <v>0</v>
      </c>
      <c r="AB573" s="26"/>
      <c r="AC573" s="26"/>
      <c r="AD573" s="26"/>
      <c r="AE573" s="26">
        <f>25949991+755926+245388</f>
        <v>26951305</v>
      </c>
      <c r="AF573" s="26"/>
      <c r="AG573" s="26"/>
      <c r="AH573" s="26"/>
      <c r="AI573" s="26"/>
      <c r="AJ573" s="26"/>
      <c r="AK573" s="26">
        <v>5593</v>
      </c>
      <c r="AL573" s="26"/>
      <c r="AM573" s="26">
        <v>0</v>
      </c>
      <c r="AN573" s="26"/>
      <c r="AO573" s="51">
        <f t="shared" si="46"/>
        <v>26956898</v>
      </c>
      <c r="AP573" s="26"/>
      <c r="AQ573" s="51">
        <f t="shared" ref="AQ573:AQ631" si="48">Y573+AO573</f>
        <v>65365478</v>
      </c>
    </row>
    <row r="574" spans="1:44" hidden="1">
      <c r="A574" s="12" t="s">
        <v>1031</v>
      </c>
      <c r="B574" s="13"/>
      <c r="C574" s="13" t="s">
        <v>33</v>
      </c>
      <c r="D574" s="13"/>
      <c r="E574" s="32">
        <v>47472</v>
      </c>
      <c r="F574" s="26"/>
      <c r="G574" s="26">
        <v>910100</v>
      </c>
      <c r="H574" s="26"/>
      <c r="I574" s="26">
        <v>410926</v>
      </c>
      <c r="J574" s="26"/>
      <c r="K574" s="26">
        <v>1824980</v>
      </c>
      <c r="L574" s="26"/>
      <c r="M574" s="26">
        <v>43813</v>
      </c>
      <c r="N574" s="26"/>
      <c r="O574" s="26">
        <v>280550</v>
      </c>
      <c r="P574" s="26"/>
      <c r="Q574" s="26">
        <v>34550</v>
      </c>
      <c r="R574" s="26"/>
      <c r="S574" s="26"/>
      <c r="T574" s="26"/>
      <c r="U574" s="26">
        <v>3846</v>
      </c>
      <c r="V574" s="26"/>
      <c r="W574" s="26">
        <f>7279+60039+335</f>
        <v>67653</v>
      </c>
      <c r="X574" s="26"/>
      <c r="Y574" s="51">
        <f t="shared" si="47"/>
        <v>3576418</v>
      </c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>
        <v>0</v>
      </c>
      <c r="AN574" s="26"/>
      <c r="AO574" s="51">
        <f t="shared" si="46"/>
        <v>0</v>
      </c>
      <c r="AP574" s="26"/>
      <c r="AQ574" s="51">
        <f t="shared" si="48"/>
        <v>3576418</v>
      </c>
    </row>
    <row r="575" spans="1:44">
      <c r="A575" s="13" t="s">
        <v>342</v>
      </c>
      <c r="B575" s="13"/>
      <c r="C575" s="13" t="s">
        <v>24</v>
      </c>
      <c r="D575" s="13"/>
      <c r="E575" s="32">
        <v>46821</v>
      </c>
      <c r="F575" s="26"/>
      <c r="G575" s="26">
        <v>15049712</v>
      </c>
      <c r="H575" s="26"/>
      <c r="I575" s="26">
        <v>0</v>
      </c>
      <c r="J575" s="26"/>
      <c r="K575" s="26">
        <f>2561+8467611+1349222</f>
        <v>9819394</v>
      </c>
      <c r="L575" s="26"/>
      <c r="M575" s="26">
        <v>236259</v>
      </c>
      <c r="N575" s="26"/>
      <c r="O575" s="26">
        <v>515452</v>
      </c>
      <c r="P575" s="26"/>
      <c r="Q575" s="26">
        <v>198471</v>
      </c>
      <c r="R575" s="26"/>
      <c r="S575" s="26">
        <v>0</v>
      </c>
      <c r="T575" s="26"/>
      <c r="U575" s="26">
        <v>0</v>
      </c>
      <c r="V575" s="26"/>
      <c r="W575" s="26">
        <f>186924+112191+397474+150</f>
        <v>696739</v>
      </c>
      <c r="X575" s="26"/>
      <c r="Y575" s="51">
        <f t="shared" si="47"/>
        <v>26516027</v>
      </c>
      <c r="Z575" s="26"/>
      <c r="AA575" s="26">
        <v>0</v>
      </c>
      <c r="AB575" s="26"/>
      <c r="AC575" s="26"/>
      <c r="AD575" s="26"/>
      <c r="AE575" s="26">
        <f>69615+3499999+104817</f>
        <v>3674431</v>
      </c>
      <c r="AF575" s="26"/>
      <c r="AG575" s="26"/>
      <c r="AH575" s="26"/>
      <c r="AI575" s="26"/>
      <c r="AJ575" s="26"/>
      <c r="AK575" s="26">
        <v>0</v>
      </c>
      <c r="AL575" s="26"/>
      <c r="AM575" s="26">
        <v>0</v>
      </c>
      <c r="AN575" s="26"/>
      <c r="AO575" s="51">
        <f t="shared" si="46"/>
        <v>3674431</v>
      </c>
      <c r="AP575" s="26"/>
      <c r="AQ575" s="51">
        <f t="shared" si="48"/>
        <v>30190458</v>
      </c>
    </row>
    <row r="576" spans="1:44" hidden="1">
      <c r="A576" s="12" t="s">
        <v>1032</v>
      </c>
      <c r="B576" s="12"/>
      <c r="C576" s="12" t="s">
        <v>21</v>
      </c>
      <c r="D576" s="13"/>
      <c r="E576" s="32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51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51"/>
      <c r="AP576" s="26"/>
      <c r="AQ576" s="51">
        <f t="shared" si="48"/>
        <v>0</v>
      </c>
      <c r="AR576" s="8" t="s">
        <v>967</v>
      </c>
    </row>
    <row r="577" spans="1:43">
      <c r="A577" s="13" t="s">
        <v>707</v>
      </c>
      <c r="B577" s="13"/>
      <c r="C577" s="13" t="s">
        <v>68</v>
      </c>
      <c r="D577" s="13"/>
      <c r="E577" s="32">
        <v>50393</v>
      </c>
      <c r="F577" s="26"/>
      <c r="G577" s="26">
        <v>3453902</v>
      </c>
      <c r="H577" s="26"/>
      <c r="I577" s="26">
        <v>120</v>
      </c>
      <c r="J577" s="26"/>
      <c r="K577" s="26">
        <v>22023522</v>
      </c>
      <c r="L577" s="26"/>
      <c r="M577" s="26">
        <v>394515</v>
      </c>
      <c r="N577" s="26"/>
      <c r="O577" s="26">
        <v>372343</v>
      </c>
      <c r="P577" s="26"/>
      <c r="Q577" s="26">
        <v>118915</v>
      </c>
      <c r="R577" s="26"/>
      <c r="S577" s="26">
        <v>643653</v>
      </c>
      <c r="T577" s="26"/>
      <c r="U577" s="26">
        <v>17045</v>
      </c>
      <c r="V577" s="26"/>
      <c r="W577" s="26">
        <f>54709+438650+150</f>
        <v>493509</v>
      </c>
      <c r="X577" s="26"/>
      <c r="Y577" s="51">
        <f t="shared" si="47"/>
        <v>27517524</v>
      </c>
      <c r="Z577" s="26"/>
      <c r="AA577" s="26">
        <v>6700</v>
      </c>
      <c r="AB577" s="26"/>
      <c r="AC577" s="26"/>
      <c r="AD577" s="26"/>
      <c r="AE577" s="26">
        <v>0</v>
      </c>
      <c r="AF577" s="26"/>
      <c r="AG577" s="26"/>
      <c r="AH577" s="26"/>
      <c r="AI577" s="26"/>
      <c r="AJ577" s="26"/>
      <c r="AK577" s="26">
        <v>8257</v>
      </c>
      <c r="AL577" s="26"/>
      <c r="AM577" s="26">
        <v>0</v>
      </c>
      <c r="AN577" s="26"/>
      <c r="AO577" s="51">
        <f t="shared" ref="AO577:AO608" si="49">AK577+AE577+AA577</f>
        <v>14957</v>
      </c>
      <c r="AP577" s="26"/>
      <c r="AQ577" s="51">
        <f t="shared" si="48"/>
        <v>27532481</v>
      </c>
    </row>
    <row r="578" spans="1:43">
      <c r="A578" s="13" t="s">
        <v>530</v>
      </c>
      <c r="B578" s="13"/>
      <c r="C578" s="13" t="s">
        <v>47</v>
      </c>
      <c r="D578" s="13"/>
      <c r="E578" s="32">
        <v>44974</v>
      </c>
      <c r="F578" s="26"/>
      <c r="G578" s="26">
        <v>20541402</v>
      </c>
      <c r="H578" s="26"/>
      <c r="I578" s="26">
        <v>0</v>
      </c>
      <c r="J578" s="26"/>
      <c r="K578" s="26">
        <v>24467976</v>
      </c>
      <c r="L578" s="26"/>
      <c r="M578" s="26">
        <v>239571</v>
      </c>
      <c r="N578" s="26"/>
      <c r="O578" s="26">
        <v>884143</v>
      </c>
      <c r="P578" s="26"/>
      <c r="Q578" s="26">
        <v>528159</v>
      </c>
      <c r="R578" s="26"/>
      <c r="S578" s="26">
        <v>0</v>
      </c>
      <c r="T578" s="26"/>
      <c r="U578" s="26">
        <v>0</v>
      </c>
      <c r="V578" s="26"/>
      <c r="W578" s="26">
        <f>31800+1020220+280827</f>
        <v>1332847</v>
      </c>
      <c r="X578" s="26"/>
      <c r="Y578" s="51">
        <f t="shared" si="47"/>
        <v>47994098</v>
      </c>
      <c r="Z578" s="26"/>
      <c r="AA578" s="26">
        <v>255449</v>
      </c>
      <c r="AB578" s="26"/>
      <c r="AC578" s="26"/>
      <c r="AD578" s="26"/>
      <c r="AE578" s="26">
        <f>9599995+389037</f>
        <v>9989032</v>
      </c>
      <c r="AF578" s="26"/>
      <c r="AG578" s="26"/>
      <c r="AH578" s="26"/>
      <c r="AI578" s="26"/>
      <c r="AJ578" s="26"/>
      <c r="AK578" s="26">
        <v>29437</v>
      </c>
      <c r="AL578" s="26"/>
      <c r="AM578" s="26">
        <v>0</v>
      </c>
      <c r="AN578" s="26"/>
      <c r="AO578" s="51">
        <f t="shared" si="49"/>
        <v>10273918</v>
      </c>
      <c r="AP578" s="26"/>
      <c r="AQ578" s="51">
        <f t="shared" si="48"/>
        <v>58268016</v>
      </c>
    </row>
    <row r="579" spans="1:43">
      <c r="A579" s="13" t="s">
        <v>692</v>
      </c>
      <c r="B579" s="13"/>
      <c r="C579" s="13" t="s">
        <v>64</v>
      </c>
      <c r="D579" s="13"/>
      <c r="E579" s="32">
        <v>44990</v>
      </c>
      <c r="F579" s="26"/>
      <c r="G579" s="26">
        <v>15585588</v>
      </c>
      <c r="H579" s="26"/>
      <c r="I579" s="26">
        <v>0</v>
      </c>
      <c r="J579" s="26"/>
      <c r="K579" s="26">
        <f>59572670+8563760</f>
        <v>68136430</v>
      </c>
      <c r="L579" s="26"/>
      <c r="M579" s="26">
        <v>3208959</v>
      </c>
      <c r="N579" s="26"/>
      <c r="O579" s="26">
        <v>1079273</v>
      </c>
      <c r="P579" s="26"/>
      <c r="Q579" s="26">
        <v>265425</v>
      </c>
      <c r="R579" s="26"/>
      <c r="S579" s="26">
        <v>0</v>
      </c>
      <c r="T579" s="26"/>
      <c r="U579" s="26">
        <v>0</v>
      </c>
      <c r="V579" s="26"/>
      <c r="W579" s="26">
        <f>549882+34428+541557+121324</f>
        <v>1247191</v>
      </c>
      <c r="X579" s="26"/>
      <c r="Y579" s="51">
        <f t="shared" si="47"/>
        <v>89522866</v>
      </c>
      <c r="Z579" s="26"/>
      <c r="AA579" s="26">
        <v>129200</v>
      </c>
      <c r="AB579" s="26"/>
      <c r="AC579" s="26"/>
      <c r="AD579" s="26"/>
      <c r="AE579" s="26">
        <v>0</v>
      </c>
      <c r="AF579" s="26"/>
      <c r="AG579" s="26"/>
      <c r="AH579" s="26"/>
      <c r="AI579" s="26"/>
      <c r="AJ579" s="26"/>
      <c r="AK579" s="26">
        <v>21408</v>
      </c>
      <c r="AL579" s="26"/>
      <c r="AM579" s="26">
        <v>0</v>
      </c>
      <c r="AN579" s="26"/>
      <c r="AO579" s="51">
        <f t="shared" si="49"/>
        <v>150608</v>
      </c>
      <c r="AP579" s="26"/>
      <c r="AQ579" s="51">
        <f t="shared" si="48"/>
        <v>89673474</v>
      </c>
    </row>
    <row r="580" spans="1:43">
      <c r="A580" s="13" t="s">
        <v>719</v>
      </c>
      <c r="B580" s="13"/>
      <c r="C580" s="13" t="s">
        <v>70</v>
      </c>
      <c r="D580" s="13"/>
      <c r="E580" s="32">
        <v>50500</v>
      </c>
      <c r="F580" s="26"/>
      <c r="G580" s="26">
        <v>7146952</v>
      </c>
      <c r="H580" s="26"/>
      <c r="I580" s="26">
        <v>0</v>
      </c>
      <c r="J580" s="26"/>
      <c r="K580" s="26">
        <v>13936527</v>
      </c>
      <c r="L580" s="26"/>
      <c r="M580" s="26">
        <v>117914</v>
      </c>
      <c r="N580" s="26"/>
      <c r="O580" s="26">
        <v>1327032</v>
      </c>
      <c r="P580" s="26"/>
      <c r="Q580" s="26">
        <v>170527</v>
      </c>
      <c r="R580" s="26"/>
      <c r="S580" s="26">
        <v>0</v>
      </c>
      <c r="T580" s="26"/>
      <c r="U580" s="26">
        <v>43464</v>
      </c>
      <c r="V580" s="26"/>
      <c r="W580" s="26">
        <v>73368</v>
      </c>
      <c r="X580" s="26"/>
      <c r="Y580" s="51">
        <f t="shared" si="47"/>
        <v>22815784</v>
      </c>
      <c r="Z580" s="26"/>
      <c r="AA580" s="26">
        <v>321166</v>
      </c>
      <c r="AB580" s="26"/>
      <c r="AC580" s="26"/>
      <c r="AD580" s="26"/>
      <c r="AE580" s="26">
        <v>0</v>
      </c>
      <c r="AF580" s="26"/>
      <c r="AG580" s="26"/>
      <c r="AH580" s="26"/>
      <c r="AI580" s="26"/>
      <c r="AJ580" s="26"/>
      <c r="AK580" s="26">
        <v>14739</v>
      </c>
      <c r="AL580" s="26"/>
      <c r="AM580" s="26">
        <v>0</v>
      </c>
      <c r="AN580" s="26"/>
      <c r="AO580" s="51">
        <f t="shared" si="49"/>
        <v>335905</v>
      </c>
      <c r="AP580" s="26"/>
      <c r="AQ580" s="51">
        <f t="shared" si="48"/>
        <v>23151689</v>
      </c>
    </row>
    <row r="581" spans="1:43">
      <c r="A581" s="13" t="s">
        <v>324</v>
      </c>
      <c r="B581" s="13"/>
      <c r="C581" s="13" t="s">
        <v>20</v>
      </c>
      <c r="D581" s="13"/>
      <c r="E581" s="13">
        <v>45005</v>
      </c>
      <c r="F581" s="26"/>
      <c r="G581" s="26">
        <v>19150376</v>
      </c>
      <c r="H581" s="26"/>
      <c r="I581" s="26">
        <v>0</v>
      </c>
      <c r="J581" s="26"/>
      <c r="K581" s="26">
        <v>18776879</v>
      </c>
      <c r="L581" s="26"/>
      <c r="M581" s="26">
        <v>69789</v>
      </c>
      <c r="N581" s="26"/>
      <c r="O581" s="26">
        <v>47359</v>
      </c>
      <c r="P581" s="26"/>
      <c r="Q581" s="26">
        <v>57449</v>
      </c>
      <c r="R581" s="26"/>
      <c r="S581" s="26">
        <v>0</v>
      </c>
      <c r="T581" s="26"/>
      <c r="U581" s="26">
        <v>0</v>
      </c>
      <c r="V581" s="26"/>
      <c r="W581" s="26">
        <f>161968+4771+165931</f>
        <v>332670</v>
      </c>
      <c r="X581" s="26"/>
      <c r="Y581" s="51">
        <f t="shared" si="47"/>
        <v>38434522</v>
      </c>
      <c r="Z581" s="26"/>
      <c r="AA581" s="26">
        <v>0</v>
      </c>
      <c r="AB581" s="26"/>
      <c r="AC581" s="26"/>
      <c r="AD581" s="26"/>
      <c r="AE581" s="26">
        <v>0</v>
      </c>
      <c r="AF581" s="26"/>
      <c r="AG581" s="26"/>
      <c r="AH581" s="26"/>
      <c r="AI581" s="26"/>
      <c r="AJ581" s="26"/>
      <c r="AK581" s="26">
        <v>0</v>
      </c>
      <c r="AL581" s="26"/>
      <c r="AM581" s="26">
        <v>0</v>
      </c>
      <c r="AN581" s="26"/>
      <c r="AO581" s="51">
        <f t="shared" si="49"/>
        <v>0</v>
      </c>
      <c r="AP581" s="26"/>
      <c r="AQ581" s="51">
        <f t="shared" si="48"/>
        <v>38434522</v>
      </c>
    </row>
    <row r="582" spans="1:43" ht="12" customHeight="1">
      <c r="A582" s="13" t="s">
        <v>351</v>
      </c>
      <c r="B582" s="13"/>
      <c r="C582" s="13" t="s">
        <v>26</v>
      </c>
      <c r="D582" s="13"/>
      <c r="E582" s="32">
        <v>45013</v>
      </c>
      <c r="F582" s="26"/>
      <c r="G582" s="26">
        <v>7937307</v>
      </c>
      <c r="H582" s="26"/>
      <c r="I582" s="26">
        <v>0</v>
      </c>
      <c r="J582" s="26"/>
      <c r="K582" s="26">
        <v>24366662</v>
      </c>
      <c r="L582" s="26"/>
      <c r="M582" s="26">
        <v>615002</v>
      </c>
      <c r="N582" s="26"/>
      <c r="O582" s="26">
        <v>524854</v>
      </c>
      <c r="P582" s="26"/>
      <c r="Q582" s="26">
        <v>249993</v>
      </c>
      <c r="R582" s="26"/>
      <c r="S582" s="26">
        <v>62923</v>
      </c>
      <c r="T582" s="26"/>
      <c r="U582" s="26">
        <v>26560</v>
      </c>
      <c r="V582" s="26"/>
      <c r="W582" s="26">
        <f>135879+350446+3780</f>
        <v>490105</v>
      </c>
      <c r="X582" s="26"/>
      <c r="Y582" s="51">
        <f t="shared" si="47"/>
        <v>34273406</v>
      </c>
      <c r="Z582" s="26"/>
      <c r="AA582" s="26">
        <v>0</v>
      </c>
      <c r="AB582" s="26"/>
      <c r="AC582" s="26"/>
      <c r="AD582" s="26"/>
      <c r="AE582" s="26">
        <v>266763</v>
      </c>
      <c r="AF582" s="26"/>
      <c r="AG582" s="26"/>
      <c r="AH582" s="26"/>
      <c r="AI582" s="26"/>
      <c r="AJ582" s="26"/>
      <c r="AK582" s="26">
        <v>0</v>
      </c>
      <c r="AL582" s="26"/>
      <c r="AM582" s="26">
        <v>0</v>
      </c>
      <c r="AN582" s="26"/>
      <c r="AO582" s="51">
        <f t="shared" si="49"/>
        <v>266763</v>
      </c>
      <c r="AP582" s="26"/>
      <c r="AQ582" s="51">
        <f t="shared" si="48"/>
        <v>34540169</v>
      </c>
    </row>
    <row r="583" spans="1:43">
      <c r="A583" s="13" t="s">
        <v>503</v>
      </c>
      <c r="B583" s="13"/>
      <c r="C583" s="13" t="s">
        <v>117</v>
      </c>
      <c r="D583" s="13"/>
      <c r="E583" s="32">
        <v>48231</v>
      </c>
      <c r="F583" s="26"/>
      <c r="G583" s="26">
        <v>35618397</v>
      </c>
      <c r="H583" s="26"/>
      <c r="I583" s="26">
        <v>0</v>
      </c>
      <c r="J583" s="26"/>
      <c r="K583" s="26">
        <f>4071143+33239926+5302095</f>
        <v>42613164</v>
      </c>
      <c r="L583" s="26"/>
      <c r="M583" s="26">
        <v>827369</v>
      </c>
      <c r="N583" s="26"/>
      <c r="O583" s="26">
        <v>755964</v>
      </c>
      <c r="P583" s="26"/>
      <c r="Q583" s="26">
        <v>371024</v>
      </c>
      <c r="R583" s="26"/>
      <c r="S583" s="26">
        <v>0</v>
      </c>
      <c r="T583" s="26"/>
      <c r="U583" s="26">
        <v>11117</v>
      </c>
      <c r="V583" s="26"/>
      <c r="W583" s="26">
        <f>196257+50308+116335+171280+147195+963068</f>
        <v>1644443</v>
      </c>
      <c r="X583" s="26"/>
      <c r="Y583" s="51">
        <f t="shared" si="47"/>
        <v>81841478</v>
      </c>
      <c r="Z583" s="26"/>
      <c r="AA583" s="26">
        <v>771809</v>
      </c>
      <c r="AB583" s="26"/>
      <c r="AC583" s="26"/>
      <c r="AD583" s="26"/>
      <c r="AE583" s="26">
        <v>0</v>
      </c>
      <c r="AF583" s="26"/>
      <c r="AG583" s="26"/>
      <c r="AH583" s="26"/>
      <c r="AI583" s="26"/>
      <c r="AJ583" s="26"/>
      <c r="AK583" s="26">
        <v>2943</v>
      </c>
      <c r="AL583" s="26"/>
      <c r="AM583" s="26">
        <v>0</v>
      </c>
      <c r="AN583" s="26"/>
      <c r="AO583" s="51">
        <f t="shared" si="49"/>
        <v>774752</v>
      </c>
      <c r="AP583" s="26"/>
      <c r="AQ583" s="51">
        <f t="shared" si="48"/>
        <v>82616230</v>
      </c>
    </row>
    <row r="584" spans="1:43">
      <c r="A584" s="13" t="s">
        <v>633</v>
      </c>
      <c r="B584" s="13"/>
      <c r="C584" s="13" t="s">
        <v>59</v>
      </c>
      <c r="D584" s="13"/>
      <c r="E584" s="32">
        <v>49650</v>
      </c>
      <c r="F584" s="26"/>
      <c r="G584" s="26">
        <v>1534044</v>
      </c>
      <c r="H584" s="26"/>
      <c r="I584" s="26">
        <v>0</v>
      </c>
      <c r="J584" s="26"/>
      <c r="K584" s="26">
        <v>15044559</v>
      </c>
      <c r="L584" s="26"/>
      <c r="M584" s="26">
        <f>159741-358</f>
        <v>159383</v>
      </c>
      <c r="N584" s="26"/>
      <c r="O584" s="26">
        <v>1064909</v>
      </c>
      <c r="P584" s="26"/>
      <c r="Q584" s="26">
        <v>258287</v>
      </c>
      <c r="R584" s="26"/>
      <c r="S584" s="26">
        <v>0</v>
      </c>
      <c r="T584" s="26"/>
      <c r="U584" s="26">
        <v>10500</v>
      </c>
      <c r="V584" s="26"/>
      <c r="W584" s="26">
        <f>44038+354644</f>
        <v>398682</v>
      </c>
      <c r="X584" s="26"/>
      <c r="Y584" s="51">
        <f t="shared" si="47"/>
        <v>18470364</v>
      </c>
      <c r="Z584" s="26"/>
      <c r="AA584" s="26">
        <v>819168</v>
      </c>
      <c r="AB584" s="26"/>
      <c r="AC584" s="26"/>
      <c r="AD584" s="26"/>
      <c r="AE584" s="26">
        <v>0</v>
      </c>
      <c r="AF584" s="26"/>
      <c r="AG584" s="26"/>
      <c r="AH584" s="26"/>
      <c r="AI584" s="26"/>
      <c r="AJ584" s="26"/>
      <c r="AK584" s="26">
        <v>0</v>
      </c>
      <c r="AL584" s="26"/>
      <c r="AM584" s="26">
        <v>0</v>
      </c>
      <c r="AN584" s="26"/>
      <c r="AO584" s="51">
        <f t="shared" si="49"/>
        <v>819168</v>
      </c>
      <c r="AP584" s="26"/>
      <c r="AQ584" s="51">
        <f t="shared" si="48"/>
        <v>19289532</v>
      </c>
    </row>
    <row r="585" spans="1:43">
      <c r="A585" s="13" t="s">
        <v>596</v>
      </c>
      <c r="B585" s="13"/>
      <c r="C585" s="13" t="s">
        <v>56</v>
      </c>
      <c r="D585" s="13"/>
      <c r="E585" s="32">
        <v>49247</v>
      </c>
      <c r="F585" s="26"/>
      <c r="G585" s="26">
        <v>4223635</v>
      </c>
      <c r="H585" s="26"/>
      <c r="I585" s="26">
        <v>0</v>
      </c>
      <c r="J585" s="26"/>
      <c r="K585" s="26">
        <f>7074900+551032</f>
        <v>7625932</v>
      </c>
      <c r="L585" s="26"/>
      <c r="M585" s="26">
        <v>55638</v>
      </c>
      <c r="N585" s="26"/>
      <c r="O585" s="26">
        <v>194214</v>
      </c>
      <c r="P585" s="26"/>
      <c r="Q585" s="26">
        <v>134405</v>
      </c>
      <c r="R585" s="26"/>
      <c r="S585" s="26">
        <v>0</v>
      </c>
      <c r="T585" s="26"/>
      <c r="U585" s="26">
        <v>5622</v>
      </c>
      <c r="V585" s="26"/>
      <c r="W585" s="26">
        <f>59904+1076+50338+205451</f>
        <v>316769</v>
      </c>
      <c r="X585" s="26"/>
      <c r="Y585" s="51">
        <f t="shared" si="47"/>
        <v>12556215</v>
      </c>
      <c r="Z585" s="26"/>
      <c r="AA585" s="26">
        <v>1009718</v>
      </c>
      <c r="AB585" s="26"/>
      <c r="AC585" s="26"/>
      <c r="AD585" s="26"/>
      <c r="AE585" s="26">
        <v>0</v>
      </c>
      <c r="AF585" s="26"/>
      <c r="AG585" s="26"/>
      <c r="AH585" s="26"/>
      <c r="AI585" s="26"/>
      <c r="AJ585" s="26"/>
      <c r="AK585" s="26">
        <v>0</v>
      </c>
      <c r="AL585" s="26"/>
      <c r="AM585" s="26">
        <v>0</v>
      </c>
      <c r="AN585" s="26"/>
      <c r="AO585" s="51">
        <f t="shared" si="49"/>
        <v>1009718</v>
      </c>
      <c r="AP585" s="26"/>
      <c r="AQ585" s="51">
        <f t="shared" si="48"/>
        <v>13565933</v>
      </c>
    </row>
    <row r="586" spans="1:43">
      <c r="A586" s="13" t="s">
        <v>374</v>
      </c>
      <c r="B586" s="13"/>
      <c r="C586" s="13" t="s">
        <v>28</v>
      </c>
      <c r="D586" s="13"/>
      <c r="E586" s="32">
        <v>45641</v>
      </c>
      <c r="F586" s="26"/>
      <c r="G586" s="26">
        <v>6786548</v>
      </c>
      <c r="H586" s="26"/>
      <c r="I586" s="26">
        <v>0</v>
      </c>
      <c r="J586" s="26"/>
      <c r="K586" s="26">
        <f>245661+17957822+895995</f>
        <v>19099478</v>
      </c>
      <c r="L586" s="26"/>
      <c r="M586" s="26">
        <v>714339</v>
      </c>
      <c r="N586" s="26"/>
      <c r="O586" s="26">
        <v>708313</v>
      </c>
      <c r="P586" s="26"/>
      <c r="Q586" s="26">
        <v>106448</v>
      </c>
      <c r="R586" s="26"/>
      <c r="S586" s="26">
        <v>0</v>
      </c>
      <c r="T586" s="26"/>
      <c r="U586" s="26">
        <v>0</v>
      </c>
      <c r="V586" s="26"/>
      <c r="W586" s="26">
        <f>149486+62445+465757+27171</f>
        <v>704859</v>
      </c>
      <c r="X586" s="26"/>
      <c r="Y586" s="51">
        <f t="shared" si="47"/>
        <v>28119985</v>
      </c>
      <c r="Z586" s="26"/>
      <c r="AA586" s="26">
        <v>34055</v>
      </c>
      <c r="AB586" s="26"/>
      <c r="AC586" s="26"/>
      <c r="AD586" s="26"/>
      <c r="AE586" s="26">
        <v>0</v>
      </c>
      <c r="AF586" s="26"/>
      <c r="AG586" s="26"/>
      <c r="AH586" s="26"/>
      <c r="AI586" s="26"/>
      <c r="AJ586" s="26"/>
      <c r="AK586" s="26">
        <f>34000+1200</f>
        <v>35200</v>
      </c>
      <c r="AL586" s="26"/>
      <c r="AM586" s="26">
        <v>0</v>
      </c>
      <c r="AN586" s="26"/>
      <c r="AO586" s="51">
        <f t="shared" si="49"/>
        <v>69255</v>
      </c>
      <c r="AP586" s="26"/>
      <c r="AQ586" s="51">
        <f t="shared" si="48"/>
        <v>28189240</v>
      </c>
    </row>
    <row r="587" spans="1:43">
      <c r="A587" s="13" t="s">
        <v>586</v>
      </c>
      <c r="B587" s="13"/>
      <c r="C587" s="13" t="s">
        <v>55</v>
      </c>
      <c r="D587" s="13"/>
      <c r="E587" s="32">
        <v>49148</v>
      </c>
      <c r="F587" s="26"/>
      <c r="G587" s="26">
        <v>3803923</v>
      </c>
      <c r="H587" s="26"/>
      <c r="I587" s="26">
        <v>0</v>
      </c>
      <c r="J587" s="26"/>
      <c r="K587" s="26">
        <v>13576530</v>
      </c>
      <c r="L587" s="26"/>
      <c r="M587" s="26">
        <v>88055</v>
      </c>
      <c r="N587" s="26"/>
      <c r="O587" s="26">
        <v>740354</v>
      </c>
      <c r="P587" s="26"/>
      <c r="Q587" s="26">
        <v>170567</v>
      </c>
      <c r="R587" s="26"/>
      <c r="S587" s="26">
        <v>16106</v>
      </c>
      <c r="T587" s="26"/>
      <c r="U587" s="26">
        <v>10388</v>
      </c>
      <c r="V587" s="26"/>
      <c r="W587" s="26">
        <f>96783+2835+243436</f>
        <v>343054</v>
      </c>
      <c r="X587" s="26"/>
      <c r="Y587" s="51">
        <f t="shared" si="47"/>
        <v>18748977</v>
      </c>
      <c r="Z587" s="26"/>
      <c r="AA587" s="26">
        <v>296226</v>
      </c>
      <c r="AB587" s="26"/>
      <c r="AC587" s="26"/>
      <c r="AD587" s="26"/>
      <c r="AE587" s="26">
        <v>0</v>
      </c>
      <c r="AF587" s="26"/>
      <c r="AG587" s="26"/>
      <c r="AH587" s="26"/>
      <c r="AI587" s="26"/>
      <c r="AJ587" s="26"/>
      <c r="AK587" s="26">
        <v>2500</v>
      </c>
      <c r="AL587" s="26"/>
      <c r="AM587" s="26">
        <v>0</v>
      </c>
      <c r="AN587" s="26"/>
      <c r="AO587" s="51">
        <f t="shared" si="49"/>
        <v>298726</v>
      </c>
      <c r="AP587" s="26"/>
      <c r="AQ587" s="51">
        <f t="shared" si="48"/>
        <v>19047703</v>
      </c>
    </row>
    <row r="588" spans="1:43" hidden="1">
      <c r="A588" s="12" t="s">
        <v>1043</v>
      </c>
      <c r="B588" s="13"/>
      <c r="C588" s="13" t="s">
        <v>69</v>
      </c>
      <c r="D588" s="13"/>
      <c r="E588" s="32">
        <v>50468</v>
      </c>
      <c r="F588" s="26"/>
      <c r="G588" s="26"/>
      <c r="H588" s="26"/>
      <c r="I588" s="26">
        <v>0</v>
      </c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51">
        <f t="shared" si="47"/>
        <v>0</v>
      </c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>
        <v>0</v>
      </c>
      <c r="AN588" s="26"/>
      <c r="AO588" s="51">
        <f t="shared" si="49"/>
        <v>0</v>
      </c>
      <c r="AP588" s="26"/>
      <c r="AQ588" s="51">
        <f t="shared" si="48"/>
        <v>0</v>
      </c>
    </row>
    <row r="589" spans="1:43" hidden="1">
      <c r="A589" s="12" t="s">
        <v>846</v>
      </c>
      <c r="B589" s="13"/>
      <c r="C589" s="13" t="s">
        <v>576</v>
      </c>
      <c r="D589" s="13"/>
      <c r="E589" s="32">
        <v>49031</v>
      </c>
      <c r="F589" s="26"/>
      <c r="G589" s="26"/>
      <c r="H589" s="26"/>
      <c r="I589" s="26">
        <v>0</v>
      </c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51">
        <f t="shared" si="47"/>
        <v>0</v>
      </c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>
        <v>0</v>
      </c>
      <c r="AN589" s="26"/>
      <c r="AO589" s="51">
        <f t="shared" si="49"/>
        <v>0</v>
      </c>
      <c r="AP589" s="26"/>
      <c r="AQ589" s="51">
        <f t="shared" si="48"/>
        <v>0</v>
      </c>
    </row>
    <row r="590" spans="1:43" hidden="1">
      <c r="A590" s="12" t="s">
        <v>891</v>
      </c>
      <c r="B590" s="13"/>
      <c r="C590" s="13" t="s">
        <v>14</v>
      </c>
      <c r="D590" s="13"/>
      <c r="E590" s="32">
        <v>45971</v>
      </c>
      <c r="F590" s="26"/>
      <c r="G590" s="26"/>
      <c r="H590" s="26"/>
      <c r="I590" s="26">
        <v>0</v>
      </c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51">
        <f t="shared" si="47"/>
        <v>0</v>
      </c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>
        <v>0</v>
      </c>
      <c r="AN590" s="26"/>
      <c r="AO590" s="51">
        <f t="shared" si="49"/>
        <v>0</v>
      </c>
      <c r="AP590" s="26"/>
      <c r="AQ590" s="51">
        <f t="shared" si="48"/>
        <v>0</v>
      </c>
    </row>
    <row r="591" spans="1:43">
      <c r="A591" s="13" t="s">
        <v>693</v>
      </c>
      <c r="B591" s="13"/>
      <c r="C591" s="13" t="s">
        <v>64</v>
      </c>
      <c r="D591" s="13"/>
      <c r="E591" s="32">
        <v>50252</v>
      </c>
      <c r="F591" s="26"/>
      <c r="G591" s="26">
        <v>2994619</v>
      </c>
      <c r="H591" s="26"/>
      <c r="I591" s="26">
        <v>0</v>
      </c>
      <c r="J591" s="26"/>
      <c r="K591" s="26">
        <f>4471099+608248</f>
        <v>5079347</v>
      </c>
      <c r="L591" s="26"/>
      <c r="M591" s="26">
        <v>64031</v>
      </c>
      <c r="N591" s="26"/>
      <c r="O591" s="26">
        <v>1260470</v>
      </c>
      <c r="P591" s="26"/>
      <c r="Q591" s="26">
        <v>130246</v>
      </c>
      <c r="R591" s="26"/>
      <c r="S591" s="26">
        <v>0</v>
      </c>
      <c r="T591" s="26"/>
      <c r="U591" s="26">
        <v>67386</v>
      </c>
      <c r="V591" s="26"/>
      <c r="W591" s="26">
        <f>16855+28461+177158</f>
        <v>222474</v>
      </c>
      <c r="X591" s="26"/>
      <c r="Y591" s="51">
        <f t="shared" si="47"/>
        <v>9818573</v>
      </c>
      <c r="Z591" s="26"/>
      <c r="AA591" s="26">
        <v>65888</v>
      </c>
      <c r="AB591" s="26"/>
      <c r="AC591" s="26"/>
      <c r="AD591" s="26"/>
      <c r="AE591" s="26">
        <v>0</v>
      </c>
      <c r="AF591" s="26"/>
      <c r="AG591" s="26"/>
      <c r="AH591" s="26"/>
      <c r="AI591" s="26"/>
      <c r="AJ591" s="26"/>
      <c r="AK591" s="26">
        <v>0</v>
      </c>
      <c r="AL591" s="26"/>
      <c r="AM591" s="26">
        <v>0</v>
      </c>
      <c r="AN591" s="26"/>
      <c r="AO591" s="51">
        <f t="shared" si="49"/>
        <v>65888</v>
      </c>
      <c r="AP591" s="26"/>
      <c r="AQ591" s="51">
        <f t="shared" si="48"/>
        <v>9884461</v>
      </c>
    </row>
    <row r="592" spans="1:43">
      <c r="A592" s="13" t="s">
        <v>495</v>
      </c>
      <c r="B592" s="13"/>
      <c r="C592" s="13" t="s">
        <v>44</v>
      </c>
      <c r="D592" s="13"/>
      <c r="E592" s="32">
        <v>45658</v>
      </c>
      <c r="F592" s="26"/>
      <c r="G592" s="26">
        <v>3729693</v>
      </c>
      <c r="H592" s="26"/>
      <c r="I592" s="26">
        <v>1683885</v>
      </c>
      <c r="J592" s="26"/>
      <c r="K592" s="26">
        <v>7388080</v>
      </c>
      <c r="L592" s="26"/>
      <c r="M592" s="26">
        <v>53651</v>
      </c>
      <c r="N592" s="26"/>
      <c r="O592" s="26">
        <v>369827</v>
      </c>
      <c r="P592" s="26"/>
      <c r="Q592" s="26">
        <v>242606</v>
      </c>
      <c r="R592" s="26"/>
      <c r="S592" s="26">
        <v>0</v>
      </c>
      <c r="T592" s="26"/>
      <c r="U592" s="26">
        <v>80079</v>
      </c>
      <c r="V592" s="26"/>
      <c r="W592" s="26">
        <f>269624+111702</f>
        <v>381326</v>
      </c>
      <c r="X592" s="26"/>
      <c r="Y592" s="51">
        <f t="shared" si="47"/>
        <v>13929147</v>
      </c>
      <c r="Z592" s="26"/>
      <c r="AA592" s="26">
        <v>44739</v>
      </c>
      <c r="AB592" s="26"/>
      <c r="AC592" s="26"/>
      <c r="AD592" s="26"/>
      <c r="AE592" s="26">
        <v>0</v>
      </c>
      <c r="AF592" s="26"/>
      <c r="AG592" s="26"/>
      <c r="AH592" s="26"/>
      <c r="AI592" s="26"/>
      <c r="AJ592" s="26"/>
      <c r="AK592" s="26">
        <v>0</v>
      </c>
      <c r="AL592" s="26"/>
      <c r="AM592" s="26">
        <v>0</v>
      </c>
      <c r="AN592" s="26"/>
      <c r="AO592" s="51">
        <f t="shared" si="49"/>
        <v>44739</v>
      </c>
      <c r="AP592" s="26"/>
      <c r="AQ592" s="51">
        <f t="shared" si="48"/>
        <v>13973886</v>
      </c>
    </row>
    <row r="593" spans="1:43">
      <c r="A593" s="13" t="s">
        <v>449</v>
      </c>
      <c r="B593" s="13"/>
      <c r="C593" s="13" t="s">
        <v>38</v>
      </c>
      <c r="D593" s="13"/>
      <c r="E593" s="32">
        <v>45021</v>
      </c>
      <c r="F593" s="26"/>
      <c r="G593" s="26">
        <v>2399258</v>
      </c>
      <c r="H593" s="26"/>
      <c r="I593" s="26">
        <v>0</v>
      </c>
      <c r="J593" s="26"/>
      <c r="K593" s="26">
        <v>16003911</v>
      </c>
      <c r="L593" s="26"/>
      <c r="M593" s="26">
        <v>160813</v>
      </c>
      <c r="N593" s="26"/>
      <c r="O593" s="26">
        <v>516558</v>
      </c>
      <c r="P593" s="26"/>
      <c r="Q593" s="26">
        <v>129635</v>
      </c>
      <c r="R593" s="26"/>
      <c r="S593" s="26">
        <v>0</v>
      </c>
      <c r="T593" s="26"/>
      <c r="U593" s="26">
        <v>82128</v>
      </c>
      <c r="V593" s="26"/>
      <c r="W593" s="26">
        <f>5037+272591+3777</f>
        <v>281405</v>
      </c>
      <c r="X593" s="26"/>
      <c r="Y593" s="51">
        <f t="shared" si="47"/>
        <v>19573708</v>
      </c>
      <c r="Z593" s="26"/>
      <c r="AA593" s="26">
        <v>0</v>
      </c>
      <c r="AB593" s="26"/>
      <c r="AC593" s="26"/>
      <c r="AD593" s="26"/>
      <c r="AE593" s="26">
        <v>0</v>
      </c>
      <c r="AF593" s="26"/>
      <c r="AG593" s="26"/>
      <c r="AH593" s="26"/>
      <c r="AI593" s="26"/>
      <c r="AJ593" s="26"/>
      <c r="AK593" s="26">
        <v>999883</v>
      </c>
      <c r="AL593" s="26"/>
      <c r="AM593" s="26">
        <v>0</v>
      </c>
      <c r="AN593" s="26"/>
      <c r="AO593" s="51">
        <f t="shared" si="49"/>
        <v>999883</v>
      </c>
      <c r="AP593" s="26"/>
      <c r="AQ593" s="51">
        <f t="shared" si="48"/>
        <v>20573591</v>
      </c>
    </row>
    <row r="594" spans="1:43">
      <c r="A594" s="13" t="s">
        <v>286</v>
      </c>
      <c r="B594" s="13"/>
      <c r="C594" s="13" t="s">
        <v>114</v>
      </c>
      <c r="D594" s="13"/>
      <c r="E594" s="32">
        <v>45039</v>
      </c>
      <c r="F594" s="26"/>
      <c r="G594" s="26">
        <v>1115717</v>
      </c>
      <c r="H594" s="26"/>
      <c r="I594" s="26">
        <v>0</v>
      </c>
      <c r="J594" s="26"/>
      <c r="K594" s="26">
        <f>2390+6459035+770243</f>
        <v>7231668</v>
      </c>
      <c r="L594" s="26"/>
      <c r="M594" s="26">
        <v>67560</v>
      </c>
      <c r="N594" s="26"/>
      <c r="O594" s="26">
        <v>755350</v>
      </c>
      <c r="P594" s="26"/>
      <c r="Q594" s="26">
        <v>80330</v>
      </c>
      <c r="R594" s="26"/>
      <c r="S594" s="26">
        <v>0</v>
      </c>
      <c r="T594" s="26"/>
      <c r="U594" s="26">
        <v>3334</v>
      </c>
      <c r="V594" s="26"/>
      <c r="W594" s="26">
        <f>76920+2406+113071</f>
        <v>192397</v>
      </c>
      <c r="X594" s="26"/>
      <c r="Y594" s="51">
        <f t="shared" si="47"/>
        <v>9446356</v>
      </c>
      <c r="Z594" s="26"/>
      <c r="AA594" s="26">
        <v>0</v>
      </c>
      <c r="AB594" s="26"/>
      <c r="AC594" s="26"/>
      <c r="AD594" s="26"/>
      <c r="AE594" s="26">
        <v>0</v>
      </c>
      <c r="AF594" s="26"/>
      <c r="AG594" s="26"/>
      <c r="AH594" s="26"/>
      <c r="AI594" s="26"/>
      <c r="AJ594" s="26"/>
      <c r="AK594" s="26">
        <v>0</v>
      </c>
      <c r="AL594" s="26"/>
      <c r="AM594" s="26">
        <v>0</v>
      </c>
      <c r="AN594" s="26"/>
      <c r="AO594" s="51">
        <f t="shared" si="49"/>
        <v>0</v>
      </c>
      <c r="AP594" s="26"/>
      <c r="AQ594" s="51">
        <f t="shared" si="48"/>
        <v>9446356</v>
      </c>
    </row>
    <row r="595" spans="1:43">
      <c r="A595" s="13" t="s">
        <v>518</v>
      </c>
      <c r="B595" s="13"/>
      <c r="C595" s="13" t="s">
        <v>45</v>
      </c>
      <c r="D595" s="13"/>
      <c r="E595" s="32">
        <v>48389</v>
      </c>
      <c r="F595" s="26"/>
      <c r="G595" s="26">
        <v>4689353</v>
      </c>
      <c r="H595" s="26"/>
      <c r="I595" s="26">
        <v>0</v>
      </c>
      <c r="J595" s="26"/>
      <c r="K595" s="26">
        <f>5579+13100094+1377879</f>
        <v>14483552</v>
      </c>
      <c r="L595" s="26"/>
      <c r="M595" s="26">
        <v>67556</v>
      </c>
      <c r="N595" s="26"/>
      <c r="O595" s="26">
        <v>1507654</v>
      </c>
      <c r="P595" s="26"/>
      <c r="Q595" s="26">
        <v>367258</v>
      </c>
      <c r="R595" s="26"/>
      <c r="S595" s="26">
        <v>0</v>
      </c>
      <c r="T595" s="26"/>
      <c r="U595" s="26">
        <v>0</v>
      </c>
      <c r="V595" s="26"/>
      <c r="W595" s="26">
        <f>316367+34544+577823</f>
        <v>928734</v>
      </c>
      <c r="X595" s="26"/>
      <c r="Y595" s="51">
        <f t="shared" si="47"/>
        <v>22044107</v>
      </c>
      <c r="Z595" s="26"/>
      <c r="AA595" s="26">
        <v>30600</v>
      </c>
      <c r="AB595" s="26"/>
      <c r="AC595" s="26"/>
      <c r="AD595" s="26"/>
      <c r="AE595" s="26">
        <v>0</v>
      </c>
      <c r="AF595" s="26"/>
      <c r="AG595" s="26"/>
      <c r="AH595" s="26"/>
      <c r="AI595" s="26"/>
      <c r="AJ595" s="26"/>
      <c r="AK595" s="26">
        <f>183+9439</f>
        <v>9622</v>
      </c>
      <c r="AL595" s="26"/>
      <c r="AM595" s="26">
        <v>0</v>
      </c>
      <c r="AN595" s="26"/>
      <c r="AO595" s="51">
        <f t="shared" si="49"/>
        <v>40222</v>
      </c>
      <c r="AP595" s="26"/>
      <c r="AQ595" s="51">
        <f t="shared" si="48"/>
        <v>22084329</v>
      </c>
    </row>
    <row r="596" spans="1:43">
      <c r="A596" s="12" t="s">
        <v>1042</v>
      </c>
      <c r="B596" s="12"/>
      <c r="C596" s="12" t="s">
        <v>50</v>
      </c>
      <c r="D596" s="13"/>
      <c r="E596" s="32"/>
      <c r="F596" s="26"/>
      <c r="G596" s="26">
        <v>17335502</v>
      </c>
      <c r="H596" s="26"/>
      <c r="I596" s="26">
        <v>0</v>
      </c>
      <c r="J596" s="26"/>
      <c r="K596" s="26">
        <f>19233939+2777781</f>
        <v>22011720</v>
      </c>
      <c r="L596" s="26"/>
      <c r="M596" s="26">
        <v>814759</v>
      </c>
      <c r="N596" s="26"/>
      <c r="O596" s="26">
        <v>341587</v>
      </c>
      <c r="P596" s="26"/>
      <c r="Q596" s="26">
        <v>125550</v>
      </c>
      <c r="R596" s="26"/>
      <c r="S596" s="26">
        <v>0</v>
      </c>
      <c r="T596" s="26"/>
      <c r="U596" s="26">
        <v>80287</v>
      </c>
      <c r="V596" s="26"/>
      <c r="W596" s="26">
        <f>288889+80570+113930+571699+32269</f>
        <v>1087357</v>
      </c>
      <c r="X596" s="26"/>
      <c r="Y596" s="51">
        <f t="shared" si="47"/>
        <v>41796762</v>
      </c>
      <c r="Z596" s="26"/>
      <c r="AA596" s="26">
        <v>0</v>
      </c>
      <c r="AB596" s="26"/>
      <c r="AC596" s="26"/>
      <c r="AD596" s="26"/>
      <c r="AE596" s="26">
        <v>0</v>
      </c>
      <c r="AF596" s="26"/>
      <c r="AG596" s="26"/>
      <c r="AH596" s="26"/>
      <c r="AI596" s="26"/>
      <c r="AJ596" s="26"/>
      <c r="AK596" s="26">
        <v>0</v>
      </c>
      <c r="AL596" s="26"/>
      <c r="AM596" s="26"/>
      <c r="AN596" s="26"/>
      <c r="AO596" s="51">
        <f t="shared" si="49"/>
        <v>0</v>
      </c>
      <c r="AP596" s="26"/>
      <c r="AQ596" s="51">
        <f t="shared" si="48"/>
        <v>41796762</v>
      </c>
    </row>
    <row r="597" spans="1:43">
      <c r="A597" s="13" t="s">
        <v>272</v>
      </c>
      <c r="B597" s="13"/>
      <c r="C597" s="13" t="s">
        <v>115</v>
      </c>
      <c r="D597" s="13"/>
      <c r="E597" s="32">
        <v>46359</v>
      </c>
      <c r="F597" s="26"/>
      <c r="G597" s="26">
        <v>40363871</v>
      </c>
      <c r="H597" s="26"/>
      <c r="I597" s="26">
        <v>0</v>
      </c>
      <c r="J597" s="26"/>
      <c r="K597" s="26">
        <v>37767084</v>
      </c>
      <c r="L597" s="26"/>
      <c r="M597" s="26">
        <v>1339443</v>
      </c>
      <c r="N597" s="26"/>
      <c r="O597" s="26">
        <v>809268</v>
      </c>
      <c r="P597" s="26"/>
      <c r="Q597" s="26">
        <v>474476</v>
      </c>
      <c r="R597" s="26"/>
      <c r="S597" s="26">
        <v>0</v>
      </c>
      <c r="T597" s="26"/>
      <c r="U597" s="26">
        <v>0</v>
      </c>
      <c r="V597" s="26"/>
      <c r="W597" s="26">
        <f>583919+1433433</f>
        <v>2017352</v>
      </c>
      <c r="X597" s="26"/>
      <c r="Y597" s="51">
        <f t="shared" si="47"/>
        <v>82771494</v>
      </c>
      <c r="Z597" s="26"/>
      <c r="AA597" s="26">
        <v>0</v>
      </c>
      <c r="AB597" s="26"/>
      <c r="AC597" s="26"/>
      <c r="AD597" s="26"/>
      <c r="AE597" s="26">
        <v>0</v>
      </c>
      <c r="AF597" s="26"/>
      <c r="AG597" s="26"/>
      <c r="AH597" s="26"/>
      <c r="AI597" s="26"/>
      <c r="AJ597" s="26"/>
      <c r="AK597" s="26">
        <v>0</v>
      </c>
      <c r="AL597" s="26"/>
      <c r="AM597" s="26">
        <v>0</v>
      </c>
      <c r="AN597" s="26"/>
      <c r="AO597" s="51">
        <f t="shared" si="49"/>
        <v>0</v>
      </c>
      <c r="AP597" s="26"/>
      <c r="AQ597" s="51">
        <f t="shared" si="48"/>
        <v>82771494</v>
      </c>
    </row>
    <row r="598" spans="1:43">
      <c r="A598" s="13" t="s">
        <v>383</v>
      </c>
      <c r="B598" s="13"/>
      <c r="C598" s="13" t="s">
        <v>30</v>
      </c>
      <c r="D598" s="13"/>
      <c r="E598" s="32">
        <v>47225</v>
      </c>
      <c r="F598" s="26"/>
      <c r="G598" s="26">
        <v>19593926</v>
      </c>
      <c r="H598" s="26"/>
      <c r="I598" s="26">
        <v>0</v>
      </c>
      <c r="J598" s="26"/>
      <c r="K598" s="26">
        <v>8273526</v>
      </c>
      <c r="L598" s="26"/>
      <c r="M598" s="26">
        <v>240153</v>
      </c>
      <c r="N598" s="26"/>
      <c r="O598" s="26">
        <v>639967</v>
      </c>
      <c r="P598" s="26"/>
      <c r="Q598" s="26">
        <v>482883</v>
      </c>
      <c r="R598" s="26"/>
      <c r="S598" s="26">
        <v>0</v>
      </c>
      <c r="T598" s="26"/>
      <c r="U598" s="26">
        <v>121684</v>
      </c>
      <c r="V598" s="26"/>
      <c r="W598" s="26">
        <f>16310+6291+28217</f>
        <v>50818</v>
      </c>
      <c r="X598" s="26"/>
      <c r="Y598" s="51">
        <f t="shared" si="47"/>
        <v>29402957</v>
      </c>
      <c r="Z598" s="26"/>
      <c r="AA598" s="26">
        <v>0</v>
      </c>
      <c r="AB598" s="26"/>
      <c r="AC598" s="26"/>
      <c r="AD598" s="26"/>
      <c r="AE598" s="26">
        <v>0</v>
      </c>
      <c r="AF598" s="26"/>
      <c r="AG598" s="26"/>
      <c r="AH598" s="26"/>
      <c r="AI598" s="26"/>
      <c r="AJ598" s="26"/>
      <c r="AK598" s="26">
        <v>0</v>
      </c>
      <c r="AL598" s="26"/>
      <c r="AM598" s="26">
        <v>0</v>
      </c>
      <c r="AN598" s="26"/>
      <c r="AO598" s="51">
        <f t="shared" si="49"/>
        <v>0</v>
      </c>
      <c r="AP598" s="26"/>
      <c r="AQ598" s="51">
        <f t="shared" si="48"/>
        <v>29402957</v>
      </c>
    </row>
    <row r="599" spans="1:43">
      <c r="A599" s="13" t="s">
        <v>442</v>
      </c>
      <c r="B599" s="13"/>
      <c r="C599" s="13" t="s">
        <v>36</v>
      </c>
      <c r="D599" s="13"/>
      <c r="E599" s="32">
        <v>47696</v>
      </c>
      <c r="F599" s="26"/>
      <c r="G599" s="26">
        <v>9204756</v>
      </c>
      <c r="H599" s="26"/>
      <c r="I599" s="26">
        <v>0</v>
      </c>
      <c r="J599" s="26"/>
      <c r="K599" s="26">
        <v>14753479</v>
      </c>
      <c r="L599" s="26"/>
      <c r="M599" s="26">
        <v>316291</v>
      </c>
      <c r="N599" s="26"/>
      <c r="O599" s="26">
        <v>542895</v>
      </c>
      <c r="P599" s="26"/>
      <c r="Q599" s="26">
        <v>319858</v>
      </c>
      <c r="R599" s="26"/>
      <c r="S599" s="26">
        <v>0</v>
      </c>
      <c r="T599" s="26"/>
      <c r="U599" s="26">
        <v>23905</v>
      </c>
      <c r="V599" s="26"/>
      <c r="W599" s="26">
        <f>64088+492932+9263</f>
        <v>566283</v>
      </c>
      <c r="X599" s="26"/>
      <c r="Y599" s="51">
        <f t="shared" si="47"/>
        <v>25727467</v>
      </c>
      <c r="Z599" s="26"/>
      <c r="AA599" s="26">
        <v>0</v>
      </c>
      <c r="AB599" s="26"/>
      <c r="AC599" s="26"/>
      <c r="AD599" s="26"/>
      <c r="AE599" s="26">
        <v>0</v>
      </c>
      <c r="AF599" s="26"/>
      <c r="AG599" s="26"/>
      <c r="AH599" s="26"/>
      <c r="AI599" s="26"/>
      <c r="AJ599" s="26"/>
      <c r="AK599" s="26">
        <v>75</v>
      </c>
      <c r="AL599" s="26"/>
      <c r="AM599" s="26">
        <v>0</v>
      </c>
      <c r="AN599" s="26"/>
      <c r="AO599" s="51">
        <f t="shared" si="49"/>
        <v>75</v>
      </c>
      <c r="AP599" s="26"/>
      <c r="AQ599" s="51">
        <f t="shared" si="48"/>
        <v>25727542</v>
      </c>
    </row>
    <row r="600" spans="1:43">
      <c r="A600" s="13" t="s">
        <v>259</v>
      </c>
      <c r="B600" s="13"/>
      <c r="C600" s="13" t="s">
        <v>255</v>
      </c>
      <c r="D600" s="13"/>
      <c r="E600" s="32">
        <v>46219</v>
      </c>
      <c r="F600" s="26"/>
      <c r="G600" s="26">
        <v>2762693</v>
      </c>
      <c r="H600" s="26"/>
      <c r="I600" s="26">
        <v>1762366</v>
      </c>
      <c r="J600" s="26"/>
      <c r="K600" s="26">
        <f>37567+6379166+506306</f>
        <v>6923039</v>
      </c>
      <c r="L600" s="26"/>
      <c r="M600" s="26">
        <v>102459</v>
      </c>
      <c r="N600" s="26"/>
      <c r="O600" s="26">
        <v>831936</v>
      </c>
      <c r="P600" s="26"/>
      <c r="Q600" s="26">
        <v>210342</v>
      </c>
      <c r="R600" s="26"/>
      <c r="S600" s="26">
        <v>0</v>
      </c>
      <c r="T600" s="26"/>
      <c r="U600" s="26">
        <v>0</v>
      </c>
      <c r="V600" s="26"/>
      <c r="W600" s="26">
        <f>103378+6827+968+364870</f>
        <v>476043</v>
      </c>
      <c r="X600" s="26"/>
      <c r="Y600" s="51">
        <f t="shared" si="47"/>
        <v>13068878</v>
      </c>
      <c r="Z600" s="26"/>
      <c r="AA600" s="26">
        <v>16000</v>
      </c>
      <c r="AB600" s="26"/>
      <c r="AC600" s="26"/>
      <c r="AD600" s="26"/>
      <c r="AE600" s="26">
        <v>0</v>
      </c>
      <c r="AF600" s="26"/>
      <c r="AG600" s="26"/>
      <c r="AH600" s="26"/>
      <c r="AI600" s="26"/>
      <c r="AJ600" s="26"/>
      <c r="AK600" s="26">
        <v>0</v>
      </c>
      <c r="AL600" s="26"/>
      <c r="AM600" s="26">
        <v>0</v>
      </c>
      <c r="AN600" s="26"/>
      <c r="AO600" s="51">
        <f t="shared" si="49"/>
        <v>16000</v>
      </c>
      <c r="AP600" s="26"/>
      <c r="AQ600" s="51">
        <f t="shared" si="48"/>
        <v>13084878</v>
      </c>
    </row>
    <row r="601" spans="1:43">
      <c r="A601" s="13" t="s">
        <v>567</v>
      </c>
      <c r="B601" s="13"/>
      <c r="C601" s="13" t="s">
        <v>51</v>
      </c>
      <c r="D601" s="13"/>
      <c r="E601" s="32">
        <v>48884</v>
      </c>
      <c r="F601" s="26"/>
      <c r="G601" s="26">
        <v>7019830</v>
      </c>
      <c r="H601" s="26"/>
      <c r="I601" s="26">
        <v>0</v>
      </c>
      <c r="J601" s="26"/>
      <c r="K601" s="26">
        <v>9023914</v>
      </c>
      <c r="L601" s="26"/>
      <c r="M601" s="26">
        <v>99831</v>
      </c>
      <c r="N601" s="26"/>
      <c r="O601" s="26">
        <v>992031</v>
      </c>
      <c r="P601" s="26"/>
      <c r="Q601" s="26">
        <v>178851</v>
      </c>
      <c r="R601" s="26"/>
      <c r="S601" s="26">
        <v>133949</v>
      </c>
      <c r="T601" s="26"/>
      <c r="U601" s="26">
        <v>110298</v>
      </c>
      <c r="V601" s="26"/>
      <c r="W601" s="26">
        <f>76170+299860+16784</f>
        <v>392814</v>
      </c>
      <c r="X601" s="26"/>
      <c r="Y601" s="51">
        <f t="shared" si="47"/>
        <v>17951518</v>
      </c>
      <c r="Z601" s="26"/>
      <c r="AA601" s="26">
        <v>570000</v>
      </c>
      <c r="AB601" s="26"/>
      <c r="AC601" s="26"/>
      <c r="AD601" s="26"/>
      <c r="AE601" s="26">
        <v>111970</v>
      </c>
      <c r="AF601" s="26"/>
      <c r="AG601" s="26"/>
      <c r="AH601" s="26"/>
      <c r="AI601" s="26"/>
      <c r="AJ601" s="26"/>
      <c r="AK601" s="26">
        <v>287600</v>
      </c>
      <c r="AL601" s="26"/>
      <c r="AM601" s="26">
        <v>0</v>
      </c>
      <c r="AN601" s="26"/>
      <c r="AO601" s="51">
        <f t="shared" si="49"/>
        <v>969570</v>
      </c>
      <c r="AP601" s="26"/>
      <c r="AQ601" s="51">
        <f t="shared" si="48"/>
        <v>18921088</v>
      </c>
    </row>
    <row r="602" spans="1:43">
      <c r="A602" s="13" t="s">
        <v>240</v>
      </c>
      <c r="B602" s="13"/>
      <c r="C602" s="13" t="s">
        <v>77</v>
      </c>
      <c r="D602" s="13"/>
      <c r="E602" s="32">
        <v>46060</v>
      </c>
      <c r="F602" s="26"/>
      <c r="G602" s="26">
        <v>4883793</v>
      </c>
      <c r="H602" s="26"/>
      <c r="I602" s="26">
        <v>0</v>
      </c>
      <c r="J602" s="26"/>
      <c r="K602" s="26">
        <v>22288451</v>
      </c>
      <c r="L602" s="26"/>
      <c r="M602" s="26">
        <v>142432</v>
      </c>
      <c r="N602" s="26"/>
      <c r="O602" s="26">
        <v>1287913</v>
      </c>
      <c r="P602" s="26"/>
      <c r="Q602" s="26">
        <v>141313</v>
      </c>
      <c r="R602" s="26"/>
      <c r="S602" s="26">
        <v>0</v>
      </c>
      <c r="T602" s="26"/>
      <c r="U602" s="26">
        <v>6499</v>
      </c>
      <c r="V602" s="26"/>
      <c r="W602" s="26">
        <f>212655+12995</f>
        <v>225650</v>
      </c>
      <c r="X602" s="26"/>
      <c r="Y602" s="51">
        <f t="shared" si="47"/>
        <v>28976051</v>
      </c>
      <c r="Z602" s="26"/>
      <c r="AA602" s="26">
        <v>0</v>
      </c>
      <c r="AB602" s="26"/>
      <c r="AC602" s="26"/>
      <c r="AD602" s="26"/>
      <c r="AE602" s="26">
        <v>0</v>
      </c>
      <c r="AF602" s="26"/>
      <c r="AG602" s="26"/>
      <c r="AH602" s="26"/>
      <c r="AI602" s="26"/>
      <c r="AJ602" s="26"/>
      <c r="AK602" s="26">
        <v>0</v>
      </c>
      <c r="AL602" s="26"/>
      <c r="AM602" s="26">
        <v>0</v>
      </c>
      <c r="AN602" s="26"/>
      <c r="AO602" s="51">
        <f t="shared" si="49"/>
        <v>0</v>
      </c>
      <c r="AP602" s="26"/>
      <c r="AQ602" s="51">
        <f t="shared" si="48"/>
        <v>28976051</v>
      </c>
    </row>
    <row r="603" spans="1:43">
      <c r="A603" s="13" t="s">
        <v>587</v>
      </c>
      <c r="B603" s="13"/>
      <c r="C603" s="13" t="s">
        <v>55</v>
      </c>
      <c r="D603" s="13"/>
      <c r="E603" s="32">
        <v>49155</v>
      </c>
      <c r="F603" s="26"/>
      <c r="G603" s="26">
        <v>756470</v>
      </c>
      <c r="H603" s="26"/>
      <c r="I603" s="26">
        <v>0</v>
      </c>
      <c r="J603" s="26"/>
      <c r="K603" s="26">
        <v>7620039</v>
      </c>
      <c r="L603" s="26"/>
      <c r="M603" s="26">
        <v>84561</v>
      </c>
      <c r="N603" s="26"/>
      <c r="O603" s="26">
        <v>165366</v>
      </c>
      <c r="P603" s="26"/>
      <c r="Q603" s="26">
        <v>47755</v>
      </c>
      <c r="R603" s="26"/>
      <c r="S603" s="26">
        <v>0</v>
      </c>
      <c r="T603" s="26"/>
      <c r="U603" s="26">
        <v>10254</v>
      </c>
      <c r="V603" s="26"/>
      <c r="W603" s="26">
        <f>13704+62729+380</f>
        <v>76813</v>
      </c>
      <c r="X603" s="26"/>
      <c r="Y603" s="51">
        <f t="shared" si="47"/>
        <v>8761258</v>
      </c>
      <c r="Z603" s="26"/>
      <c r="AA603" s="26">
        <v>225000</v>
      </c>
      <c r="AB603" s="26"/>
      <c r="AC603" s="26"/>
      <c r="AD603" s="26"/>
      <c r="AE603" s="26">
        <v>0</v>
      </c>
      <c r="AF603" s="26"/>
      <c r="AG603" s="26"/>
      <c r="AH603" s="26"/>
      <c r="AI603" s="26"/>
      <c r="AJ603" s="26"/>
      <c r="AK603" s="26">
        <v>4297</v>
      </c>
      <c r="AL603" s="26"/>
      <c r="AM603" s="26">
        <v>0</v>
      </c>
      <c r="AN603" s="26"/>
      <c r="AO603" s="51">
        <f t="shared" si="49"/>
        <v>229297</v>
      </c>
      <c r="AP603" s="26"/>
      <c r="AQ603" s="51">
        <f t="shared" si="48"/>
        <v>8990555</v>
      </c>
    </row>
    <row r="604" spans="1:43">
      <c r="A604" s="13" t="s">
        <v>447</v>
      </c>
      <c r="B604" s="13"/>
      <c r="C604" s="13" t="s">
        <v>37</v>
      </c>
      <c r="D604" s="13"/>
      <c r="E604" s="32">
        <v>47746</v>
      </c>
      <c r="F604" s="26"/>
      <c r="G604" s="26">
        <v>2405546</v>
      </c>
      <c r="H604" s="26"/>
      <c r="I604" s="26">
        <v>1689429</v>
      </c>
      <c r="J604" s="26"/>
      <c r="K604" s="26">
        <f>75313+6984996+650311</f>
        <v>7710620</v>
      </c>
      <c r="L604" s="26"/>
      <c r="M604" s="26">
        <v>39277</v>
      </c>
      <c r="N604" s="26"/>
      <c r="O604" s="26">
        <v>425953</v>
      </c>
      <c r="P604" s="26"/>
      <c r="Q604" s="26">
        <v>212436</v>
      </c>
      <c r="R604" s="26"/>
      <c r="S604" s="26">
        <v>0</v>
      </c>
      <c r="T604" s="26"/>
      <c r="U604" s="26">
        <v>0</v>
      </c>
      <c r="V604" s="26"/>
      <c r="W604" s="26">
        <f>67709+14434+36850+230120</f>
        <v>349113</v>
      </c>
      <c r="X604" s="26"/>
      <c r="Y604" s="51">
        <f t="shared" si="47"/>
        <v>12832374</v>
      </c>
      <c r="Z604" s="26"/>
      <c r="AA604" s="26">
        <v>0</v>
      </c>
      <c r="AB604" s="26"/>
      <c r="AC604" s="26"/>
      <c r="AD604" s="26"/>
      <c r="AE604" s="26">
        <v>0</v>
      </c>
      <c r="AF604" s="26"/>
      <c r="AG604" s="26"/>
      <c r="AH604" s="26"/>
      <c r="AI604" s="26"/>
      <c r="AJ604" s="26"/>
      <c r="AK604" s="26">
        <v>0</v>
      </c>
      <c r="AL604" s="26"/>
      <c r="AM604" s="26">
        <v>0</v>
      </c>
      <c r="AN604" s="26"/>
      <c r="AO604" s="51">
        <f t="shared" si="49"/>
        <v>0</v>
      </c>
      <c r="AP604" s="26"/>
      <c r="AQ604" s="51">
        <f t="shared" si="48"/>
        <v>12832374</v>
      </c>
    </row>
    <row r="605" spans="1:43">
      <c r="A605" s="34" t="s">
        <v>447</v>
      </c>
      <c r="B605" s="34"/>
      <c r="C605" s="34" t="s">
        <v>45</v>
      </c>
      <c r="D605" s="34"/>
      <c r="E605" s="34">
        <v>48397</v>
      </c>
      <c r="F605" s="43"/>
      <c r="G605" s="26">
        <v>3067249</v>
      </c>
      <c r="H605" s="26"/>
      <c r="I605" s="26">
        <v>0</v>
      </c>
      <c r="J605" s="26"/>
      <c r="K605" s="26">
        <v>5153789</v>
      </c>
      <c r="L605" s="26"/>
      <c r="M605" s="26">
        <v>126131</v>
      </c>
      <c r="N605" s="26"/>
      <c r="O605" s="26">
        <v>665588</v>
      </c>
      <c r="P605" s="26"/>
      <c r="Q605" s="26">
        <v>131255</v>
      </c>
      <c r="R605" s="26"/>
      <c r="S605" s="26">
        <v>0</v>
      </c>
      <c r="T605" s="26"/>
      <c r="U605" s="26">
        <v>25948</v>
      </c>
      <c r="V605" s="26"/>
      <c r="W605" s="26">
        <f>51266+132199+757</f>
        <v>184222</v>
      </c>
      <c r="X605" s="26"/>
      <c r="Y605" s="51">
        <f t="shared" si="47"/>
        <v>9354182</v>
      </c>
      <c r="Z605" s="26"/>
      <c r="AA605" s="26">
        <v>27919</v>
      </c>
      <c r="AB605" s="26"/>
      <c r="AC605" s="26"/>
      <c r="AD605" s="26"/>
      <c r="AE605" s="26">
        <f>13758+11244951</f>
        <v>11258709</v>
      </c>
      <c r="AF605" s="26"/>
      <c r="AG605" s="26"/>
      <c r="AH605" s="26"/>
      <c r="AI605" s="26"/>
      <c r="AJ605" s="26"/>
      <c r="AK605" s="26">
        <v>1103</v>
      </c>
      <c r="AL605" s="26"/>
      <c r="AM605" s="26">
        <v>0</v>
      </c>
      <c r="AN605" s="26"/>
      <c r="AO605" s="51">
        <f t="shared" si="49"/>
        <v>11287731</v>
      </c>
      <c r="AP605" s="26"/>
      <c r="AQ605" s="51">
        <f t="shared" si="48"/>
        <v>20641913</v>
      </c>
    </row>
    <row r="606" spans="1:43">
      <c r="A606" s="13" t="s">
        <v>365</v>
      </c>
      <c r="B606" s="13"/>
      <c r="C606" s="13" t="s">
        <v>27</v>
      </c>
      <c r="D606" s="13"/>
      <c r="E606" s="32">
        <v>45047</v>
      </c>
      <c r="F606" s="26"/>
      <c r="G606" s="26">
        <v>96035461</v>
      </c>
      <c r="H606" s="26"/>
      <c r="I606" s="26">
        <v>0</v>
      </c>
      <c r="J606" s="26"/>
      <c r="K606" s="26">
        <f>50719372+4791082</f>
        <v>55510454</v>
      </c>
      <c r="L606" s="26"/>
      <c r="M606" s="26">
        <v>435765</v>
      </c>
      <c r="N606" s="26"/>
      <c r="O606" s="26">
        <v>1241502</v>
      </c>
      <c r="P606" s="26"/>
      <c r="Q606" s="26">
        <v>1355317</v>
      </c>
      <c r="R606" s="26"/>
      <c r="S606" s="26">
        <v>974418</v>
      </c>
      <c r="T606" s="26"/>
      <c r="U606" s="26">
        <v>0</v>
      </c>
      <c r="V606" s="26"/>
      <c r="W606" s="26">
        <v>918238</v>
      </c>
      <c r="X606" s="26"/>
      <c r="Y606" s="51">
        <f t="shared" si="47"/>
        <v>156471155</v>
      </c>
      <c r="Z606" s="26"/>
      <c r="AA606" s="26">
        <v>0</v>
      </c>
      <c r="AB606" s="26"/>
      <c r="AC606" s="26"/>
      <c r="AD606" s="26"/>
      <c r="AE606" s="26">
        <v>0</v>
      </c>
      <c r="AF606" s="26"/>
      <c r="AG606" s="26"/>
      <c r="AH606" s="26"/>
      <c r="AI606" s="26"/>
      <c r="AJ606" s="26"/>
      <c r="AK606" s="26">
        <v>0</v>
      </c>
      <c r="AL606" s="26"/>
      <c r="AM606" s="26">
        <v>0</v>
      </c>
      <c r="AN606" s="26"/>
      <c r="AO606" s="51">
        <f t="shared" si="49"/>
        <v>0</v>
      </c>
      <c r="AP606" s="26"/>
      <c r="AQ606" s="51">
        <f t="shared" si="48"/>
        <v>156471155</v>
      </c>
    </row>
    <row r="607" spans="1:43">
      <c r="A607" s="13" t="s">
        <v>584</v>
      </c>
      <c r="B607" s="13"/>
      <c r="C607" s="13" t="s">
        <v>54</v>
      </c>
      <c r="D607" s="13"/>
      <c r="E607" s="32">
        <v>49106</v>
      </c>
      <c r="F607" s="26"/>
      <c r="G607" s="26">
        <v>5527665</v>
      </c>
      <c r="H607" s="26"/>
      <c r="I607" s="26">
        <v>0</v>
      </c>
      <c r="J607" s="26"/>
      <c r="K607" s="26">
        <v>9915126</v>
      </c>
      <c r="L607" s="26"/>
      <c r="M607" s="26">
        <v>51333</v>
      </c>
      <c r="N607" s="26"/>
      <c r="O607" s="26">
        <v>481712</v>
      </c>
      <c r="P607" s="26"/>
      <c r="Q607" s="26">
        <v>316658</v>
      </c>
      <c r="R607" s="26"/>
      <c r="S607" s="26">
        <v>505815</v>
      </c>
      <c r="T607" s="26"/>
      <c r="U607" s="26">
        <v>65342</v>
      </c>
      <c r="V607" s="26"/>
      <c r="W607" s="26">
        <f>289621+358469</f>
        <v>648090</v>
      </c>
      <c r="X607" s="26"/>
      <c r="Y607" s="51">
        <f t="shared" si="47"/>
        <v>17511741</v>
      </c>
      <c r="Z607" s="26"/>
      <c r="AA607" s="26">
        <v>104263</v>
      </c>
      <c r="AB607" s="26"/>
      <c r="AC607" s="26"/>
      <c r="AD607" s="26"/>
      <c r="AE607" s="26">
        <v>0</v>
      </c>
      <c r="AF607" s="26"/>
      <c r="AG607" s="26"/>
      <c r="AH607" s="26"/>
      <c r="AI607" s="26"/>
      <c r="AJ607" s="26"/>
      <c r="AK607" s="26">
        <v>0</v>
      </c>
      <c r="AL607" s="26"/>
      <c r="AM607" s="26">
        <v>0</v>
      </c>
      <c r="AN607" s="26"/>
      <c r="AO607" s="51">
        <f t="shared" si="49"/>
        <v>104263</v>
      </c>
      <c r="AP607" s="26"/>
      <c r="AQ607" s="51">
        <f t="shared" si="48"/>
        <v>17616004</v>
      </c>
    </row>
    <row r="608" spans="1:43">
      <c r="A608" s="13" t="s">
        <v>325</v>
      </c>
      <c r="B608" s="13"/>
      <c r="C608" s="13" t="s">
        <v>20</v>
      </c>
      <c r="D608" s="13"/>
      <c r="E608" s="32">
        <v>45062</v>
      </c>
      <c r="F608" s="26"/>
      <c r="G608" s="26">
        <v>43331596</v>
      </c>
      <c r="H608" s="26"/>
      <c r="I608" s="26">
        <v>0</v>
      </c>
      <c r="J608" s="26"/>
      <c r="K608" s="26">
        <f>11110628+1814778</f>
        <v>12925406</v>
      </c>
      <c r="L608" s="26"/>
      <c r="M608" s="26">
        <v>802027</v>
      </c>
      <c r="N608" s="26"/>
      <c r="O608" s="26">
        <v>417510</v>
      </c>
      <c r="P608" s="26"/>
      <c r="Q608" s="26">
        <v>326839</v>
      </c>
      <c r="R608" s="26"/>
      <c r="S608" s="26">
        <v>0</v>
      </c>
      <c r="T608" s="26"/>
      <c r="U608" s="26">
        <v>130720</v>
      </c>
      <c r="V608" s="26"/>
      <c r="W608" s="26">
        <f>199168+102288+242364+933603+17201</f>
        <v>1494624</v>
      </c>
      <c r="X608" s="26"/>
      <c r="Y608" s="51">
        <f t="shared" si="47"/>
        <v>59428722</v>
      </c>
      <c r="Z608" s="26"/>
      <c r="AA608" s="26">
        <v>10000</v>
      </c>
      <c r="AB608" s="26"/>
      <c r="AC608" s="26"/>
      <c r="AD608" s="26"/>
      <c r="AE608" s="26">
        <v>348014</v>
      </c>
      <c r="AF608" s="26"/>
      <c r="AG608" s="26"/>
      <c r="AH608" s="26"/>
      <c r="AI608" s="26"/>
      <c r="AJ608" s="26"/>
      <c r="AK608" s="26">
        <v>1144</v>
      </c>
      <c r="AL608" s="26"/>
      <c r="AM608" s="26">
        <v>0</v>
      </c>
      <c r="AN608" s="26"/>
      <c r="AO608" s="51">
        <f t="shared" si="49"/>
        <v>359158</v>
      </c>
      <c r="AP608" s="26"/>
      <c r="AQ608" s="51">
        <f t="shared" si="48"/>
        <v>59787880</v>
      </c>
    </row>
    <row r="609" spans="1:43">
      <c r="A609" s="13"/>
      <c r="B609" s="13"/>
      <c r="C609" s="13"/>
      <c r="D609" s="13"/>
      <c r="E609" s="32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51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51"/>
      <c r="AP609" s="26"/>
      <c r="AQ609" s="51"/>
    </row>
    <row r="610" spans="1:43">
      <c r="A610" s="13"/>
      <c r="B610" s="13"/>
      <c r="C610" s="13"/>
      <c r="D610" s="13"/>
      <c r="E610" s="32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51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51"/>
      <c r="AP610" s="26"/>
      <c r="AQ610" s="135" t="s">
        <v>805</v>
      </c>
    </row>
    <row r="611" spans="1:43">
      <c r="A611" s="13"/>
      <c r="B611" s="13"/>
      <c r="C611" s="13"/>
      <c r="D611" s="13"/>
      <c r="E611" s="32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51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51"/>
      <c r="AP611" s="26"/>
      <c r="AQ611" s="51"/>
    </row>
    <row r="612" spans="1:43">
      <c r="A612" s="13" t="s">
        <v>634</v>
      </c>
      <c r="B612" s="13"/>
      <c r="C612" s="13" t="s">
        <v>59</v>
      </c>
      <c r="D612" s="13"/>
      <c r="E612" s="32">
        <v>49668</v>
      </c>
      <c r="F612" s="26"/>
      <c r="G612" s="43">
        <v>3549542</v>
      </c>
      <c r="H612" s="43"/>
      <c r="I612" s="43">
        <v>0</v>
      </c>
      <c r="J612" s="43"/>
      <c r="K612" s="43">
        <v>10168016</v>
      </c>
      <c r="L612" s="43"/>
      <c r="M612" s="43">
        <f>166634+17488</f>
        <v>184122</v>
      </c>
      <c r="N612" s="43"/>
      <c r="O612" s="43">
        <v>1473775</v>
      </c>
      <c r="P612" s="43"/>
      <c r="Q612" s="43">
        <v>318343</v>
      </c>
      <c r="R612" s="43"/>
      <c r="S612" s="43">
        <v>0</v>
      </c>
      <c r="T612" s="43"/>
      <c r="U612" s="43">
        <v>70242</v>
      </c>
      <c r="V612" s="43"/>
      <c r="W612" s="43">
        <f>53338+284194+242</f>
        <v>337774</v>
      </c>
      <c r="X612" s="43"/>
      <c r="Y612" s="129">
        <f t="shared" si="47"/>
        <v>16101814</v>
      </c>
      <c r="Z612" s="43"/>
      <c r="AA612" s="43">
        <v>276597</v>
      </c>
      <c r="AB612" s="43"/>
      <c r="AC612" s="43"/>
      <c r="AD612" s="43"/>
      <c r="AE612" s="43">
        <v>0</v>
      </c>
      <c r="AF612" s="43"/>
      <c r="AG612" s="43"/>
      <c r="AH612" s="43"/>
      <c r="AI612" s="43"/>
      <c r="AJ612" s="43"/>
      <c r="AK612" s="43">
        <v>122732</v>
      </c>
      <c r="AL612" s="43"/>
      <c r="AM612" s="43">
        <v>0</v>
      </c>
      <c r="AN612" s="43"/>
      <c r="AO612" s="129">
        <f t="shared" ref="AO612:AO631" si="50">AK612+AE612+AA612</f>
        <v>399329</v>
      </c>
      <c r="AP612" s="43"/>
      <c r="AQ612" s="129">
        <f t="shared" si="48"/>
        <v>16501143</v>
      </c>
    </row>
    <row r="613" spans="1:43">
      <c r="A613" s="13" t="s">
        <v>366</v>
      </c>
      <c r="B613" s="13"/>
      <c r="C613" s="13" t="s">
        <v>27</v>
      </c>
      <c r="D613" s="13"/>
      <c r="E613" s="32">
        <v>45070</v>
      </c>
      <c r="F613" s="26"/>
      <c r="G613" s="26">
        <v>14757003</v>
      </c>
      <c r="H613" s="26"/>
      <c r="I613" s="26">
        <v>0</v>
      </c>
      <c r="J613" s="26"/>
      <c r="K613" s="26">
        <f>3309628+16340171+5235600</f>
        <v>24885399</v>
      </c>
      <c r="L613" s="26"/>
      <c r="M613" s="26">
        <v>920741</v>
      </c>
      <c r="N613" s="26"/>
      <c r="O613" s="26">
        <v>552346</v>
      </c>
      <c r="P613" s="26"/>
      <c r="Q613" s="26">
        <v>86856</v>
      </c>
      <c r="R613" s="26"/>
      <c r="S613" s="26">
        <v>0</v>
      </c>
      <c r="T613" s="26"/>
      <c r="U613" s="26">
        <v>0</v>
      </c>
      <c r="V613" s="26"/>
      <c r="W613" s="26">
        <v>213636</v>
      </c>
      <c r="X613" s="26"/>
      <c r="Y613" s="51">
        <f t="shared" si="47"/>
        <v>41415981</v>
      </c>
      <c r="Z613" s="26"/>
      <c r="AA613" s="26">
        <v>500000</v>
      </c>
      <c r="AB613" s="26"/>
      <c r="AC613" s="26"/>
      <c r="AD613" s="26"/>
      <c r="AE613" s="26">
        <f>35790+30500000+242521+478546</f>
        <v>31256857</v>
      </c>
      <c r="AF613" s="26"/>
      <c r="AG613" s="26"/>
      <c r="AH613" s="26"/>
      <c r="AI613" s="26"/>
      <c r="AJ613" s="26"/>
      <c r="AK613" s="26">
        <v>0</v>
      </c>
      <c r="AL613" s="26"/>
      <c r="AM613" s="26">
        <v>0</v>
      </c>
      <c r="AN613" s="26"/>
      <c r="AO613" s="51">
        <f t="shared" si="50"/>
        <v>31756857</v>
      </c>
      <c r="AP613" s="26"/>
      <c r="AQ613" s="51">
        <f t="shared" si="48"/>
        <v>73172838</v>
      </c>
    </row>
    <row r="614" spans="1:43" hidden="1">
      <c r="A614" s="12" t="s">
        <v>844</v>
      </c>
      <c r="B614" s="13"/>
      <c r="C614" s="13" t="s">
        <v>41</v>
      </c>
      <c r="D614" s="13"/>
      <c r="E614" s="32">
        <v>45088</v>
      </c>
      <c r="F614" s="26"/>
      <c r="G614" s="26"/>
      <c r="H614" s="26"/>
      <c r="I614" s="26">
        <v>0</v>
      </c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51">
        <f t="shared" si="47"/>
        <v>0</v>
      </c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>
        <v>0</v>
      </c>
      <c r="AN614" s="26"/>
      <c r="AO614" s="51">
        <f t="shared" si="50"/>
        <v>0</v>
      </c>
      <c r="AP614" s="26"/>
      <c r="AQ614" s="51">
        <f t="shared" si="48"/>
        <v>0</v>
      </c>
    </row>
    <row r="615" spans="1:43">
      <c r="A615" s="13" t="s">
        <v>448</v>
      </c>
      <c r="B615" s="13"/>
      <c r="C615" s="13" t="s">
        <v>37</v>
      </c>
      <c r="D615" s="13"/>
      <c r="E615" s="32">
        <v>45096</v>
      </c>
      <c r="F615" s="26"/>
      <c r="G615" s="26">
        <v>5390707</v>
      </c>
      <c r="H615" s="26"/>
      <c r="I615" s="26">
        <v>0</v>
      </c>
      <c r="J615" s="26"/>
      <c r="K615" s="26">
        <f>7269+11198722+1867094</f>
        <v>13073085</v>
      </c>
      <c r="L615" s="26"/>
      <c r="M615" s="26">
        <v>98217</v>
      </c>
      <c r="N615" s="26"/>
      <c r="O615" s="26">
        <v>219902</v>
      </c>
      <c r="P615" s="26"/>
      <c r="Q615" s="26">
        <v>290714</v>
      </c>
      <c r="R615" s="26"/>
      <c r="S615" s="26">
        <v>0</v>
      </c>
      <c r="T615" s="26"/>
      <c r="U615" s="26">
        <v>32412</v>
      </c>
      <c r="V615" s="26"/>
      <c r="W615" s="26">
        <f>118485+7024+46204+348671+12110</f>
        <v>532494</v>
      </c>
      <c r="X615" s="26"/>
      <c r="Y615" s="51">
        <f t="shared" si="47"/>
        <v>19637531</v>
      </c>
      <c r="Z615" s="26"/>
      <c r="AA615" s="26">
        <v>129238</v>
      </c>
      <c r="AB615" s="26"/>
      <c r="AC615" s="26"/>
      <c r="AD615" s="26"/>
      <c r="AE615" s="26">
        <v>0</v>
      </c>
      <c r="AF615" s="26"/>
      <c r="AG615" s="26"/>
      <c r="AH615" s="26"/>
      <c r="AI615" s="26"/>
      <c r="AJ615" s="26"/>
      <c r="AK615" s="26">
        <v>6892</v>
      </c>
      <c r="AL615" s="26"/>
      <c r="AM615" s="26">
        <v>0</v>
      </c>
      <c r="AN615" s="26"/>
      <c r="AO615" s="51">
        <f t="shared" si="50"/>
        <v>136130</v>
      </c>
      <c r="AP615" s="26"/>
      <c r="AQ615" s="51">
        <f t="shared" si="48"/>
        <v>19773661</v>
      </c>
    </row>
    <row r="616" spans="1:43">
      <c r="A616" s="13" t="s">
        <v>273</v>
      </c>
      <c r="B616" s="13"/>
      <c r="C616" s="13" t="s">
        <v>115</v>
      </c>
      <c r="D616" s="13"/>
      <c r="E616" s="32">
        <v>46367</v>
      </c>
      <c r="F616" s="26"/>
      <c r="G616" s="26">
        <v>3241539</v>
      </c>
      <c r="H616" s="26"/>
      <c r="I616" s="26">
        <v>0</v>
      </c>
      <c r="J616" s="26"/>
      <c r="K616" s="26">
        <v>5471943</v>
      </c>
      <c r="L616" s="26"/>
      <c r="M616" s="26">
        <v>91391</v>
      </c>
      <c r="N616" s="26"/>
      <c r="O616" s="26">
        <v>390824</v>
      </c>
      <c r="P616" s="26"/>
      <c r="Q616" s="26">
        <v>77691</v>
      </c>
      <c r="R616" s="26"/>
      <c r="S616" s="26">
        <v>153563</v>
      </c>
      <c r="T616" s="26"/>
      <c r="U616" s="26">
        <v>69231</v>
      </c>
      <c r="V616" s="26"/>
      <c r="W616" s="26">
        <f>155235+283715+220557</f>
        <v>659507</v>
      </c>
      <c r="X616" s="26"/>
      <c r="Y616" s="51">
        <f t="shared" si="47"/>
        <v>10155689</v>
      </c>
      <c r="Z616" s="26"/>
      <c r="AA616" s="26">
        <v>137130</v>
      </c>
      <c r="AB616" s="26"/>
      <c r="AC616" s="26"/>
      <c r="AD616" s="26"/>
      <c r="AE616" s="26">
        <v>0</v>
      </c>
      <c r="AF616" s="26"/>
      <c r="AG616" s="26"/>
      <c r="AH616" s="26"/>
      <c r="AI616" s="26"/>
      <c r="AJ616" s="26"/>
      <c r="AK616" s="26">
        <v>0</v>
      </c>
      <c r="AL616" s="26"/>
      <c r="AM616" s="26">
        <v>0</v>
      </c>
      <c r="AN616" s="26"/>
      <c r="AO616" s="51">
        <f t="shared" si="50"/>
        <v>137130</v>
      </c>
      <c r="AP616" s="26"/>
      <c r="AQ616" s="51">
        <f t="shared" si="48"/>
        <v>10292819</v>
      </c>
    </row>
    <row r="617" spans="1:43">
      <c r="A617" s="13" t="s">
        <v>464</v>
      </c>
      <c r="B617" s="13"/>
      <c r="C617" s="13" t="s">
        <v>41</v>
      </c>
      <c r="D617" s="13"/>
      <c r="E617" s="32">
        <v>45104</v>
      </c>
      <c r="F617" s="26"/>
      <c r="G617" s="26">
        <v>53740260</v>
      </c>
      <c r="H617" s="26"/>
      <c r="I617" s="26">
        <v>0</v>
      </c>
      <c r="J617" s="26"/>
      <c r="K617" s="26">
        <v>33447476</v>
      </c>
      <c r="L617" s="26"/>
      <c r="M617" s="26">
        <v>619956</v>
      </c>
      <c r="N617" s="26"/>
      <c r="O617" s="26">
        <v>2812294</v>
      </c>
      <c r="P617" s="26"/>
      <c r="Q617" s="26">
        <v>732942</v>
      </c>
      <c r="R617" s="26"/>
      <c r="S617" s="26">
        <v>0</v>
      </c>
      <c r="T617" s="26"/>
      <c r="U617" s="26">
        <v>265456</v>
      </c>
      <c r="V617" s="26"/>
      <c r="W617" s="26">
        <f>209669+1981126+680668</f>
        <v>2871463</v>
      </c>
      <c r="X617" s="26"/>
      <c r="Y617" s="51">
        <f t="shared" si="47"/>
        <v>94489847</v>
      </c>
      <c r="Z617" s="26"/>
      <c r="AA617" s="26">
        <v>1597890</v>
      </c>
      <c r="AB617" s="26"/>
      <c r="AC617" s="26"/>
      <c r="AD617" s="26"/>
      <c r="AE617" s="26">
        <v>0</v>
      </c>
      <c r="AF617" s="26"/>
      <c r="AG617" s="26"/>
      <c r="AH617" s="26"/>
      <c r="AI617" s="26"/>
      <c r="AJ617" s="26"/>
      <c r="AK617" s="26">
        <v>1030</v>
      </c>
      <c r="AL617" s="26"/>
      <c r="AM617" s="26">
        <v>0</v>
      </c>
      <c r="AN617" s="26"/>
      <c r="AO617" s="51">
        <f t="shared" si="50"/>
        <v>1598920</v>
      </c>
      <c r="AP617" s="26"/>
      <c r="AQ617" s="51">
        <f t="shared" si="48"/>
        <v>96088767</v>
      </c>
    </row>
    <row r="618" spans="1:43" ht="13.5" customHeight="1">
      <c r="A618" s="13" t="s">
        <v>277</v>
      </c>
      <c r="B618" s="13"/>
      <c r="C618" s="13" t="s">
        <v>18</v>
      </c>
      <c r="D618" s="13"/>
      <c r="E618" s="32">
        <v>45112</v>
      </c>
      <c r="F618" s="26"/>
      <c r="G618" s="26">
        <v>13753621</v>
      </c>
      <c r="H618" s="26"/>
      <c r="I618" s="26">
        <v>0</v>
      </c>
      <c r="J618" s="26"/>
      <c r="K618" s="26">
        <v>13213107</v>
      </c>
      <c r="L618" s="26"/>
      <c r="M618" s="26">
        <v>159867</v>
      </c>
      <c r="N618" s="26"/>
      <c r="O618" s="26">
        <v>676321</v>
      </c>
      <c r="P618" s="26"/>
      <c r="Q618" s="26">
        <v>114548</v>
      </c>
      <c r="R618" s="26"/>
      <c r="S618" s="26">
        <v>541223</v>
      </c>
      <c r="T618" s="26"/>
      <c r="U618" s="26">
        <v>0</v>
      </c>
      <c r="V618" s="26"/>
      <c r="W618" s="26">
        <f>586385+130383</f>
        <v>716768</v>
      </c>
      <c r="X618" s="26"/>
      <c r="Y618" s="51">
        <f t="shared" si="47"/>
        <v>29175455</v>
      </c>
      <c r="Z618" s="26"/>
      <c r="AA618" s="26">
        <v>152578</v>
      </c>
      <c r="AB618" s="26"/>
      <c r="AC618" s="26"/>
      <c r="AD618" s="26"/>
      <c r="AE618" s="26">
        <v>0</v>
      </c>
      <c r="AF618" s="26"/>
      <c r="AG618" s="26"/>
      <c r="AH618" s="26"/>
      <c r="AI618" s="26"/>
      <c r="AJ618" s="26"/>
      <c r="AK618" s="26">
        <v>0</v>
      </c>
      <c r="AL618" s="26"/>
      <c r="AM618" s="26">
        <v>0</v>
      </c>
      <c r="AN618" s="26"/>
      <c r="AO618" s="51">
        <f t="shared" si="50"/>
        <v>152578</v>
      </c>
      <c r="AP618" s="26"/>
      <c r="AQ618" s="51">
        <f t="shared" si="48"/>
        <v>29328033</v>
      </c>
    </row>
    <row r="619" spans="1:43">
      <c r="A619" s="13" t="s">
        <v>597</v>
      </c>
      <c r="B619" s="13"/>
      <c r="C619" s="13" t="s">
        <v>56</v>
      </c>
      <c r="D619" s="13"/>
      <c r="E619" s="32">
        <v>45666</v>
      </c>
      <c r="F619" s="26"/>
      <c r="G619" s="26">
        <v>1647981</v>
      </c>
      <c r="H619" s="26"/>
      <c r="I619" s="26">
        <v>0</v>
      </c>
      <c r="J619" s="26"/>
      <c r="K619" s="26">
        <f>7360+6666226+953633</f>
        <v>7627219</v>
      </c>
      <c r="L619" s="26"/>
      <c r="M619" s="26">
        <v>23073</v>
      </c>
      <c r="N619" s="26"/>
      <c r="O619" s="26">
        <v>197325</v>
      </c>
      <c r="P619" s="26"/>
      <c r="Q619" s="26">
        <v>88972</v>
      </c>
      <c r="R619" s="26"/>
      <c r="S619" s="26">
        <v>0</v>
      </c>
      <c r="T619" s="26"/>
      <c r="U619" s="26">
        <v>0</v>
      </c>
      <c r="V619" s="26"/>
      <c r="W619" s="26">
        <f>60374+3036+86444</f>
        <v>149854</v>
      </c>
      <c r="X619" s="26"/>
      <c r="Y619" s="51">
        <f t="shared" si="47"/>
        <v>9734424</v>
      </c>
      <c r="Z619" s="26"/>
      <c r="AA619" s="26">
        <v>0</v>
      </c>
      <c r="AB619" s="26"/>
      <c r="AC619" s="26"/>
      <c r="AD619" s="26"/>
      <c r="AE619" s="26">
        <v>0</v>
      </c>
      <c r="AF619" s="26"/>
      <c r="AG619" s="26"/>
      <c r="AH619" s="26"/>
      <c r="AI619" s="26"/>
      <c r="AJ619" s="26"/>
      <c r="AK619" s="26">
        <v>0</v>
      </c>
      <c r="AL619" s="26"/>
      <c r="AM619" s="26">
        <v>0</v>
      </c>
      <c r="AN619" s="26"/>
      <c r="AO619" s="51">
        <f t="shared" si="50"/>
        <v>0</v>
      </c>
      <c r="AP619" s="26"/>
      <c r="AQ619" s="51">
        <f t="shared" si="48"/>
        <v>9734424</v>
      </c>
    </row>
    <row r="620" spans="1:43">
      <c r="A620" s="13" t="s">
        <v>411</v>
      </c>
      <c r="B620" s="13"/>
      <c r="C620" s="13" t="s">
        <v>32</v>
      </c>
      <c r="D620" s="13"/>
      <c r="E620" s="32">
        <v>44081</v>
      </c>
      <c r="F620" s="26"/>
      <c r="G620" s="26">
        <v>19707139</v>
      </c>
      <c r="H620" s="26"/>
      <c r="I620" s="26">
        <v>0</v>
      </c>
      <c r="J620" s="26"/>
      <c r="K620" s="26">
        <v>21900121</v>
      </c>
      <c r="L620" s="26"/>
      <c r="M620" s="26">
        <v>147697</v>
      </c>
      <c r="N620" s="26"/>
      <c r="O620" s="26">
        <v>809628</v>
      </c>
      <c r="P620" s="26"/>
      <c r="Q620" s="26">
        <v>258435</v>
      </c>
      <c r="R620" s="26"/>
      <c r="S620" s="26">
        <v>0</v>
      </c>
      <c r="T620" s="26"/>
      <c r="U620" s="26">
        <v>0</v>
      </c>
      <c r="V620" s="26"/>
      <c r="W620" s="26">
        <f>510982+788437</f>
        <v>1299419</v>
      </c>
      <c r="X620" s="26"/>
      <c r="Y620" s="51">
        <f t="shared" si="47"/>
        <v>44122439</v>
      </c>
      <c r="Z620" s="26"/>
      <c r="AA620" s="26">
        <v>0</v>
      </c>
      <c r="AB620" s="26"/>
      <c r="AC620" s="26"/>
      <c r="AD620" s="26"/>
      <c r="AE620" s="26">
        <v>0</v>
      </c>
      <c r="AF620" s="26"/>
      <c r="AG620" s="26"/>
      <c r="AH620" s="26"/>
      <c r="AI620" s="26"/>
      <c r="AJ620" s="26"/>
      <c r="AK620" s="26">
        <v>339355</v>
      </c>
      <c r="AL620" s="26"/>
      <c r="AM620" s="26">
        <v>0</v>
      </c>
      <c r="AN620" s="26"/>
      <c r="AO620" s="51">
        <f t="shared" si="50"/>
        <v>339355</v>
      </c>
      <c r="AP620" s="26"/>
      <c r="AQ620" s="51">
        <f t="shared" si="48"/>
        <v>44461794</v>
      </c>
    </row>
    <row r="621" spans="1:43">
      <c r="A621" s="13" t="s">
        <v>720</v>
      </c>
      <c r="B621" s="13"/>
      <c r="C621" s="13" t="s">
        <v>70</v>
      </c>
      <c r="D621" s="13"/>
      <c r="E621" s="32">
        <v>50518</v>
      </c>
      <c r="F621" s="26"/>
      <c r="G621" s="26">
        <v>4791701</v>
      </c>
      <c r="H621" s="26"/>
      <c r="I621" s="26">
        <v>0</v>
      </c>
      <c r="J621" s="26"/>
      <c r="K621" s="26">
        <v>3073270</v>
      </c>
      <c r="L621" s="26"/>
      <c r="M621" s="26">
        <v>157772</v>
      </c>
      <c r="N621" s="26"/>
      <c r="O621" s="26">
        <v>273728</v>
      </c>
      <c r="P621" s="26"/>
      <c r="Q621" s="26">
        <v>118400</v>
      </c>
      <c r="R621" s="26"/>
      <c r="S621" s="26">
        <v>0</v>
      </c>
      <c r="T621" s="26"/>
      <c r="U621" s="26">
        <v>76678</v>
      </c>
      <c r="V621" s="26"/>
      <c r="W621" s="26">
        <f>14301+102530</f>
        <v>116831</v>
      </c>
      <c r="X621" s="26"/>
      <c r="Y621" s="51">
        <f t="shared" si="47"/>
        <v>8608380</v>
      </c>
      <c r="Z621" s="26"/>
      <c r="AA621" s="26">
        <v>100000</v>
      </c>
      <c r="AB621" s="26"/>
      <c r="AC621" s="26"/>
      <c r="AD621" s="26"/>
      <c r="AE621" s="26">
        <v>0</v>
      </c>
      <c r="AF621" s="26"/>
      <c r="AG621" s="26"/>
      <c r="AH621" s="26"/>
      <c r="AI621" s="26"/>
      <c r="AJ621" s="26"/>
      <c r="AK621" s="26">
        <v>0</v>
      </c>
      <c r="AL621" s="26"/>
      <c r="AM621" s="26">
        <v>0</v>
      </c>
      <c r="AN621" s="26"/>
      <c r="AO621" s="51">
        <f t="shared" si="50"/>
        <v>100000</v>
      </c>
      <c r="AP621" s="26"/>
      <c r="AQ621" s="51">
        <f t="shared" si="48"/>
        <v>8708380</v>
      </c>
    </row>
    <row r="622" spans="1:43">
      <c r="A622" s="13" t="s">
        <v>625</v>
      </c>
      <c r="B622" s="13"/>
      <c r="C622" s="13" t="s">
        <v>79</v>
      </c>
      <c r="D622" s="13"/>
      <c r="E622" s="32">
        <v>49577</v>
      </c>
      <c r="F622" s="26"/>
      <c r="G622" s="26">
        <v>4022146</v>
      </c>
      <c r="H622" s="26"/>
      <c r="I622" s="26">
        <v>0</v>
      </c>
      <c r="J622" s="26"/>
      <c r="K622" s="26">
        <f>5000875+773388</f>
        <v>5774263</v>
      </c>
      <c r="L622" s="26"/>
      <c r="M622" s="26">
        <v>11035</v>
      </c>
      <c r="N622" s="26"/>
      <c r="O622" s="26">
        <v>265668</v>
      </c>
      <c r="P622" s="26"/>
      <c r="Q622" s="26">
        <v>176088</v>
      </c>
      <c r="R622" s="26"/>
      <c r="S622" s="26">
        <v>194000</v>
      </c>
      <c r="T622" s="26"/>
      <c r="U622" s="26">
        <v>0</v>
      </c>
      <c r="V622" s="26"/>
      <c r="W622" s="26">
        <f>265023+81062+45703</f>
        <v>391788</v>
      </c>
      <c r="X622" s="26"/>
      <c r="Y622" s="51">
        <f t="shared" si="47"/>
        <v>10834988</v>
      </c>
      <c r="Z622" s="26"/>
      <c r="AA622" s="26">
        <v>76986</v>
      </c>
      <c r="AB622" s="26"/>
      <c r="AC622" s="26"/>
      <c r="AD622" s="26"/>
      <c r="AE622" s="26">
        <v>256274</v>
      </c>
      <c r="AF622" s="26"/>
      <c r="AG622" s="26"/>
      <c r="AH622" s="26"/>
      <c r="AI622" s="26"/>
      <c r="AJ622" s="26"/>
      <c r="AK622" s="26">
        <v>0</v>
      </c>
      <c r="AL622" s="26"/>
      <c r="AM622" s="26">
        <v>0</v>
      </c>
      <c r="AN622" s="26"/>
      <c r="AO622" s="51">
        <f t="shared" si="50"/>
        <v>333260</v>
      </c>
      <c r="AP622" s="26"/>
      <c r="AQ622" s="51">
        <f t="shared" si="48"/>
        <v>11168248</v>
      </c>
    </row>
    <row r="623" spans="1:43">
      <c r="A623" s="13" t="s">
        <v>674</v>
      </c>
      <c r="B623" s="13"/>
      <c r="C623" s="13" t="s">
        <v>63</v>
      </c>
      <c r="D623" s="13"/>
      <c r="E623" s="32">
        <v>49973</v>
      </c>
      <c r="F623" s="26"/>
      <c r="G623" s="26">
        <v>16360534</v>
      </c>
      <c r="H623" s="26"/>
      <c r="I623" s="26">
        <v>0</v>
      </c>
      <c r="J623" s="26"/>
      <c r="K623" s="26">
        <v>6819171</v>
      </c>
      <c r="L623" s="26"/>
      <c r="M623" s="26">
        <v>222603</v>
      </c>
      <c r="N623" s="26"/>
      <c r="O623" s="26">
        <v>1139128</v>
      </c>
      <c r="P623" s="26"/>
      <c r="Q623" s="26">
        <v>238840</v>
      </c>
      <c r="R623" s="26"/>
      <c r="S623" s="26">
        <v>391840</v>
      </c>
      <c r="T623" s="26"/>
      <c r="U623" s="26">
        <v>36739</v>
      </c>
      <c r="V623" s="26"/>
      <c r="W623" s="26">
        <f>70822+195+378561</f>
        <v>449578</v>
      </c>
      <c r="X623" s="26"/>
      <c r="Y623" s="51">
        <f t="shared" si="47"/>
        <v>25658433</v>
      </c>
      <c r="Z623" s="26"/>
      <c r="AA623" s="8">
        <v>84300</v>
      </c>
      <c r="AB623" s="26"/>
      <c r="AC623" s="26"/>
      <c r="AD623" s="26"/>
      <c r="AE623" s="26">
        <v>119529</v>
      </c>
      <c r="AF623" s="26"/>
      <c r="AG623" s="26"/>
      <c r="AH623" s="26"/>
      <c r="AI623" s="26"/>
      <c r="AJ623" s="26"/>
      <c r="AK623" s="26">
        <v>0</v>
      </c>
      <c r="AL623" s="26"/>
      <c r="AM623" s="26">
        <v>0</v>
      </c>
      <c r="AN623" s="26"/>
      <c r="AO623" s="51">
        <f t="shared" si="50"/>
        <v>203829</v>
      </c>
      <c r="AP623" s="26"/>
      <c r="AQ623" s="51">
        <f t="shared" si="48"/>
        <v>25862262</v>
      </c>
    </row>
    <row r="624" spans="1:43">
      <c r="A624" s="13" t="s">
        <v>845</v>
      </c>
      <c r="B624" s="13"/>
      <c r="C624" s="13" t="s">
        <v>71</v>
      </c>
      <c r="D624" s="13"/>
      <c r="E624" s="32">
        <v>45138</v>
      </c>
      <c r="F624" s="26"/>
      <c r="G624" s="26">
        <v>23832219</v>
      </c>
      <c r="H624" s="26"/>
      <c r="I624" s="26">
        <v>0</v>
      </c>
      <c r="J624" s="26"/>
      <c r="K624" s="26">
        <v>19266383</v>
      </c>
      <c r="L624" s="26"/>
      <c r="M624" s="26">
        <v>506877</v>
      </c>
      <c r="N624" s="26"/>
      <c r="O624" s="26">
        <v>692418</v>
      </c>
      <c r="P624" s="26"/>
      <c r="Q624" s="26">
        <v>320458</v>
      </c>
      <c r="R624" s="26"/>
      <c r="S624" s="26">
        <v>0</v>
      </c>
      <c r="T624" s="26"/>
      <c r="U624" s="26">
        <v>46422</v>
      </c>
      <c r="V624" s="26"/>
      <c r="W624" s="26">
        <f>61056+77849</f>
        <v>138905</v>
      </c>
      <c r="X624" s="26"/>
      <c r="Y624" s="51">
        <f t="shared" si="47"/>
        <v>44803682</v>
      </c>
      <c r="Z624" s="26"/>
      <c r="AA624" s="26">
        <v>492275</v>
      </c>
      <c r="AB624" s="26"/>
      <c r="AC624" s="26"/>
      <c r="AD624" s="26"/>
      <c r="AE624" s="26">
        <v>1757800</v>
      </c>
      <c r="AF624" s="26"/>
      <c r="AG624" s="26"/>
      <c r="AH624" s="26"/>
      <c r="AI624" s="26"/>
      <c r="AJ624" s="26"/>
      <c r="AK624" s="26">
        <v>450</v>
      </c>
      <c r="AL624" s="26"/>
      <c r="AM624" s="26">
        <v>0</v>
      </c>
      <c r="AN624" s="26"/>
      <c r="AO624" s="51">
        <f t="shared" si="50"/>
        <v>2250525</v>
      </c>
      <c r="AP624" s="26"/>
      <c r="AQ624" s="51">
        <f t="shared" si="48"/>
        <v>47054207</v>
      </c>
    </row>
    <row r="625" spans="1:43">
      <c r="A625" s="13" t="s">
        <v>367</v>
      </c>
      <c r="B625" s="13"/>
      <c r="C625" s="13" t="s">
        <v>27</v>
      </c>
      <c r="D625" s="13"/>
      <c r="E625" s="32">
        <v>46524</v>
      </c>
      <c r="F625" s="26"/>
      <c r="G625" s="26">
        <v>81615258</v>
      </c>
      <c r="H625" s="26"/>
      <c r="I625" s="26">
        <v>0</v>
      </c>
      <c r="J625" s="26"/>
      <c r="K625" s="26">
        <v>40631055</v>
      </c>
      <c r="L625" s="26"/>
      <c r="M625" s="26">
        <v>1427545</v>
      </c>
      <c r="N625" s="26"/>
      <c r="O625" s="26">
        <v>1768799</v>
      </c>
      <c r="P625" s="26"/>
      <c r="Q625" s="26">
        <v>718574</v>
      </c>
      <c r="R625" s="26"/>
      <c r="S625" s="26">
        <v>0</v>
      </c>
      <c r="T625" s="26"/>
      <c r="U625" s="26">
        <v>0</v>
      </c>
      <c r="V625" s="26"/>
      <c r="W625" s="26">
        <f>2332991+1098554</f>
        <v>3431545</v>
      </c>
      <c r="X625" s="26"/>
      <c r="Y625" s="51">
        <f t="shared" si="47"/>
        <v>129592776</v>
      </c>
      <c r="Z625" s="26"/>
      <c r="AA625" s="26">
        <v>942302</v>
      </c>
      <c r="AB625" s="26"/>
      <c r="AC625" s="26"/>
      <c r="AD625" s="26"/>
      <c r="AE625" s="26">
        <f>13898987+5549992+1799407</f>
        <v>21248386</v>
      </c>
      <c r="AF625" s="26"/>
      <c r="AG625" s="26"/>
      <c r="AH625" s="26"/>
      <c r="AI625" s="26"/>
      <c r="AJ625" s="26"/>
      <c r="AK625" s="26">
        <v>84169</v>
      </c>
      <c r="AL625" s="26"/>
      <c r="AM625" s="26">
        <v>0</v>
      </c>
      <c r="AN625" s="26"/>
      <c r="AO625" s="51">
        <f t="shared" si="50"/>
        <v>22274857</v>
      </c>
      <c r="AP625" s="26"/>
      <c r="AQ625" s="51">
        <f t="shared" si="48"/>
        <v>151867633</v>
      </c>
    </row>
    <row r="626" spans="1:43">
      <c r="A626" s="13" t="s">
        <v>295</v>
      </c>
      <c r="B626" s="13"/>
      <c r="C626" s="13" t="s">
        <v>113</v>
      </c>
      <c r="D626" s="13"/>
      <c r="E626" s="32">
        <v>45146</v>
      </c>
      <c r="F626" s="26"/>
      <c r="G626" s="26">
        <v>3698450</v>
      </c>
      <c r="H626" s="26"/>
      <c r="I626" s="26">
        <v>0</v>
      </c>
      <c r="J626" s="26"/>
      <c r="K626" s="26">
        <f>5842657+635545</f>
        <v>6478202</v>
      </c>
      <c r="L626" s="26"/>
      <c r="M626" s="26">
        <v>78774</v>
      </c>
      <c r="N626" s="26"/>
      <c r="O626" s="26">
        <v>684507</v>
      </c>
      <c r="P626" s="26"/>
      <c r="Q626" s="26">
        <v>103241</v>
      </c>
      <c r="R626" s="26"/>
      <c r="S626" s="26">
        <v>0</v>
      </c>
      <c r="T626" s="26"/>
      <c r="U626" s="26">
        <v>6503</v>
      </c>
      <c r="V626" s="26"/>
      <c r="W626" s="26">
        <f>43811+1138+54008+260819</f>
        <v>359776</v>
      </c>
      <c r="X626" s="26"/>
      <c r="Y626" s="51">
        <f t="shared" si="47"/>
        <v>11409453</v>
      </c>
      <c r="Z626" s="26"/>
      <c r="AA626" s="26">
        <v>72478</v>
      </c>
      <c r="AB626" s="26"/>
      <c r="AC626" s="26"/>
      <c r="AD626" s="26"/>
      <c r="AE626" s="26">
        <v>0</v>
      </c>
      <c r="AF626" s="26"/>
      <c r="AG626" s="26"/>
      <c r="AH626" s="26"/>
      <c r="AI626" s="26"/>
      <c r="AJ626" s="26"/>
      <c r="AK626" s="26">
        <v>0</v>
      </c>
      <c r="AL626" s="26"/>
      <c r="AM626" s="26">
        <v>0</v>
      </c>
      <c r="AN626" s="26"/>
      <c r="AO626" s="51">
        <f t="shared" si="50"/>
        <v>72478</v>
      </c>
      <c r="AP626" s="26"/>
      <c r="AQ626" s="51">
        <f t="shared" si="48"/>
        <v>11481931</v>
      </c>
    </row>
    <row r="627" spans="1:43">
      <c r="A627" s="13" t="s">
        <v>412</v>
      </c>
      <c r="B627" s="13"/>
      <c r="C627" s="13" t="s">
        <v>32</v>
      </c>
      <c r="D627" s="13"/>
      <c r="E627" s="32">
        <v>45153</v>
      </c>
      <c r="F627" s="26"/>
      <c r="G627" s="26">
        <v>16293505</v>
      </c>
      <c r="H627" s="26"/>
      <c r="I627" s="26">
        <v>0</v>
      </c>
      <c r="J627" s="26"/>
      <c r="K627" s="26">
        <v>7954072</v>
      </c>
      <c r="L627" s="26"/>
      <c r="M627" s="26">
        <v>383741</v>
      </c>
      <c r="N627" s="26"/>
      <c r="O627" s="26">
        <v>614341</v>
      </c>
      <c r="P627" s="26"/>
      <c r="Q627" s="26">
        <v>159017</v>
      </c>
      <c r="R627" s="26"/>
      <c r="S627" s="26">
        <v>0</v>
      </c>
      <c r="T627" s="26"/>
      <c r="U627" s="26">
        <v>0</v>
      </c>
      <c r="V627" s="26"/>
      <c r="W627" s="26">
        <f>414566+696841</f>
        <v>1111407</v>
      </c>
      <c r="X627" s="26"/>
      <c r="Y627" s="51">
        <f t="shared" si="47"/>
        <v>26516083</v>
      </c>
      <c r="Z627" s="26"/>
      <c r="AA627" s="26">
        <v>261020</v>
      </c>
      <c r="AB627" s="26"/>
      <c r="AC627" s="26"/>
      <c r="AD627" s="26"/>
      <c r="AE627" s="26">
        <v>0</v>
      </c>
      <c r="AF627" s="26"/>
      <c r="AG627" s="26"/>
      <c r="AH627" s="26"/>
      <c r="AI627" s="26"/>
      <c r="AJ627" s="26"/>
      <c r="AK627" s="26">
        <v>0</v>
      </c>
      <c r="AL627" s="26"/>
      <c r="AM627" s="26">
        <v>0</v>
      </c>
      <c r="AN627" s="26"/>
      <c r="AO627" s="51">
        <f t="shared" si="50"/>
        <v>261020</v>
      </c>
      <c r="AP627" s="26"/>
      <c r="AQ627" s="51">
        <f t="shared" si="48"/>
        <v>26777103</v>
      </c>
    </row>
    <row r="628" spans="1:43">
      <c r="A628" s="13" t="s">
        <v>388</v>
      </c>
      <c r="B628" s="13"/>
      <c r="C628" s="13" t="s">
        <v>116</v>
      </c>
      <c r="D628" s="13"/>
      <c r="E628" s="32">
        <v>45674</v>
      </c>
      <c r="F628" s="26"/>
      <c r="G628" s="26">
        <v>3595523</v>
      </c>
      <c r="H628" s="26"/>
      <c r="I628" s="26">
        <v>1209837</v>
      </c>
      <c r="J628" s="26"/>
      <c r="K628" s="26">
        <v>2335450</v>
      </c>
      <c r="L628" s="26"/>
      <c r="M628" s="26">
        <v>81884</v>
      </c>
      <c r="N628" s="26"/>
      <c r="O628" s="26">
        <v>974791</v>
      </c>
      <c r="P628" s="26"/>
      <c r="Q628" s="26">
        <v>78203</v>
      </c>
      <c r="R628" s="26"/>
      <c r="S628" s="26">
        <v>0</v>
      </c>
      <c r="T628" s="26"/>
      <c r="U628" s="26">
        <v>17307</v>
      </c>
      <c r="V628" s="26"/>
      <c r="W628" s="26">
        <f>36689+79921+2520</f>
        <v>119130</v>
      </c>
      <c r="X628" s="26"/>
      <c r="Y628" s="51">
        <f t="shared" si="47"/>
        <v>8412125</v>
      </c>
      <c r="Z628" s="26"/>
      <c r="AA628" s="26">
        <v>35086</v>
      </c>
      <c r="AB628" s="26"/>
      <c r="AC628" s="26"/>
      <c r="AD628" s="26"/>
      <c r="AE628" s="26">
        <v>0</v>
      </c>
      <c r="AF628" s="26"/>
      <c r="AG628" s="26"/>
      <c r="AH628" s="26"/>
      <c r="AI628" s="26"/>
      <c r="AJ628" s="26"/>
      <c r="AK628" s="26">
        <v>650</v>
      </c>
      <c r="AL628" s="26"/>
      <c r="AM628" s="26">
        <v>0</v>
      </c>
      <c r="AN628" s="26"/>
      <c r="AO628" s="51">
        <f t="shared" si="50"/>
        <v>35736</v>
      </c>
      <c r="AP628" s="26"/>
      <c r="AQ628" s="51">
        <f t="shared" si="48"/>
        <v>8447861</v>
      </c>
    </row>
    <row r="629" spans="1:43">
      <c r="A629" s="13" t="s">
        <v>519</v>
      </c>
      <c r="B629" s="13"/>
      <c r="C629" s="13" t="s">
        <v>45</v>
      </c>
      <c r="D629" s="13"/>
      <c r="E629" s="32">
        <v>45161</v>
      </c>
      <c r="F629" s="26"/>
      <c r="G629" s="26">
        <v>21030075</v>
      </c>
      <c r="H629" s="26"/>
      <c r="I629" s="26">
        <v>0</v>
      </c>
      <c r="J629" s="26"/>
      <c r="K629" s="26">
        <v>115562865</v>
      </c>
      <c r="L629" s="26"/>
      <c r="M629" s="26">
        <v>768427</v>
      </c>
      <c r="N629" s="26"/>
      <c r="O629" s="26">
        <v>2011193</v>
      </c>
      <c r="P629" s="26"/>
      <c r="Q629" s="26">
        <v>185449</v>
      </c>
      <c r="R629" s="26"/>
      <c r="S629" s="26">
        <v>0</v>
      </c>
      <c r="T629" s="26"/>
      <c r="U629" s="26">
        <v>408987</v>
      </c>
      <c r="V629" s="26"/>
      <c r="W629" s="26">
        <f>263758+33919+261137</f>
        <v>558814</v>
      </c>
      <c r="X629" s="26"/>
      <c r="Y629" s="51">
        <f t="shared" si="47"/>
        <v>140525810</v>
      </c>
      <c r="Z629" s="26"/>
      <c r="AA629" s="26">
        <v>37196</v>
      </c>
      <c r="AB629" s="26"/>
      <c r="AC629" s="26"/>
      <c r="AD629" s="26"/>
      <c r="AE629" s="26">
        <v>0</v>
      </c>
      <c r="AF629" s="26"/>
      <c r="AG629" s="26"/>
      <c r="AH629" s="26"/>
      <c r="AI629" s="26"/>
      <c r="AJ629" s="26"/>
      <c r="AK629" s="26">
        <v>0</v>
      </c>
      <c r="AL629" s="26"/>
      <c r="AM629" s="26">
        <v>0</v>
      </c>
      <c r="AN629" s="26"/>
      <c r="AO629" s="51">
        <f t="shared" si="50"/>
        <v>37196</v>
      </c>
      <c r="AP629" s="26"/>
      <c r="AQ629" s="51">
        <f t="shared" si="48"/>
        <v>140563006</v>
      </c>
    </row>
    <row r="630" spans="1:43">
      <c r="A630" s="13" t="s">
        <v>621</v>
      </c>
      <c r="B630" s="13"/>
      <c r="C630" s="13" t="s">
        <v>58</v>
      </c>
      <c r="D630" s="13"/>
      <c r="E630" s="32">
        <v>49544</v>
      </c>
      <c r="F630" s="26"/>
      <c r="G630" s="26">
        <v>4229467</v>
      </c>
      <c r="H630" s="26"/>
      <c r="I630" s="26">
        <v>8621</v>
      </c>
      <c r="J630" s="26"/>
      <c r="K630" s="26">
        <v>8392712</v>
      </c>
      <c r="L630" s="26"/>
      <c r="M630" s="26">
        <v>188235</v>
      </c>
      <c r="N630" s="26"/>
      <c r="O630" s="26">
        <v>361425</v>
      </c>
      <c r="P630" s="26"/>
      <c r="Q630" s="26">
        <v>246355</v>
      </c>
      <c r="R630" s="26"/>
      <c r="S630" s="26">
        <v>0</v>
      </c>
      <c r="T630" s="26"/>
      <c r="U630" s="26">
        <v>38192</v>
      </c>
      <c r="V630" s="26"/>
      <c r="W630" s="26">
        <f>434311+121246</f>
        <v>555557</v>
      </c>
      <c r="X630" s="26"/>
      <c r="Y630" s="51">
        <f t="shared" si="47"/>
        <v>14020564</v>
      </c>
      <c r="Z630" s="26"/>
      <c r="AA630" s="26">
        <v>94482</v>
      </c>
      <c r="AB630" s="26"/>
      <c r="AC630" s="26"/>
      <c r="AD630" s="26"/>
      <c r="AE630" s="26">
        <v>0</v>
      </c>
      <c r="AF630" s="26"/>
      <c r="AG630" s="26"/>
      <c r="AH630" s="26"/>
      <c r="AI630" s="26"/>
      <c r="AJ630" s="26"/>
      <c r="AK630" s="26">
        <v>0</v>
      </c>
      <c r="AL630" s="26"/>
      <c r="AM630" s="26">
        <v>0</v>
      </c>
      <c r="AN630" s="26"/>
      <c r="AO630" s="51">
        <f t="shared" si="50"/>
        <v>94482</v>
      </c>
      <c r="AP630" s="26"/>
      <c r="AQ630" s="51">
        <f t="shared" si="48"/>
        <v>14115046</v>
      </c>
    </row>
    <row r="631" spans="1:43">
      <c r="A631" s="13" t="s">
        <v>568</v>
      </c>
      <c r="B631" s="13"/>
      <c r="C631" s="13" t="s">
        <v>51</v>
      </c>
      <c r="D631" s="13"/>
      <c r="E631" s="32">
        <v>45179</v>
      </c>
      <c r="F631" s="26"/>
      <c r="G631" s="26">
        <v>11011361</v>
      </c>
      <c r="H631" s="26"/>
      <c r="I631" s="26">
        <v>0</v>
      </c>
      <c r="J631" s="26"/>
      <c r="K631" s="26">
        <v>55753388</v>
      </c>
      <c r="L631" s="26"/>
      <c r="M631" s="26">
        <v>229999</v>
      </c>
      <c r="N631" s="26"/>
      <c r="O631" s="26">
        <v>1331463</v>
      </c>
      <c r="P631" s="26"/>
      <c r="Q631" s="26">
        <v>303082</v>
      </c>
      <c r="R631" s="26"/>
      <c r="S631" s="26">
        <v>36860</v>
      </c>
      <c r="T631" s="26"/>
      <c r="U631" s="26">
        <v>151142</v>
      </c>
      <c r="V631" s="26"/>
      <c r="W631" s="26">
        <f>112848+658419+526</f>
        <v>771793</v>
      </c>
      <c r="X631" s="26"/>
      <c r="Y631" s="51">
        <f>SUM(G631:W631)</f>
        <v>69589088</v>
      </c>
      <c r="Z631" s="26"/>
      <c r="AA631" s="26">
        <v>33106</v>
      </c>
      <c r="AB631" s="26"/>
      <c r="AC631" s="26"/>
      <c r="AD631" s="26"/>
      <c r="AE631" s="26">
        <v>0</v>
      </c>
      <c r="AF631" s="26"/>
      <c r="AG631" s="26"/>
      <c r="AH631" s="26"/>
      <c r="AI631" s="26"/>
      <c r="AJ631" s="26"/>
      <c r="AK631" s="26">
        <v>23305</v>
      </c>
      <c r="AL631" s="26"/>
      <c r="AM631" s="26">
        <v>0</v>
      </c>
      <c r="AN631" s="26"/>
      <c r="AO631" s="51">
        <f t="shared" si="50"/>
        <v>56411</v>
      </c>
      <c r="AP631" s="26"/>
      <c r="AQ631" s="51">
        <f t="shared" si="48"/>
        <v>69645499</v>
      </c>
    </row>
    <row r="632" spans="1:43">
      <c r="A632" s="13"/>
      <c r="B632" s="13"/>
      <c r="C632" s="13"/>
      <c r="D632" s="13"/>
      <c r="AI632" s="37"/>
    </row>
    <row r="633" spans="1:43">
      <c r="AI633" s="37"/>
    </row>
    <row r="634" spans="1:43">
      <c r="AI634" s="37"/>
    </row>
    <row r="635" spans="1:43">
      <c r="E635" s="8"/>
      <c r="G635" s="8"/>
      <c r="H635" s="8"/>
      <c r="I635" s="8"/>
      <c r="AI635" s="37"/>
    </row>
    <row r="636" spans="1:43">
      <c r="AI636" s="37"/>
    </row>
    <row r="637" spans="1:43">
      <c r="AI637" s="37"/>
    </row>
    <row r="638" spans="1:43">
      <c r="AI638" s="37"/>
    </row>
    <row r="639" spans="1:43">
      <c r="AI639" s="37"/>
    </row>
    <row r="640" spans="1:43">
      <c r="AI640" s="37"/>
    </row>
    <row r="641" spans="35:35">
      <c r="AI641" s="37"/>
    </row>
    <row r="642" spans="35:35">
      <c r="AI642" s="37"/>
    </row>
    <row r="643" spans="35:35">
      <c r="AI643" s="37"/>
    </row>
    <row r="644" spans="35:35">
      <c r="AI644" s="37"/>
    </row>
    <row r="645" spans="35:35">
      <c r="AI645" s="37"/>
    </row>
    <row r="646" spans="35:35">
      <c r="AI646" s="37"/>
    </row>
    <row r="647" spans="35:35">
      <c r="AI647" s="37"/>
    </row>
    <row r="648" spans="35:35">
      <c r="AI648" s="37"/>
    </row>
    <row r="649" spans="35:35">
      <c r="AI649" s="37"/>
    </row>
    <row r="650" spans="35:35">
      <c r="AI650" s="37"/>
    </row>
    <row r="651" spans="35:35">
      <c r="AI651" s="37"/>
    </row>
    <row r="652" spans="35:35">
      <c r="AI652" s="37"/>
    </row>
    <row r="653" spans="35:35">
      <c r="AI653" s="37"/>
    </row>
    <row r="654" spans="35:35">
      <c r="AI654" s="37"/>
    </row>
    <row r="655" spans="35:35">
      <c r="AI655" s="37"/>
    </row>
    <row r="656" spans="35:35">
      <c r="AI656" s="37"/>
    </row>
    <row r="657" spans="35:35">
      <c r="AI657" s="37"/>
    </row>
    <row r="658" spans="35:35">
      <c r="AI658" s="37"/>
    </row>
    <row r="659" spans="35:35">
      <c r="AI659" s="37"/>
    </row>
  </sheetData>
  <mergeCells count="1">
    <mergeCell ref="AA6:AK6"/>
  </mergeCells>
  <pageMargins left="0.7" right="0.7" top="0.5" bottom="0.75" header="0.3" footer="0.3"/>
  <pageSetup scale="72" firstPageNumber="162" pageOrder="overThenDown" orientation="portrait" useFirstPageNumber="1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BX638"/>
  <sheetViews>
    <sheetView view="pageBreakPreview" zoomScaleNormal="100" zoomScaleSheetLayoutView="100" workbookViewId="0">
      <pane xSplit="6" ySplit="9" topLeftCell="G10" activePane="bottomRight" state="frozen"/>
      <selection sqref="A1:IV65536"/>
      <selection pane="topRight" sqref="A1:IV65536"/>
      <selection pane="bottomLeft" sqref="A1:IV65536"/>
      <selection pane="bottomRight" activeCell="K20" sqref="K20"/>
    </sheetView>
  </sheetViews>
  <sheetFormatPr defaultColWidth="9.140625" defaultRowHeight="12"/>
  <cols>
    <col min="1" max="1" width="32" style="8" customWidth="1"/>
    <col min="2" max="2" width="1.7109375" style="8" customWidth="1"/>
    <col min="3" max="3" width="11.7109375" style="8" customWidth="1"/>
    <col min="4" max="4" width="1.7109375" style="8" hidden="1" customWidth="1"/>
    <col min="5" max="5" width="11.7109375" style="30" hidden="1" customWidth="1"/>
    <col min="6" max="6" width="1.7109375" style="8" customWidth="1"/>
    <col min="7" max="7" width="11.7109375" style="8" customWidth="1"/>
    <col min="8" max="8" width="1.7109375" style="8" customWidth="1"/>
    <col min="9" max="9" width="11.7109375" style="8" customWidth="1"/>
    <col min="10" max="10" width="1.7109375" style="8" customWidth="1"/>
    <col min="11" max="11" width="11.7109375" style="8" customWidth="1"/>
    <col min="12" max="12" width="1.7109375" style="8" customWidth="1"/>
    <col min="13" max="13" width="11.7109375" style="8" customWidth="1"/>
    <col min="14" max="14" width="1.7109375" style="8" customWidth="1"/>
    <col min="15" max="15" width="11.7109375" style="8" customWidth="1"/>
    <col min="16" max="16" width="1.7109375" style="8" customWidth="1"/>
    <col min="17" max="17" width="11.7109375" style="8" customWidth="1"/>
    <col min="18" max="18" width="1.7109375" style="8" customWidth="1"/>
    <col min="19" max="19" width="11.7109375" style="8" customWidth="1"/>
    <col min="20" max="20" width="1.7109375" style="8" customWidth="1"/>
    <col min="21" max="21" width="11.7109375" style="8" customWidth="1"/>
    <col min="22" max="22" width="1.7109375" style="8" customWidth="1"/>
    <col min="23" max="23" width="11.7109375" style="8" customWidth="1"/>
    <col min="24" max="24" width="1.7109375" style="8" customWidth="1"/>
    <col min="25" max="25" width="11.7109375" style="8" customWidth="1"/>
    <col min="26" max="26" width="1.7109375" style="8" customWidth="1"/>
    <col min="27" max="27" width="11.7109375" style="8" customWidth="1"/>
    <col min="28" max="28" width="1.7109375" style="8" customWidth="1"/>
    <col min="29" max="29" width="11.7109375" style="8" customWidth="1"/>
    <col min="30" max="30" width="1.7109375" style="8" customWidth="1"/>
    <col min="31" max="31" width="11.7109375" style="8" customWidth="1"/>
    <col min="32" max="32" width="1.7109375" style="8" customWidth="1"/>
    <col min="33" max="33" width="11.7109375" style="8" customWidth="1"/>
    <col min="34" max="34" width="1.7109375" style="8" customWidth="1"/>
    <col min="35" max="35" width="11.7109375" style="8" customWidth="1"/>
    <col min="36" max="36" width="32" style="8" customWidth="1"/>
    <col min="37" max="37" width="1.7109375" style="8" customWidth="1"/>
    <col min="38" max="38" width="11.7109375" style="8" customWidth="1"/>
    <col min="39" max="39" width="1.7109375" style="8" customWidth="1"/>
    <col min="40" max="40" width="11.7109375" style="8" customWidth="1"/>
    <col min="41" max="41" width="1.7109375" style="8" customWidth="1"/>
    <col min="42" max="42" width="11.7109375" style="8" customWidth="1"/>
    <col min="43" max="43" width="1.7109375" style="8" customWidth="1"/>
    <col min="44" max="44" width="11.7109375" style="8" customWidth="1"/>
    <col min="45" max="45" width="1.7109375" style="8" customWidth="1"/>
    <col min="46" max="46" width="11.7109375" style="8" customWidth="1"/>
    <col min="47" max="47" width="1.7109375" style="8" customWidth="1"/>
    <col min="48" max="48" width="11.7109375" style="8" customWidth="1"/>
    <col min="49" max="49" width="1.7109375" style="8" customWidth="1"/>
    <col min="50" max="50" width="11.7109375" style="8" customWidth="1"/>
    <col min="51" max="51" width="1.7109375" style="8" customWidth="1"/>
    <col min="52" max="52" width="12.140625" style="8" customWidth="1"/>
    <col min="53" max="53" width="1.7109375" style="8" customWidth="1"/>
    <col min="54" max="54" width="11.7109375" style="8" customWidth="1"/>
    <col min="55" max="55" width="1.7109375" style="8" hidden="1" customWidth="1"/>
    <col min="56" max="56" width="11.7109375" style="8" hidden="1" customWidth="1"/>
    <col min="57" max="57" width="1.7109375" style="8" hidden="1" customWidth="1"/>
    <col min="58" max="58" width="11.7109375" style="8" hidden="1" customWidth="1"/>
    <col min="59" max="59" width="1.7109375" style="8" customWidth="1"/>
    <col min="60" max="60" width="11.7109375" style="8" customWidth="1"/>
    <col min="61" max="61" width="1.7109375" style="8" customWidth="1"/>
    <col min="62" max="62" width="12.5703125" style="8" customWidth="1"/>
    <col min="63" max="63" width="1.7109375" style="8" customWidth="1"/>
    <col min="64" max="64" width="11.7109375" style="8" customWidth="1"/>
    <col min="65" max="65" width="1.7109375" style="8" customWidth="1"/>
    <col min="66" max="66" width="11.7109375" style="8" customWidth="1"/>
    <col min="67" max="67" width="1.7109375" style="8" customWidth="1"/>
    <col min="68" max="68" width="13.140625" style="8" customWidth="1"/>
    <col min="69" max="69" width="1.7109375" style="8" hidden="1" customWidth="1"/>
    <col min="70" max="70" width="10.85546875" style="8" hidden="1" customWidth="1"/>
    <col min="71" max="71" width="1.7109375" style="8" customWidth="1"/>
    <col min="72" max="72" width="11.7109375" style="8" customWidth="1"/>
    <col min="73" max="73" width="1.7109375" style="8" customWidth="1"/>
    <col min="74" max="74" width="11.7109375" style="8" customWidth="1"/>
    <col min="75" max="75" width="1.7109375" style="8" customWidth="1"/>
    <col min="76" max="76" width="11.7109375" style="8" customWidth="1"/>
    <col min="77" max="16384" width="9.140625" style="8"/>
  </cols>
  <sheetData>
    <row r="1" spans="1:76" s="15" customFormat="1">
      <c r="A1" s="52" t="s">
        <v>806</v>
      </c>
      <c r="B1" s="52"/>
      <c r="C1" s="52"/>
      <c r="D1" s="52"/>
      <c r="E1" s="53"/>
      <c r="F1" s="52"/>
      <c r="G1" s="52"/>
      <c r="H1" s="52"/>
      <c r="I1" s="55"/>
      <c r="J1" s="55"/>
      <c r="K1" s="55"/>
      <c r="L1" s="55"/>
      <c r="M1" s="55"/>
      <c r="N1" s="55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52" t="s">
        <v>806</v>
      </c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7"/>
    </row>
    <row r="2" spans="1:76" s="15" customFormat="1">
      <c r="A2" s="52" t="s">
        <v>895</v>
      </c>
      <c r="B2" s="52"/>
      <c r="C2" s="52"/>
      <c r="D2" s="52"/>
      <c r="E2" s="53"/>
      <c r="F2" s="52"/>
      <c r="G2" s="52"/>
      <c r="H2" s="52"/>
      <c r="J2" s="55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52" t="s">
        <v>895</v>
      </c>
      <c r="AK2" s="52"/>
      <c r="AL2" s="52"/>
      <c r="AM2" s="24"/>
      <c r="AN2" s="24"/>
      <c r="AO2" s="24"/>
      <c r="AP2" s="24"/>
      <c r="AQ2" s="24"/>
      <c r="AR2" s="24"/>
      <c r="AS2" s="24"/>
      <c r="AT2" s="24"/>
      <c r="AU2" s="27"/>
    </row>
    <row r="3" spans="1:76" s="15" customFormat="1">
      <c r="A3" s="52" t="s">
        <v>805</v>
      </c>
      <c r="B3" s="52"/>
      <c r="C3" s="52"/>
      <c r="D3" s="52"/>
      <c r="E3" s="53"/>
      <c r="F3" s="52"/>
      <c r="G3" s="52"/>
      <c r="H3" s="52"/>
      <c r="I3" s="55"/>
      <c r="J3" s="55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7" t="s">
        <v>805</v>
      </c>
      <c r="AK3" s="52"/>
      <c r="AL3" s="52"/>
      <c r="AM3" s="24"/>
      <c r="AN3" s="24"/>
      <c r="AO3" s="24"/>
      <c r="AP3" s="24"/>
      <c r="AQ3" s="24"/>
      <c r="AR3" s="38"/>
      <c r="AS3" s="24"/>
      <c r="AT3" s="24"/>
      <c r="AU3" s="27"/>
    </row>
    <row r="4" spans="1:76">
      <c r="A4" s="27" t="s">
        <v>175</v>
      </c>
      <c r="B4" s="27"/>
      <c r="C4" s="27"/>
      <c r="D4" s="27"/>
      <c r="E4" s="54"/>
      <c r="F4" s="27"/>
      <c r="G4" s="11"/>
      <c r="H4" s="11"/>
      <c r="I4" s="24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27" t="s">
        <v>175</v>
      </c>
      <c r="AK4" s="27"/>
      <c r="AL4" s="27"/>
      <c r="AM4" s="11"/>
      <c r="AN4" s="11"/>
      <c r="AO4" s="11"/>
      <c r="AP4" s="60"/>
      <c r="AQ4" s="11"/>
      <c r="AR4" s="11"/>
      <c r="AS4" s="11"/>
      <c r="AT4" s="11"/>
      <c r="AU4" s="11"/>
    </row>
    <row r="5" spans="1:76" s="15" customFormat="1">
      <c r="B5" s="11"/>
      <c r="C5" s="11"/>
      <c r="D5" s="11"/>
      <c r="E5" s="31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AK5" s="11"/>
      <c r="AL5" s="11"/>
    </row>
    <row r="6" spans="1:76">
      <c r="A6" s="132" t="s">
        <v>788</v>
      </c>
      <c r="B6" s="15"/>
      <c r="C6" s="15"/>
      <c r="D6" s="15"/>
      <c r="E6" s="61"/>
      <c r="F6" s="15"/>
      <c r="G6" s="19" t="s">
        <v>149</v>
      </c>
      <c r="H6" s="19"/>
      <c r="I6" s="19"/>
      <c r="J6" s="19"/>
      <c r="K6" s="19"/>
      <c r="L6" s="19"/>
      <c r="M6" s="19"/>
      <c r="O6" s="19" t="s">
        <v>150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G6" s="19" t="s">
        <v>162</v>
      </c>
      <c r="AH6" s="19"/>
      <c r="AI6" s="19"/>
      <c r="AJ6" s="132" t="s">
        <v>788</v>
      </c>
      <c r="AK6" s="15"/>
      <c r="AL6" s="15"/>
      <c r="AT6" s="142" t="s">
        <v>185</v>
      </c>
      <c r="AU6" s="142"/>
      <c r="AV6" s="142"/>
      <c r="AW6" s="11"/>
      <c r="AX6" s="11"/>
      <c r="BB6" s="19" t="s">
        <v>186</v>
      </c>
      <c r="BC6" s="19"/>
      <c r="BD6" s="19"/>
      <c r="BE6" s="19"/>
      <c r="BF6" s="19"/>
      <c r="BG6" s="19"/>
      <c r="BH6" s="19"/>
      <c r="BJ6" s="16" t="s">
        <v>3</v>
      </c>
      <c r="BK6" s="16"/>
      <c r="BL6" s="16" t="s">
        <v>190</v>
      </c>
      <c r="BM6" s="16"/>
      <c r="BN6" s="16" t="s">
        <v>91</v>
      </c>
      <c r="BO6" s="16"/>
      <c r="BP6" s="16" t="s">
        <v>780</v>
      </c>
      <c r="BQ6" s="16"/>
      <c r="BR6" s="16"/>
      <c r="BS6" s="16"/>
      <c r="BT6" s="16" t="s">
        <v>91</v>
      </c>
      <c r="BU6" s="16"/>
      <c r="BV6" s="16" t="s">
        <v>139</v>
      </c>
    </row>
    <row r="7" spans="1:76">
      <c r="A7" s="133" t="s">
        <v>789</v>
      </c>
      <c r="M7" s="16"/>
      <c r="AA7" s="16" t="s">
        <v>157</v>
      </c>
      <c r="AJ7" s="133" t="s">
        <v>789</v>
      </c>
      <c r="AR7" s="16" t="s">
        <v>1</v>
      </c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 t="s">
        <v>771</v>
      </c>
      <c r="BG7" s="16"/>
      <c r="BH7" s="16" t="s">
        <v>189</v>
      </c>
      <c r="BJ7" s="16" t="s">
        <v>74</v>
      </c>
      <c r="BK7" s="16"/>
      <c r="BL7" s="16" t="s">
        <v>121</v>
      </c>
      <c r="BM7" s="16"/>
      <c r="BN7" s="16" t="s">
        <v>191</v>
      </c>
      <c r="BO7" s="16"/>
      <c r="BP7" s="16" t="s">
        <v>781</v>
      </c>
      <c r="BQ7" s="16"/>
      <c r="BR7" s="16"/>
      <c r="BS7" s="16"/>
      <c r="BT7" s="16" t="s">
        <v>191</v>
      </c>
      <c r="BU7" s="16"/>
      <c r="BV7" s="16" t="s">
        <v>140</v>
      </c>
    </row>
    <row r="8" spans="1:76">
      <c r="A8" s="132" t="s">
        <v>1079</v>
      </c>
      <c r="B8" s="5"/>
      <c r="C8" s="5"/>
      <c r="D8" s="5"/>
      <c r="E8" s="5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 t="s">
        <v>151</v>
      </c>
      <c r="R8" s="5"/>
      <c r="S8" s="5" t="s">
        <v>153</v>
      </c>
      <c r="T8" s="5"/>
      <c r="U8" s="5"/>
      <c r="V8" s="5"/>
      <c r="W8" s="5"/>
      <c r="X8" s="5"/>
      <c r="Y8" s="5"/>
      <c r="Z8" s="5"/>
      <c r="AA8" s="5" t="s">
        <v>158</v>
      </c>
      <c r="AB8" s="5"/>
      <c r="AC8" s="5" t="s">
        <v>160</v>
      </c>
      <c r="AD8" s="5"/>
      <c r="AE8" s="5"/>
      <c r="AF8" s="5"/>
      <c r="AG8" s="16" t="s">
        <v>163</v>
      </c>
      <c r="AH8" s="16"/>
      <c r="AI8" s="16"/>
      <c r="AJ8" s="132" t="s">
        <v>1079</v>
      </c>
      <c r="AK8" s="5"/>
      <c r="AL8" s="5"/>
      <c r="AM8" s="16"/>
      <c r="AN8" s="16" t="s">
        <v>165</v>
      </c>
      <c r="AO8" s="16"/>
      <c r="AP8" s="16" t="s">
        <v>73</v>
      </c>
      <c r="AQ8" s="16"/>
      <c r="AR8" s="16" t="s">
        <v>7</v>
      </c>
      <c r="AS8" s="16"/>
      <c r="AT8" s="16" t="s">
        <v>76</v>
      </c>
      <c r="AU8" s="16"/>
      <c r="AV8" s="16"/>
      <c r="AW8" s="16"/>
      <c r="AX8" s="16" t="s">
        <v>132</v>
      </c>
      <c r="AY8" s="16"/>
      <c r="AZ8" s="16" t="s">
        <v>3</v>
      </c>
      <c r="BA8" s="16"/>
      <c r="BB8" s="16" t="s">
        <v>168</v>
      </c>
      <c r="BC8" s="16"/>
      <c r="BD8" s="16" t="s">
        <v>187</v>
      </c>
      <c r="BE8" s="16"/>
      <c r="BF8" s="16" t="s">
        <v>772</v>
      </c>
      <c r="BG8" s="16"/>
      <c r="BH8" s="16" t="s">
        <v>82</v>
      </c>
      <c r="BI8" s="16"/>
      <c r="BJ8" s="16" t="s">
        <v>183</v>
      </c>
      <c r="BK8" s="16"/>
      <c r="BL8" s="16" t="s">
        <v>91</v>
      </c>
      <c r="BM8" s="16"/>
      <c r="BN8" s="5" t="s">
        <v>169</v>
      </c>
      <c r="BO8" s="16"/>
      <c r="BP8" s="16" t="s">
        <v>768</v>
      </c>
      <c r="BQ8" s="16"/>
      <c r="BR8" s="16" t="s">
        <v>798</v>
      </c>
      <c r="BS8" s="16"/>
      <c r="BT8" s="5" t="s">
        <v>192</v>
      </c>
      <c r="BU8" s="16"/>
      <c r="BV8" s="16" t="s">
        <v>202</v>
      </c>
    </row>
    <row r="9" spans="1:76">
      <c r="A9" s="124" t="s">
        <v>206</v>
      </c>
      <c r="B9" s="16"/>
      <c r="C9" s="124" t="s">
        <v>4</v>
      </c>
      <c r="D9" s="16"/>
      <c r="E9" s="58" t="s">
        <v>205</v>
      </c>
      <c r="F9" s="5"/>
      <c r="G9" s="2" t="s">
        <v>779</v>
      </c>
      <c r="I9" s="2" t="s">
        <v>2</v>
      </c>
      <c r="K9" s="2" t="s">
        <v>148</v>
      </c>
      <c r="M9" s="2" t="s">
        <v>82</v>
      </c>
      <c r="O9" s="2" t="s">
        <v>787</v>
      </c>
      <c r="Q9" s="2" t="s">
        <v>152</v>
      </c>
      <c r="S9" s="2" t="s">
        <v>154</v>
      </c>
      <c r="U9" s="2" t="s">
        <v>155</v>
      </c>
      <c r="W9" s="2" t="s">
        <v>156</v>
      </c>
      <c r="X9" s="5"/>
      <c r="Y9" s="124" t="s">
        <v>743</v>
      </c>
      <c r="AA9" s="2" t="s">
        <v>159</v>
      </c>
      <c r="AB9" s="5"/>
      <c r="AC9" s="124" t="s">
        <v>161</v>
      </c>
      <c r="AD9" s="5"/>
      <c r="AE9" s="124" t="s">
        <v>744</v>
      </c>
      <c r="AG9" s="124" t="s">
        <v>164</v>
      </c>
      <c r="AI9" s="124" t="s">
        <v>82</v>
      </c>
      <c r="AJ9" s="124" t="s">
        <v>206</v>
      </c>
      <c r="AK9" s="16"/>
      <c r="AL9" s="124" t="s">
        <v>4</v>
      </c>
      <c r="AM9" s="5"/>
      <c r="AN9" s="124" t="s">
        <v>166</v>
      </c>
      <c r="AO9" s="5"/>
      <c r="AP9" s="124" t="s">
        <v>75</v>
      </c>
      <c r="AQ9" s="5"/>
      <c r="AR9" s="124" t="s">
        <v>769</v>
      </c>
      <c r="AS9" s="5"/>
      <c r="AT9" s="124" t="s">
        <v>791</v>
      </c>
      <c r="AU9" s="5"/>
      <c r="AV9" s="124" t="s">
        <v>167</v>
      </c>
      <c r="AW9" s="5"/>
      <c r="AX9" s="124" t="s">
        <v>74</v>
      </c>
      <c r="AY9" s="5"/>
      <c r="AZ9" s="124" t="s">
        <v>74</v>
      </c>
      <c r="BA9" s="5"/>
      <c r="BB9" s="124" t="s">
        <v>120</v>
      </c>
      <c r="BC9" s="5"/>
      <c r="BD9" s="124" t="s">
        <v>120</v>
      </c>
      <c r="BE9" s="5"/>
      <c r="BF9" s="5" t="s">
        <v>774</v>
      </c>
      <c r="BG9" s="5"/>
      <c r="BH9" s="124" t="s">
        <v>188</v>
      </c>
      <c r="BI9" s="5"/>
      <c r="BJ9" s="124" t="s">
        <v>193</v>
      </c>
      <c r="BK9" s="5"/>
      <c r="BL9" s="124" t="s">
        <v>191</v>
      </c>
      <c r="BM9" s="16"/>
      <c r="BN9" s="124" t="s">
        <v>170</v>
      </c>
      <c r="BO9" s="16"/>
      <c r="BP9" s="124" t="s">
        <v>766</v>
      </c>
      <c r="BQ9" s="16"/>
      <c r="BR9" s="124" t="s">
        <v>797</v>
      </c>
      <c r="BS9" s="16"/>
      <c r="BT9" s="124" t="s">
        <v>170</v>
      </c>
      <c r="BU9" s="16"/>
      <c r="BV9" s="124" t="s">
        <v>141</v>
      </c>
    </row>
    <row r="10" spans="1:76">
      <c r="A10" s="13"/>
      <c r="B10" s="13"/>
      <c r="C10" s="13"/>
      <c r="D10" s="13"/>
      <c r="E10" s="32"/>
      <c r="F10" s="11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3"/>
      <c r="AK10" s="13"/>
      <c r="AL10" s="13"/>
      <c r="AM10" s="14"/>
      <c r="AN10" s="14"/>
      <c r="AO10" s="14"/>
      <c r="AP10" s="14"/>
      <c r="AQ10" s="14"/>
      <c r="AR10" s="14"/>
      <c r="AS10" s="14"/>
      <c r="AT10" s="14"/>
      <c r="AU10" s="21"/>
    </row>
    <row r="11" spans="1:76" s="44" customFormat="1">
      <c r="A11" s="126" t="s">
        <v>207</v>
      </c>
      <c r="B11" s="127"/>
      <c r="C11" s="126" t="s">
        <v>208</v>
      </c>
      <c r="D11" s="127"/>
      <c r="E11" s="127">
        <v>61903</v>
      </c>
      <c r="F11" s="42"/>
      <c r="G11" s="35">
        <v>17800021</v>
      </c>
      <c r="H11" s="35"/>
      <c r="I11" s="35">
        <v>3940197</v>
      </c>
      <c r="J11" s="35"/>
      <c r="K11" s="35">
        <v>2678722</v>
      </c>
      <c r="L11" s="35"/>
      <c r="M11" s="35">
        <f>250104+460534</f>
        <v>710638</v>
      </c>
      <c r="N11" s="35"/>
      <c r="O11" s="35">
        <v>1689056</v>
      </c>
      <c r="P11" s="35"/>
      <c r="Q11" s="35">
        <v>2999440</v>
      </c>
      <c r="R11" s="35"/>
      <c r="S11" s="35">
        <v>0</v>
      </c>
      <c r="T11" s="35"/>
      <c r="U11" s="35">
        <f>47567+3070579</f>
        <v>3118146</v>
      </c>
      <c r="V11" s="35"/>
      <c r="W11" s="35">
        <v>835416</v>
      </c>
      <c r="X11" s="35"/>
      <c r="Y11" s="35">
        <v>432549</v>
      </c>
      <c r="Z11" s="35"/>
      <c r="AA11" s="35">
        <v>3254078</v>
      </c>
      <c r="AB11" s="35"/>
      <c r="AC11" s="35">
        <v>2321089</v>
      </c>
      <c r="AD11" s="35"/>
      <c r="AE11" s="35">
        <v>342570</v>
      </c>
      <c r="AF11" s="35"/>
      <c r="AG11" s="35">
        <v>0</v>
      </c>
      <c r="AH11" s="35"/>
      <c r="AI11" s="35">
        <v>2254999</v>
      </c>
      <c r="AJ11" s="126" t="s">
        <v>207</v>
      </c>
      <c r="AK11" s="127"/>
      <c r="AL11" s="126" t="s">
        <v>208</v>
      </c>
      <c r="AM11" s="35"/>
      <c r="AN11" s="35">
        <v>535901</v>
      </c>
      <c r="AO11" s="35"/>
      <c r="AP11" s="35">
        <v>44361388</v>
      </c>
      <c r="AQ11" s="35"/>
      <c r="AR11" s="35">
        <v>0</v>
      </c>
      <c r="AS11" s="35"/>
      <c r="AT11" s="35">
        <v>1186676</v>
      </c>
      <c r="AU11" s="35"/>
      <c r="AV11" s="35">
        <v>1844045</v>
      </c>
      <c r="AW11" s="35"/>
      <c r="AX11" s="35">
        <v>0</v>
      </c>
      <c r="AY11" s="35"/>
      <c r="AZ11" s="44">
        <f>SUM(G11:AX11)</f>
        <v>90304931</v>
      </c>
      <c r="BA11" s="35"/>
      <c r="BB11" s="35">
        <v>238304</v>
      </c>
      <c r="BC11" s="35"/>
      <c r="BD11" s="35"/>
      <c r="BE11" s="35"/>
      <c r="BF11" s="35"/>
      <c r="BG11" s="35"/>
      <c r="BH11" s="35">
        <v>0</v>
      </c>
      <c r="BI11" s="35"/>
      <c r="BJ11" s="44">
        <f>AZ11+BB11+BH11</f>
        <v>90543235</v>
      </c>
      <c r="BK11" s="35"/>
      <c r="BL11" s="44">
        <f>'Gov Fd Rv'!AQ11-'Gov Fnd Exp'!BJ11</f>
        <v>-23378323</v>
      </c>
      <c r="BM11" s="35"/>
      <c r="BN11" s="35">
        <v>51909802</v>
      </c>
      <c r="BO11" s="35"/>
      <c r="BP11" s="35">
        <v>0</v>
      </c>
      <c r="BQ11" s="35"/>
      <c r="BR11" s="35">
        <v>0</v>
      </c>
      <c r="BS11" s="35"/>
      <c r="BT11" s="44">
        <f>BL11+BN11+BP11+BR11</f>
        <v>28531479</v>
      </c>
      <c r="BU11" s="9"/>
      <c r="BV11" s="9">
        <f>BT11-'Gov Fd BS'!AA11-BB11</f>
        <v>0</v>
      </c>
    </row>
    <row r="12" spans="1:76">
      <c r="A12" s="13" t="s">
        <v>616</v>
      </c>
      <c r="B12" s="13"/>
      <c r="C12" s="13" t="s">
        <v>58</v>
      </c>
      <c r="D12" s="13"/>
      <c r="E12" s="32">
        <v>49494</v>
      </c>
      <c r="G12" s="8">
        <v>4632331</v>
      </c>
      <c r="I12" s="8">
        <v>1219838</v>
      </c>
      <c r="K12" s="8">
        <v>121</v>
      </c>
      <c r="M12" s="8">
        <v>544544</v>
      </c>
      <c r="O12" s="8">
        <v>352761</v>
      </c>
      <c r="Q12" s="8">
        <v>733534</v>
      </c>
      <c r="S12" s="8">
        <v>38176</v>
      </c>
      <c r="U12" s="8">
        <v>901098</v>
      </c>
      <c r="W12" s="8">
        <v>324155</v>
      </c>
      <c r="Y12" s="8">
        <v>0</v>
      </c>
      <c r="AA12" s="8">
        <v>1085456</v>
      </c>
      <c r="AC12" s="8">
        <v>913193</v>
      </c>
      <c r="AE12" s="8">
        <v>57990</v>
      </c>
      <c r="AG12" s="8">
        <v>0</v>
      </c>
      <c r="AI12" s="8">
        <v>432078</v>
      </c>
      <c r="AJ12" s="13" t="s">
        <v>616</v>
      </c>
      <c r="AK12" s="13"/>
      <c r="AL12" s="13" t="s">
        <v>58</v>
      </c>
      <c r="AN12" s="8">
        <v>306613</v>
      </c>
      <c r="AP12" s="8">
        <v>9470</v>
      </c>
      <c r="AR12" s="8">
        <v>0</v>
      </c>
      <c r="AT12" s="8">
        <v>123310</v>
      </c>
      <c r="AV12" s="8">
        <v>121975</v>
      </c>
      <c r="AX12" s="8">
        <v>0</v>
      </c>
      <c r="AZ12" s="9">
        <f>SUM(G12:AX12)</f>
        <v>11796643</v>
      </c>
      <c r="BB12" s="8">
        <v>45000</v>
      </c>
      <c r="BH12" s="8">
        <v>0</v>
      </c>
      <c r="BJ12" s="9">
        <f>AZ12+BB12+BH12</f>
        <v>11841643</v>
      </c>
      <c r="BL12" s="9">
        <f>'Gov Fd Rv'!AQ12-'Gov Fnd Exp'!BJ12</f>
        <v>968270</v>
      </c>
      <c r="BN12" s="8">
        <v>2553755</v>
      </c>
      <c r="BP12" s="8">
        <v>0</v>
      </c>
      <c r="BR12" s="8">
        <v>0</v>
      </c>
      <c r="BT12" s="9">
        <f>BL12+BN12+BP12+BR12</f>
        <v>3522025</v>
      </c>
      <c r="BU12" s="9"/>
      <c r="BV12" s="9">
        <f>BT12-'Gov Fd BS'!AA12-BB12</f>
        <v>0</v>
      </c>
    </row>
    <row r="13" spans="1:76">
      <c r="A13" s="13" t="s">
        <v>662</v>
      </c>
      <c r="B13" s="13"/>
      <c r="C13" s="13" t="s">
        <v>63</v>
      </c>
      <c r="D13" s="13"/>
      <c r="E13" s="32">
        <v>43489</v>
      </c>
      <c r="G13" s="8">
        <v>152342428</v>
      </c>
      <c r="I13" s="8">
        <v>37544857</v>
      </c>
      <c r="K13" s="8">
        <v>12882962</v>
      </c>
      <c r="M13" s="8">
        <f>1452293+7082380</f>
        <v>8534673</v>
      </c>
      <c r="O13" s="8">
        <v>19611494</v>
      </c>
      <c r="Q13" s="8">
        <v>24403259</v>
      </c>
      <c r="S13" s="8">
        <v>83226</v>
      </c>
      <c r="U13" s="8">
        <v>22694649</v>
      </c>
      <c r="W13" s="8">
        <v>4255763</v>
      </c>
      <c r="Y13" s="8">
        <v>2545944</v>
      </c>
      <c r="AA13" s="8">
        <v>35129039</v>
      </c>
      <c r="AC13" s="8">
        <v>11447486</v>
      </c>
      <c r="AE13" s="8">
        <v>8171801</v>
      </c>
      <c r="AG13" s="8">
        <v>9677310</v>
      </c>
      <c r="AI13" s="8">
        <v>4162064</v>
      </c>
      <c r="AJ13" s="13" t="s">
        <v>662</v>
      </c>
      <c r="AK13" s="13"/>
      <c r="AL13" s="13" t="s">
        <v>63</v>
      </c>
      <c r="AN13" s="8">
        <v>3776805</v>
      </c>
      <c r="AP13" s="8">
        <v>44556186</v>
      </c>
      <c r="AR13" s="8">
        <v>0</v>
      </c>
      <c r="AT13" s="8">
        <v>0</v>
      </c>
      <c r="AV13" s="8">
        <v>0</v>
      </c>
      <c r="AX13" s="8">
        <v>0</v>
      </c>
      <c r="AZ13" s="9">
        <f>SUM(G13:AX13)</f>
        <v>401819946</v>
      </c>
      <c r="BB13" s="8">
        <v>1575092</v>
      </c>
      <c r="BH13" s="8">
        <v>0</v>
      </c>
      <c r="BJ13" s="9">
        <f t="shared" ref="BJ13:BJ78" si="0">AZ13+BB13+BH13</f>
        <v>403395038</v>
      </c>
      <c r="BL13" s="9">
        <f>'Gov Fd Rv'!AQ13-'Gov Fnd Exp'!BJ13</f>
        <v>2946730</v>
      </c>
      <c r="BN13" s="8">
        <v>104247915</v>
      </c>
      <c r="BP13" s="8">
        <v>0</v>
      </c>
      <c r="BR13" s="8">
        <v>0</v>
      </c>
      <c r="BT13" s="9">
        <f>BL13+BN13+BP13+BR13</f>
        <v>107194645</v>
      </c>
      <c r="BU13" s="9"/>
      <c r="BV13" s="9">
        <f>BT13-'Gov Fd BS'!AA13-BB13</f>
        <v>0</v>
      </c>
    </row>
    <row r="14" spans="1:76" hidden="1">
      <c r="A14" s="13" t="s">
        <v>837</v>
      </c>
      <c r="B14" s="13"/>
      <c r="C14" s="13" t="s">
        <v>13</v>
      </c>
      <c r="D14" s="13"/>
      <c r="E14" s="32">
        <v>45906</v>
      </c>
      <c r="G14" s="8">
        <v>6046988</v>
      </c>
      <c r="I14" s="8">
        <v>1995660</v>
      </c>
      <c r="K14" s="8">
        <v>110441</v>
      </c>
      <c r="M14" s="8">
        <f>25322+1593637</f>
        <v>1618959</v>
      </c>
      <c r="O14" s="8">
        <v>717778</v>
      </c>
      <c r="Q14" s="8">
        <v>1017345</v>
      </c>
      <c r="S14" s="8">
        <v>50392</v>
      </c>
      <c r="U14" s="8">
        <v>1110005</v>
      </c>
      <c r="W14" s="8">
        <v>364920</v>
      </c>
      <c r="AA14" s="8">
        <v>1403253</v>
      </c>
      <c r="AC14" s="8">
        <v>1434631</v>
      </c>
      <c r="AE14" s="8">
        <v>191440</v>
      </c>
      <c r="AI14" s="8">
        <v>668135</v>
      </c>
      <c r="AJ14" s="13" t="s">
        <v>837</v>
      </c>
      <c r="AK14" s="13"/>
      <c r="AL14" s="13" t="s">
        <v>13</v>
      </c>
      <c r="AN14" s="8">
        <v>327067</v>
      </c>
      <c r="AP14" s="8">
        <v>316866</v>
      </c>
      <c r="AT14" s="8">
        <v>279029</v>
      </c>
      <c r="AV14" s="8">
        <v>267953</v>
      </c>
      <c r="AZ14" s="9">
        <f t="shared" ref="AZ14:AZ32" si="1">SUM(G14:AX14)</f>
        <v>17920862</v>
      </c>
      <c r="BH14" s="8">
        <f>-12030-1100</f>
        <v>-13130</v>
      </c>
      <c r="BJ14" s="9">
        <f t="shared" si="0"/>
        <v>17907732</v>
      </c>
      <c r="BL14" s="9">
        <f>'Gov Fd Rv'!AQ14-'Gov Fnd Exp'!BJ14</f>
        <v>361990</v>
      </c>
      <c r="BN14" s="8">
        <v>5483689</v>
      </c>
      <c r="BT14" s="9">
        <f t="shared" ref="BT14:BT16" si="2">BL14+BN14+BP14+BR14</f>
        <v>5845679</v>
      </c>
      <c r="BU14" s="9"/>
      <c r="BV14" s="9">
        <f>BT14-'Gov Fd BS'!AA14</f>
        <v>0</v>
      </c>
      <c r="BX14" s="8" t="s">
        <v>956</v>
      </c>
    </row>
    <row r="15" spans="1:76">
      <c r="A15" s="13" t="s">
        <v>648</v>
      </c>
      <c r="B15" s="13"/>
      <c r="C15" s="13" t="s">
        <v>62</v>
      </c>
      <c r="D15" s="13"/>
      <c r="E15" s="32">
        <v>43497</v>
      </c>
      <c r="G15" s="8">
        <v>12740243</v>
      </c>
      <c r="I15" s="8">
        <v>4765941</v>
      </c>
      <c r="K15" s="8">
        <v>993583</v>
      </c>
      <c r="M15" s="8">
        <f>862825+840936+27</f>
        <v>1703788</v>
      </c>
      <c r="O15" s="8">
        <v>1587927</v>
      </c>
      <c r="Q15" s="8">
        <v>997402</v>
      </c>
      <c r="S15" s="8">
        <v>24258</v>
      </c>
      <c r="U15" s="8">
        <v>2504435</v>
      </c>
      <c r="W15" s="8">
        <v>262785</v>
      </c>
      <c r="Y15" s="8">
        <v>270006</v>
      </c>
      <c r="AA15" s="8">
        <v>3665136</v>
      </c>
      <c r="AC15" s="8">
        <v>825091</v>
      </c>
      <c r="AE15" s="8">
        <v>59513</v>
      </c>
      <c r="AG15" s="8">
        <v>1389364</v>
      </c>
      <c r="AI15" s="8">
        <v>158642</v>
      </c>
      <c r="AJ15" s="13" t="s">
        <v>648</v>
      </c>
      <c r="AK15" s="13"/>
      <c r="AL15" s="13" t="s">
        <v>62</v>
      </c>
      <c r="AN15" s="8">
        <v>539483</v>
      </c>
      <c r="AP15" s="8">
        <v>36083</v>
      </c>
      <c r="AR15" s="8">
        <v>0</v>
      </c>
      <c r="AT15" s="8">
        <v>287240</v>
      </c>
      <c r="AV15" s="8">
        <v>554734</v>
      </c>
      <c r="AX15" s="8">
        <v>0</v>
      </c>
      <c r="AZ15" s="9">
        <f t="shared" si="1"/>
        <v>33365654</v>
      </c>
      <c r="BB15" s="8">
        <v>0</v>
      </c>
      <c r="BH15" s="8">
        <v>0</v>
      </c>
      <c r="BJ15" s="9">
        <f t="shared" si="0"/>
        <v>33365654</v>
      </c>
      <c r="BL15" s="9">
        <f>'Gov Fd Rv'!AQ15-'Gov Fnd Exp'!BJ15</f>
        <v>800333</v>
      </c>
      <c r="BN15" s="8">
        <v>3935447</v>
      </c>
      <c r="BP15" s="8">
        <v>0</v>
      </c>
      <c r="BT15" s="9">
        <f t="shared" si="2"/>
        <v>4735780</v>
      </c>
      <c r="BU15" s="9"/>
      <c r="BV15" s="9">
        <f>BT15-'Gov Fd BS'!AA15</f>
        <v>0</v>
      </c>
    </row>
    <row r="16" spans="1:76">
      <c r="A16" s="13" t="s">
        <v>343</v>
      </c>
      <c r="B16" s="13"/>
      <c r="C16" s="13" t="s">
        <v>25</v>
      </c>
      <c r="D16" s="13"/>
      <c r="E16" s="32">
        <v>46847</v>
      </c>
      <c r="G16" s="8">
        <v>6596785</v>
      </c>
      <c r="I16" s="8">
        <v>2040979</v>
      </c>
      <c r="K16" s="8">
        <v>461101</v>
      </c>
      <c r="M16" s="8">
        <f>88708+31125</f>
        <v>119833</v>
      </c>
      <c r="O16" s="8">
        <v>492218</v>
      </c>
      <c r="Q16" s="8">
        <v>429491</v>
      </c>
      <c r="S16" s="8">
        <v>85751</v>
      </c>
      <c r="U16" s="8">
        <v>1197743</v>
      </c>
      <c r="W16" s="8">
        <v>347622</v>
      </c>
      <c r="Y16" s="8">
        <v>38123</v>
      </c>
      <c r="AA16" s="8">
        <v>1597361</v>
      </c>
      <c r="AC16" s="8">
        <v>943671</v>
      </c>
      <c r="AE16" s="8">
        <v>13521</v>
      </c>
      <c r="AG16" s="8">
        <v>0</v>
      </c>
      <c r="AI16" s="8">
        <v>743014</v>
      </c>
      <c r="AJ16" s="13" t="s">
        <v>343</v>
      </c>
      <c r="AK16" s="13"/>
      <c r="AL16" s="13" t="s">
        <v>25</v>
      </c>
      <c r="AN16" s="8">
        <v>443426</v>
      </c>
      <c r="AP16" s="8">
        <v>198360</v>
      </c>
      <c r="AR16" s="8">
        <v>0</v>
      </c>
      <c r="AT16" s="8">
        <v>238343</v>
      </c>
      <c r="AV16" s="8">
        <v>162857</v>
      </c>
      <c r="AX16" s="8">
        <v>0</v>
      </c>
      <c r="AZ16" s="9">
        <f t="shared" si="1"/>
        <v>16150199</v>
      </c>
      <c r="BB16" s="8">
        <v>0</v>
      </c>
      <c r="BH16" s="8">
        <v>0</v>
      </c>
      <c r="BJ16" s="9">
        <f t="shared" si="0"/>
        <v>16150199</v>
      </c>
      <c r="BL16" s="9">
        <f>'Gov Fd Rv'!AQ16-'Gov Fnd Exp'!BJ16</f>
        <v>-332094</v>
      </c>
      <c r="BN16" s="8">
        <v>1486880</v>
      </c>
      <c r="BP16" s="8">
        <v>0</v>
      </c>
      <c r="BR16" s="8">
        <v>0</v>
      </c>
      <c r="BT16" s="9">
        <f t="shared" si="2"/>
        <v>1154786</v>
      </c>
      <c r="BU16" s="9"/>
      <c r="BV16" s="9">
        <f>BT16-'Gov Fd BS'!AA16</f>
        <v>0</v>
      </c>
    </row>
    <row r="17" spans="1:76">
      <c r="A17" s="13" t="s">
        <v>775</v>
      </c>
      <c r="B17" s="13"/>
      <c r="C17" s="13" t="s">
        <v>44</v>
      </c>
      <c r="D17" s="13"/>
      <c r="E17" s="13">
        <v>45195</v>
      </c>
      <c r="F17" s="11"/>
      <c r="G17" s="8">
        <v>17485520</v>
      </c>
      <c r="I17" s="8">
        <v>5328680</v>
      </c>
      <c r="K17" s="8">
        <v>354247</v>
      </c>
      <c r="M17" s="8">
        <v>0</v>
      </c>
      <c r="O17" s="8">
        <v>1637976</v>
      </c>
      <c r="Q17" s="8">
        <v>1658534</v>
      </c>
      <c r="S17" s="8">
        <v>13429</v>
      </c>
      <c r="U17" s="8">
        <v>2910612</v>
      </c>
      <c r="W17" s="8">
        <v>687411</v>
      </c>
      <c r="Y17" s="8">
        <v>0</v>
      </c>
      <c r="AA17" s="8">
        <v>3598114</v>
      </c>
      <c r="AC17" s="8">
        <v>1071149</v>
      </c>
      <c r="AE17" s="8">
        <v>2927</v>
      </c>
      <c r="AG17" s="8">
        <v>1493551</v>
      </c>
      <c r="AI17" s="8">
        <v>219402</v>
      </c>
      <c r="AJ17" s="13" t="s">
        <v>775</v>
      </c>
      <c r="AK17" s="13"/>
      <c r="AL17" s="13" t="s">
        <v>44</v>
      </c>
      <c r="AN17" s="8">
        <v>667804</v>
      </c>
      <c r="AP17" s="8">
        <v>0</v>
      </c>
      <c r="AR17" s="8">
        <v>0</v>
      </c>
      <c r="AT17" s="8">
        <v>1295000</v>
      </c>
      <c r="AV17" s="8">
        <v>893306</v>
      </c>
      <c r="AX17" s="8">
        <v>0</v>
      </c>
      <c r="AZ17" s="9">
        <f t="shared" si="1"/>
        <v>39317662</v>
      </c>
      <c r="BB17" s="8">
        <v>23075</v>
      </c>
      <c r="BD17" s="8">
        <v>0</v>
      </c>
      <c r="BF17" s="8">
        <v>0</v>
      </c>
      <c r="BH17" s="8">
        <v>0</v>
      </c>
      <c r="BJ17" s="9">
        <f t="shared" si="0"/>
        <v>39340737</v>
      </c>
      <c r="BL17" s="9">
        <f>'Gov Fd Rv'!AQ17-'Gov Fnd Exp'!BJ17</f>
        <v>433983</v>
      </c>
      <c r="BN17" s="8">
        <v>4036262</v>
      </c>
      <c r="BP17" s="8">
        <v>0</v>
      </c>
      <c r="BR17" s="8">
        <v>0</v>
      </c>
      <c r="BT17" s="9">
        <f t="shared" ref="BT17:BT83" si="3">BL17+BN17+BP17+BR17</f>
        <v>4470245</v>
      </c>
      <c r="BU17" s="9"/>
      <c r="BV17" s="9">
        <f>BT17-'Gov Fd BS'!AA17</f>
        <v>0</v>
      </c>
    </row>
    <row r="18" spans="1:76">
      <c r="A18" s="13" t="s">
        <v>641</v>
      </c>
      <c r="B18" s="13"/>
      <c r="C18" s="13" t="s">
        <v>61</v>
      </c>
      <c r="D18" s="13"/>
      <c r="E18" s="32">
        <v>49759</v>
      </c>
      <c r="G18" s="8">
        <v>4661951</v>
      </c>
      <c r="I18" s="8">
        <v>919756</v>
      </c>
      <c r="K18" s="8">
        <v>342796</v>
      </c>
      <c r="M18" s="8">
        <v>0</v>
      </c>
      <c r="O18" s="8">
        <v>563338</v>
      </c>
      <c r="Q18" s="8">
        <v>311835</v>
      </c>
      <c r="S18" s="8">
        <v>58026</v>
      </c>
      <c r="U18" s="8">
        <v>796215</v>
      </c>
      <c r="W18" s="8">
        <v>401491</v>
      </c>
      <c r="Y18" s="8">
        <v>79611</v>
      </c>
      <c r="AA18" s="8">
        <v>1006290</v>
      </c>
      <c r="AC18" s="8">
        <v>640955</v>
      </c>
      <c r="AE18" s="8">
        <v>4526</v>
      </c>
      <c r="AG18" s="8">
        <v>0</v>
      </c>
      <c r="AI18" s="8">
        <v>438599</v>
      </c>
      <c r="AJ18" s="13" t="s">
        <v>641</v>
      </c>
      <c r="AK18" s="13"/>
      <c r="AL18" s="13" t="s">
        <v>61</v>
      </c>
      <c r="AN18" s="8">
        <v>601871</v>
      </c>
      <c r="AP18" s="8">
        <v>287137</v>
      </c>
      <c r="AR18" s="8">
        <v>0</v>
      </c>
      <c r="AT18" s="8">
        <v>390000</v>
      </c>
      <c r="AV18" s="8">
        <v>326933</v>
      </c>
      <c r="AX18" s="8">
        <v>0</v>
      </c>
      <c r="AZ18" s="9">
        <f t="shared" si="1"/>
        <v>11831330</v>
      </c>
      <c r="BB18" s="8">
        <v>0</v>
      </c>
      <c r="BH18" s="8">
        <v>0</v>
      </c>
      <c r="BJ18" s="9">
        <f t="shared" si="0"/>
        <v>11831330</v>
      </c>
      <c r="BL18" s="9">
        <f>'Gov Fd Rv'!AQ18-'Gov Fnd Exp'!BJ18</f>
        <v>91429</v>
      </c>
      <c r="BN18" s="8">
        <v>5586027</v>
      </c>
      <c r="BP18" s="8">
        <v>0</v>
      </c>
      <c r="BR18" s="8">
        <v>0</v>
      </c>
      <c r="BT18" s="9">
        <f t="shared" si="3"/>
        <v>5677456</v>
      </c>
      <c r="BU18" s="9"/>
      <c r="BV18" s="9">
        <f>BT18-'Gov Fd BS'!AA18</f>
        <v>0</v>
      </c>
    </row>
    <row r="19" spans="1:76" hidden="1">
      <c r="A19" s="13" t="s">
        <v>1019</v>
      </c>
      <c r="B19" s="13"/>
      <c r="C19" s="13" t="s">
        <v>814</v>
      </c>
      <c r="D19" s="13"/>
      <c r="E19" s="32"/>
      <c r="G19" s="8">
        <v>2651877</v>
      </c>
      <c r="I19" s="8">
        <v>889609</v>
      </c>
      <c r="K19" s="8">
        <v>230567</v>
      </c>
      <c r="M19" s="8">
        <v>258854</v>
      </c>
      <c r="O19" s="8">
        <v>349837</v>
      </c>
      <c r="Q19" s="8">
        <v>398112</v>
      </c>
      <c r="S19" s="8">
        <v>57568</v>
      </c>
      <c r="U19" s="8">
        <v>561739</v>
      </c>
      <c r="W19" s="8">
        <v>175862</v>
      </c>
      <c r="Y19" s="8">
        <v>927</v>
      </c>
      <c r="AA19" s="8">
        <v>541844</v>
      </c>
      <c r="AC19" s="8">
        <v>438504</v>
      </c>
      <c r="AE19" s="8">
        <v>18244</v>
      </c>
      <c r="AJ19" s="13" t="s">
        <v>1019</v>
      </c>
      <c r="AK19" s="13"/>
      <c r="AL19" s="13" t="s">
        <v>814</v>
      </c>
      <c r="AN19" s="8">
        <v>240688</v>
      </c>
      <c r="AT19" s="8">
        <v>110000</v>
      </c>
      <c r="AV19" s="8">
        <v>90600</v>
      </c>
      <c r="AZ19" s="9">
        <f t="shared" si="1"/>
        <v>7014832</v>
      </c>
      <c r="BJ19" s="9">
        <f t="shared" si="0"/>
        <v>7014832</v>
      </c>
      <c r="BL19" s="9">
        <f>'Gov Fd Rv'!AQ19-'Gov Fnd Exp'!BJ19</f>
        <v>-141746</v>
      </c>
      <c r="BN19" s="8">
        <v>1403390</v>
      </c>
      <c r="BT19" s="9">
        <f t="shared" si="3"/>
        <v>1261644</v>
      </c>
      <c r="BU19" s="9"/>
      <c r="BV19" s="9">
        <f>BT19-'Gov Fd BS'!AA19</f>
        <v>0</v>
      </c>
    </row>
    <row r="20" spans="1:76">
      <c r="A20" s="13" t="s">
        <v>496</v>
      </c>
      <c r="B20" s="13"/>
      <c r="C20" s="13" t="s">
        <v>117</v>
      </c>
      <c r="D20" s="13"/>
      <c r="E20" s="32">
        <v>48207</v>
      </c>
      <c r="G20" s="8">
        <v>16536077</v>
      </c>
      <c r="I20" s="8">
        <v>2395537</v>
      </c>
      <c r="K20" s="8">
        <v>107770</v>
      </c>
      <c r="M20" s="8">
        <v>0</v>
      </c>
      <c r="O20" s="8">
        <v>1604324</v>
      </c>
      <c r="Q20" s="8">
        <v>1031907</v>
      </c>
      <c r="S20" s="8">
        <v>1009128</v>
      </c>
      <c r="U20" s="8">
        <v>2559011</v>
      </c>
      <c r="W20" s="8">
        <v>697012</v>
      </c>
      <c r="Y20" s="8">
        <v>32735</v>
      </c>
      <c r="AA20" s="8">
        <v>3956710</v>
      </c>
      <c r="AC20" s="8">
        <v>3076533</v>
      </c>
      <c r="AE20" s="8">
        <v>41233</v>
      </c>
      <c r="AG20" s="8">
        <v>1056622</v>
      </c>
      <c r="AI20" s="8">
        <v>217180</v>
      </c>
      <c r="AJ20" s="13" t="s">
        <v>496</v>
      </c>
      <c r="AK20" s="13"/>
      <c r="AL20" s="13" t="s">
        <v>117</v>
      </c>
      <c r="AN20" s="8">
        <v>995398</v>
      </c>
      <c r="AP20" s="8">
        <v>312504</v>
      </c>
      <c r="AR20" s="8">
        <v>0</v>
      </c>
      <c r="AT20" s="8">
        <v>2894135</v>
      </c>
      <c r="AV20" s="8">
        <v>1192019</v>
      </c>
      <c r="AX20" s="8">
        <v>0</v>
      </c>
      <c r="AZ20" s="9">
        <f t="shared" si="1"/>
        <v>39715835</v>
      </c>
      <c r="BB20" s="8">
        <v>0</v>
      </c>
      <c r="BH20" s="8">
        <v>0</v>
      </c>
      <c r="BJ20" s="9">
        <f t="shared" si="0"/>
        <v>39715835</v>
      </c>
      <c r="BL20" s="9">
        <f>'Gov Fd Rv'!AQ20-'Gov Fnd Exp'!BJ20</f>
        <v>3118043</v>
      </c>
      <c r="BN20" s="8">
        <v>2894934</v>
      </c>
      <c r="BP20" s="8">
        <v>7899</v>
      </c>
      <c r="BR20" s="8">
        <v>0</v>
      </c>
      <c r="BT20" s="9">
        <f t="shared" si="3"/>
        <v>6020876</v>
      </c>
      <c r="BU20" s="9"/>
      <c r="BV20" s="9">
        <f>BT20-'Gov Fd BS'!AA20</f>
        <v>0</v>
      </c>
    </row>
    <row r="21" spans="1:76">
      <c r="A21" s="13" t="s">
        <v>413</v>
      </c>
      <c r="B21" s="13"/>
      <c r="C21" s="13" t="s">
        <v>33</v>
      </c>
      <c r="D21" s="13"/>
      <c r="E21" s="32">
        <v>47415</v>
      </c>
      <c r="G21" s="8">
        <v>2681456</v>
      </c>
      <c r="I21" s="8">
        <v>511208</v>
      </c>
      <c r="K21" s="8">
        <v>260860</v>
      </c>
      <c r="M21" s="8">
        <v>0</v>
      </c>
      <c r="O21" s="8">
        <v>310471</v>
      </c>
      <c r="Q21" s="8">
        <v>197579</v>
      </c>
      <c r="S21" s="8">
        <v>77107</v>
      </c>
      <c r="U21" s="8">
        <v>541599</v>
      </c>
      <c r="W21" s="8">
        <v>203637</v>
      </c>
      <c r="Y21" s="8">
        <v>0</v>
      </c>
      <c r="AA21" s="8">
        <v>496338</v>
      </c>
      <c r="AC21" s="8">
        <v>447237</v>
      </c>
      <c r="AE21" s="8">
        <v>1657</v>
      </c>
      <c r="AG21" s="8">
        <v>0</v>
      </c>
      <c r="AI21" s="8">
        <v>256943</v>
      </c>
      <c r="AJ21" s="13" t="s">
        <v>413</v>
      </c>
      <c r="AK21" s="13"/>
      <c r="AL21" s="13" t="s">
        <v>33</v>
      </c>
      <c r="AN21" s="8">
        <v>284155</v>
      </c>
      <c r="AP21" s="8">
        <v>50225</v>
      </c>
      <c r="AR21" s="8">
        <v>0</v>
      </c>
      <c r="AT21" s="8">
        <v>0</v>
      </c>
      <c r="AV21" s="8">
        <v>0</v>
      </c>
      <c r="AX21" s="8">
        <v>0</v>
      </c>
      <c r="AZ21" s="9">
        <f t="shared" si="1"/>
        <v>6320472</v>
      </c>
      <c r="BB21" s="8">
        <v>0</v>
      </c>
      <c r="BH21" s="8">
        <v>0</v>
      </c>
      <c r="BJ21" s="9">
        <f t="shared" si="0"/>
        <v>6320472</v>
      </c>
      <c r="BL21" s="9">
        <f>'Gov Fd Rv'!AQ21-'Gov Fnd Exp'!BJ21</f>
        <v>153845</v>
      </c>
      <c r="BN21" s="8">
        <v>2704695</v>
      </c>
      <c r="BP21" s="8">
        <v>0</v>
      </c>
      <c r="BR21" s="8">
        <v>0</v>
      </c>
      <c r="BT21" s="9">
        <f t="shared" si="3"/>
        <v>2858540</v>
      </c>
      <c r="BU21" s="9"/>
      <c r="BV21" s="9">
        <f>BT21-'Gov Fd BS'!AA21</f>
        <v>0</v>
      </c>
    </row>
    <row r="22" spans="1:76" hidden="1">
      <c r="A22" s="13" t="s">
        <v>958</v>
      </c>
      <c r="B22" s="13"/>
      <c r="C22" s="13" t="s">
        <v>21</v>
      </c>
      <c r="D22" s="13"/>
      <c r="E22" s="32">
        <v>46631</v>
      </c>
      <c r="G22" s="8">
        <v>4629182</v>
      </c>
      <c r="I22" s="8">
        <v>841257</v>
      </c>
      <c r="K22" s="8">
        <v>72143</v>
      </c>
      <c r="M22" s="8">
        <v>19693</v>
      </c>
      <c r="O22" s="8">
        <v>402293</v>
      </c>
      <c r="Q22" s="8">
        <v>554576</v>
      </c>
      <c r="S22" s="8">
        <v>80967</v>
      </c>
      <c r="U22" s="8">
        <v>712100</v>
      </c>
      <c r="W22" s="8">
        <v>229592</v>
      </c>
      <c r="AA22" s="8">
        <v>680639</v>
      </c>
      <c r="AC22" s="8">
        <v>464783</v>
      </c>
      <c r="AE22" s="8">
        <v>5729</v>
      </c>
      <c r="AI22" s="8">
        <v>342304</v>
      </c>
      <c r="AJ22" s="13" t="s">
        <v>958</v>
      </c>
      <c r="AK22" s="13"/>
      <c r="AL22" s="13" t="s">
        <v>21</v>
      </c>
      <c r="AN22" s="8">
        <v>322670</v>
      </c>
      <c r="AP22" s="8">
        <v>1302272</v>
      </c>
      <c r="AT22" s="8">
        <v>13175000</v>
      </c>
      <c r="AV22" s="8">
        <v>852626</v>
      </c>
      <c r="AZ22" s="9">
        <f t="shared" si="1"/>
        <v>24687826</v>
      </c>
      <c r="BH22" s="8">
        <f>-110-2401</f>
        <v>-2511</v>
      </c>
      <c r="BJ22" s="9">
        <f t="shared" si="0"/>
        <v>24685315</v>
      </c>
      <c r="BL22" s="9">
        <f>'Gov Fd Rv'!AQ22-'Gov Fnd Exp'!BJ22</f>
        <v>-7351874</v>
      </c>
      <c r="BN22" s="8">
        <v>31016836</v>
      </c>
      <c r="BT22" s="9">
        <f t="shared" si="3"/>
        <v>23664962</v>
      </c>
      <c r="BU22" s="9"/>
      <c r="BV22" s="9">
        <f>BT22-'Gov Fd BS'!AA22</f>
        <v>0</v>
      </c>
      <c r="BX22" s="8" t="s">
        <v>956</v>
      </c>
    </row>
    <row r="23" spans="1:76">
      <c r="A23" s="13" t="s">
        <v>368</v>
      </c>
      <c r="B23" s="13"/>
      <c r="C23" s="13" t="s">
        <v>28</v>
      </c>
      <c r="D23" s="13"/>
      <c r="E23" s="32">
        <v>47043</v>
      </c>
      <c r="G23" s="8">
        <v>6164825</v>
      </c>
      <c r="I23" s="8">
        <v>1046479</v>
      </c>
      <c r="K23" s="8">
        <v>182181</v>
      </c>
      <c r="M23" s="8">
        <f>6220+17681</f>
        <v>23901</v>
      </c>
      <c r="O23" s="8">
        <v>864729</v>
      </c>
      <c r="Q23" s="8">
        <v>517757</v>
      </c>
      <c r="S23" s="8">
        <v>39897</v>
      </c>
      <c r="U23" s="8">
        <v>761377</v>
      </c>
      <c r="W23" s="8">
        <v>382532</v>
      </c>
      <c r="Y23" s="8">
        <v>0</v>
      </c>
      <c r="AA23" s="8">
        <v>1358448</v>
      </c>
      <c r="AC23" s="8">
        <v>646647</v>
      </c>
      <c r="AE23" s="8">
        <v>0</v>
      </c>
      <c r="AG23" s="8">
        <v>0</v>
      </c>
      <c r="AI23" s="8">
        <v>507547</v>
      </c>
      <c r="AJ23" s="13" t="s">
        <v>368</v>
      </c>
      <c r="AK23" s="13"/>
      <c r="AL23" s="13" t="s">
        <v>28</v>
      </c>
      <c r="AN23" s="8">
        <v>627722</v>
      </c>
      <c r="AP23" s="8">
        <v>103303</v>
      </c>
      <c r="AR23" s="8">
        <v>0</v>
      </c>
      <c r="AT23" s="8">
        <v>1200000</v>
      </c>
      <c r="AV23" s="8">
        <v>443411</v>
      </c>
      <c r="AX23" s="8">
        <v>0</v>
      </c>
      <c r="AZ23" s="9">
        <f t="shared" si="1"/>
        <v>14870756</v>
      </c>
      <c r="BB23" s="8">
        <v>2060</v>
      </c>
      <c r="BH23" s="8">
        <v>0</v>
      </c>
      <c r="BJ23" s="9">
        <f t="shared" si="0"/>
        <v>14872816</v>
      </c>
      <c r="BL23" s="9">
        <f>'Gov Fd Rv'!AQ23-'Gov Fnd Exp'!BJ23</f>
        <v>412720</v>
      </c>
      <c r="BN23" s="8">
        <v>6851853</v>
      </c>
      <c r="BP23" s="8">
        <v>0</v>
      </c>
      <c r="BR23" s="8">
        <v>0</v>
      </c>
      <c r="BT23" s="9">
        <f>BL23+BN23+BP23+BR23-BB23</f>
        <v>7262513</v>
      </c>
      <c r="BU23" s="9"/>
      <c r="BV23" s="9">
        <f>BT23-'Gov Fd BS'!AA23</f>
        <v>0</v>
      </c>
    </row>
    <row r="24" spans="1:76">
      <c r="A24" s="13" t="s">
        <v>414</v>
      </c>
      <c r="B24" s="13"/>
      <c r="C24" s="13" t="s">
        <v>33</v>
      </c>
      <c r="D24" s="13"/>
      <c r="E24" s="32">
        <v>47423</v>
      </c>
      <c r="G24" s="8">
        <v>3010285</v>
      </c>
      <c r="I24" s="8">
        <v>740737</v>
      </c>
      <c r="K24" s="8">
        <v>273475</v>
      </c>
      <c r="M24" s="8">
        <v>0</v>
      </c>
      <c r="O24" s="8">
        <v>266928</v>
      </c>
      <c r="Q24" s="8">
        <v>327484</v>
      </c>
      <c r="S24" s="8">
        <v>37148</v>
      </c>
      <c r="U24" s="8">
        <v>482386</v>
      </c>
      <c r="W24" s="8">
        <v>249039</v>
      </c>
      <c r="Y24" s="8">
        <v>0</v>
      </c>
      <c r="AA24" s="8">
        <v>499180</v>
      </c>
      <c r="AC24" s="8">
        <v>467637</v>
      </c>
      <c r="AE24" s="8">
        <v>1672</v>
      </c>
      <c r="AG24" s="8">
        <v>0</v>
      </c>
      <c r="AI24" s="8">
        <v>251645</v>
      </c>
      <c r="AJ24" s="13" t="s">
        <v>414</v>
      </c>
      <c r="AK24" s="13"/>
      <c r="AL24" s="13" t="s">
        <v>33</v>
      </c>
      <c r="AN24" s="8">
        <v>266659</v>
      </c>
      <c r="AP24" s="8">
        <v>5000</v>
      </c>
      <c r="AR24" s="8">
        <v>0</v>
      </c>
      <c r="AT24" s="8">
        <v>31083</v>
      </c>
      <c r="AV24" s="8">
        <f>73917+23068</f>
        <v>96985</v>
      </c>
      <c r="AX24" s="8">
        <v>0</v>
      </c>
      <c r="AZ24" s="9">
        <f t="shared" si="1"/>
        <v>7007343</v>
      </c>
      <c r="BB24" s="8">
        <v>0</v>
      </c>
      <c r="BH24" s="8">
        <v>0</v>
      </c>
      <c r="BJ24" s="9">
        <f t="shared" si="0"/>
        <v>7007343</v>
      </c>
      <c r="BL24" s="9">
        <f>'Gov Fd Rv'!AQ24-'Gov Fnd Exp'!BJ24</f>
        <v>-304402</v>
      </c>
      <c r="BN24" s="8">
        <v>3416691</v>
      </c>
      <c r="BP24" s="8">
        <v>0</v>
      </c>
      <c r="BR24" s="8">
        <v>0</v>
      </c>
      <c r="BT24" s="9">
        <f t="shared" si="3"/>
        <v>3112289</v>
      </c>
      <c r="BU24" s="9"/>
      <c r="BV24" s="9">
        <f>BT24-'Gov Fd BS'!AA24</f>
        <v>0</v>
      </c>
    </row>
    <row r="25" spans="1:76">
      <c r="A25" s="13" t="s">
        <v>213</v>
      </c>
      <c r="B25" s="13"/>
      <c r="C25" s="13" t="s">
        <v>11</v>
      </c>
      <c r="D25" s="13"/>
      <c r="E25" s="32">
        <v>43505</v>
      </c>
      <c r="G25" s="8">
        <v>14291540</v>
      </c>
      <c r="I25" s="8">
        <v>3936627</v>
      </c>
      <c r="K25" s="8">
        <v>1016483</v>
      </c>
      <c r="M25" s="8">
        <f>271767+1567694</f>
        <v>1839461</v>
      </c>
      <c r="O25" s="8">
        <v>1563097</v>
      </c>
      <c r="Q25" s="8">
        <v>2000859</v>
      </c>
      <c r="S25" s="8">
        <v>163313</v>
      </c>
      <c r="U25" s="8">
        <v>2585353</v>
      </c>
      <c r="W25" s="8">
        <v>785501</v>
      </c>
      <c r="Y25" s="8">
        <v>465009</v>
      </c>
      <c r="AA25" s="8">
        <v>2817731</v>
      </c>
      <c r="AC25" s="8">
        <v>988050</v>
      </c>
      <c r="AE25" s="8">
        <v>296835</v>
      </c>
      <c r="AG25" s="8">
        <v>1373767</v>
      </c>
      <c r="AI25" s="8">
        <v>231004</v>
      </c>
      <c r="AJ25" s="13" t="s">
        <v>213</v>
      </c>
      <c r="AK25" s="13"/>
      <c r="AL25" s="13" t="s">
        <v>11</v>
      </c>
      <c r="AN25" s="8">
        <v>936807</v>
      </c>
      <c r="AP25" s="8">
        <v>3955299</v>
      </c>
      <c r="AR25" s="8">
        <v>0</v>
      </c>
      <c r="AT25" s="8">
        <v>576000</v>
      </c>
      <c r="AV25" s="8">
        <v>110152</v>
      </c>
      <c r="AX25" s="8">
        <v>0</v>
      </c>
      <c r="AZ25" s="9">
        <f t="shared" si="1"/>
        <v>39932888</v>
      </c>
      <c r="BB25" s="8">
        <v>231519</v>
      </c>
      <c r="BH25" s="8">
        <v>0</v>
      </c>
      <c r="BJ25" s="9">
        <f>AZ25+BB25+BH25+BB25</f>
        <v>40395926</v>
      </c>
      <c r="BL25" s="9">
        <f>'Gov Fd Rv'!AQ25-'Gov Fnd Exp'!BJ25</f>
        <v>698780</v>
      </c>
      <c r="BN25" s="8">
        <v>8456717</v>
      </c>
      <c r="BP25" s="8">
        <v>0</v>
      </c>
      <c r="BR25" s="8">
        <v>0</v>
      </c>
      <c r="BT25" s="9">
        <f t="shared" si="3"/>
        <v>9155497</v>
      </c>
      <c r="BU25" s="9"/>
      <c r="BV25" s="9">
        <f>BT25-'Gov Fd BS'!AA25</f>
        <v>0</v>
      </c>
    </row>
    <row r="26" spans="1:76">
      <c r="A26" s="13" t="s">
        <v>761</v>
      </c>
      <c r="B26" s="13"/>
      <c r="C26" s="13" t="s">
        <v>12</v>
      </c>
      <c r="D26" s="13"/>
      <c r="E26" s="32">
        <v>43513</v>
      </c>
      <c r="G26" s="8">
        <v>19042423</v>
      </c>
      <c r="I26" s="8">
        <v>6049481</v>
      </c>
      <c r="K26" s="8">
        <v>203472</v>
      </c>
      <c r="M26" s="8">
        <v>1655914</v>
      </c>
      <c r="O26" s="8">
        <v>2143474</v>
      </c>
      <c r="Q26" s="8">
        <v>2299839</v>
      </c>
      <c r="S26" s="8">
        <v>156804</v>
      </c>
      <c r="U26" s="8">
        <v>2468272</v>
      </c>
      <c r="W26" s="8">
        <v>817659</v>
      </c>
      <c r="Y26" s="8">
        <v>697504</v>
      </c>
      <c r="AA26" s="8">
        <v>4057752</v>
      </c>
      <c r="AC26" s="8">
        <v>2106767</v>
      </c>
      <c r="AE26" s="8">
        <v>29599</v>
      </c>
      <c r="AG26" s="8">
        <v>1516338</v>
      </c>
      <c r="AI26" s="8">
        <v>0</v>
      </c>
      <c r="AJ26" s="13" t="s">
        <v>761</v>
      </c>
      <c r="AK26" s="13"/>
      <c r="AL26" s="13" t="s">
        <v>12</v>
      </c>
      <c r="AN26" s="8">
        <v>832086</v>
      </c>
      <c r="AP26" s="8">
        <v>11358198</v>
      </c>
      <c r="AR26" s="8">
        <v>0</v>
      </c>
      <c r="AT26" s="8">
        <v>733652</v>
      </c>
      <c r="AV26" s="8">
        <v>2448389</v>
      </c>
      <c r="AX26" s="8">
        <v>122662</v>
      </c>
      <c r="AZ26" s="9">
        <f t="shared" si="1"/>
        <v>58740285</v>
      </c>
      <c r="BB26" s="8">
        <v>33563</v>
      </c>
      <c r="BH26" s="8">
        <v>0</v>
      </c>
      <c r="BJ26" s="9">
        <f t="shared" si="0"/>
        <v>58773848</v>
      </c>
      <c r="BL26" s="9">
        <f>'Gov Fd Rv'!AQ26-'Gov Fnd Exp'!BJ26</f>
        <v>9994545</v>
      </c>
      <c r="BN26" s="8">
        <v>17737834</v>
      </c>
      <c r="BP26" s="8">
        <v>0</v>
      </c>
      <c r="BS26" s="8" t="s">
        <v>134</v>
      </c>
      <c r="BT26" s="9">
        <f t="shared" si="3"/>
        <v>27732379</v>
      </c>
      <c r="BU26" s="9"/>
      <c r="BV26" s="9">
        <f>BT26-'Gov Fd BS'!AA26</f>
        <v>0</v>
      </c>
      <c r="BX26" s="8" t="s">
        <v>956</v>
      </c>
    </row>
    <row r="27" spans="1:76">
      <c r="A27" s="13" t="s">
        <v>223</v>
      </c>
      <c r="B27" s="13"/>
      <c r="C27" s="13" t="s">
        <v>13</v>
      </c>
      <c r="D27" s="13"/>
      <c r="E27" s="32">
        <v>43521</v>
      </c>
      <c r="G27" s="8">
        <v>14707142</v>
      </c>
      <c r="I27" s="8">
        <v>3576204</v>
      </c>
      <c r="K27" s="8">
        <v>338655</v>
      </c>
      <c r="M27" s="8">
        <v>360581</v>
      </c>
      <c r="O27" s="8">
        <v>1371168</v>
      </c>
      <c r="Q27" s="8">
        <v>1941359</v>
      </c>
      <c r="S27" s="8">
        <v>86729</v>
      </c>
      <c r="U27" s="8">
        <v>1934602</v>
      </c>
      <c r="W27" s="8">
        <v>744147</v>
      </c>
      <c r="Y27" s="8">
        <v>617299</v>
      </c>
      <c r="AA27" s="8">
        <v>3754365</v>
      </c>
      <c r="AC27" s="8">
        <v>1816360</v>
      </c>
      <c r="AE27" s="8">
        <v>198932</v>
      </c>
      <c r="AG27" s="8">
        <v>0</v>
      </c>
      <c r="AI27" s="8">
        <v>878266</v>
      </c>
      <c r="AJ27" s="13" t="s">
        <v>223</v>
      </c>
      <c r="AK27" s="13"/>
      <c r="AL27" s="13" t="s">
        <v>13</v>
      </c>
      <c r="AN27" s="8">
        <v>487819</v>
      </c>
      <c r="AP27" s="8">
        <v>373663</v>
      </c>
      <c r="AR27" s="8">
        <v>0</v>
      </c>
      <c r="AT27" s="8">
        <v>620000</v>
      </c>
      <c r="AV27" s="8">
        <v>649690</v>
      </c>
      <c r="AX27" s="8">
        <v>0</v>
      </c>
      <c r="AZ27" s="9">
        <f t="shared" si="1"/>
        <v>34456981</v>
      </c>
      <c r="BB27" s="8">
        <v>348740</v>
      </c>
      <c r="BH27" s="8">
        <v>0</v>
      </c>
      <c r="BJ27" s="9">
        <f t="shared" si="0"/>
        <v>34805721</v>
      </c>
      <c r="BL27" s="9">
        <f>'Gov Fd Rv'!AQ27-'Gov Fnd Exp'!BJ27</f>
        <v>2300021</v>
      </c>
      <c r="BN27" s="8">
        <v>11678605</v>
      </c>
      <c r="BP27" s="8">
        <v>0</v>
      </c>
      <c r="BT27" s="9">
        <f>BL27+BN27+BP27+BR27</f>
        <v>13978626</v>
      </c>
      <c r="BU27" s="9"/>
      <c r="BV27" s="9">
        <f>BT27-'Gov Fd BS'!AA27</f>
        <v>0</v>
      </c>
      <c r="BX27" s="8" t="s">
        <v>956</v>
      </c>
    </row>
    <row r="28" spans="1:76">
      <c r="A28" s="13" t="s">
        <v>588</v>
      </c>
      <c r="B28" s="13"/>
      <c r="C28" s="13" t="s">
        <v>56</v>
      </c>
      <c r="D28" s="13"/>
      <c r="E28" s="32">
        <v>49171</v>
      </c>
      <c r="G28" s="8">
        <v>12628665</v>
      </c>
      <c r="I28" s="8">
        <v>1707903</v>
      </c>
      <c r="K28" s="8">
        <v>165678</v>
      </c>
      <c r="M28" s="8">
        <v>563490</v>
      </c>
      <c r="O28" s="8">
        <v>1505876</v>
      </c>
      <c r="Q28" s="8">
        <v>1651608</v>
      </c>
      <c r="S28" s="8">
        <v>75249</v>
      </c>
      <c r="U28" s="8">
        <v>2648286</v>
      </c>
      <c r="W28" s="8">
        <v>846855</v>
      </c>
      <c r="Y28" s="8">
        <v>202513</v>
      </c>
      <c r="AA28" s="8">
        <v>2969071</v>
      </c>
      <c r="AC28" s="8">
        <v>1095984</v>
      </c>
      <c r="AE28" s="8">
        <v>73887</v>
      </c>
      <c r="AG28" s="8">
        <v>808756</v>
      </c>
      <c r="AI28" s="8">
        <v>0</v>
      </c>
      <c r="AJ28" s="13" t="s">
        <v>588</v>
      </c>
      <c r="AK28" s="13"/>
      <c r="AL28" s="13" t="s">
        <v>56</v>
      </c>
      <c r="AN28" s="8">
        <v>540137</v>
      </c>
      <c r="AP28" s="8">
        <v>1586133</v>
      </c>
      <c r="AR28" s="8">
        <v>0</v>
      </c>
      <c r="AT28" s="8">
        <v>1100000</v>
      </c>
      <c r="AV28" s="8">
        <v>677754</v>
      </c>
      <c r="AX28" s="8">
        <v>0</v>
      </c>
      <c r="AZ28" s="9">
        <f t="shared" si="1"/>
        <v>30847845</v>
      </c>
      <c r="BB28" s="8">
        <v>90958</v>
      </c>
      <c r="BH28" s="8">
        <v>0</v>
      </c>
      <c r="BJ28" s="9">
        <f t="shared" si="0"/>
        <v>30938803</v>
      </c>
      <c r="BL28" s="9">
        <f>'Gov Fd Rv'!AQ28-'Gov Fnd Exp'!BJ28-BB28</f>
        <v>-2391650</v>
      </c>
      <c r="BN28" s="8">
        <v>5882180</v>
      </c>
      <c r="BP28" s="8">
        <v>0</v>
      </c>
      <c r="BR28" s="8">
        <v>0</v>
      </c>
      <c r="BT28" s="9">
        <f t="shared" si="3"/>
        <v>3490530</v>
      </c>
      <c r="BU28" s="9"/>
      <c r="BV28" s="9">
        <f>BT28-'Gov Fd BS'!AA28</f>
        <v>0</v>
      </c>
    </row>
    <row r="29" spans="1:76">
      <c r="A29" s="13" t="s">
        <v>508</v>
      </c>
      <c r="B29" s="13"/>
      <c r="C29" s="13" t="s">
        <v>45</v>
      </c>
      <c r="D29" s="13"/>
      <c r="E29" s="32">
        <v>48298</v>
      </c>
      <c r="G29" s="8">
        <v>19009083</v>
      </c>
      <c r="I29" s="8">
        <v>5244421</v>
      </c>
      <c r="K29" s="8">
        <v>243095</v>
      </c>
      <c r="M29" s="8">
        <v>1589751</v>
      </c>
      <c r="O29" s="8">
        <v>2755992</v>
      </c>
      <c r="Q29" s="8">
        <v>1385185</v>
      </c>
      <c r="S29" s="8">
        <v>46498</v>
      </c>
      <c r="U29" s="8">
        <v>3546945</v>
      </c>
      <c r="W29" s="8">
        <v>844500</v>
      </c>
      <c r="Y29" s="8">
        <v>6214</v>
      </c>
      <c r="AA29" s="8">
        <v>4108072</v>
      </c>
      <c r="AC29" s="8">
        <v>2288762</v>
      </c>
      <c r="AE29" s="8">
        <v>557</v>
      </c>
      <c r="AG29" s="8">
        <v>1770589</v>
      </c>
      <c r="AI29" s="8">
        <v>215813</v>
      </c>
      <c r="AJ29" s="13" t="s">
        <v>508</v>
      </c>
      <c r="AK29" s="13"/>
      <c r="AL29" s="13" t="s">
        <v>45</v>
      </c>
      <c r="AN29" s="8">
        <v>956250</v>
      </c>
      <c r="AP29" s="8">
        <v>1857459</v>
      </c>
      <c r="AR29" s="8">
        <v>0</v>
      </c>
      <c r="AT29" s="8">
        <v>511194</v>
      </c>
      <c r="AV29" s="8">
        <v>1135753</v>
      </c>
      <c r="AX29" s="8">
        <v>0</v>
      </c>
      <c r="AZ29" s="9">
        <f t="shared" si="1"/>
        <v>47516133</v>
      </c>
      <c r="BB29" s="8">
        <v>213425</v>
      </c>
      <c r="BH29" s="8">
        <v>0</v>
      </c>
      <c r="BJ29" s="9">
        <f t="shared" si="0"/>
        <v>47729558</v>
      </c>
      <c r="BL29" s="9">
        <f>'Gov Fd Rv'!AQ29-'Gov Fnd Exp'!BJ29</f>
        <v>-2115005</v>
      </c>
      <c r="BN29" s="8">
        <v>3020912</v>
      </c>
      <c r="BP29" s="8">
        <v>-20541</v>
      </c>
      <c r="BT29" s="9">
        <f t="shared" si="3"/>
        <v>885366</v>
      </c>
      <c r="BU29" s="9"/>
      <c r="BV29" s="9">
        <f>BT29-'Gov Fd BS'!AA29</f>
        <v>0</v>
      </c>
      <c r="BX29" s="8" t="s">
        <v>956</v>
      </c>
    </row>
    <row r="30" spans="1:76">
      <c r="A30" s="13" t="s">
        <v>483</v>
      </c>
      <c r="B30" s="13"/>
      <c r="C30" s="13" t="s">
        <v>44</v>
      </c>
      <c r="D30" s="13"/>
      <c r="E30" s="32">
        <v>48124</v>
      </c>
      <c r="G30" s="8">
        <v>17382770</v>
      </c>
      <c r="I30" s="8">
        <v>2690806</v>
      </c>
      <c r="K30" s="8">
        <v>177680</v>
      </c>
      <c r="M30" s="8">
        <f>18913+999671</f>
        <v>1018584</v>
      </c>
      <c r="O30" s="8">
        <v>3204774</v>
      </c>
      <c r="Q30" s="8">
        <v>894123</v>
      </c>
      <c r="S30" s="8">
        <v>20568</v>
      </c>
      <c r="U30" s="8">
        <v>3052822</v>
      </c>
      <c r="W30" s="8">
        <v>986045</v>
      </c>
      <c r="Y30" s="8">
        <v>109264</v>
      </c>
      <c r="AA30" s="8">
        <v>4695334</v>
      </c>
      <c r="AC30" s="8">
        <v>1439131</v>
      </c>
      <c r="AE30" s="8">
        <v>190642</v>
      </c>
      <c r="AG30" s="8">
        <v>1122933</v>
      </c>
      <c r="AI30" s="8">
        <v>260846</v>
      </c>
      <c r="AJ30" s="13" t="s">
        <v>483</v>
      </c>
      <c r="AK30" s="13"/>
      <c r="AL30" s="13" t="s">
        <v>44</v>
      </c>
      <c r="AN30" s="8">
        <v>1131542</v>
      </c>
      <c r="AP30" s="8">
        <v>283812</v>
      </c>
      <c r="AR30" s="8">
        <v>0</v>
      </c>
      <c r="AT30" s="8">
        <v>2356701</v>
      </c>
      <c r="AV30" s="8">
        <v>1678758</v>
      </c>
      <c r="AX30" s="8">
        <v>0</v>
      </c>
      <c r="AZ30" s="9">
        <f t="shared" si="1"/>
        <v>42697135</v>
      </c>
      <c r="BB30" s="8">
        <v>224604</v>
      </c>
      <c r="BH30" s="8">
        <v>0</v>
      </c>
      <c r="BJ30" s="9">
        <f t="shared" si="0"/>
        <v>42921739</v>
      </c>
      <c r="BL30" s="9">
        <f>'Gov Fd Rv'!AQ30-'Gov Fnd Exp'!BJ30</f>
        <v>1563818</v>
      </c>
      <c r="BN30" s="8">
        <v>17483541</v>
      </c>
      <c r="BP30" s="8">
        <v>0</v>
      </c>
      <c r="BT30" s="9">
        <f t="shared" si="3"/>
        <v>19047359</v>
      </c>
      <c r="BU30" s="9"/>
      <c r="BV30" s="9">
        <f>BT30-'Gov Fd BS'!AA30</f>
        <v>0</v>
      </c>
      <c r="BX30" s="8" t="s">
        <v>956</v>
      </c>
    </row>
    <row r="31" spans="1:76">
      <c r="A31" s="13" t="s">
        <v>484</v>
      </c>
      <c r="B31" s="13"/>
      <c r="C31" s="13" t="s">
        <v>44</v>
      </c>
      <c r="D31" s="13"/>
      <c r="E31" s="32">
        <v>48116</v>
      </c>
      <c r="G31" s="8">
        <v>13090067</v>
      </c>
      <c r="I31" s="8">
        <v>3063053</v>
      </c>
      <c r="K31" s="8">
        <v>157552</v>
      </c>
      <c r="M31" s="8">
        <v>541193</v>
      </c>
      <c r="O31" s="8">
        <v>1109975</v>
      </c>
      <c r="Q31" s="8">
        <v>1488856</v>
      </c>
      <c r="S31" s="8">
        <v>145768</v>
      </c>
      <c r="U31" s="8">
        <v>2132910</v>
      </c>
      <c r="W31" s="8">
        <v>724293</v>
      </c>
      <c r="Y31" s="8">
        <v>28250</v>
      </c>
      <c r="AA31" s="8">
        <v>2441789</v>
      </c>
      <c r="AC31" s="8">
        <v>1879862</v>
      </c>
      <c r="AE31" s="8">
        <v>256591</v>
      </c>
      <c r="AG31" s="8">
        <v>793620</v>
      </c>
      <c r="AI31" s="8">
        <f>446150+137025</f>
        <v>583175</v>
      </c>
      <c r="AJ31" s="13" t="s">
        <v>484</v>
      </c>
      <c r="AK31" s="13"/>
      <c r="AL31" s="13" t="s">
        <v>44</v>
      </c>
      <c r="AN31" s="8">
        <v>791784</v>
      </c>
      <c r="AP31" s="8">
        <v>3636924</v>
      </c>
      <c r="AR31" s="8">
        <v>0</v>
      </c>
      <c r="AT31" s="8">
        <v>2205000</v>
      </c>
      <c r="AV31" s="8">
        <v>1863674</v>
      </c>
      <c r="AX31" s="8">
        <v>0</v>
      </c>
      <c r="AZ31" s="9">
        <f t="shared" si="1"/>
        <v>36934336</v>
      </c>
      <c r="BB31" s="8">
        <v>0</v>
      </c>
      <c r="BH31" s="8">
        <v>0</v>
      </c>
      <c r="BJ31" s="9">
        <f t="shared" si="0"/>
        <v>36934336</v>
      </c>
      <c r="BL31" s="9">
        <f>'Gov Fd Rv'!AQ31-'Gov Fnd Exp'!BJ31</f>
        <v>-3377651</v>
      </c>
      <c r="BN31" s="8">
        <v>9820090</v>
      </c>
      <c r="BP31" s="8">
        <v>0</v>
      </c>
      <c r="BT31" s="9">
        <f t="shared" si="3"/>
        <v>6442439</v>
      </c>
      <c r="BU31" s="9"/>
      <c r="BV31" s="9">
        <f>BT31-'Gov Fd BS'!AA31</f>
        <v>0</v>
      </c>
      <c r="BX31" s="8" t="s">
        <v>956</v>
      </c>
    </row>
    <row r="32" spans="1:76">
      <c r="A32" s="13" t="s">
        <v>330</v>
      </c>
      <c r="B32" s="13"/>
      <c r="C32" s="13" t="s">
        <v>22</v>
      </c>
      <c r="D32" s="13"/>
      <c r="E32" s="32">
        <v>46706</v>
      </c>
      <c r="G32" s="8">
        <v>3494639</v>
      </c>
      <c r="I32" s="8">
        <v>682875</v>
      </c>
      <c r="K32" s="8">
        <v>39151</v>
      </c>
      <c r="M32" s="8">
        <v>401397</v>
      </c>
      <c r="O32" s="8">
        <v>223570</v>
      </c>
      <c r="Q32" s="8">
        <v>285406</v>
      </c>
      <c r="S32" s="8">
        <v>24240</v>
      </c>
      <c r="U32" s="8">
        <v>657624</v>
      </c>
      <c r="W32" s="8">
        <v>334243</v>
      </c>
      <c r="Y32" s="8">
        <v>0</v>
      </c>
      <c r="AA32" s="8">
        <v>696737</v>
      </c>
      <c r="AC32" s="8">
        <v>200732</v>
      </c>
      <c r="AE32" s="8">
        <v>51303</v>
      </c>
      <c r="AG32" s="8">
        <v>291060</v>
      </c>
      <c r="AI32" s="8">
        <v>184951</v>
      </c>
      <c r="AJ32" s="13" t="s">
        <v>330</v>
      </c>
      <c r="AK32" s="13"/>
      <c r="AL32" s="13" t="s">
        <v>22</v>
      </c>
      <c r="AN32" s="8">
        <v>398101</v>
      </c>
      <c r="AP32" s="8">
        <v>65772</v>
      </c>
      <c r="AR32" s="8">
        <v>0</v>
      </c>
      <c r="AT32" s="8">
        <v>64828</v>
      </c>
      <c r="AV32" s="8">
        <v>4372</v>
      </c>
      <c r="AX32" s="8">
        <v>0</v>
      </c>
      <c r="AZ32" s="9">
        <f t="shared" si="1"/>
        <v>8101001</v>
      </c>
      <c r="BB32" s="8">
        <v>107330</v>
      </c>
      <c r="BH32" s="8">
        <v>0</v>
      </c>
      <c r="BJ32" s="9">
        <f t="shared" si="0"/>
        <v>8208331</v>
      </c>
      <c r="BL32" s="9">
        <f>'Gov Fd Rv'!AQ32-'Gov Fnd Exp'!BJ32</f>
        <v>354876</v>
      </c>
      <c r="BN32" s="8">
        <v>2534219</v>
      </c>
      <c r="BP32" s="8">
        <v>-885</v>
      </c>
      <c r="BT32" s="9">
        <f t="shared" si="3"/>
        <v>2888210</v>
      </c>
      <c r="BU32" s="9"/>
      <c r="BV32" s="9">
        <f>BT32-'Gov Fd BS'!AA32</f>
        <v>0</v>
      </c>
      <c r="BX32" s="8" t="s">
        <v>956</v>
      </c>
    </row>
    <row r="33" spans="1:76">
      <c r="A33" s="13" t="s">
        <v>663</v>
      </c>
      <c r="B33" s="13"/>
      <c r="C33" s="13" t="s">
        <v>63</v>
      </c>
      <c r="D33" s="13"/>
      <c r="E33" s="32">
        <v>43539</v>
      </c>
      <c r="G33" s="8">
        <v>14916654</v>
      </c>
      <c r="I33" s="8">
        <v>6910612</v>
      </c>
      <c r="K33" s="8">
        <v>1315964</v>
      </c>
      <c r="M33" s="8">
        <v>4529107</v>
      </c>
      <c r="O33" s="8">
        <v>2014542</v>
      </c>
      <c r="Q33" s="8">
        <v>2374686</v>
      </c>
      <c r="S33" s="8">
        <v>26876</v>
      </c>
      <c r="U33" s="8">
        <v>3174082</v>
      </c>
      <c r="W33" s="8">
        <v>669316</v>
      </c>
      <c r="Y33" s="8">
        <v>249966</v>
      </c>
      <c r="AA33" s="8">
        <v>4082078</v>
      </c>
      <c r="AC33" s="8">
        <v>1067543</v>
      </c>
      <c r="AE33" s="8">
        <v>81811</v>
      </c>
      <c r="AG33" s="8">
        <v>1969933</v>
      </c>
      <c r="AI33" s="8">
        <v>273717</v>
      </c>
      <c r="AJ33" s="13" t="s">
        <v>663</v>
      </c>
      <c r="AK33" s="13"/>
      <c r="AL33" s="13" t="s">
        <v>63</v>
      </c>
      <c r="AN33" s="8">
        <v>1715343</v>
      </c>
      <c r="AP33" s="8">
        <v>16136435</v>
      </c>
      <c r="AR33" s="8">
        <v>0</v>
      </c>
      <c r="AT33" s="8">
        <v>32556199</v>
      </c>
      <c r="AV33" s="8">
        <v>2694042</v>
      </c>
      <c r="AX33" s="8">
        <v>153915</v>
      </c>
      <c r="AZ33" s="9">
        <f t="shared" ref="AZ33:AZ48" si="4">SUM(G33:AX33)</f>
        <v>96912821</v>
      </c>
      <c r="BB33" s="8">
        <v>2863</v>
      </c>
      <c r="BH33" s="8">
        <v>0</v>
      </c>
      <c r="BJ33" s="9">
        <f t="shared" si="0"/>
        <v>96915684</v>
      </c>
      <c r="BL33" s="9">
        <f>'Gov Fd Rv'!AQ33-'Gov Fnd Exp'!BJ33</f>
        <v>4803130</v>
      </c>
      <c r="BN33" s="8">
        <v>39615001</v>
      </c>
      <c r="BP33" s="8">
        <v>0</v>
      </c>
      <c r="BR33" s="8">
        <v>0</v>
      </c>
      <c r="BT33" s="9">
        <f t="shared" si="3"/>
        <v>44418131</v>
      </c>
      <c r="BU33" s="9"/>
      <c r="BV33" s="9">
        <f>BT33-'Gov Fd BS'!AA33-BB33</f>
        <v>0</v>
      </c>
    </row>
    <row r="34" spans="1:76">
      <c r="A34" s="13" t="s">
        <v>815</v>
      </c>
      <c r="B34" s="13"/>
      <c r="C34" s="13" t="s">
        <v>15</v>
      </c>
      <c r="D34" s="13"/>
      <c r="E34" s="32"/>
      <c r="G34" s="8">
        <v>4291559</v>
      </c>
      <c r="I34" s="8">
        <v>1497739</v>
      </c>
      <c r="K34" s="8">
        <v>115649</v>
      </c>
      <c r="M34" s="8">
        <v>183142</v>
      </c>
      <c r="O34" s="8">
        <v>503674</v>
      </c>
      <c r="Q34" s="8">
        <v>331747</v>
      </c>
      <c r="S34" s="8">
        <v>141336</v>
      </c>
      <c r="U34" s="8">
        <v>787994</v>
      </c>
      <c r="W34" s="8">
        <v>393725</v>
      </c>
      <c r="Y34" s="8">
        <v>18289</v>
      </c>
      <c r="AA34" s="8">
        <v>1118245</v>
      </c>
      <c r="AC34" s="8">
        <v>542014</v>
      </c>
      <c r="AE34" s="8">
        <v>113390</v>
      </c>
      <c r="AG34" s="8">
        <v>386629</v>
      </c>
      <c r="AI34" s="8">
        <v>60375</v>
      </c>
      <c r="AJ34" s="13" t="s">
        <v>815</v>
      </c>
      <c r="AK34" s="13"/>
      <c r="AL34" s="13" t="s">
        <v>15</v>
      </c>
      <c r="AN34" s="8">
        <v>198618</v>
      </c>
      <c r="AP34" s="8">
        <v>133810</v>
      </c>
      <c r="AR34" s="8">
        <v>0</v>
      </c>
      <c r="AT34" s="8">
        <v>141864</v>
      </c>
      <c r="AV34" s="8">
        <v>129755</v>
      </c>
      <c r="AX34" s="8">
        <v>0</v>
      </c>
      <c r="AZ34" s="9">
        <f t="shared" si="4"/>
        <v>11089554</v>
      </c>
      <c r="BB34" s="8">
        <v>0</v>
      </c>
      <c r="BH34" s="8">
        <v>0</v>
      </c>
      <c r="BJ34" s="9">
        <f t="shared" si="0"/>
        <v>11089554</v>
      </c>
      <c r="BL34" s="9">
        <f>'Gov Fd Rv'!AQ34-'Gov Fnd Exp'!BJ34</f>
        <v>20855</v>
      </c>
      <c r="BN34" s="8">
        <v>2591026</v>
      </c>
      <c r="BP34" s="8">
        <v>0</v>
      </c>
      <c r="BR34" s="8">
        <v>0</v>
      </c>
      <c r="BT34" s="9">
        <f t="shared" si="3"/>
        <v>2611881</v>
      </c>
      <c r="BU34" s="9"/>
      <c r="BV34" s="9">
        <f>BT34-'Gov Fd BS'!AA34</f>
        <v>0</v>
      </c>
    </row>
    <row r="35" spans="1:76">
      <c r="A35" s="13" t="s">
        <v>266</v>
      </c>
      <c r="B35" s="13"/>
      <c r="C35" s="13" t="s">
        <v>115</v>
      </c>
      <c r="D35" s="13"/>
      <c r="E35" s="32">
        <v>46300</v>
      </c>
      <c r="G35" s="8">
        <v>8146695</v>
      </c>
      <c r="I35" s="8">
        <v>3543418</v>
      </c>
      <c r="K35" s="8">
        <v>0</v>
      </c>
      <c r="M35" s="8">
        <v>116168</v>
      </c>
      <c r="O35" s="8">
        <v>507350</v>
      </c>
      <c r="Q35" s="8">
        <v>640880</v>
      </c>
      <c r="S35" s="8">
        <v>64140</v>
      </c>
      <c r="U35" s="8">
        <v>1451419</v>
      </c>
      <c r="W35" s="8">
        <v>498829</v>
      </c>
      <c r="Y35" s="8">
        <v>0</v>
      </c>
      <c r="AA35" s="8">
        <v>1437750</v>
      </c>
      <c r="AC35" s="8">
        <v>1193123</v>
      </c>
      <c r="AE35" s="8">
        <v>7583</v>
      </c>
      <c r="AG35" s="8">
        <v>0</v>
      </c>
      <c r="AI35" s="8">
        <v>0</v>
      </c>
      <c r="AJ35" s="13" t="s">
        <v>266</v>
      </c>
      <c r="AK35" s="13"/>
      <c r="AL35" s="13" t="s">
        <v>115</v>
      </c>
      <c r="AN35" s="8">
        <v>424350</v>
      </c>
      <c r="AP35" s="8">
        <v>165245</v>
      </c>
      <c r="AR35" s="8">
        <v>0</v>
      </c>
      <c r="AT35" s="8">
        <v>502851</v>
      </c>
      <c r="AV35" s="8">
        <v>319965</v>
      </c>
      <c r="AX35" s="8">
        <v>0</v>
      </c>
      <c r="AZ35" s="9">
        <f t="shared" si="4"/>
        <v>19019766</v>
      </c>
      <c r="BB35" s="8">
        <v>0</v>
      </c>
      <c r="BH35" s="8">
        <v>0</v>
      </c>
      <c r="BJ35" s="9">
        <f t="shared" si="0"/>
        <v>19019766</v>
      </c>
      <c r="BL35" s="9">
        <f>'Gov Fd Rv'!AQ35-'Gov Fnd Exp'!BJ35</f>
        <v>-951771</v>
      </c>
      <c r="BN35" s="8">
        <v>3563083</v>
      </c>
      <c r="BP35" s="8">
        <v>0</v>
      </c>
      <c r="BR35" s="8">
        <v>0</v>
      </c>
      <c r="BT35" s="9">
        <f t="shared" si="3"/>
        <v>2611312</v>
      </c>
      <c r="BU35" s="9"/>
      <c r="BV35" s="9">
        <f>BT35-'Gov Fd BS'!AA35</f>
        <v>0</v>
      </c>
    </row>
    <row r="36" spans="1:76" hidden="1">
      <c r="A36" s="13" t="s">
        <v>960</v>
      </c>
      <c r="B36" s="13"/>
      <c r="C36" s="13" t="s">
        <v>10</v>
      </c>
      <c r="D36" s="13"/>
      <c r="E36" s="32">
        <v>45765</v>
      </c>
      <c r="G36" s="8">
        <v>7051037</v>
      </c>
      <c r="I36" s="8">
        <v>1004444</v>
      </c>
      <c r="K36" s="8">
        <v>1156</v>
      </c>
      <c r="M36" s="8">
        <v>990344</v>
      </c>
      <c r="O36" s="8">
        <v>971856</v>
      </c>
      <c r="Q36" s="8">
        <v>372012</v>
      </c>
      <c r="S36" s="8">
        <v>82598</v>
      </c>
      <c r="U36" s="8">
        <v>1191702</v>
      </c>
      <c r="W36" s="8">
        <v>569481</v>
      </c>
      <c r="AA36" s="8">
        <v>2342022</v>
      </c>
      <c r="AC36" s="8">
        <v>942735</v>
      </c>
      <c r="AE36" s="8">
        <v>156059</v>
      </c>
      <c r="AI36" s="8">
        <v>861058</v>
      </c>
      <c r="AJ36" s="13" t="s">
        <v>209</v>
      </c>
      <c r="AK36" s="13"/>
      <c r="AL36" s="13" t="s">
        <v>10</v>
      </c>
      <c r="AN36" s="8">
        <v>728238</v>
      </c>
      <c r="AP36" s="8">
        <v>19514</v>
      </c>
      <c r="AT36" s="8">
        <v>42536</v>
      </c>
      <c r="AV36" s="8">
        <v>35582</v>
      </c>
      <c r="AZ36" s="9">
        <f t="shared" si="4"/>
        <v>17362374</v>
      </c>
      <c r="BB36" s="8">
        <f>58563-63272</f>
        <v>-4709</v>
      </c>
      <c r="BH36" s="8">
        <f>332-5077</f>
        <v>-4745</v>
      </c>
      <c r="BJ36" s="9">
        <f t="shared" si="0"/>
        <v>17352920</v>
      </c>
      <c r="BL36" s="9">
        <f>'Gov Fd Rv'!AQ36-'Gov Fnd Exp'!BJ36</f>
        <v>1141545</v>
      </c>
      <c r="BN36" s="8">
        <v>13203373</v>
      </c>
      <c r="BT36" s="9">
        <f t="shared" si="3"/>
        <v>14344918</v>
      </c>
      <c r="BU36" s="9"/>
      <c r="BV36" s="9">
        <f>BT36-'Gov Fd BS'!AA36</f>
        <v>0</v>
      </c>
      <c r="BX36" s="8" t="s">
        <v>956</v>
      </c>
    </row>
    <row r="37" spans="1:76">
      <c r="A37" s="13" t="s">
        <v>296</v>
      </c>
      <c r="B37" s="13"/>
      <c r="C37" s="13" t="s">
        <v>20</v>
      </c>
      <c r="D37" s="13"/>
      <c r="E37" s="32">
        <v>43547</v>
      </c>
      <c r="G37" s="8">
        <v>12264543</v>
      </c>
      <c r="I37" s="8">
        <v>2052096</v>
      </c>
      <c r="K37" s="8">
        <v>314277</v>
      </c>
      <c r="M37" s="8">
        <v>1034326</v>
      </c>
      <c r="O37" s="8">
        <v>2745328</v>
      </c>
      <c r="Q37" s="8">
        <v>1000123</v>
      </c>
      <c r="S37" s="8">
        <v>23224</v>
      </c>
      <c r="U37" s="8">
        <v>2247756</v>
      </c>
      <c r="W37" s="8">
        <v>623992</v>
      </c>
      <c r="Y37" s="8">
        <v>369302</v>
      </c>
      <c r="AA37" s="8">
        <v>2708962</v>
      </c>
      <c r="AC37" s="8">
        <v>875505</v>
      </c>
      <c r="AE37" s="8">
        <v>445897</v>
      </c>
      <c r="AG37" s="8">
        <v>847296</v>
      </c>
      <c r="AI37" s="8">
        <f>672505+811882</f>
        <v>1484387</v>
      </c>
      <c r="AJ37" s="13" t="s">
        <v>296</v>
      </c>
      <c r="AK37" s="13"/>
      <c r="AL37" s="13" t="s">
        <v>20</v>
      </c>
      <c r="AN37" s="8">
        <f>297986+774085</f>
        <v>1072071</v>
      </c>
      <c r="AP37" s="8">
        <v>386540</v>
      </c>
      <c r="AR37" s="8">
        <v>0</v>
      </c>
      <c r="AT37" s="8">
        <f>1011615</f>
        <v>1011615</v>
      </c>
      <c r="AV37" s="8">
        <v>969228</v>
      </c>
      <c r="AX37" s="8">
        <v>0</v>
      </c>
      <c r="AZ37" s="9">
        <f t="shared" si="4"/>
        <v>32476468</v>
      </c>
      <c r="BB37" s="8">
        <v>49501</v>
      </c>
      <c r="BH37" s="8">
        <v>0</v>
      </c>
      <c r="BJ37" s="9">
        <f>AZ37+BB37+BH37+BB37</f>
        <v>32575470</v>
      </c>
      <c r="BL37" s="9">
        <f>'Gov Fd Rv'!AQ37-'Gov Fnd Exp'!BJ37</f>
        <v>1216329</v>
      </c>
      <c r="BN37" s="8">
        <v>7946860</v>
      </c>
      <c r="BP37" s="8">
        <v>0</v>
      </c>
      <c r="BR37" s="8">
        <v>0</v>
      </c>
      <c r="BT37" s="9">
        <f t="shared" si="3"/>
        <v>9163189</v>
      </c>
      <c r="BU37" s="9"/>
      <c r="BV37" s="9">
        <f>BT37-'Gov Fd BS'!AA37</f>
        <v>0</v>
      </c>
    </row>
    <row r="38" spans="1:76">
      <c r="A38" s="13" t="s">
        <v>297</v>
      </c>
      <c r="B38" s="13"/>
      <c r="C38" s="13" t="s">
        <v>20</v>
      </c>
      <c r="D38" s="13"/>
      <c r="E38" s="32">
        <v>43554</v>
      </c>
      <c r="G38" s="8">
        <v>11039347</v>
      </c>
      <c r="I38" s="8">
        <v>6684500</v>
      </c>
      <c r="K38" s="8">
        <v>1263322</v>
      </c>
      <c r="M38" s="8">
        <f>223172+70+179790</f>
        <v>403032</v>
      </c>
      <c r="O38" s="8">
        <v>2683603</v>
      </c>
      <c r="Q38" s="8">
        <v>1090565</v>
      </c>
      <c r="S38" s="8">
        <v>439485</v>
      </c>
      <c r="U38" s="8">
        <v>2274608</v>
      </c>
      <c r="W38" s="8">
        <v>944581</v>
      </c>
      <c r="Y38" s="8">
        <v>450040</v>
      </c>
      <c r="AA38" s="8">
        <v>3525969</v>
      </c>
      <c r="AC38" s="8">
        <v>2100816</v>
      </c>
      <c r="AE38" s="8">
        <v>1013722</v>
      </c>
      <c r="AG38" s="8">
        <v>629305</v>
      </c>
      <c r="AI38" s="8">
        <v>860165</v>
      </c>
      <c r="AJ38" s="13" t="s">
        <v>297</v>
      </c>
      <c r="AK38" s="13"/>
      <c r="AL38" s="13" t="s">
        <v>20</v>
      </c>
      <c r="AN38" s="8">
        <v>976735</v>
      </c>
      <c r="AP38" s="8">
        <f>405927+1230+27915+397619</f>
        <v>832691</v>
      </c>
      <c r="AR38" s="8">
        <v>0</v>
      </c>
      <c r="AT38" s="8">
        <v>1390000</v>
      </c>
      <c r="AV38" s="8">
        <v>593478</v>
      </c>
      <c r="AX38" s="8">
        <v>0</v>
      </c>
      <c r="AZ38" s="9">
        <f t="shared" si="4"/>
        <v>39195964</v>
      </c>
      <c r="BB38" s="8">
        <v>396000</v>
      </c>
      <c r="BH38" s="8">
        <v>0</v>
      </c>
      <c r="BJ38" s="9">
        <f t="shared" si="0"/>
        <v>39591964</v>
      </c>
      <c r="BL38" s="9">
        <f>'Gov Fd Rv'!AQ38-'Gov Fnd Exp'!BJ38</f>
        <v>5109879</v>
      </c>
      <c r="BN38" s="8">
        <v>16611350</v>
      </c>
      <c r="BP38" s="8">
        <v>0</v>
      </c>
      <c r="BR38" s="8">
        <v>0</v>
      </c>
      <c r="BT38" s="9">
        <f t="shared" si="3"/>
        <v>21721229</v>
      </c>
      <c r="BU38" s="9"/>
      <c r="BV38" s="9">
        <f>BT38-'Gov Fd BS'!AA38</f>
        <v>0</v>
      </c>
    </row>
    <row r="39" spans="1:76">
      <c r="A39" s="13" t="s">
        <v>278</v>
      </c>
      <c r="B39" s="13"/>
      <c r="C39" s="13" t="s">
        <v>114</v>
      </c>
      <c r="D39" s="13"/>
      <c r="E39" s="32">
        <v>46425</v>
      </c>
      <c r="G39" s="8">
        <v>10904598</v>
      </c>
      <c r="I39" s="8">
        <v>2250548</v>
      </c>
      <c r="K39" s="8">
        <v>19496</v>
      </c>
      <c r="M39" s="8">
        <f>2323+12557+181</f>
        <v>15061</v>
      </c>
      <c r="O39" s="8">
        <v>575852</v>
      </c>
      <c r="Q39" s="8">
        <v>446367</v>
      </c>
      <c r="S39" s="8">
        <v>20559</v>
      </c>
      <c r="U39" s="8">
        <v>1808635</v>
      </c>
      <c r="W39" s="8">
        <v>434315</v>
      </c>
      <c r="Y39" s="8">
        <v>0</v>
      </c>
      <c r="AA39" s="8">
        <v>1753485</v>
      </c>
      <c r="AC39" s="8">
        <v>1313994</v>
      </c>
      <c r="AE39" s="8">
        <v>0</v>
      </c>
      <c r="AG39" s="8">
        <v>0</v>
      </c>
      <c r="AI39" s="8">
        <v>966653</v>
      </c>
      <c r="AJ39" s="13" t="s">
        <v>278</v>
      </c>
      <c r="AK39" s="13"/>
      <c r="AL39" s="13" t="s">
        <v>114</v>
      </c>
      <c r="AN39" s="8">
        <v>557789</v>
      </c>
      <c r="AP39" s="8">
        <v>1896</v>
      </c>
      <c r="AR39" s="8">
        <v>0</v>
      </c>
      <c r="AT39" s="8">
        <v>14397</v>
      </c>
      <c r="AV39" s="8">
        <v>21162</v>
      </c>
      <c r="AX39" s="8">
        <v>0</v>
      </c>
      <c r="AZ39" s="9">
        <f t="shared" si="4"/>
        <v>21104807</v>
      </c>
      <c r="BB39" s="8">
        <v>0</v>
      </c>
      <c r="BH39" s="8">
        <v>0</v>
      </c>
      <c r="BJ39" s="9">
        <f t="shared" si="0"/>
        <v>21104807</v>
      </c>
      <c r="BL39" s="9">
        <f>'Gov Fd Rv'!AQ39-'Gov Fnd Exp'!BJ39</f>
        <v>-1066437</v>
      </c>
      <c r="BN39" s="8">
        <v>-1374065</v>
      </c>
      <c r="BP39" s="8">
        <v>0</v>
      </c>
      <c r="BT39" s="9">
        <f t="shared" si="3"/>
        <v>-2440502</v>
      </c>
      <c r="BU39" s="9"/>
      <c r="BV39" s="9">
        <f>BT39-'Gov Fd BS'!AA39</f>
        <v>0</v>
      </c>
    </row>
    <row r="40" spans="1:76">
      <c r="A40" s="13" t="s">
        <v>384</v>
      </c>
      <c r="B40" s="13"/>
      <c r="C40" s="13" t="s">
        <v>116</v>
      </c>
      <c r="D40" s="13"/>
      <c r="E40" s="32">
        <v>47241</v>
      </c>
      <c r="G40" s="8">
        <v>31557560</v>
      </c>
      <c r="I40" s="8">
        <v>8933471</v>
      </c>
      <c r="K40" s="8">
        <v>349563</v>
      </c>
      <c r="M40" s="8">
        <f>780568+865148</f>
        <v>1645716</v>
      </c>
      <c r="O40" s="8">
        <v>4821214</v>
      </c>
      <c r="Q40" s="8">
        <v>5065856</v>
      </c>
      <c r="S40" s="8">
        <v>68870</v>
      </c>
      <c r="U40" s="8">
        <v>3900179</v>
      </c>
      <c r="W40" s="8">
        <v>1504983</v>
      </c>
      <c r="Y40" s="8">
        <v>490519</v>
      </c>
      <c r="AA40" s="8">
        <v>6019507</v>
      </c>
      <c r="AC40" s="8">
        <v>5357390</v>
      </c>
      <c r="AE40" s="8">
        <v>1310202</v>
      </c>
      <c r="AG40" s="8">
        <v>2567249</v>
      </c>
      <c r="AI40" s="8">
        <v>1209917</v>
      </c>
      <c r="AJ40" s="13" t="s">
        <v>384</v>
      </c>
      <c r="AK40" s="13"/>
      <c r="AL40" s="13" t="s">
        <v>116</v>
      </c>
      <c r="AN40" s="8">
        <f>356406+1001551+29017</f>
        <v>1386974</v>
      </c>
      <c r="AP40" s="8">
        <f>402819+26519+1128467+190775</f>
        <v>1748580</v>
      </c>
      <c r="AR40" s="8">
        <v>0</v>
      </c>
      <c r="AT40" s="8">
        <v>1624093</v>
      </c>
      <c r="AV40" s="8">
        <v>1620519</v>
      </c>
      <c r="AX40" s="8">
        <v>728867</v>
      </c>
      <c r="AZ40" s="9">
        <f t="shared" si="4"/>
        <v>81911229</v>
      </c>
      <c r="BB40" s="8">
        <v>2038544</v>
      </c>
      <c r="BH40" s="8">
        <v>0</v>
      </c>
      <c r="BJ40" s="9">
        <f t="shared" si="0"/>
        <v>83949773</v>
      </c>
      <c r="BL40" s="9">
        <f>'Gov Fd Rv'!AQ40-'Gov Fnd Exp'!BJ40</f>
        <v>170850980</v>
      </c>
      <c r="BN40" s="8">
        <v>35917551</v>
      </c>
      <c r="BP40" s="8">
        <v>0</v>
      </c>
      <c r="BT40" s="9">
        <f t="shared" si="3"/>
        <v>206768531</v>
      </c>
      <c r="BU40" s="9"/>
      <c r="BV40" s="9">
        <f>BT40-'Gov Fd BS'!AA40</f>
        <v>0</v>
      </c>
    </row>
    <row r="41" spans="1:76">
      <c r="A41" s="13" t="s">
        <v>298</v>
      </c>
      <c r="B41" s="13"/>
      <c r="C41" s="13" t="s">
        <v>20</v>
      </c>
      <c r="D41" s="13"/>
      <c r="E41" s="32">
        <v>43562</v>
      </c>
      <c r="G41" s="8">
        <v>16940529</v>
      </c>
      <c r="I41" s="8">
        <v>5328098</v>
      </c>
      <c r="K41" s="8">
        <v>1466429</v>
      </c>
      <c r="M41" s="8">
        <v>607378</v>
      </c>
      <c r="O41" s="8">
        <v>3018391</v>
      </c>
      <c r="Q41" s="8">
        <v>2045128</v>
      </c>
      <c r="S41" s="8">
        <v>220840</v>
      </c>
      <c r="U41" s="8">
        <v>4406969</v>
      </c>
      <c r="W41" s="8">
        <v>1197973</v>
      </c>
      <c r="Y41" s="8">
        <v>662858</v>
      </c>
      <c r="AA41" s="8">
        <v>6598004</v>
      </c>
      <c r="AC41" s="8">
        <v>3418883</v>
      </c>
      <c r="AE41" s="8">
        <v>333187</v>
      </c>
      <c r="AG41" s="8">
        <v>1697381</v>
      </c>
      <c r="AI41" s="8">
        <v>382279</v>
      </c>
      <c r="AJ41" s="13" t="s">
        <v>298</v>
      </c>
      <c r="AK41" s="13"/>
      <c r="AL41" s="13" t="s">
        <v>20</v>
      </c>
      <c r="AN41" s="8">
        <v>748612</v>
      </c>
      <c r="AP41" s="8">
        <v>130384</v>
      </c>
      <c r="AR41" s="8">
        <v>0</v>
      </c>
      <c r="AT41" s="8">
        <v>1451113</v>
      </c>
      <c r="AV41" s="8">
        <v>355980</v>
      </c>
      <c r="AX41" s="8">
        <v>0</v>
      </c>
      <c r="AZ41" s="9">
        <f t="shared" si="4"/>
        <v>51010416</v>
      </c>
      <c r="BB41" s="8">
        <v>108712</v>
      </c>
      <c r="BH41" s="8">
        <v>0</v>
      </c>
      <c r="BJ41" s="9">
        <f t="shared" si="0"/>
        <v>51119128</v>
      </c>
      <c r="BL41" s="9">
        <f>'Gov Fd Rv'!AQ41-'Gov Fnd Exp'!BJ41</f>
        <v>1058620</v>
      </c>
      <c r="BN41" s="8">
        <v>15913467</v>
      </c>
      <c r="BP41" s="8">
        <v>0</v>
      </c>
      <c r="BT41" s="9">
        <f t="shared" si="3"/>
        <v>16972087</v>
      </c>
      <c r="BU41" s="9"/>
      <c r="BV41" s="9">
        <f>BT41-'Gov Fd BS'!AA41</f>
        <v>0</v>
      </c>
    </row>
    <row r="42" spans="1:76">
      <c r="A42" s="13" t="s">
        <v>231</v>
      </c>
      <c r="B42" s="13"/>
      <c r="C42" s="13" t="s">
        <v>15</v>
      </c>
      <c r="D42" s="13"/>
      <c r="E42" s="32">
        <v>43570</v>
      </c>
      <c r="G42" s="8">
        <v>7412986</v>
      </c>
      <c r="I42" s="8">
        <v>2131069</v>
      </c>
      <c r="K42" s="8">
        <v>127851</v>
      </c>
      <c r="M42" s="8">
        <v>701730</v>
      </c>
      <c r="O42" s="8">
        <v>1395931</v>
      </c>
      <c r="Q42" s="8">
        <v>114664</v>
      </c>
      <c r="S42" s="8">
        <v>23352</v>
      </c>
      <c r="U42" s="8">
        <v>1411163</v>
      </c>
      <c r="W42" s="8">
        <v>391703</v>
      </c>
      <c r="Y42" s="8">
        <v>0</v>
      </c>
      <c r="AA42" s="8">
        <v>1656064</v>
      </c>
      <c r="AC42" s="8">
        <v>1059342</v>
      </c>
      <c r="AE42" s="8">
        <v>0</v>
      </c>
      <c r="AG42" s="8">
        <v>853533</v>
      </c>
      <c r="AI42" s="8">
        <v>195858</v>
      </c>
      <c r="AJ42" s="13" t="s">
        <v>231</v>
      </c>
      <c r="AK42" s="13"/>
      <c r="AL42" s="13" t="s">
        <v>15</v>
      </c>
      <c r="AN42" s="8">
        <v>334518</v>
      </c>
      <c r="AP42" s="8">
        <v>222882</v>
      </c>
      <c r="AR42" s="8">
        <v>0</v>
      </c>
      <c r="AT42" s="8">
        <v>209827</v>
      </c>
      <c r="AV42" s="8">
        <v>132315</v>
      </c>
      <c r="AX42" s="8">
        <v>45489</v>
      </c>
      <c r="AZ42" s="9">
        <f t="shared" si="4"/>
        <v>18420277</v>
      </c>
      <c r="BB42" s="8">
        <v>0</v>
      </c>
      <c r="BH42" s="8">
        <v>1983580</v>
      </c>
      <c r="BJ42" s="9">
        <f t="shared" si="0"/>
        <v>20403857</v>
      </c>
      <c r="BL42" s="9">
        <f>'Gov Fd Rv'!AQ42-'Gov Fnd Exp'!BJ42</f>
        <v>-1771528</v>
      </c>
      <c r="BN42" s="8">
        <v>474218</v>
      </c>
      <c r="BP42" s="8">
        <v>0</v>
      </c>
      <c r="BT42" s="9">
        <f t="shared" si="3"/>
        <v>-1297310</v>
      </c>
      <c r="BU42" s="9"/>
      <c r="BV42" s="9">
        <f>BT42-'Gov Fd BS'!AA42</f>
        <v>0</v>
      </c>
    </row>
    <row r="43" spans="1:76">
      <c r="A43" s="13" t="s">
        <v>443</v>
      </c>
      <c r="B43" s="13"/>
      <c r="C43" s="13" t="s">
        <v>37</v>
      </c>
      <c r="D43" s="13"/>
      <c r="E43" s="32">
        <v>43596</v>
      </c>
      <c r="G43" s="8">
        <v>7672847</v>
      </c>
      <c r="I43" s="8">
        <v>3107266</v>
      </c>
      <c r="K43" s="8">
        <v>503939</v>
      </c>
      <c r="M43" s="8">
        <f>4244+747720</f>
        <v>751964</v>
      </c>
      <c r="O43" s="8">
        <v>1247629</v>
      </c>
      <c r="Q43" s="8">
        <v>1278084</v>
      </c>
      <c r="S43" s="8">
        <v>28266</v>
      </c>
      <c r="U43" s="8">
        <v>1532093</v>
      </c>
      <c r="W43" s="8">
        <v>501329</v>
      </c>
      <c r="Y43" s="8">
        <v>15770</v>
      </c>
      <c r="AA43" s="8">
        <v>1929908</v>
      </c>
      <c r="AC43" s="8">
        <v>889442</v>
      </c>
      <c r="AE43" s="8">
        <v>85556</v>
      </c>
      <c r="AG43" s="8">
        <v>812762</v>
      </c>
      <c r="AI43" s="8">
        <v>218687</v>
      </c>
      <c r="AJ43" s="13" t="s">
        <v>443</v>
      </c>
      <c r="AK43" s="13"/>
      <c r="AL43" s="13" t="s">
        <v>37</v>
      </c>
      <c r="AN43" s="8">
        <v>680862</v>
      </c>
      <c r="AP43" s="8">
        <v>51599</v>
      </c>
      <c r="AR43" s="8">
        <v>0</v>
      </c>
      <c r="AT43" s="8">
        <v>148963</v>
      </c>
      <c r="AV43" s="8">
        <v>32016</v>
      </c>
      <c r="AX43" s="8">
        <v>225355</v>
      </c>
      <c r="AZ43" s="9">
        <f t="shared" si="4"/>
        <v>21714337</v>
      </c>
      <c r="BB43" s="8">
        <v>11768</v>
      </c>
      <c r="BH43" s="8">
        <v>0</v>
      </c>
      <c r="BJ43" s="9">
        <f t="shared" si="0"/>
        <v>21726105</v>
      </c>
      <c r="BL43" s="9">
        <f>'Gov Fd Rv'!AQ43-'Gov Fnd Exp'!BJ43</f>
        <v>429168</v>
      </c>
      <c r="BN43" s="8">
        <v>2465936</v>
      </c>
      <c r="BP43" s="8">
        <v>11268</v>
      </c>
      <c r="BT43" s="9">
        <f t="shared" si="3"/>
        <v>2906372</v>
      </c>
      <c r="BU43" s="9"/>
      <c r="BV43" s="9">
        <f>BT43-'Gov Fd BS'!AA43</f>
        <v>0</v>
      </c>
    </row>
    <row r="44" spans="1:76">
      <c r="A44" s="13" t="s">
        <v>715</v>
      </c>
      <c r="B44" s="13"/>
      <c r="C44" s="13" t="s">
        <v>70</v>
      </c>
      <c r="D44" s="13"/>
      <c r="E44" s="32">
        <v>43604</v>
      </c>
      <c r="G44" s="8">
        <v>4854587</v>
      </c>
      <c r="I44" s="8">
        <v>1532655</v>
      </c>
      <c r="K44" s="8">
        <v>0</v>
      </c>
      <c r="M44" s="8">
        <v>44073</v>
      </c>
      <c r="O44" s="8">
        <v>895813</v>
      </c>
      <c r="Q44" s="8">
        <v>519587</v>
      </c>
      <c r="S44" s="8">
        <v>72720</v>
      </c>
      <c r="U44" s="8">
        <v>891875</v>
      </c>
      <c r="W44" s="8">
        <v>409330</v>
      </c>
      <c r="Y44" s="8">
        <v>1708</v>
      </c>
      <c r="AA44" s="8">
        <v>1054597</v>
      </c>
      <c r="AC44" s="8">
        <v>417412</v>
      </c>
      <c r="AE44" s="8">
        <v>5200</v>
      </c>
      <c r="AG44" s="8">
        <v>0</v>
      </c>
      <c r="AI44" s="8">
        <v>1485</v>
      </c>
      <c r="AJ44" s="13" t="s">
        <v>715</v>
      </c>
      <c r="AK44" s="13"/>
      <c r="AL44" s="13" t="s">
        <v>70</v>
      </c>
      <c r="AN44" s="8">
        <v>285478</v>
      </c>
      <c r="AP44" s="8">
        <v>89272</v>
      </c>
      <c r="AR44" s="8">
        <v>0</v>
      </c>
      <c r="AT44" s="8">
        <v>35000</v>
      </c>
      <c r="AV44" s="8">
        <v>3300</v>
      </c>
      <c r="AX44" s="8">
        <v>0</v>
      </c>
      <c r="AZ44" s="9">
        <f t="shared" si="4"/>
        <v>11114092</v>
      </c>
      <c r="BB44" s="8">
        <v>41694</v>
      </c>
      <c r="BH44" s="8">
        <v>0</v>
      </c>
      <c r="BJ44" s="9">
        <f t="shared" si="0"/>
        <v>11155786</v>
      </c>
      <c r="BL44" s="9">
        <f>'Gov Fd Rv'!AQ44-'Gov Fnd Exp'!BJ44</f>
        <v>-223008</v>
      </c>
      <c r="BN44" s="8">
        <v>664677</v>
      </c>
      <c r="BP44" s="8">
        <v>0</v>
      </c>
      <c r="BT44" s="9">
        <f t="shared" si="3"/>
        <v>441669</v>
      </c>
      <c r="BU44" s="9"/>
      <c r="BV44" s="9">
        <f>BT44-'Gov Fd BS'!AA44</f>
        <v>0</v>
      </c>
    </row>
    <row r="45" spans="1:76">
      <c r="A45" s="13" t="s">
        <v>571</v>
      </c>
      <c r="B45" s="13"/>
      <c r="C45" s="13" t="s">
        <v>53</v>
      </c>
      <c r="D45" s="13"/>
      <c r="E45" s="32">
        <v>48926</v>
      </c>
      <c r="G45" s="8">
        <v>8944814</v>
      </c>
      <c r="I45" s="8">
        <v>1916638</v>
      </c>
      <c r="K45" s="8">
        <v>22726</v>
      </c>
      <c r="M45" s="8">
        <f>6578+276941</f>
        <v>283519</v>
      </c>
      <c r="O45" s="8">
        <v>942605</v>
      </c>
      <c r="Q45" s="8">
        <v>1092520</v>
      </c>
      <c r="S45" s="8">
        <v>220845</v>
      </c>
      <c r="U45" s="8">
        <v>1656668</v>
      </c>
      <c r="W45" s="8">
        <v>504932</v>
      </c>
      <c r="Y45" s="8">
        <v>0</v>
      </c>
      <c r="AA45" s="8">
        <v>2646515</v>
      </c>
      <c r="AC45" s="8">
        <v>1530381</v>
      </c>
      <c r="AE45" s="8">
        <v>331828</v>
      </c>
      <c r="AG45" s="8">
        <v>862896</v>
      </c>
      <c r="AI45" s="8">
        <v>185247</v>
      </c>
      <c r="AJ45" s="13" t="s">
        <v>571</v>
      </c>
      <c r="AK45" s="13"/>
      <c r="AL45" s="13" t="s">
        <v>53</v>
      </c>
      <c r="AN45" s="8">
        <v>584407</v>
      </c>
      <c r="AP45" s="8">
        <v>0</v>
      </c>
      <c r="AR45" s="8">
        <v>0</v>
      </c>
      <c r="AT45" s="8">
        <v>0</v>
      </c>
      <c r="AV45" s="8">
        <v>0</v>
      </c>
      <c r="AX45" s="8">
        <v>340285</v>
      </c>
      <c r="AZ45" s="9">
        <f t="shared" si="4"/>
        <v>22066826</v>
      </c>
      <c r="BB45" s="8">
        <v>0</v>
      </c>
      <c r="BH45" s="8">
        <v>0</v>
      </c>
      <c r="BJ45" s="9">
        <f t="shared" si="0"/>
        <v>22066826</v>
      </c>
      <c r="BL45" s="9">
        <f>'Gov Fd Rv'!AQ45-'Gov Fnd Exp'!BJ45</f>
        <v>-704944</v>
      </c>
      <c r="BN45" s="8">
        <v>7094323</v>
      </c>
      <c r="BP45" s="8">
        <v>0</v>
      </c>
      <c r="BT45" s="9">
        <f t="shared" si="3"/>
        <v>6389379</v>
      </c>
      <c r="BU45" s="9"/>
      <c r="BV45" s="9">
        <f>BT45-'Gov Fd BS'!AA45</f>
        <v>0</v>
      </c>
    </row>
    <row r="46" spans="1:76">
      <c r="A46" s="13" t="s">
        <v>299</v>
      </c>
      <c r="B46" s="13"/>
      <c r="C46" s="13" t="s">
        <v>20</v>
      </c>
      <c r="D46" s="13"/>
      <c r="E46" s="32">
        <v>43612</v>
      </c>
      <c r="G46" s="8">
        <v>34960310</v>
      </c>
      <c r="I46" s="8">
        <v>11594623</v>
      </c>
      <c r="K46" s="8">
        <v>809189</v>
      </c>
      <c r="M46" s="8">
        <v>218090</v>
      </c>
      <c r="O46" s="8">
        <v>5056856</v>
      </c>
      <c r="Q46" s="8">
        <v>7031107</v>
      </c>
      <c r="S46" s="8">
        <v>39173</v>
      </c>
      <c r="U46" s="8">
        <v>5094343</v>
      </c>
      <c r="W46" s="8">
        <v>1761506</v>
      </c>
      <c r="Y46" s="8">
        <v>828027</v>
      </c>
      <c r="AA46" s="8">
        <v>8762671</v>
      </c>
      <c r="AC46" s="8">
        <v>3930569</v>
      </c>
      <c r="AE46" s="8">
        <v>2715901</v>
      </c>
      <c r="AG46" s="8">
        <v>0</v>
      </c>
      <c r="AI46" s="8">
        <v>3840731</v>
      </c>
      <c r="AJ46" s="13" t="s">
        <v>299</v>
      </c>
      <c r="AK46" s="13"/>
      <c r="AL46" s="13" t="s">
        <v>20</v>
      </c>
      <c r="AN46" s="8">
        <v>1729082</v>
      </c>
      <c r="AP46" s="8">
        <v>1762382</v>
      </c>
      <c r="AR46" s="8">
        <v>0</v>
      </c>
      <c r="AT46" s="8">
        <v>1242802</v>
      </c>
      <c r="AV46" s="8">
        <v>773209</v>
      </c>
      <c r="AX46" s="8">
        <v>0</v>
      </c>
      <c r="AZ46" s="9">
        <f t="shared" si="4"/>
        <v>92150571</v>
      </c>
      <c r="BB46" s="8">
        <v>605412</v>
      </c>
      <c r="BH46" s="8">
        <v>0</v>
      </c>
      <c r="BJ46" s="9">
        <f t="shared" si="0"/>
        <v>92755983</v>
      </c>
      <c r="BL46" s="9">
        <f>'Gov Fd Rv'!AQ46-'Gov Fnd Exp'!BJ46</f>
        <v>2379230</v>
      </c>
      <c r="BN46" s="8">
        <v>32926130</v>
      </c>
      <c r="BP46" s="8">
        <v>0</v>
      </c>
      <c r="BT46" s="9">
        <f t="shared" si="3"/>
        <v>35305360</v>
      </c>
      <c r="BU46" s="9"/>
      <c r="BV46" s="9">
        <f>BT46-'Gov Fd BS'!AA46</f>
        <v>0</v>
      </c>
    </row>
    <row r="47" spans="1:76">
      <c r="A47" s="13" t="s">
        <v>377</v>
      </c>
      <c r="B47" s="13"/>
      <c r="C47" s="13" t="s">
        <v>30</v>
      </c>
      <c r="D47" s="13"/>
      <c r="E47" s="32">
        <v>47167</v>
      </c>
      <c r="G47" s="8">
        <v>4910346</v>
      </c>
      <c r="I47" s="8">
        <v>1248295</v>
      </c>
      <c r="K47" s="8">
        <v>67117</v>
      </c>
      <c r="M47" s="8">
        <v>12776</v>
      </c>
      <c r="O47" s="8">
        <v>585437</v>
      </c>
      <c r="Q47" s="8">
        <v>413989</v>
      </c>
      <c r="S47" s="8">
        <v>87962</v>
      </c>
      <c r="U47" s="8">
        <v>1103077</v>
      </c>
      <c r="W47" s="8">
        <v>403219</v>
      </c>
      <c r="Y47" s="8">
        <v>38727</v>
      </c>
      <c r="AA47" s="8">
        <v>1103255</v>
      </c>
      <c r="AC47" s="8">
        <v>749980</v>
      </c>
      <c r="AE47" s="8">
        <v>0</v>
      </c>
      <c r="AG47" s="8">
        <v>270217</v>
      </c>
      <c r="AI47" s="8">
        <v>0</v>
      </c>
      <c r="AJ47" s="13" t="s">
        <v>377</v>
      </c>
      <c r="AK47" s="13"/>
      <c r="AL47" s="13" t="s">
        <v>30</v>
      </c>
      <c r="AN47" s="8">
        <v>403839</v>
      </c>
      <c r="AP47" s="8">
        <v>921888</v>
      </c>
      <c r="AR47" s="8">
        <v>0</v>
      </c>
      <c r="AT47" s="8">
        <v>0</v>
      </c>
      <c r="AV47" s="8">
        <v>0</v>
      </c>
      <c r="AX47" s="8">
        <v>0</v>
      </c>
      <c r="AZ47" s="9">
        <f t="shared" si="4"/>
        <v>12320124</v>
      </c>
      <c r="BB47" s="8">
        <v>425444</v>
      </c>
      <c r="BH47" s="8">
        <v>0</v>
      </c>
      <c r="BJ47" s="9">
        <f t="shared" si="0"/>
        <v>12745568</v>
      </c>
      <c r="BL47" s="9">
        <f>'Gov Fd Rv'!AQ47-'Gov Fnd Exp'!BJ47</f>
        <v>-527724</v>
      </c>
      <c r="BN47" s="8">
        <v>4003805</v>
      </c>
      <c r="BP47" s="8">
        <v>0</v>
      </c>
      <c r="BT47" s="9">
        <f t="shared" si="3"/>
        <v>3476081</v>
      </c>
      <c r="BU47" s="9"/>
      <c r="BV47" s="9">
        <f>BT47-'Gov Fd BS'!AA47</f>
        <v>0</v>
      </c>
    </row>
    <row r="48" spans="1:76">
      <c r="A48" s="13" t="s">
        <v>336</v>
      </c>
      <c r="B48" s="13"/>
      <c r="C48" s="13" t="s">
        <v>24</v>
      </c>
      <c r="D48" s="13"/>
      <c r="E48" s="32">
        <v>46789</v>
      </c>
      <c r="G48" s="8">
        <v>7174699</v>
      </c>
      <c r="I48" s="8">
        <v>2411316</v>
      </c>
      <c r="K48" s="8">
        <v>62317</v>
      </c>
      <c r="M48" s="8">
        <v>445954</v>
      </c>
      <c r="O48" s="8">
        <v>894227</v>
      </c>
      <c r="Q48" s="8">
        <v>418269</v>
      </c>
      <c r="S48" s="8">
        <v>29183</v>
      </c>
      <c r="U48" s="8">
        <v>1304382</v>
      </c>
      <c r="W48" s="8">
        <v>281628</v>
      </c>
      <c r="Y48" s="8">
        <v>0</v>
      </c>
      <c r="AA48" s="8">
        <v>1121263</v>
      </c>
      <c r="AC48" s="8">
        <v>815338</v>
      </c>
      <c r="AE48" s="8">
        <v>156180</v>
      </c>
      <c r="AG48" s="8">
        <v>621523</v>
      </c>
      <c r="AI48" s="8">
        <v>0</v>
      </c>
      <c r="AJ48" s="13" t="s">
        <v>336</v>
      </c>
      <c r="AK48" s="13"/>
      <c r="AL48" s="13" t="s">
        <v>24</v>
      </c>
      <c r="AN48" s="8">
        <v>661169</v>
      </c>
      <c r="AP48" s="8">
        <v>0</v>
      </c>
      <c r="AR48" s="8">
        <v>0</v>
      </c>
      <c r="AT48" s="8">
        <v>0</v>
      </c>
      <c r="AV48" s="8">
        <v>0</v>
      </c>
      <c r="AX48" s="8">
        <v>157639</v>
      </c>
      <c r="AZ48" s="9">
        <f t="shared" si="4"/>
        <v>16555087</v>
      </c>
      <c r="BB48" s="8">
        <v>0</v>
      </c>
      <c r="BH48" s="8">
        <v>0</v>
      </c>
      <c r="BJ48" s="9">
        <f t="shared" si="0"/>
        <v>16555087</v>
      </c>
      <c r="BL48" s="9">
        <f>'Gov Fd Rv'!AQ48-'Gov Fnd Exp'!BJ48</f>
        <v>229975</v>
      </c>
      <c r="BN48" s="8">
        <v>4988063</v>
      </c>
      <c r="BP48" s="8">
        <v>-20654</v>
      </c>
      <c r="BT48" s="9">
        <f t="shared" si="3"/>
        <v>5197384</v>
      </c>
      <c r="BU48" s="9"/>
      <c r="BV48" s="9">
        <f>BT48-'Gov Fd BS'!AA48</f>
        <v>0</v>
      </c>
    </row>
    <row r="49" spans="1:76">
      <c r="A49" s="13" t="s">
        <v>344</v>
      </c>
      <c r="B49" s="13"/>
      <c r="C49" s="13" t="s">
        <v>25</v>
      </c>
      <c r="D49" s="13"/>
      <c r="E49" s="32">
        <v>46854</v>
      </c>
      <c r="G49" s="8">
        <v>3602468</v>
      </c>
      <c r="I49" s="8">
        <v>1154601</v>
      </c>
      <c r="K49" s="8">
        <v>131736</v>
      </c>
      <c r="M49" s="8">
        <v>35599</v>
      </c>
      <c r="O49" s="8">
        <v>258695</v>
      </c>
      <c r="Q49" s="8">
        <v>582426</v>
      </c>
      <c r="S49" s="8">
        <v>13980</v>
      </c>
      <c r="U49" s="8">
        <v>910028</v>
      </c>
      <c r="W49" s="8">
        <v>308281</v>
      </c>
      <c r="Y49" s="8">
        <v>5406</v>
      </c>
      <c r="AA49" s="8">
        <v>995142</v>
      </c>
      <c r="AC49" s="8">
        <v>582836</v>
      </c>
      <c r="AE49" s="8">
        <v>34094</v>
      </c>
      <c r="AG49" s="8">
        <v>252999</v>
      </c>
      <c r="AI49" s="8">
        <v>616</v>
      </c>
      <c r="AJ49" s="13" t="s">
        <v>344</v>
      </c>
      <c r="AK49" s="13"/>
      <c r="AL49" s="13" t="s">
        <v>25</v>
      </c>
      <c r="AN49" s="8">
        <v>269643</v>
      </c>
      <c r="AP49" s="8">
        <v>0</v>
      </c>
      <c r="AR49" s="8">
        <v>0</v>
      </c>
      <c r="AT49" s="8">
        <v>519832</v>
      </c>
      <c r="AV49" s="8">
        <v>92639</v>
      </c>
      <c r="AX49" s="8">
        <v>0</v>
      </c>
      <c r="AZ49" s="9">
        <f t="shared" ref="AZ49:AZ81" si="5">SUM(G49:AX49)</f>
        <v>9751021</v>
      </c>
      <c r="BB49" s="8">
        <v>133126</v>
      </c>
      <c r="BH49" s="8">
        <v>0</v>
      </c>
      <c r="BJ49" s="9">
        <f t="shared" si="0"/>
        <v>9884147</v>
      </c>
      <c r="BL49" s="9">
        <f>'Gov Fd Rv'!AQ49-'Gov Fnd Exp'!BJ49</f>
        <v>-460365</v>
      </c>
      <c r="BN49" s="8">
        <v>2987296</v>
      </c>
      <c r="BP49" s="8">
        <v>0</v>
      </c>
      <c r="BT49" s="9">
        <f t="shared" si="3"/>
        <v>2526931</v>
      </c>
      <c r="BU49" s="9"/>
      <c r="BV49" s="9">
        <f>BT49-'Gov Fd BS'!AA49</f>
        <v>0</v>
      </c>
    </row>
    <row r="50" spans="1:76">
      <c r="A50" s="13" t="s">
        <v>536</v>
      </c>
      <c r="B50" s="13"/>
      <c r="C50" s="13" t="s">
        <v>48</v>
      </c>
      <c r="D50" s="13"/>
      <c r="E50" s="32">
        <v>48611</v>
      </c>
      <c r="G50" s="8">
        <v>3285813</v>
      </c>
      <c r="I50" s="8">
        <v>1096750</v>
      </c>
      <c r="K50" s="8">
        <v>0</v>
      </c>
      <c r="M50" s="8">
        <v>268931</v>
      </c>
      <c r="O50" s="8">
        <v>269909</v>
      </c>
      <c r="Q50" s="8">
        <v>273916</v>
      </c>
      <c r="S50" s="8">
        <v>43760</v>
      </c>
      <c r="U50" s="8">
        <v>711407</v>
      </c>
      <c r="W50" s="8">
        <v>323601</v>
      </c>
      <c r="Y50" s="8">
        <v>57129</v>
      </c>
      <c r="AA50" s="8">
        <v>800950</v>
      </c>
      <c r="AC50" s="8">
        <v>624318</v>
      </c>
      <c r="AE50" s="8">
        <v>160809</v>
      </c>
      <c r="AG50" s="8">
        <v>0</v>
      </c>
      <c r="AI50" s="8">
        <v>660261</v>
      </c>
      <c r="AJ50" s="13" t="s">
        <v>536</v>
      </c>
      <c r="AK50" s="13"/>
      <c r="AL50" s="13" t="s">
        <v>48</v>
      </c>
      <c r="AN50" s="8">
        <v>387478</v>
      </c>
      <c r="AP50" s="8">
        <v>0</v>
      </c>
      <c r="AR50" s="8">
        <v>0</v>
      </c>
      <c r="AT50" s="8">
        <v>22000</v>
      </c>
      <c r="AV50" s="8">
        <v>45745</v>
      </c>
      <c r="AX50" s="8">
        <v>0</v>
      </c>
      <c r="AZ50" s="9">
        <f t="shared" si="5"/>
        <v>9032777</v>
      </c>
      <c r="BB50" s="8">
        <v>67745</v>
      </c>
      <c r="BH50" s="8">
        <v>0</v>
      </c>
      <c r="BJ50" s="9">
        <f t="shared" si="0"/>
        <v>9100522</v>
      </c>
      <c r="BL50" s="9">
        <f>'Gov Fd Rv'!AQ50-'Gov Fnd Exp'!BJ50</f>
        <v>-410348</v>
      </c>
      <c r="BN50" s="8">
        <v>2313935</v>
      </c>
      <c r="BP50" s="8">
        <v>0</v>
      </c>
      <c r="BT50" s="9">
        <f t="shared" si="3"/>
        <v>1903587</v>
      </c>
      <c r="BU50" s="9"/>
      <c r="BV50" s="9">
        <f>BT50-'Gov Fd BS'!AA50</f>
        <v>0</v>
      </c>
    </row>
    <row r="51" spans="1:76">
      <c r="A51" s="13" t="s">
        <v>267</v>
      </c>
      <c r="B51" s="13"/>
      <c r="C51" s="13" t="s">
        <v>115</v>
      </c>
      <c r="D51" s="13"/>
      <c r="E51" s="32">
        <v>46318</v>
      </c>
      <c r="G51" s="8">
        <v>7920326</v>
      </c>
      <c r="I51" s="8">
        <v>1798924</v>
      </c>
      <c r="K51" s="8">
        <v>300098</v>
      </c>
      <c r="M51" s="8">
        <v>104256</v>
      </c>
      <c r="O51" s="8">
        <v>672414</v>
      </c>
      <c r="Q51" s="8">
        <v>735164</v>
      </c>
      <c r="S51" s="8">
        <v>56855</v>
      </c>
      <c r="U51" s="8">
        <v>1110744</v>
      </c>
      <c r="W51" s="8">
        <v>390549</v>
      </c>
      <c r="Y51" s="8">
        <v>0</v>
      </c>
      <c r="AA51" s="8">
        <v>1450943</v>
      </c>
      <c r="AC51" s="8">
        <v>860465</v>
      </c>
      <c r="AE51" s="8">
        <v>163408</v>
      </c>
      <c r="AG51" s="8">
        <v>0</v>
      </c>
      <c r="AI51" s="8">
        <v>555267</v>
      </c>
      <c r="AJ51" s="13" t="s">
        <v>267</v>
      </c>
      <c r="AK51" s="13"/>
      <c r="AL51" s="13" t="s">
        <v>115</v>
      </c>
      <c r="AN51" s="8">
        <v>343595</v>
      </c>
      <c r="AP51" s="8">
        <v>159847</v>
      </c>
      <c r="AR51" s="8">
        <v>0</v>
      </c>
      <c r="AT51" s="8">
        <v>303881</v>
      </c>
      <c r="AV51" s="8">
        <v>365092</v>
      </c>
      <c r="AX51" s="8">
        <v>0</v>
      </c>
      <c r="AZ51" s="9">
        <f t="shared" si="5"/>
        <v>17291828</v>
      </c>
      <c r="BB51" s="8">
        <v>360412</v>
      </c>
      <c r="BH51" s="8">
        <v>0</v>
      </c>
      <c r="BJ51" s="9">
        <f t="shared" si="0"/>
        <v>17652240</v>
      </c>
      <c r="BL51" s="9">
        <f>'Gov Fd Rv'!AQ51-'Gov Fnd Exp'!BJ51</f>
        <v>-553492</v>
      </c>
      <c r="BN51" s="8">
        <v>2571304</v>
      </c>
      <c r="BP51" s="8">
        <v>0</v>
      </c>
      <c r="BT51" s="9">
        <f t="shared" si="3"/>
        <v>2017812</v>
      </c>
      <c r="BU51" s="9"/>
      <c r="BV51" s="9">
        <f>BT51-'Gov Fd BS'!AA51</f>
        <v>0</v>
      </c>
    </row>
    <row r="52" spans="1:76" hidden="1">
      <c r="A52" s="13" t="s">
        <v>962</v>
      </c>
      <c r="B52" s="13"/>
      <c r="C52" s="13" t="s">
        <v>60</v>
      </c>
      <c r="D52" s="13"/>
      <c r="E52" s="32">
        <v>49692</v>
      </c>
      <c r="G52" s="8">
        <v>1190840</v>
      </c>
      <c r="I52" s="8">
        <v>503022</v>
      </c>
      <c r="O52" s="8">
        <v>105229</v>
      </c>
      <c r="Q52" s="8">
        <v>37079</v>
      </c>
      <c r="S52" s="8">
        <v>10166</v>
      </c>
      <c r="U52" s="8">
        <v>285957</v>
      </c>
      <c r="W52" s="8">
        <v>165944</v>
      </c>
      <c r="AA52" s="8">
        <v>292009</v>
      </c>
      <c r="AC52" s="8">
        <v>121888</v>
      </c>
      <c r="AI52" s="8">
        <v>82973</v>
      </c>
      <c r="AJ52" s="13" t="s">
        <v>635</v>
      </c>
      <c r="AK52" s="13"/>
      <c r="AL52" s="13" t="s">
        <v>60</v>
      </c>
      <c r="AN52" s="8">
        <v>77856</v>
      </c>
      <c r="AT52" s="8">
        <v>27328</v>
      </c>
      <c r="AV52" s="8">
        <v>33486</v>
      </c>
      <c r="AZ52" s="9">
        <f t="shared" si="5"/>
        <v>2933777</v>
      </c>
      <c r="BH52" s="8">
        <v>-1700</v>
      </c>
      <c r="BJ52" s="9">
        <f t="shared" si="0"/>
        <v>2932077</v>
      </c>
      <c r="BL52" s="9">
        <f>'Gov Fd Rv'!AQ52-'Gov Fnd Exp'!BJ52</f>
        <v>-194453</v>
      </c>
      <c r="BN52" s="8">
        <v>1153130</v>
      </c>
      <c r="BT52" s="9">
        <f t="shared" si="3"/>
        <v>958677</v>
      </c>
      <c r="BU52" s="9"/>
      <c r="BV52" s="9">
        <f>BT52-'Gov Fd BS'!AA52</f>
        <v>0</v>
      </c>
      <c r="BX52" s="8" t="s">
        <v>956</v>
      </c>
    </row>
    <row r="53" spans="1:76">
      <c r="A53" s="13" t="s">
        <v>352</v>
      </c>
      <c r="B53" s="13"/>
      <c r="C53" s="13" t="s">
        <v>27</v>
      </c>
      <c r="D53" s="13"/>
      <c r="E53" s="32">
        <v>43620</v>
      </c>
      <c r="G53" s="8">
        <v>15501639</v>
      </c>
      <c r="I53" s="8">
        <v>3493286</v>
      </c>
      <c r="K53" s="8">
        <v>289648</v>
      </c>
      <c r="M53" s="8">
        <v>0</v>
      </c>
      <c r="O53" s="8">
        <v>1395841</v>
      </c>
      <c r="Q53" s="8">
        <v>2109741</v>
      </c>
      <c r="S53" s="8">
        <v>42212</v>
      </c>
      <c r="U53" s="8">
        <v>1863892</v>
      </c>
      <c r="W53" s="8">
        <v>0</v>
      </c>
      <c r="Y53" s="8">
        <v>1132740</v>
      </c>
      <c r="AA53" s="8">
        <v>3227185</v>
      </c>
      <c r="AC53" s="8">
        <v>416651</v>
      </c>
      <c r="AE53" s="8">
        <v>177145</v>
      </c>
      <c r="AG53" s="8">
        <v>557206</v>
      </c>
      <c r="AI53" s="8">
        <v>0</v>
      </c>
      <c r="AJ53" s="13" t="s">
        <v>352</v>
      </c>
      <c r="AK53" s="13"/>
      <c r="AL53" s="13" t="s">
        <v>27</v>
      </c>
      <c r="AN53" s="8">
        <v>1008639</v>
      </c>
      <c r="AP53" s="8">
        <v>1048722</v>
      </c>
      <c r="AR53" s="8">
        <v>0</v>
      </c>
      <c r="AT53" s="8">
        <v>1830000</v>
      </c>
      <c r="AV53" s="8">
        <v>1150426</v>
      </c>
      <c r="AX53" s="8">
        <v>903906</v>
      </c>
      <c r="AZ53" s="9">
        <f t="shared" si="5"/>
        <v>36148879</v>
      </c>
      <c r="BB53" s="8">
        <v>173000</v>
      </c>
      <c r="BH53" s="8">
        <v>0</v>
      </c>
      <c r="BJ53" s="9">
        <f t="shared" si="0"/>
        <v>36321879</v>
      </c>
      <c r="BL53" s="9">
        <f>'Gov Fd Rv'!AQ53-'Gov Fnd Exp'!BJ53</f>
        <v>2189476</v>
      </c>
      <c r="BN53" s="8">
        <v>23788181</v>
      </c>
      <c r="BP53" s="8">
        <v>0</v>
      </c>
      <c r="BT53" s="9">
        <f t="shared" si="3"/>
        <v>25977657</v>
      </c>
      <c r="BU53" s="9"/>
      <c r="BV53" s="9">
        <f>BT53-'Gov Fd BS'!AA53</f>
        <v>0</v>
      </c>
    </row>
    <row r="54" spans="1:76">
      <c r="A54" s="13" t="s">
        <v>333</v>
      </c>
      <c r="B54" s="13"/>
      <c r="C54" s="13" t="s">
        <v>23</v>
      </c>
      <c r="D54" s="13"/>
      <c r="E54" s="32">
        <v>46748</v>
      </c>
      <c r="G54" s="8">
        <v>11949498</v>
      </c>
      <c r="I54" s="8">
        <v>3684912</v>
      </c>
      <c r="K54" s="8">
        <v>359169</v>
      </c>
      <c r="M54" s="8">
        <v>0</v>
      </c>
      <c r="O54" s="8">
        <v>1222872</v>
      </c>
      <c r="Q54" s="8">
        <v>1207259</v>
      </c>
      <c r="S54" s="8">
        <v>236519</v>
      </c>
      <c r="U54" s="8">
        <v>2485192</v>
      </c>
      <c r="W54" s="8">
        <v>906794</v>
      </c>
      <c r="Y54" s="8">
        <v>290335</v>
      </c>
      <c r="AA54" s="8">
        <v>2154632</v>
      </c>
      <c r="AC54" s="8">
        <v>1779954</v>
      </c>
      <c r="AE54" s="8">
        <v>29416</v>
      </c>
      <c r="AG54" s="8">
        <v>0</v>
      </c>
      <c r="AI54" s="8">
        <v>1125544</v>
      </c>
      <c r="AJ54" s="13" t="s">
        <v>333</v>
      </c>
      <c r="AK54" s="13"/>
      <c r="AL54" s="13" t="s">
        <v>23</v>
      </c>
      <c r="AN54" s="8">
        <v>742534</v>
      </c>
      <c r="AP54" s="8">
        <v>1985236</v>
      </c>
      <c r="AR54" s="8">
        <v>0</v>
      </c>
      <c r="AT54" s="8">
        <v>897845</v>
      </c>
      <c r="AV54" s="8">
        <f>890279+816158+129000</f>
        <v>1835437</v>
      </c>
      <c r="AX54" s="8">
        <v>0</v>
      </c>
      <c r="AZ54" s="9">
        <f t="shared" si="5"/>
        <v>32893148</v>
      </c>
      <c r="BB54" s="8">
        <v>163827</v>
      </c>
      <c r="BH54" s="8">
        <f>10000000+115057</f>
        <v>10115057</v>
      </c>
      <c r="BJ54" s="9">
        <f>AZ54+BB54+BH54</f>
        <v>43172032</v>
      </c>
      <c r="BL54" s="9">
        <f>'Gov Fd Rv'!AQ54-'Gov Fnd Exp'!BJ54</f>
        <v>6249923</v>
      </c>
      <c r="BN54" s="8">
        <v>5519609</v>
      </c>
      <c r="BP54" s="8">
        <v>0</v>
      </c>
      <c r="BT54" s="9">
        <f t="shared" si="3"/>
        <v>11769532</v>
      </c>
      <c r="BU54" s="9"/>
      <c r="BV54" s="9">
        <f>BT54-'Gov Fd BS'!AA54</f>
        <v>0</v>
      </c>
    </row>
    <row r="55" spans="1:76">
      <c r="A55" s="13" t="s">
        <v>525</v>
      </c>
      <c r="B55" s="13"/>
      <c r="C55" s="13" t="s">
        <v>47</v>
      </c>
      <c r="D55" s="13"/>
      <c r="E55" s="32">
        <v>48462</v>
      </c>
      <c r="G55" s="8">
        <v>7568974</v>
      </c>
      <c r="I55" s="8">
        <v>1982854</v>
      </c>
      <c r="K55" s="8">
        <v>162577</v>
      </c>
      <c r="M55" s="8">
        <v>0</v>
      </c>
      <c r="O55" s="8">
        <v>754161</v>
      </c>
      <c r="Q55" s="8">
        <v>653576</v>
      </c>
      <c r="S55" s="8">
        <v>45276</v>
      </c>
      <c r="U55" s="8">
        <v>1207831</v>
      </c>
      <c r="W55" s="8">
        <v>445791</v>
      </c>
      <c r="Y55" s="8">
        <v>30200</v>
      </c>
      <c r="AA55" s="8">
        <v>1194528</v>
      </c>
      <c r="AC55" s="8">
        <v>1104745</v>
      </c>
      <c r="AE55" s="8">
        <v>37895</v>
      </c>
      <c r="AG55" s="8">
        <v>0</v>
      </c>
      <c r="AI55" s="8">
        <v>529763</v>
      </c>
      <c r="AJ55" s="13" t="s">
        <v>525</v>
      </c>
      <c r="AK55" s="13"/>
      <c r="AL55" s="13" t="s">
        <v>47</v>
      </c>
      <c r="AN55" s="8">
        <v>562318</v>
      </c>
      <c r="AP55" s="8">
        <v>2940955</v>
      </c>
      <c r="AR55" s="8">
        <v>0</v>
      </c>
      <c r="AT55" s="8">
        <v>664884</v>
      </c>
      <c r="AV55" s="8">
        <v>150123</v>
      </c>
      <c r="AX55" s="8">
        <v>0</v>
      </c>
      <c r="AZ55" s="9">
        <f t="shared" si="5"/>
        <v>20036451</v>
      </c>
      <c r="BB55" s="8">
        <v>876656</v>
      </c>
      <c r="BH55" s="8">
        <v>0</v>
      </c>
      <c r="BJ55" s="9">
        <f>AZ55+BB55+BH55</f>
        <v>20913107</v>
      </c>
      <c r="BL55" s="9">
        <f>'Gov Fd Rv'!AQ55-'Gov Fnd Exp'!BJ55</f>
        <v>-1791967</v>
      </c>
      <c r="BN55" s="8">
        <v>1931801</v>
      </c>
      <c r="BP55" s="8">
        <v>0</v>
      </c>
      <c r="BT55" s="9">
        <f t="shared" si="3"/>
        <v>139834</v>
      </c>
      <c r="BU55" s="9"/>
      <c r="BV55" s="9">
        <f>BT55-'Gov Fd BS'!AA55</f>
        <v>0</v>
      </c>
    </row>
    <row r="56" spans="1:76">
      <c r="A56" s="13" t="s">
        <v>274</v>
      </c>
      <c r="B56" s="13"/>
      <c r="C56" s="13" t="s">
        <v>18</v>
      </c>
      <c r="D56" s="13"/>
      <c r="E56" s="32">
        <v>46383</v>
      </c>
      <c r="G56" s="8">
        <v>5551618</v>
      </c>
      <c r="I56" s="8">
        <v>1077145</v>
      </c>
      <c r="K56" s="8">
        <v>349169</v>
      </c>
      <c r="M56" s="8">
        <v>542440</v>
      </c>
      <c r="O56" s="8">
        <v>709556</v>
      </c>
      <c r="Q56" s="8">
        <v>1536343</v>
      </c>
      <c r="S56" s="8">
        <v>28270</v>
      </c>
      <c r="U56" s="8">
        <v>1192296</v>
      </c>
      <c r="W56" s="8">
        <v>382198</v>
      </c>
      <c r="Y56" s="8">
        <v>7388</v>
      </c>
      <c r="AA56" s="8">
        <v>1336231</v>
      </c>
      <c r="AC56" s="8">
        <v>826369</v>
      </c>
      <c r="AE56" s="8">
        <v>16502</v>
      </c>
      <c r="AG56" s="8">
        <v>0</v>
      </c>
      <c r="AI56" s="8">
        <v>914488</v>
      </c>
      <c r="AJ56" s="13" t="s">
        <v>274</v>
      </c>
      <c r="AK56" s="13"/>
      <c r="AL56" s="13" t="s">
        <v>18</v>
      </c>
      <c r="AN56" s="8">
        <v>405451</v>
      </c>
      <c r="AP56" s="8">
        <v>123820</v>
      </c>
      <c r="AR56" s="8">
        <v>0</v>
      </c>
      <c r="AT56" s="8">
        <v>200000</v>
      </c>
      <c r="AV56" s="8">
        <v>153763</v>
      </c>
      <c r="AX56" s="8">
        <v>0</v>
      </c>
      <c r="AZ56" s="9">
        <f t="shared" si="5"/>
        <v>15353047</v>
      </c>
      <c r="BB56" s="8">
        <v>662</v>
      </c>
      <c r="BH56" s="8">
        <v>0</v>
      </c>
      <c r="BJ56" s="9">
        <f t="shared" si="0"/>
        <v>15353709</v>
      </c>
      <c r="BL56" s="9">
        <f>'Gov Fd Rv'!AQ56-'Gov Fnd Exp'!BJ56</f>
        <v>435477</v>
      </c>
      <c r="BN56" s="8">
        <v>1032080</v>
      </c>
      <c r="BP56" s="8">
        <v>0</v>
      </c>
      <c r="BT56" s="9">
        <f t="shared" si="3"/>
        <v>1467557</v>
      </c>
      <c r="BU56" s="9"/>
      <c r="BV56" s="9">
        <f>BT56-'Gov Fd BS'!AA56</f>
        <v>0</v>
      </c>
    </row>
    <row r="57" spans="1:76">
      <c r="A57" s="13" t="s">
        <v>345</v>
      </c>
      <c r="B57" s="13"/>
      <c r="C57" s="13" t="s">
        <v>25</v>
      </c>
      <c r="D57" s="13"/>
      <c r="E57" s="32">
        <v>46862</v>
      </c>
      <c r="G57" s="8">
        <v>5291995</v>
      </c>
      <c r="I57" s="8">
        <v>1444824</v>
      </c>
      <c r="K57" s="8">
        <v>233180</v>
      </c>
      <c r="M57" s="8">
        <f>86092+547388</f>
        <v>633480</v>
      </c>
      <c r="O57" s="8">
        <v>756435</v>
      </c>
      <c r="Q57" s="8">
        <v>859658</v>
      </c>
      <c r="S57" s="8">
        <v>177606</v>
      </c>
      <c r="U57" s="8">
        <v>1586217</v>
      </c>
      <c r="W57" s="8">
        <v>288488</v>
      </c>
      <c r="Y57" s="8">
        <v>0</v>
      </c>
      <c r="AA57" s="8">
        <v>1097270</v>
      </c>
      <c r="AC57" s="8">
        <v>1011112</v>
      </c>
      <c r="AE57" s="8">
        <v>99396</v>
      </c>
      <c r="AG57" s="8">
        <v>410380</v>
      </c>
      <c r="AI57" s="8">
        <v>0</v>
      </c>
      <c r="AJ57" s="13" t="s">
        <v>345</v>
      </c>
      <c r="AK57" s="13"/>
      <c r="AL57" s="13" t="s">
        <v>25</v>
      </c>
      <c r="AN57" s="8">
        <v>618234</v>
      </c>
      <c r="AP57" s="8">
        <v>0</v>
      </c>
      <c r="AR57" s="8">
        <v>0</v>
      </c>
      <c r="AT57" s="8">
        <v>0</v>
      </c>
      <c r="AV57" s="8">
        <v>0</v>
      </c>
      <c r="AX57" s="8">
        <v>0</v>
      </c>
      <c r="AZ57" s="9">
        <f t="shared" si="5"/>
        <v>14508275</v>
      </c>
      <c r="BB57" s="8">
        <v>53500</v>
      </c>
      <c r="BH57" s="8">
        <v>0</v>
      </c>
      <c r="BJ57" s="9">
        <f t="shared" si="0"/>
        <v>14561775</v>
      </c>
      <c r="BL57" s="9">
        <f>'Gov Fd Rv'!AQ57-'Gov Fnd Exp'!BJ57</f>
        <v>475628</v>
      </c>
      <c r="BN57" s="8">
        <v>2287448</v>
      </c>
      <c r="BP57" s="8">
        <v>0</v>
      </c>
      <c r="BT57" s="9">
        <f t="shared" si="3"/>
        <v>2763076</v>
      </c>
      <c r="BU57" s="9"/>
      <c r="BV57" s="9">
        <f>BT57-'Gov Fd BS'!AA57</f>
        <v>0</v>
      </c>
    </row>
    <row r="58" spans="1:76">
      <c r="A58" s="13" t="s">
        <v>675</v>
      </c>
      <c r="B58" s="13"/>
      <c r="C58" s="13" t="s">
        <v>64</v>
      </c>
      <c r="D58" s="13"/>
      <c r="E58" s="32">
        <v>50096</v>
      </c>
      <c r="G58" s="8">
        <v>1741383</v>
      </c>
      <c r="I58" s="8">
        <v>463728</v>
      </c>
      <c r="K58" s="8">
        <v>65777</v>
      </c>
      <c r="M58" s="8">
        <v>1098</v>
      </c>
      <c r="O58" s="8">
        <v>131235</v>
      </c>
      <c r="Q58" s="8">
        <v>237354</v>
      </c>
      <c r="S58" s="8">
        <v>12760</v>
      </c>
      <c r="U58" s="8">
        <v>401105</v>
      </c>
      <c r="W58" s="8">
        <v>186199</v>
      </c>
      <c r="Y58" s="8">
        <v>600</v>
      </c>
      <c r="AA58" s="8">
        <v>364123</v>
      </c>
      <c r="AC58" s="8">
        <v>193546</v>
      </c>
      <c r="AE58" s="8">
        <v>6000</v>
      </c>
      <c r="AG58" s="8">
        <v>155836</v>
      </c>
      <c r="AI58" s="8">
        <v>0</v>
      </c>
      <c r="AJ58" s="13" t="s">
        <v>675</v>
      </c>
      <c r="AK58" s="13"/>
      <c r="AL58" s="13" t="s">
        <v>64</v>
      </c>
      <c r="AN58" s="8">
        <v>111388</v>
      </c>
      <c r="AP58" s="8">
        <v>0</v>
      </c>
      <c r="AR58" s="8">
        <v>0</v>
      </c>
      <c r="AT58" s="8">
        <v>12554</v>
      </c>
      <c r="AV58" s="8">
        <v>3655</v>
      </c>
      <c r="AX58" s="8">
        <v>0</v>
      </c>
      <c r="AZ58" s="9">
        <f t="shared" si="5"/>
        <v>4088341</v>
      </c>
      <c r="BB58" s="8">
        <v>0</v>
      </c>
      <c r="BH58" s="8">
        <v>0</v>
      </c>
      <c r="BJ58" s="9">
        <f t="shared" si="0"/>
        <v>4088341</v>
      </c>
      <c r="BL58" s="9">
        <f>'Gov Fd Rv'!AQ58-'Gov Fnd Exp'!BJ58</f>
        <v>-64638</v>
      </c>
      <c r="BN58" s="8">
        <v>719452</v>
      </c>
      <c r="BP58" s="8">
        <v>0</v>
      </c>
      <c r="BT58" s="9">
        <f t="shared" si="3"/>
        <v>654814</v>
      </c>
      <c r="BU58" s="9"/>
      <c r="BV58" s="9">
        <f>BT58-'Gov Fd BS'!AA58</f>
        <v>0</v>
      </c>
    </row>
    <row r="59" spans="1:76">
      <c r="A59" s="13" t="s">
        <v>626</v>
      </c>
      <c r="B59" s="13"/>
      <c r="C59" s="13" t="s">
        <v>59</v>
      </c>
      <c r="D59" s="13"/>
      <c r="E59" s="32">
        <v>49593</v>
      </c>
      <c r="G59" s="8">
        <v>4005579</v>
      </c>
      <c r="I59" s="8">
        <v>1209048</v>
      </c>
      <c r="K59" s="8">
        <v>15000</v>
      </c>
      <c r="M59" s="8">
        <v>174055</v>
      </c>
      <c r="O59" s="8">
        <v>364018</v>
      </c>
      <c r="Q59" s="8">
        <v>504706</v>
      </c>
      <c r="S59" s="8">
        <v>29319</v>
      </c>
      <c r="U59" s="8">
        <v>787608</v>
      </c>
      <c r="W59" s="8">
        <v>231331</v>
      </c>
      <c r="Y59" s="8">
        <v>27504</v>
      </c>
      <c r="AA59" s="8">
        <v>1223102</v>
      </c>
      <c r="AC59" s="8">
        <v>794275</v>
      </c>
      <c r="AE59" s="8">
        <v>9580</v>
      </c>
      <c r="AG59" s="8">
        <v>486195</v>
      </c>
      <c r="AI59" s="8">
        <v>0</v>
      </c>
      <c r="AJ59" s="13" t="s">
        <v>626</v>
      </c>
      <c r="AK59" s="13"/>
      <c r="AL59" s="13" t="s">
        <v>59</v>
      </c>
      <c r="AN59" s="8">
        <v>180287</v>
      </c>
      <c r="AP59" s="8">
        <v>32288</v>
      </c>
      <c r="AR59" s="8">
        <v>35600</v>
      </c>
      <c r="AT59" s="8">
        <v>90000</v>
      </c>
      <c r="AV59" s="8">
        <v>35337</v>
      </c>
      <c r="AX59" s="8">
        <v>0</v>
      </c>
      <c r="AZ59" s="9">
        <f>SUM(G59:AX59)</f>
        <v>10234832</v>
      </c>
      <c r="BB59" s="8">
        <v>103056</v>
      </c>
      <c r="BH59" s="8">
        <v>0</v>
      </c>
      <c r="BJ59" s="9">
        <f>AZ59+BB59+BH59</f>
        <v>10337888</v>
      </c>
      <c r="BL59" s="9">
        <f>'Gov Fd Rv'!AQ59-'Gov Fnd Exp'!BJ59</f>
        <v>-111132</v>
      </c>
      <c r="BN59" s="8">
        <v>902683</v>
      </c>
      <c r="BP59" s="8">
        <v>0</v>
      </c>
      <c r="BT59" s="9">
        <f>BL59+BN59+BP59+BR59</f>
        <v>791551</v>
      </c>
      <c r="BU59" s="9"/>
      <c r="BV59" s="9">
        <f>BT59-'Gov Fd BS'!AA59</f>
        <v>0</v>
      </c>
    </row>
    <row r="60" spans="1:76" hidden="1">
      <c r="A60" s="13" t="s">
        <v>898</v>
      </c>
      <c r="B60" s="13"/>
      <c r="C60" s="13" t="s">
        <v>10</v>
      </c>
      <c r="D60" s="13"/>
      <c r="E60" s="32">
        <v>49593</v>
      </c>
      <c r="G60" s="8">
        <v>4215687</v>
      </c>
      <c r="I60" s="8">
        <v>658765</v>
      </c>
      <c r="K60" s="8">
        <v>316633</v>
      </c>
      <c r="O60" s="8">
        <v>277922</v>
      </c>
      <c r="Q60" s="8">
        <v>443064</v>
      </c>
      <c r="S60" s="8">
        <v>36754</v>
      </c>
      <c r="U60" s="8">
        <v>711730</v>
      </c>
      <c r="W60" s="8">
        <v>256717</v>
      </c>
      <c r="AA60" s="8">
        <v>1265134</v>
      </c>
      <c r="AC60" s="8">
        <v>402882</v>
      </c>
      <c r="AE60" s="8">
        <v>14022</v>
      </c>
      <c r="AG60" s="8">
        <v>406396</v>
      </c>
      <c r="AI60" s="8">
        <v>1916</v>
      </c>
      <c r="AJ60" s="13" t="s">
        <v>875</v>
      </c>
      <c r="AK60" s="13"/>
      <c r="AL60" s="13" t="s">
        <v>10</v>
      </c>
      <c r="AN60" s="8">
        <v>316462</v>
      </c>
      <c r="AP60" s="8">
        <v>24500</v>
      </c>
      <c r="AT60" s="8">
        <v>596223</v>
      </c>
      <c r="AV60" s="8">
        <v>257276</v>
      </c>
      <c r="AZ60" s="9">
        <f t="shared" si="5"/>
        <v>10202083</v>
      </c>
      <c r="BJ60" s="9">
        <f t="shared" si="0"/>
        <v>10202083</v>
      </c>
      <c r="BL60" s="9">
        <f>'Gov Fd Rv'!AQ60-'Gov Fnd Exp'!BJ60</f>
        <v>-1506</v>
      </c>
      <c r="BN60" s="8">
        <v>3226181</v>
      </c>
      <c r="BT60" s="9">
        <f t="shared" si="3"/>
        <v>3224675</v>
      </c>
      <c r="BU60" s="9"/>
      <c r="BV60" s="9">
        <f>BT60-'Gov Fd BS'!AA60</f>
        <v>0</v>
      </c>
      <c r="BX60" s="8" t="s">
        <v>956</v>
      </c>
    </row>
    <row r="61" spans="1:76">
      <c r="A61" s="13" t="s">
        <v>509</v>
      </c>
      <c r="B61" s="13"/>
      <c r="C61" s="13" t="s">
        <v>45</v>
      </c>
      <c r="D61" s="13"/>
      <c r="E61" s="32">
        <v>48306</v>
      </c>
      <c r="G61" s="8">
        <v>22444996</v>
      </c>
      <c r="I61" s="8">
        <v>3558694</v>
      </c>
      <c r="K61" s="8">
        <v>11332</v>
      </c>
      <c r="M61" s="8">
        <v>319926</v>
      </c>
      <c r="O61" s="8">
        <v>1903275</v>
      </c>
      <c r="Q61" s="8">
        <v>2551282</v>
      </c>
      <c r="S61" s="8">
        <v>120576</v>
      </c>
      <c r="U61" s="8">
        <v>2657828</v>
      </c>
      <c r="W61" s="8">
        <v>1041528</v>
      </c>
      <c r="Y61" s="8">
        <v>139558</v>
      </c>
      <c r="AA61" s="8">
        <v>4587536</v>
      </c>
      <c r="AC61" s="8">
        <v>2974377</v>
      </c>
      <c r="AE61" s="8">
        <v>165682</v>
      </c>
      <c r="AG61" s="8">
        <v>1353796</v>
      </c>
      <c r="AI61" s="8">
        <v>835996</v>
      </c>
      <c r="AJ61" s="13" t="s">
        <v>509</v>
      </c>
      <c r="AK61" s="13"/>
      <c r="AL61" s="13" t="s">
        <v>45</v>
      </c>
      <c r="AN61" s="8">
        <v>1080089</v>
      </c>
      <c r="AP61" s="8">
        <v>1434391</v>
      </c>
      <c r="AR61" s="8">
        <v>0</v>
      </c>
      <c r="AT61" s="8">
        <v>396476</v>
      </c>
      <c r="AV61" s="8">
        <v>85961</v>
      </c>
      <c r="AX61" s="8">
        <v>0</v>
      </c>
      <c r="AZ61" s="9">
        <f t="shared" si="5"/>
        <v>47663299</v>
      </c>
      <c r="BB61" s="8">
        <v>768134</v>
      </c>
      <c r="BH61" s="8">
        <v>0</v>
      </c>
      <c r="BJ61" s="9">
        <f t="shared" si="0"/>
        <v>48431433</v>
      </c>
      <c r="BL61" s="9">
        <f>'Gov Fd Rv'!AQ61-'Gov Fnd Exp'!BJ61</f>
        <v>3131621</v>
      </c>
      <c r="BN61" s="8">
        <v>9980192</v>
      </c>
      <c r="BP61" s="8">
        <v>0</v>
      </c>
      <c r="BT61" s="9">
        <f t="shared" si="3"/>
        <v>13111813</v>
      </c>
      <c r="BU61" s="9"/>
      <c r="BV61" s="9">
        <f>BT61-'Gov Fd BS'!AA61</f>
        <v>0</v>
      </c>
    </row>
    <row r="62" spans="1:76">
      <c r="A62" s="13" t="s">
        <v>642</v>
      </c>
      <c r="B62" s="13"/>
      <c r="C62" s="13" t="s">
        <v>61</v>
      </c>
      <c r="D62" s="13"/>
      <c r="E62" s="32">
        <v>49767</v>
      </c>
      <c r="G62" s="8">
        <v>2202566</v>
      </c>
      <c r="I62" s="8">
        <v>491658</v>
      </c>
      <c r="K62" s="8">
        <v>154637</v>
      </c>
      <c r="M62" s="8">
        <f>16205+17613</f>
        <v>33818</v>
      </c>
      <c r="O62" s="8">
        <v>252299</v>
      </c>
      <c r="Q62" s="8">
        <v>297825</v>
      </c>
      <c r="S62" s="8">
        <v>125473</v>
      </c>
      <c r="U62" s="8">
        <v>535657</v>
      </c>
      <c r="W62" s="8">
        <v>154503</v>
      </c>
      <c r="Y62" s="8">
        <v>0</v>
      </c>
      <c r="AA62" s="8">
        <v>368104</v>
      </c>
      <c r="AC62" s="8">
        <v>104119</v>
      </c>
      <c r="AE62" s="8">
        <v>7136</v>
      </c>
      <c r="AG62" s="8">
        <v>0</v>
      </c>
      <c r="AI62" s="8">
        <v>220543</v>
      </c>
      <c r="AJ62" s="13" t="s">
        <v>642</v>
      </c>
      <c r="AK62" s="13"/>
      <c r="AL62" s="13" t="s">
        <v>61</v>
      </c>
      <c r="AN62" s="8">
        <v>239868</v>
      </c>
      <c r="AP62" s="8">
        <v>7307</v>
      </c>
      <c r="AR62" s="8">
        <v>0</v>
      </c>
      <c r="AT62" s="8">
        <v>195000</v>
      </c>
      <c r="AV62" s="8">
        <v>38003</v>
      </c>
      <c r="AX62" s="8">
        <v>0</v>
      </c>
      <c r="AZ62" s="9">
        <f t="shared" si="5"/>
        <v>5428516</v>
      </c>
      <c r="BB62" s="8">
        <v>15000</v>
      </c>
      <c r="BH62" s="8">
        <v>0</v>
      </c>
      <c r="BJ62" s="9">
        <f t="shared" si="0"/>
        <v>5443516</v>
      </c>
      <c r="BL62" s="9">
        <f>'Gov Fd Rv'!AQ62-'Gov Fnd Exp'!BJ62</f>
        <v>-237230</v>
      </c>
      <c r="BN62" s="8">
        <v>1367569</v>
      </c>
      <c r="BP62" s="8">
        <v>0</v>
      </c>
      <c r="BT62" s="9">
        <f t="shared" si="3"/>
        <v>1130339</v>
      </c>
      <c r="BU62" s="9"/>
      <c r="BV62" s="9">
        <f>BT62-'Gov Fd BS'!AA62</f>
        <v>0</v>
      </c>
    </row>
    <row r="63" spans="1:76">
      <c r="A63" s="13" t="s">
        <v>733</v>
      </c>
      <c r="B63" s="13"/>
      <c r="C63" s="13" t="s">
        <v>72</v>
      </c>
      <c r="D63" s="13"/>
      <c r="E63" s="32">
        <v>43638</v>
      </c>
      <c r="G63" s="8">
        <v>19544252</v>
      </c>
      <c r="I63" s="8">
        <v>0</v>
      </c>
      <c r="K63" s="8">
        <v>0</v>
      </c>
      <c r="M63" s="8">
        <v>0</v>
      </c>
      <c r="O63" s="8">
        <v>12371269</v>
      </c>
      <c r="Q63" s="8">
        <v>0</v>
      </c>
      <c r="S63" s="8">
        <v>0</v>
      </c>
      <c r="U63" s="8">
        <v>0</v>
      </c>
      <c r="W63" s="8">
        <v>0</v>
      </c>
      <c r="Y63" s="8">
        <v>0</v>
      </c>
      <c r="AA63" s="8">
        <v>0</v>
      </c>
      <c r="AC63" s="8">
        <v>0</v>
      </c>
      <c r="AE63" s="8">
        <v>0</v>
      </c>
      <c r="AG63" s="8">
        <v>0</v>
      </c>
      <c r="AI63" s="8">
        <v>360105</v>
      </c>
      <c r="AJ63" s="13" t="s">
        <v>733</v>
      </c>
      <c r="AK63" s="13"/>
      <c r="AL63" s="13" t="s">
        <v>72</v>
      </c>
      <c r="AN63" s="8">
        <v>956532</v>
      </c>
      <c r="AP63" s="8">
        <v>18827466</v>
      </c>
      <c r="AR63" s="8">
        <v>0</v>
      </c>
      <c r="AT63" s="8">
        <v>725000</v>
      </c>
      <c r="AV63" s="8">
        <v>1328953</v>
      </c>
      <c r="AX63" s="8">
        <v>0</v>
      </c>
      <c r="AZ63" s="9">
        <f t="shared" si="5"/>
        <v>54113577</v>
      </c>
      <c r="BB63" s="8">
        <v>384515</v>
      </c>
      <c r="BH63" s="8">
        <v>4995</v>
      </c>
      <c r="BJ63" s="9">
        <f t="shared" si="0"/>
        <v>54503087</v>
      </c>
      <c r="BL63" s="9">
        <f>'Gov Fd Rv'!AQ63-'Gov Fnd Exp'!BJ63</f>
        <v>-19579147</v>
      </c>
      <c r="BN63" s="8">
        <v>38787827</v>
      </c>
      <c r="BP63" s="8">
        <v>0</v>
      </c>
      <c r="BT63" s="9">
        <f t="shared" si="3"/>
        <v>19208680</v>
      </c>
      <c r="BU63" s="9"/>
      <c r="BV63" s="9">
        <f>BT63-'Gov Fd BS'!AA63</f>
        <v>0</v>
      </c>
      <c r="BX63" s="10" t="s">
        <v>899</v>
      </c>
    </row>
    <row r="64" spans="1:76" hidden="1">
      <c r="A64" s="13" t="s">
        <v>961</v>
      </c>
      <c r="B64" s="13"/>
      <c r="C64" s="13" t="s">
        <v>48</v>
      </c>
      <c r="D64" s="13"/>
      <c r="E64" s="32">
        <v>43646</v>
      </c>
      <c r="AJ64" s="13" t="s">
        <v>900</v>
      </c>
      <c r="AK64" s="13"/>
      <c r="AL64" s="13" t="s">
        <v>20</v>
      </c>
      <c r="AZ64" s="9">
        <f>SUM(G64:AX64)</f>
        <v>0</v>
      </c>
      <c r="BJ64" s="9">
        <f>AZ64+BB64+BH64</f>
        <v>0</v>
      </c>
      <c r="BL64" s="9">
        <f>'Gov Fd Rv'!AQ64-'Gov Fnd Exp'!BJ64</f>
        <v>0</v>
      </c>
      <c r="BT64" s="9">
        <f>BL64+BN64+BP64+BR64</f>
        <v>0</v>
      </c>
      <c r="BU64" s="9"/>
      <c r="BV64" s="9">
        <f>BT64-'Gov Fd BS'!AA64</f>
        <v>0</v>
      </c>
    </row>
    <row r="65" spans="1:76">
      <c r="A65" s="13" t="s">
        <v>873</v>
      </c>
      <c r="B65" s="13"/>
      <c r="C65" s="13" t="s">
        <v>20</v>
      </c>
      <c r="D65" s="13"/>
      <c r="E65" s="32">
        <v>43646</v>
      </c>
      <c r="G65" s="8">
        <v>23385300</v>
      </c>
      <c r="I65" s="8">
        <v>5256926</v>
      </c>
      <c r="K65" s="8">
        <v>215894</v>
      </c>
      <c r="M65" s="8">
        <f>57728+25747</f>
        <v>83475</v>
      </c>
      <c r="O65" s="8">
        <v>3667268</v>
      </c>
      <c r="Q65" s="8">
        <v>3285247</v>
      </c>
      <c r="S65" s="8">
        <v>85974</v>
      </c>
      <c r="U65" s="8">
        <v>3286130</v>
      </c>
      <c r="W65" s="8">
        <v>1008232</v>
      </c>
      <c r="Y65" s="8">
        <v>462796</v>
      </c>
      <c r="AA65" s="8">
        <v>4626940</v>
      </c>
      <c r="AC65" s="8">
        <v>3446372</v>
      </c>
      <c r="AE65" s="8">
        <v>300701</v>
      </c>
      <c r="AG65" s="8">
        <v>1568179</v>
      </c>
      <c r="AI65" s="8">
        <v>618282</v>
      </c>
      <c r="AJ65" s="13" t="s">
        <v>300</v>
      </c>
      <c r="AK65" s="13"/>
      <c r="AL65" s="13" t="s">
        <v>20</v>
      </c>
      <c r="AN65" s="8">
        <v>1092004</v>
      </c>
      <c r="AP65" s="8">
        <v>1973527</v>
      </c>
      <c r="AR65" s="8">
        <v>0</v>
      </c>
      <c r="AT65" s="8">
        <v>1679683</v>
      </c>
      <c r="AV65" s="8">
        <v>1318127</v>
      </c>
      <c r="AX65" s="8">
        <v>470376</v>
      </c>
      <c r="AZ65" s="9">
        <f t="shared" si="5"/>
        <v>57831433</v>
      </c>
      <c r="BB65" s="8">
        <v>119038</v>
      </c>
      <c r="BH65" s="8">
        <v>0</v>
      </c>
      <c r="BJ65" s="9">
        <f t="shared" si="0"/>
        <v>57950471</v>
      </c>
      <c r="BL65" s="9">
        <f>'Gov Fd Rv'!AQ65-'Gov Fnd Exp'!BJ65</f>
        <v>-4004599</v>
      </c>
      <c r="BN65" s="8">
        <v>22836346</v>
      </c>
      <c r="BP65" s="8">
        <v>0</v>
      </c>
      <c r="BT65" s="9">
        <f t="shared" si="3"/>
        <v>18831747</v>
      </c>
      <c r="BU65" s="9"/>
      <c r="BV65" s="9">
        <f>BT65-'Gov Fd BS'!AA65</f>
        <v>0</v>
      </c>
    </row>
    <row r="66" spans="1:76">
      <c r="A66" s="12" t="s">
        <v>232</v>
      </c>
      <c r="B66" s="13"/>
      <c r="C66" s="13" t="s">
        <v>15</v>
      </c>
      <c r="D66" s="13"/>
      <c r="E66" s="32">
        <v>45237</v>
      </c>
      <c r="G66" s="8">
        <v>3358375</v>
      </c>
      <c r="I66" s="8">
        <v>1167759</v>
      </c>
      <c r="K66" s="8">
        <v>82597</v>
      </c>
      <c r="M66" s="8">
        <v>105640</v>
      </c>
      <c r="O66" s="8">
        <v>218757</v>
      </c>
      <c r="Q66" s="8">
        <v>292955</v>
      </c>
      <c r="S66" s="8">
        <v>23774</v>
      </c>
      <c r="U66" s="8">
        <v>512515</v>
      </c>
      <c r="W66" s="8">
        <v>264225</v>
      </c>
      <c r="Y66" s="8">
        <v>42805</v>
      </c>
      <c r="AA66" s="8">
        <v>749308</v>
      </c>
      <c r="AC66" s="8">
        <v>267447</v>
      </c>
      <c r="AE66" s="8">
        <v>10532</v>
      </c>
      <c r="AG66" s="8">
        <v>350620</v>
      </c>
      <c r="AI66" s="8">
        <v>73682</v>
      </c>
      <c r="AJ66" s="13" t="s">
        <v>232</v>
      </c>
      <c r="AK66" s="13"/>
      <c r="AL66" s="13" t="s">
        <v>15</v>
      </c>
      <c r="AN66" s="8">
        <v>139171</v>
      </c>
      <c r="AP66" s="8">
        <v>385788</v>
      </c>
      <c r="AR66" s="8">
        <v>0</v>
      </c>
      <c r="AT66" s="8">
        <v>248911</v>
      </c>
      <c r="AV66" s="8">
        <v>218027</v>
      </c>
      <c r="AX66" s="8">
        <v>0</v>
      </c>
      <c r="AZ66" s="9">
        <f t="shared" si="5"/>
        <v>8512888</v>
      </c>
      <c r="BB66" s="8">
        <v>44526</v>
      </c>
      <c r="BH66" s="8">
        <v>0</v>
      </c>
      <c r="BJ66" s="9">
        <f t="shared" si="0"/>
        <v>8557414</v>
      </c>
      <c r="BL66" s="9">
        <f>'Gov Fd Rv'!AQ66-'Gov Fnd Exp'!BJ66</f>
        <v>-207051</v>
      </c>
      <c r="BN66" s="8">
        <v>1154610</v>
      </c>
      <c r="BP66" s="8">
        <v>0</v>
      </c>
      <c r="BT66" s="9">
        <f t="shared" si="3"/>
        <v>947559</v>
      </c>
      <c r="BU66" s="9"/>
      <c r="BV66" s="9">
        <f>BT66-'Gov Fd BS'!AA66</f>
        <v>0</v>
      </c>
      <c r="BX66" s="8" t="s">
        <v>956</v>
      </c>
    </row>
    <row r="67" spans="1:76">
      <c r="A67" s="13" t="s">
        <v>434</v>
      </c>
      <c r="B67" s="13"/>
      <c r="C67" s="13" t="s">
        <v>435</v>
      </c>
      <c r="D67" s="13"/>
      <c r="E67" s="32">
        <v>47613</v>
      </c>
      <c r="G67" s="8">
        <v>3787518</v>
      </c>
      <c r="I67" s="8">
        <v>889710</v>
      </c>
      <c r="K67" s="8">
        <v>180065</v>
      </c>
      <c r="M67" s="8">
        <v>61384</v>
      </c>
      <c r="O67" s="8">
        <v>416367</v>
      </c>
      <c r="Q67" s="8">
        <v>444098</v>
      </c>
      <c r="S67" s="8">
        <v>31444</v>
      </c>
      <c r="U67" s="8">
        <v>513160</v>
      </c>
      <c r="W67" s="8">
        <v>297291</v>
      </c>
      <c r="Y67" s="8">
        <v>4258</v>
      </c>
      <c r="AA67" s="8">
        <v>658709</v>
      </c>
      <c r="AC67" s="8">
        <v>599107</v>
      </c>
      <c r="AE67" s="8">
        <v>0</v>
      </c>
      <c r="AG67" s="8">
        <v>345910</v>
      </c>
      <c r="AI67" s="8">
        <v>350</v>
      </c>
      <c r="AJ67" s="13" t="s">
        <v>434</v>
      </c>
      <c r="AK67" s="13"/>
      <c r="AL67" s="13" t="s">
        <v>435</v>
      </c>
      <c r="AN67" s="8">
        <v>110595</v>
      </c>
      <c r="AP67" s="8">
        <v>2503</v>
      </c>
      <c r="AR67" s="8">
        <v>0</v>
      </c>
      <c r="AT67" s="8">
        <v>105000</v>
      </c>
      <c r="AV67" s="8">
        <v>35627</v>
      </c>
      <c r="AX67" s="8">
        <v>0</v>
      </c>
      <c r="AZ67" s="9">
        <f t="shared" si="5"/>
        <v>8483096</v>
      </c>
      <c r="BB67" s="8">
        <v>0</v>
      </c>
      <c r="BH67" s="8">
        <v>0</v>
      </c>
      <c r="BJ67" s="9">
        <f t="shared" si="0"/>
        <v>8483096</v>
      </c>
      <c r="BL67" s="9">
        <f>'Gov Fd Rv'!AQ67-'Gov Fnd Exp'!BJ67</f>
        <v>-404824</v>
      </c>
      <c r="BN67" s="8">
        <v>2408491</v>
      </c>
      <c r="BP67" s="8">
        <v>0</v>
      </c>
      <c r="BT67" s="9">
        <f t="shared" si="3"/>
        <v>2003667</v>
      </c>
      <c r="BU67" s="9"/>
      <c r="BV67" s="9">
        <f>BT67-'Gov Fd BS'!AA67</f>
        <v>0</v>
      </c>
    </row>
    <row r="68" spans="1:76">
      <c r="A68" s="13" t="s">
        <v>676</v>
      </c>
      <c r="B68" s="13"/>
      <c r="C68" s="13" t="s">
        <v>64</v>
      </c>
      <c r="D68" s="13"/>
      <c r="E68" s="32">
        <v>50112</v>
      </c>
      <c r="G68" s="8">
        <v>3970821</v>
      </c>
      <c r="I68" s="8">
        <v>676379</v>
      </c>
      <c r="K68" s="8">
        <v>56493</v>
      </c>
      <c r="M68" s="8">
        <v>3500</v>
      </c>
      <c r="O68" s="8">
        <v>225616</v>
      </c>
      <c r="Q68" s="8">
        <v>173167</v>
      </c>
      <c r="S68" s="8">
        <v>18450</v>
      </c>
      <c r="U68" s="8">
        <v>529271</v>
      </c>
      <c r="W68" s="8">
        <v>206341</v>
      </c>
      <c r="Y68" s="8">
        <v>27970</v>
      </c>
      <c r="AA68" s="8">
        <v>593961</v>
      </c>
      <c r="AC68" s="8">
        <v>482548</v>
      </c>
      <c r="AE68" s="8">
        <v>6941</v>
      </c>
      <c r="AG68" s="8">
        <v>228394</v>
      </c>
      <c r="AI68" s="8">
        <v>746</v>
      </c>
      <c r="AJ68" s="13" t="s">
        <v>676</v>
      </c>
      <c r="AK68" s="13"/>
      <c r="AL68" s="13" t="s">
        <v>64</v>
      </c>
      <c r="AN68" s="8">
        <v>191304</v>
      </c>
      <c r="AP68" s="8">
        <v>0</v>
      </c>
      <c r="AR68" s="8">
        <v>0</v>
      </c>
      <c r="AT68" s="8">
        <v>106039</v>
      </c>
      <c r="AV68" s="8">
        <v>85675</v>
      </c>
      <c r="AX68" s="8">
        <v>157163</v>
      </c>
      <c r="AZ68" s="9">
        <f t="shared" si="5"/>
        <v>7740779</v>
      </c>
      <c r="BB68" s="8">
        <v>94433</v>
      </c>
      <c r="BH68" s="8">
        <v>0</v>
      </c>
      <c r="BJ68" s="9">
        <f t="shared" si="0"/>
        <v>7835212</v>
      </c>
      <c r="BL68" s="9">
        <f>'Gov Fd Rv'!AQ68-'Gov Fnd Exp'!BJ68</f>
        <v>273527</v>
      </c>
      <c r="BN68" s="8">
        <v>1438523</v>
      </c>
      <c r="BP68" s="8">
        <v>-866</v>
      </c>
      <c r="BT68" s="9">
        <f t="shared" si="3"/>
        <v>1711184</v>
      </c>
      <c r="BU68" s="9"/>
      <c r="BV68" s="9">
        <f>BT68-'Gov Fd BS'!AA68</f>
        <v>0</v>
      </c>
    </row>
    <row r="69" spans="1:76">
      <c r="A69" s="13" t="s">
        <v>964</v>
      </c>
      <c r="B69" s="13"/>
      <c r="C69" s="13" t="s">
        <v>64</v>
      </c>
      <c r="D69" s="13"/>
      <c r="E69" s="32">
        <v>50120</v>
      </c>
      <c r="G69" s="8">
        <v>5092178</v>
      </c>
      <c r="I69" s="8">
        <v>1338065</v>
      </c>
      <c r="K69" s="8">
        <v>133262</v>
      </c>
      <c r="M69" s="8">
        <v>0</v>
      </c>
      <c r="O69" s="8">
        <v>641060</v>
      </c>
      <c r="Q69" s="8">
        <v>256922</v>
      </c>
      <c r="S69" s="8">
        <v>3711</v>
      </c>
      <c r="U69" s="8">
        <v>1001573</v>
      </c>
      <c r="W69" s="8">
        <v>249626</v>
      </c>
      <c r="Y69" s="8">
        <v>55586</v>
      </c>
      <c r="AA69" s="8">
        <v>1141456</v>
      </c>
      <c r="AC69" s="8">
        <v>492620</v>
      </c>
      <c r="AE69" s="8">
        <v>1489</v>
      </c>
      <c r="AG69" s="8">
        <v>570366</v>
      </c>
      <c r="AI69" s="8">
        <v>0</v>
      </c>
      <c r="AJ69" s="13" t="s">
        <v>677</v>
      </c>
      <c r="AK69" s="13"/>
      <c r="AL69" s="13" t="s">
        <v>64</v>
      </c>
      <c r="AN69" s="8">
        <v>273857</v>
      </c>
      <c r="AP69" s="8">
        <f>2459004+97959</f>
        <v>2556963</v>
      </c>
      <c r="AR69" s="8">
        <v>0</v>
      </c>
      <c r="AT69" s="8">
        <v>370084</v>
      </c>
      <c r="AV69" s="8">
        <v>531017</v>
      </c>
      <c r="AX69" s="8">
        <v>0</v>
      </c>
      <c r="AZ69" s="9">
        <f t="shared" si="5"/>
        <v>14709835</v>
      </c>
      <c r="BB69" s="8">
        <v>0</v>
      </c>
      <c r="BH69" s="8">
        <v>0</v>
      </c>
      <c r="BJ69" s="9">
        <f t="shared" si="0"/>
        <v>14709835</v>
      </c>
      <c r="BL69" s="9">
        <f>'Gov Fd Rv'!AQ69-'Gov Fnd Exp'!BJ69</f>
        <v>7909942</v>
      </c>
      <c r="BN69" s="8">
        <v>16571073</v>
      </c>
      <c r="BP69" s="8">
        <v>0</v>
      </c>
      <c r="BT69" s="9">
        <f t="shared" si="3"/>
        <v>24481015</v>
      </c>
      <c r="BU69" s="9"/>
      <c r="BV69" s="9">
        <f>BT69-'Gov Fd BS'!AA69</f>
        <v>0</v>
      </c>
      <c r="BX69" s="8" t="s">
        <v>956</v>
      </c>
    </row>
    <row r="70" spans="1:76">
      <c r="A70" s="13" t="s">
        <v>301</v>
      </c>
      <c r="B70" s="13"/>
      <c r="C70" s="13" t="s">
        <v>20</v>
      </c>
      <c r="D70" s="13"/>
      <c r="E70" s="32">
        <v>43653</v>
      </c>
      <c r="G70" s="8">
        <v>6673009</v>
      </c>
      <c r="I70" s="8">
        <v>1879822</v>
      </c>
      <c r="K70" s="8">
        <v>113330</v>
      </c>
      <c r="M70" s="8">
        <v>0</v>
      </c>
      <c r="O70" s="8">
        <v>1269329</v>
      </c>
      <c r="Q70" s="8">
        <v>89239</v>
      </c>
      <c r="S70" s="8">
        <v>27572</v>
      </c>
      <c r="U70" s="8">
        <v>1443760</v>
      </c>
      <c r="W70" s="8">
        <v>519985</v>
      </c>
      <c r="Y70" s="8">
        <v>86450</v>
      </c>
      <c r="AA70" s="8">
        <v>1356277</v>
      </c>
      <c r="AC70" s="8">
        <v>387328</v>
      </c>
      <c r="AE70" s="8">
        <v>113075</v>
      </c>
      <c r="AG70" s="8">
        <v>453103</v>
      </c>
      <c r="AI70" s="8">
        <v>390857</v>
      </c>
      <c r="AJ70" s="13" t="s">
        <v>301</v>
      </c>
      <c r="AK70" s="13"/>
      <c r="AL70" s="13" t="s">
        <v>20</v>
      </c>
      <c r="AN70" s="8">
        <v>364574</v>
      </c>
      <c r="AP70" s="8">
        <v>213625</v>
      </c>
      <c r="AR70" s="8">
        <v>0</v>
      </c>
      <c r="AT70" s="8">
        <v>0</v>
      </c>
      <c r="AV70" s="8">
        <v>0</v>
      </c>
      <c r="AX70" s="8">
        <v>0</v>
      </c>
      <c r="AZ70" s="9">
        <f t="shared" si="5"/>
        <v>15381335</v>
      </c>
      <c r="BB70" s="8">
        <v>0</v>
      </c>
      <c r="BH70" s="8">
        <v>0</v>
      </c>
      <c r="BJ70" s="9">
        <f t="shared" si="0"/>
        <v>15381335</v>
      </c>
      <c r="BL70" s="9">
        <f>'Gov Fd Rv'!AQ70-'Gov Fnd Exp'!BJ70</f>
        <v>2053962</v>
      </c>
      <c r="BN70" s="8">
        <v>1103529</v>
      </c>
      <c r="BP70" s="8">
        <v>0</v>
      </c>
      <c r="BT70" s="9">
        <f t="shared" si="3"/>
        <v>3157491</v>
      </c>
      <c r="BU70" s="9"/>
      <c r="BV70" s="9">
        <f>BT70-'Gov Fd BS'!AA70</f>
        <v>0</v>
      </c>
    </row>
    <row r="71" spans="1:76">
      <c r="A71" s="13" t="s">
        <v>544</v>
      </c>
      <c r="B71" s="13"/>
      <c r="C71" s="13" t="s">
        <v>50</v>
      </c>
      <c r="D71" s="13"/>
      <c r="E71" s="32">
        <v>48678</v>
      </c>
      <c r="G71" s="8">
        <v>5405870</v>
      </c>
      <c r="I71" s="8">
        <v>1130030</v>
      </c>
      <c r="K71" s="8">
        <v>86940</v>
      </c>
      <c r="M71" s="8">
        <v>17944</v>
      </c>
      <c r="O71" s="8">
        <v>902214</v>
      </c>
      <c r="Q71" s="8">
        <v>985584</v>
      </c>
      <c r="S71" s="8">
        <v>23969</v>
      </c>
      <c r="U71" s="8">
        <v>1231409</v>
      </c>
      <c r="W71" s="8">
        <v>327730</v>
      </c>
      <c r="Y71" s="8">
        <v>4951</v>
      </c>
      <c r="AA71" s="8">
        <v>1174910</v>
      </c>
      <c r="AC71" s="8">
        <v>567915</v>
      </c>
      <c r="AE71" s="8">
        <v>28052</v>
      </c>
      <c r="AG71" s="8">
        <v>0</v>
      </c>
      <c r="AI71" s="8">
        <v>771332</v>
      </c>
      <c r="AJ71" s="13" t="s">
        <v>544</v>
      </c>
      <c r="AK71" s="13"/>
      <c r="AL71" s="13" t="s">
        <v>50</v>
      </c>
      <c r="AN71" s="8">
        <v>550554</v>
      </c>
      <c r="AP71" s="8">
        <v>223862</v>
      </c>
      <c r="AR71" s="8">
        <v>0</v>
      </c>
      <c r="AT71" s="8">
        <v>505000</v>
      </c>
      <c r="AV71" s="8">
        <v>838903</v>
      </c>
      <c r="AX71" s="8">
        <v>0</v>
      </c>
      <c r="AZ71" s="9">
        <f t="shared" si="5"/>
        <v>14777169</v>
      </c>
      <c r="BB71" s="8">
        <v>213895</v>
      </c>
      <c r="BH71" s="8">
        <v>0</v>
      </c>
      <c r="BJ71" s="9">
        <f t="shared" si="0"/>
        <v>14991064</v>
      </c>
      <c r="BL71" s="9">
        <f>'Gov Fd Rv'!AQ71-'Gov Fnd Exp'!BJ71</f>
        <v>5454813</v>
      </c>
      <c r="BN71" s="8">
        <v>5499724</v>
      </c>
      <c r="BP71" s="8">
        <v>0</v>
      </c>
      <c r="BT71" s="9">
        <f t="shared" si="3"/>
        <v>10954537</v>
      </c>
      <c r="BU71" s="9"/>
      <c r="BV71" s="9">
        <f>BT71-'Gov Fd BS'!AA71</f>
        <v>0</v>
      </c>
      <c r="BX71" s="8" t="s">
        <v>956</v>
      </c>
    </row>
    <row r="72" spans="1:76">
      <c r="A72" s="13" t="s">
        <v>252</v>
      </c>
      <c r="B72" s="13"/>
      <c r="C72" s="13" t="s">
        <v>16</v>
      </c>
      <c r="D72" s="13"/>
      <c r="E72" s="32">
        <v>46177</v>
      </c>
      <c r="G72" s="8">
        <v>4242184</v>
      </c>
      <c r="I72" s="8">
        <v>313645</v>
      </c>
      <c r="K72" s="8">
        <v>0</v>
      </c>
      <c r="M72" s="8">
        <v>0</v>
      </c>
      <c r="O72" s="8">
        <v>261900</v>
      </c>
      <c r="Q72" s="8">
        <v>308404</v>
      </c>
      <c r="S72" s="8">
        <v>207374</v>
      </c>
      <c r="U72" s="8">
        <v>759175</v>
      </c>
      <c r="W72" s="8">
        <v>154059</v>
      </c>
      <c r="Y72" s="8">
        <v>0</v>
      </c>
      <c r="AA72" s="8">
        <v>489403</v>
      </c>
      <c r="AC72" s="8">
        <v>292666</v>
      </c>
      <c r="AE72" s="8">
        <v>8834</v>
      </c>
      <c r="AG72" s="8">
        <v>319342</v>
      </c>
      <c r="AI72" s="8">
        <v>0</v>
      </c>
      <c r="AJ72" s="13" t="s">
        <v>252</v>
      </c>
      <c r="AK72" s="13"/>
      <c r="AL72" s="13" t="s">
        <v>16</v>
      </c>
      <c r="AN72" s="8">
        <v>293375</v>
      </c>
      <c r="AP72" s="8">
        <v>1957</v>
      </c>
      <c r="AR72" s="8">
        <v>0</v>
      </c>
      <c r="AT72" s="8">
        <v>9002</v>
      </c>
      <c r="AV72" s="8">
        <v>2434</v>
      </c>
      <c r="AX72" s="8">
        <v>0</v>
      </c>
      <c r="AZ72" s="9">
        <f t="shared" si="5"/>
        <v>7663754</v>
      </c>
      <c r="BB72" s="8">
        <v>0</v>
      </c>
      <c r="BH72" s="8">
        <v>0</v>
      </c>
      <c r="BJ72" s="9">
        <f t="shared" si="0"/>
        <v>7663754</v>
      </c>
      <c r="BL72" s="9">
        <f>'Gov Fd Rv'!AQ72-'Gov Fnd Exp'!BJ72</f>
        <v>528889</v>
      </c>
      <c r="BN72" s="8">
        <v>2485704</v>
      </c>
      <c r="BP72" s="8">
        <v>0</v>
      </c>
      <c r="BT72" s="9">
        <f t="shared" si="3"/>
        <v>3014593</v>
      </c>
      <c r="BU72" s="9"/>
      <c r="BV72" s="9">
        <f>BT72-'Gov Fd BS'!AA72</f>
        <v>0</v>
      </c>
    </row>
    <row r="73" spans="1:76">
      <c r="A73" s="13" t="s">
        <v>526</v>
      </c>
      <c r="B73" s="13"/>
      <c r="C73" s="13" t="s">
        <v>47</v>
      </c>
      <c r="D73" s="13"/>
      <c r="E73" s="32">
        <v>43661</v>
      </c>
      <c r="G73" s="8">
        <v>29504950</v>
      </c>
      <c r="I73" s="8">
        <v>7500311</v>
      </c>
      <c r="K73" s="8">
        <v>142355</v>
      </c>
      <c r="M73" s="8">
        <v>1600660</v>
      </c>
      <c r="O73" s="8">
        <v>5109633</v>
      </c>
      <c r="Q73" s="8">
        <v>3103667</v>
      </c>
      <c r="S73" s="8">
        <v>752590</v>
      </c>
      <c r="U73" s="8">
        <v>4179301</v>
      </c>
      <c r="W73" s="8">
        <v>1347929</v>
      </c>
      <c r="Y73" s="8">
        <v>406938</v>
      </c>
      <c r="AA73" s="8">
        <v>6219333</v>
      </c>
      <c r="AC73" s="8">
        <v>4211098</v>
      </c>
      <c r="AE73" s="8">
        <v>264447</v>
      </c>
      <c r="AG73" s="8">
        <v>1907609</v>
      </c>
      <c r="AI73" s="8">
        <v>489254</v>
      </c>
      <c r="AJ73" s="13" t="s">
        <v>526</v>
      </c>
      <c r="AK73" s="13"/>
      <c r="AL73" s="13" t="s">
        <v>47</v>
      </c>
      <c r="AN73" s="8">
        <v>1683613</v>
      </c>
      <c r="AP73" s="8">
        <v>457268</v>
      </c>
      <c r="AR73" s="8">
        <v>0</v>
      </c>
      <c r="AT73" s="8">
        <v>3012089</v>
      </c>
      <c r="AV73" s="8">
        <v>840525</v>
      </c>
      <c r="AX73" s="8">
        <v>118068</v>
      </c>
      <c r="AZ73" s="9">
        <f t="shared" si="5"/>
        <v>72851638</v>
      </c>
      <c r="BB73" s="8">
        <v>31372</v>
      </c>
      <c r="BH73" s="8">
        <v>6760230</v>
      </c>
      <c r="BJ73" s="9">
        <f t="shared" si="0"/>
        <v>79643240</v>
      </c>
      <c r="BL73" s="9">
        <f>'Gov Fd Rv'!AQ73-'Gov Fnd Exp'!BJ73</f>
        <v>6195963</v>
      </c>
      <c r="BN73" s="8">
        <v>3653723</v>
      </c>
      <c r="BP73" s="8">
        <v>0</v>
      </c>
      <c r="BT73" s="9">
        <f t="shared" si="3"/>
        <v>9849686</v>
      </c>
      <c r="BU73" s="9"/>
      <c r="BV73" s="9">
        <f>BT73-'Gov Fd BS'!AA73</f>
        <v>0</v>
      </c>
    </row>
    <row r="74" spans="1:76" hidden="1">
      <c r="A74" s="13" t="s">
        <v>966</v>
      </c>
      <c r="B74" s="13"/>
      <c r="C74" s="13" t="s">
        <v>727</v>
      </c>
      <c r="D74" s="13"/>
      <c r="E74" s="32">
        <v>43679</v>
      </c>
      <c r="G74" s="8">
        <v>8937292</v>
      </c>
      <c r="I74" s="8">
        <v>3177606</v>
      </c>
      <c r="K74" s="8">
        <v>128229</v>
      </c>
      <c r="M74" s="8">
        <v>32552</v>
      </c>
      <c r="O74" s="8">
        <v>976816</v>
      </c>
      <c r="Q74" s="8">
        <v>1494163</v>
      </c>
      <c r="S74" s="8">
        <v>18145</v>
      </c>
      <c r="U74" s="8">
        <v>1450798</v>
      </c>
      <c r="W74" s="8">
        <v>558974</v>
      </c>
      <c r="Y74" s="8">
        <v>89862</v>
      </c>
      <c r="AA74" s="8">
        <v>1562239</v>
      </c>
      <c r="AC74" s="8">
        <v>622004</v>
      </c>
      <c r="AE74" s="8">
        <v>67523</v>
      </c>
      <c r="AI74" s="8">
        <v>766307</v>
      </c>
      <c r="AJ74" s="13" t="s">
        <v>726</v>
      </c>
      <c r="AK74" s="13"/>
      <c r="AL74" s="13" t="s">
        <v>727</v>
      </c>
      <c r="AN74" s="8">
        <v>764008</v>
      </c>
      <c r="AP74" s="8">
        <v>369830</v>
      </c>
      <c r="AZ74" s="9">
        <f t="shared" si="5"/>
        <v>21016348</v>
      </c>
      <c r="BH74" s="8">
        <f>70997-7795</f>
        <v>63202</v>
      </c>
      <c r="BJ74" s="9">
        <f t="shared" si="0"/>
        <v>21079550</v>
      </c>
      <c r="BL74" s="9">
        <f>'Gov Fd Rv'!AQ74-'Gov Fnd Exp'!BJ74</f>
        <v>2478502</v>
      </c>
      <c r="BN74" s="8">
        <v>7313674</v>
      </c>
      <c r="BT74" s="9">
        <f t="shared" si="3"/>
        <v>9792176</v>
      </c>
      <c r="BU74" s="9"/>
      <c r="BV74" s="9">
        <f>BT74-'Gov Fd BS'!AA74</f>
        <v>0</v>
      </c>
      <c r="BX74" s="8" t="s">
        <v>956</v>
      </c>
    </row>
    <row r="75" spans="1:76">
      <c r="A75" s="13" t="s">
        <v>290</v>
      </c>
      <c r="B75" s="13"/>
      <c r="C75" s="13" t="s">
        <v>113</v>
      </c>
      <c r="D75" s="13"/>
      <c r="E75" s="32">
        <v>46508</v>
      </c>
      <c r="G75" s="8">
        <v>4396319</v>
      </c>
      <c r="I75" s="8">
        <v>614342</v>
      </c>
      <c r="K75" s="8">
        <v>131353</v>
      </c>
      <c r="M75" s="8">
        <v>25086</v>
      </c>
      <c r="O75" s="8">
        <v>216057</v>
      </c>
      <c r="Q75" s="8">
        <v>246873</v>
      </c>
      <c r="S75" s="8">
        <v>21480</v>
      </c>
      <c r="U75" s="8">
        <v>901427</v>
      </c>
      <c r="W75" s="8">
        <v>249987</v>
      </c>
      <c r="Y75" s="8">
        <v>29638</v>
      </c>
      <c r="AA75" s="8">
        <v>553315</v>
      </c>
      <c r="AC75" s="8">
        <v>508145</v>
      </c>
      <c r="AE75" s="8">
        <v>4958</v>
      </c>
      <c r="AG75" s="8">
        <v>355024</v>
      </c>
      <c r="AI75" s="8">
        <v>78014</v>
      </c>
      <c r="AJ75" s="13" t="s">
        <v>290</v>
      </c>
      <c r="AK75" s="13"/>
      <c r="AL75" s="13" t="s">
        <v>113</v>
      </c>
      <c r="AN75" s="8">
        <v>335063</v>
      </c>
      <c r="AP75" s="8">
        <v>0</v>
      </c>
      <c r="AR75" s="8">
        <v>0</v>
      </c>
      <c r="AT75" s="8">
        <v>36639</v>
      </c>
      <c r="AV75" s="8">
        <v>361754</v>
      </c>
      <c r="AX75" s="8">
        <v>14930001</v>
      </c>
      <c r="AZ75" s="9">
        <f t="shared" si="5"/>
        <v>23995475</v>
      </c>
      <c r="BB75" s="26">
        <v>56500</v>
      </c>
      <c r="BH75" s="8">
        <v>0</v>
      </c>
      <c r="BJ75" s="9">
        <f t="shared" si="0"/>
        <v>24051975</v>
      </c>
      <c r="BL75" s="9">
        <f>'Gov Fd Rv'!AQ75-'Gov Fnd Exp'!BJ75</f>
        <v>-5079539</v>
      </c>
      <c r="BN75" s="8">
        <v>15791392</v>
      </c>
      <c r="BP75" s="8">
        <v>0</v>
      </c>
      <c r="BT75" s="9">
        <f t="shared" si="3"/>
        <v>10711853</v>
      </c>
      <c r="BU75" s="9"/>
      <c r="BV75" s="9">
        <f>BT75-'Gov Fd BS'!AA75</f>
        <v>0</v>
      </c>
    </row>
    <row r="76" spans="1:76">
      <c r="A76" s="13" t="s">
        <v>217</v>
      </c>
      <c r="B76" s="13"/>
      <c r="C76" s="13" t="s">
        <v>12</v>
      </c>
      <c r="D76" s="13"/>
      <c r="E76" s="32">
        <v>45856</v>
      </c>
      <c r="G76" s="8">
        <v>9840369</v>
      </c>
      <c r="I76" s="8">
        <v>2125561</v>
      </c>
      <c r="K76" s="8">
        <v>266142</v>
      </c>
      <c r="M76" s="8">
        <v>4900</v>
      </c>
      <c r="O76" s="8">
        <v>554863</v>
      </c>
      <c r="Q76" s="8">
        <v>253808</v>
      </c>
      <c r="S76" s="8">
        <v>26255</v>
      </c>
      <c r="U76" s="8">
        <v>1339536</v>
      </c>
      <c r="W76" s="8">
        <v>537633</v>
      </c>
      <c r="Y76" s="8">
        <v>84693</v>
      </c>
      <c r="AA76" s="8">
        <v>2039556</v>
      </c>
      <c r="AC76" s="8">
        <v>1140876</v>
      </c>
      <c r="AE76" s="8">
        <v>32951</v>
      </c>
      <c r="AG76" s="8">
        <v>947401</v>
      </c>
      <c r="AI76" s="8">
        <v>9749</v>
      </c>
      <c r="AJ76" s="13" t="s">
        <v>217</v>
      </c>
      <c r="AK76" s="13"/>
      <c r="AL76" s="13" t="s">
        <v>12</v>
      </c>
      <c r="AN76" s="8">
        <v>464801</v>
      </c>
      <c r="AP76" s="8">
        <v>270985</v>
      </c>
      <c r="AR76" s="8">
        <v>0</v>
      </c>
      <c r="AT76" s="8">
        <v>50000</v>
      </c>
      <c r="AV76" s="8">
        <v>8556</v>
      </c>
      <c r="AX76" s="8">
        <v>0</v>
      </c>
      <c r="AZ76" s="9">
        <f t="shared" si="5"/>
        <v>19998635</v>
      </c>
      <c r="BB76" s="8">
        <v>0</v>
      </c>
      <c r="BH76" s="8">
        <v>0</v>
      </c>
      <c r="BJ76" s="9">
        <f t="shared" si="0"/>
        <v>19998635</v>
      </c>
      <c r="BL76" s="9">
        <f>'Gov Fd Rv'!AQ76-'Gov Fnd Exp'!BJ76</f>
        <v>979854</v>
      </c>
      <c r="BN76" s="8">
        <v>4999035</v>
      </c>
      <c r="BP76" s="8">
        <v>0</v>
      </c>
      <c r="BT76" s="9">
        <f t="shared" si="3"/>
        <v>5978889</v>
      </c>
      <c r="BU76" s="9"/>
      <c r="BV76" s="9">
        <f>BT76-'Gov Fd BS'!AA76</f>
        <v>0</v>
      </c>
    </row>
    <row r="77" spans="1:76">
      <c r="A77" s="13" t="s">
        <v>217</v>
      </c>
      <c r="B77" s="13"/>
      <c r="C77" s="13" t="s">
        <v>39</v>
      </c>
      <c r="D77" s="13"/>
      <c r="E77" s="32">
        <v>47787</v>
      </c>
      <c r="G77" s="8">
        <v>8864641</v>
      </c>
      <c r="I77" s="8">
        <v>2622043</v>
      </c>
      <c r="K77" s="8">
        <v>731652</v>
      </c>
      <c r="M77" s="8">
        <v>256058</v>
      </c>
      <c r="O77" s="8">
        <v>681825</v>
      </c>
      <c r="Q77" s="8">
        <v>546624</v>
      </c>
      <c r="S77" s="8">
        <v>74686</v>
      </c>
      <c r="U77" s="8">
        <v>2032495</v>
      </c>
      <c r="W77" s="8">
        <v>457986</v>
      </c>
      <c r="Y77" s="8">
        <v>61320</v>
      </c>
      <c r="AA77" s="8">
        <v>2175202</v>
      </c>
      <c r="AC77" s="8">
        <v>1537781</v>
      </c>
      <c r="AE77" s="8">
        <v>0</v>
      </c>
      <c r="AG77" s="8">
        <v>976027</v>
      </c>
      <c r="AI77" s="8">
        <v>8103</v>
      </c>
      <c r="AJ77" s="13" t="s">
        <v>217</v>
      </c>
      <c r="AK77" s="13"/>
      <c r="AL77" s="13" t="s">
        <v>39</v>
      </c>
      <c r="AN77" s="8">
        <v>388683</v>
      </c>
      <c r="AP77" s="8">
        <v>0</v>
      </c>
      <c r="AR77" s="8">
        <v>0</v>
      </c>
      <c r="AT77" s="8">
        <v>664376</v>
      </c>
      <c r="AV77" s="8">
        <f>170624+56288</f>
        <v>226912</v>
      </c>
      <c r="AX77" s="8">
        <v>0</v>
      </c>
      <c r="AZ77" s="9">
        <f t="shared" si="5"/>
        <v>22306414</v>
      </c>
      <c r="BB77" s="8">
        <v>255893</v>
      </c>
      <c r="BH77" s="8">
        <v>0</v>
      </c>
      <c r="BJ77" s="9">
        <f t="shared" si="0"/>
        <v>22562307</v>
      </c>
      <c r="BL77" s="9">
        <f>'Gov Fd Rv'!AQ77-'Gov Fnd Exp'!BJ77</f>
        <v>-312476</v>
      </c>
      <c r="BN77" s="8">
        <v>560594</v>
      </c>
      <c r="BP77" s="8">
        <v>0</v>
      </c>
      <c r="BT77" s="9">
        <f t="shared" si="3"/>
        <v>248118</v>
      </c>
      <c r="BU77" s="9"/>
      <c r="BV77" s="9">
        <f>BT77-'Gov Fd BS'!AA80</f>
        <v>0</v>
      </c>
    </row>
    <row r="78" spans="1:76">
      <c r="A78" s="13" t="s">
        <v>217</v>
      </c>
      <c r="B78" s="13"/>
      <c r="C78" s="13" t="s">
        <v>47</v>
      </c>
      <c r="D78" s="13"/>
      <c r="E78" s="32">
        <v>48470</v>
      </c>
      <c r="G78" s="8">
        <v>12161655</v>
      </c>
      <c r="I78" s="8">
        <v>0</v>
      </c>
      <c r="K78" s="8">
        <v>718215</v>
      </c>
      <c r="M78" s="8">
        <v>0</v>
      </c>
      <c r="O78" s="8">
        <v>1125303</v>
      </c>
      <c r="Q78" s="8">
        <v>1132527</v>
      </c>
      <c r="S78" s="8">
        <v>0</v>
      </c>
      <c r="U78" s="8">
        <v>1625389</v>
      </c>
      <c r="W78" s="8">
        <v>729595</v>
      </c>
      <c r="Y78" s="8">
        <v>0</v>
      </c>
      <c r="AA78" s="8">
        <v>1654855</v>
      </c>
      <c r="AC78" s="8">
        <v>1210225</v>
      </c>
      <c r="AE78" s="8">
        <v>21859</v>
      </c>
      <c r="AG78" s="8">
        <v>535720</v>
      </c>
      <c r="AI78" s="8">
        <v>16274</v>
      </c>
      <c r="AJ78" s="13" t="s">
        <v>217</v>
      </c>
      <c r="AK78" s="13"/>
      <c r="AL78" s="13" t="s">
        <v>47</v>
      </c>
      <c r="AN78" s="8">
        <v>741882</v>
      </c>
      <c r="AP78" s="8">
        <v>1030275</v>
      </c>
      <c r="AR78" s="8">
        <v>0</v>
      </c>
      <c r="AT78" s="8">
        <v>405800</v>
      </c>
      <c r="AV78" s="8">
        <v>1299071</v>
      </c>
      <c r="AX78" s="8">
        <v>0</v>
      </c>
      <c r="AZ78" s="9">
        <f t="shared" si="5"/>
        <v>24408645</v>
      </c>
      <c r="BB78" s="8">
        <v>154561</v>
      </c>
      <c r="BH78" s="8">
        <v>0</v>
      </c>
      <c r="BJ78" s="9">
        <f t="shared" si="0"/>
        <v>24563206</v>
      </c>
      <c r="BL78" s="9">
        <f>'Gov Fd Rv'!AQ78-'Gov Fnd Exp'!BJ78</f>
        <v>-1159755</v>
      </c>
      <c r="BN78" s="8">
        <v>3009863</v>
      </c>
      <c r="BP78" s="8">
        <v>0</v>
      </c>
      <c r="BT78" s="9">
        <f t="shared" si="3"/>
        <v>1850108</v>
      </c>
      <c r="BU78" s="9"/>
      <c r="BV78" s="9">
        <f>BT78-'Gov Fd BS'!AA81</f>
        <v>0</v>
      </c>
    </row>
    <row r="79" spans="1:76" hidden="1">
      <c r="A79" s="8" t="s">
        <v>901</v>
      </c>
      <c r="B79" s="13"/>
      <c r="C79" s="13" t="s">
        <v>114</v>
      </c>
      <c r="D79" s="13"/>
      <c r="E79" s="32">
        <v>46755</v>
      </c>
      <c r="AJ79" s="13" t="s">
        <v>877</v>
      </c>
      <c r="AK79" s="13"/>
      <c r="AL79" s="13" t="s">
        <v>114</v>
      </c>
      <c r="AZ79" s="9">
        <f>SUM(G79:AX79)</f>
        <v>0</v>
      </c>
      <c r="BJ79" s="9">
        <f>AZ79+BB79+BH79</f>
        <v>0</v>
      </c>
      <c r="BL79" s="9">
        <f>'Gov Fd Rv'!AQ79-'Gov Fnd Exp'!BJ79</f>
        <v>0</v>
      </c>
      <c r="BT79" s="9">
        <f>BL79+BN79+BP79+BR79</f>
        <v>0</v>
      </c>
      <c r="BU79" s="9"/>
      <c r="BV79" s="9">
        <f>BT79-'Gov Fd BS'!AA82</f>
        <v>0</v>
      </c>
      <c r="BX79" s="8" t="s">
        <v>967</v>
      </c>
    </row>
    <row r="80" spans="1:76">
      <c r="A80" s="13" t="s">
        <v>334</v>
      </c>
      <c r="B80" s="13"/>
      <c r="C80" s="13" t="s">
        <v>23</v>
      </c>
      <c r="D80" s="13"/>
      <c r="E80" s="32">
        <v>46755</v>
      </c>
      <c r="G80" s="8">
        <v>10410119</v>
      </c>
      <c r="I80" s="8">
        <v>1998607</v>
      </c>
      <c r="K80" s="8">
        <v>335124</v>
      </c>
      <c r="M80" s="8">
        <v>1500</v>
      </c>
      <c r="O80" s="8">
        <v>2074117</v>
      </c>
      <c r="Q80" s="8">
        <v>501271</v>
      </c>
      <c r="S80" s="8">
        <v>459761</v>
      </c>
      <c r="U80" s="8">
        <v>1901413</v>
      </c>
      <c r="W80" s="8">
        <v>561269</v>
      </c>
      <c r="Y80" s="8">
        <v>0</v>
      </c>
      <c r="AA80" s="8">
        <v>2766794</v>
      </c>
      <c r="AC80" s="8">
        <v>1698761</v>
      </c>
      <c r="AE80" s="8">
        <v>37336</v>
      </c>
      <c r="AG80" s="8">
        <v>729462</v>
      </c>
      <c r="AI80" s="8">
        <v>20112</v>
      </c>
      <c r="AJ80" s="13" t="s">
        <v>334</v>
      </c>
      <c r="AK80" s="13"/>
      <c r="AL80" s="13" t="s">
        <v>23</v>
      </c>
      <c r="AN80" s="8">
        <v>507286</v>
      </c>
      <c r="AP80" s="8">
        <v>0</v>
      </c>
      <c r="AR80" s="8">
        <v>0</v>
      </c>
      <c r="AT80" s="8">
        <v>15683327</v>
      </c>
      <c r="AV80" s="8">
        <v>664432</v>
      </c>
      <c r="AX80" s="8">
        <f>68219+329020+46800</f>
        <v>444039</v>
      </c>
      <c r="AZ80" s="9">
        <f t="shared" si="5"/>
        <v>40794730</v>
      </c>
      <c r="BB80" s="8">
        <v>0</v>
      </c>
      <c r="BH80" s="8">
        <v>0</v>
      </c>
      <c r="BJ80" s="9">
        <f>AZ80+BB80+BH80</f>
        <v>40794730</v>
      </c>
      <c r="BL80" s="9">
        <f>'Gov Fd Rv'!AQ80-'Gov Fnd Exp'!BJ80</f>
        <v>15716713</v>
      </c>
      <c r="BN80" s="8">
        <v>6329815</v>
      </c>
      <c r="BP80" s="8">
        <v>0</v>
      </c>
      <c r="BT80" s="9">
        <f t="shared" si="3"/>
        <v>22046528</v>
      </c>
      <c r="BU80" s="9"/>
      <c r="BV80" s="9">
        <f>BT80-'Gov Fd BS'!AA83</f>
        <v>0</v>
      </c>
    </row>
    <row r="81" spans="1:74">
      <c r="A81" s="13" t="s">
        <v>291</v>
      </c>
      <c r="B81" s="13"/>
      <c r="C81" s="13" t="s">
        <v>113</v>
      </c>
      <c r="D81" s="13"/>
      <c r="E81" s="32">
        <v>43687</v>
      </c>
      <c r="G81" s="8">
        <v>7378397</v>
      </c>
      <c r="I81" s="8">
        <v>2154386</v>
      </c>
      <c r="K81" s="8">
        <v>225390</v>
      </c>
      <c r="M81" s="8">
        <v>0</v>
      </c>
      <c r="O81" s="8">
        <v>1044223</v>
      </c>
      <c r="Q81" s="8">
        <v>1219359</v>
      </c>
      <c r="S81" s="8">
        <v>120174</v>
      </c>
      <c r="U81" s="8">
        <v>1461601</v>
      </c>
      <c r="W81" s="8">
        <v>523617</v>
      </c>
      <c r="Y81" s="8">
        <v>280147</v>
      </c>
      <c r="AA81" s="8">
        <v>1064052</v>
      </c>
      <c r="AC81" s="8">
        <v>330270</v>
      </c>
      <c r="AE81" s="8">
        <v>340481</v>
      </c>
      <c r="AG81" s="8">
        <v>0</v>
      </c>
      <c r="AI81" s="8">
        <v>1069409</v>
      </c>
      <c r="AJ81" s="13" t="s">
        <v>291</v>
      </c>
      <c r="AK81" s="13"/>
      <c r="AL81" s="13" t="s">
        <v>113</v>
      </c>
      <c r="AN81" s="8">
        <v>450516</v>
      </c>
      <c r="AP81" s="8">
        <v>26958393</v>
      </c>
      <c r="AR81" s="8">
        <v>0</v>
      </c>
      <c r="AT81" s="8">
        <v>201175</v>
      </c>
      <c r="AV81" s="8">
        <v>585899</v>
      </c>
      <c r="AX81" s="8">
        <v>0</v>
      </c>
      <c r="AZ81" s="9">
        <f t="shared" si="5"/>
        <v>45407489</v>
      </c>
      <c r="BB81" s="8">
        <v>100000</v>
      </c>
      <c r="BH81" s="8">
        <v>0</v>
      </c>
      <c r="BJ81" s="9">
        <f>AZ81+BB81+BH81</f>
        <v>45507489</v>
      </c>
      <c r="BL81" s="9">
        <f>'Gov Fd Rv'!AQ81-'Gov Fnd Exp'!BJ81</f>
        <v>-20302983</v>
      </c>
      <c r="BN81" s="8">
        <v>37773335</v>
      </c>
      <c r="BP81" s="8">
        <v>0</v>
      </c>
      <c r="BT81" s="9">
        <f t="shared" si="3"/>
        <v>17470352</v>
      </c>
      <c r="BU81" s="9"/>
      <c r="BV81" s="9">
        <f>BT81-'Gov Fd BS'!AA84</f>
        <v>0</v>
      </c>
    </row>
    <row r="82" spans="1:74">
      <c r="A82" s="13" t="s">
        <v>569</v>
      </c>
      <c r="B82" s="13"/>
      <c r="C82" s="13" t="s">
        <v>52</v>
      </c>
      <c r="D82" s="13"/>
      <c r="E82" s="32">
        <v>45252</v>
      </c>
      <c r="G82" s="8">
        <v>3315891</v>
      </c>
      <c r="I82" s="8">
        <v>811306</v>
      </c>
      <c r="K82" s="8">
        <v>68678</v>
      </c>
      <c r="M82" s="8">
        <f>5096+76853</f>
        <v>81949</v>
      </c>
      <c r="O82" s="8">
        <v>514364</v>
      </c>
      <c r="Q82" s="8">
        <v>324553</v>
      </c>
      <c r="S82" s="8">
        <v>44327</v>
      </c>
      <c r="U82" s="8">
        <v>650729</v>
      </c>
      <c r="W82" s="8">
        <v>313349</v>
      </c>
      <c r="Y82" s="8">
        <v>0</v>
      </c>
      <c r="AA82" s="8">
        <v>516591</v>
      </c>
      <c r="AC82" s="8">
        <v>745647</v>
      </c>
      <c r="AE82" s="8">
        <v>0</v>
      </c>
      <c r="AG82" s="8">
        <v>357272</v>
      </c>
      <c r="AI82" s="8">
        <v>0</v>
      </c>
      <c r="AJ82" s="13" t="s">
        <v>569</v>
      </c>
      <c r="AK82" s="13"/>
      <c r="AL82" s="13" t="s">
        <v>52</v>
      </c>
      <c r="AN82" s="8">
        <v>246185</v>
      </c>
      <c r="AP82" s="8">
        <v>0</v>
      </c>
      <c r="AR82" s="8">
        <v>0</v>
      </c>
      <c r="AT82" s="8">
        <v>0</v>
      </c>
      <c r="AV82" s="8">
        <v>0</v>
      </c>
      <c r="AX82" s="8">
        <v>0</v>
      </c>
      <c r="AZ82" s="9">
        <f t="shared" ref="AZ82" si="6">SUM(G82:AX82)</f>
        <v>7990841</v>
      </c>
      <c r="BB82" s="8">
        <v>44000</v>
      </c>
      <c r="BH82" s="8">
        <v>0</v>
      </c>
      <c r="BJ82" s="9">
        <f t="shared" ref="BJ82:BJ151" si="7">AZ82+BB82+BH82</f>
        <v>8034841</v>
      </c>
      <c r="BL82" s="9">
        <f>'Gov Fd Rv'!AQ82-'Gov Fnd Exp'!BJ82</f>
        <v>487258</v>
      </c>
      <c r="BN82" s="8">
        <v>813092</v>
      </c>
      <c r="BP82" s="8">
        <v>0</v>
      </c>
      <c r="BT82" s="9">
        <f t="shared" si="3"/>
        <v>1300350</v>
      </c>
      <c r="BU82" s="9"/>
      <c r="BV82" s="9">
        <f>BT82-'Gov Fd BS'!AA85</f>
        <v>0</v>
      </c>
    </row>
    <row r="83" spans="1:74">
      <c r="A83" s="13" t="s">
        <v>389</v>
      </c>
      <c r="B83" s="13"/>
      <c r="C83" s="13" t="s">
        <v>31</v>
      </c>
      <c r="D83" s="13"/>
      <c r="E83" s="32">
        <v>43695</v>
      </c>
      <c r="G83" s="8">
        <v>9226825</v>
      </c>
      <c r="I83" s="8">
        <v>4109832</v>
      </c>
      <c r="K83" s="8">
        <v>186571</v>
      </c>
      <c r="M83" s="8">
        <f>13288+293601</f>
        <v>306889</v>
      </c>
      <c r="O83" s="8">
        <v>941368</v>
      </c>
      <c r="Q83" s="8">
        <v>1421712</v>
      </c>
      <c r="S83" s="8">
        <v>41036</v>
      </c>
      <c r="U83" s="8">
        <v>1439410</v>
      </c>
      <c r="W83" s="8">
        <v>520615</v>
      </c>
      <c r="Y83" s="8">
        <v>157240</v>
      </c>
      <c r="AA83" s="8">
        <v>2116004</v>
      </c>
      <c r="AC83" s="8">
        <v>974729</v>
      </c>
      <c r="AE83" s="8">
        <v>174576</v>
      </c>
      <c r="AG83" s="8">
        <v>1234853</v>
      </c>
      <c r="AI83" s="8">
        <v>157083</v>
      </c>
      <c r="AJ83" s="13" t="s">
        <v>389</v>
      </c>
      <c r="AK83" s="13"/>
      <c r="AL83" s="13" t="s">
        <v>31</v>
      </c>
      <c r="AN83" s="8">
        <v>484875</v>
      </c>
      <c r="AP83" s="8">
        <v>232869</v>
      </c>
      <c r="AR83" s="8">
        <v>0</v>
      </c>
      <c r="AT83" s="8">
        <v>377852</v>
      </c>
      <c r="AV83" s="8">
        <v>45779</v>
      </c>
      <c r="AX83" s="8">
        <v>213760</v>
      </c>
      <c r="AZ83" s="9">
        <f t="shared" ref="AZ83:AZ143" si="8">SUM(G83:AX83)</f>
        <v>24363878</v>
      </c>
      <c r="BB83" s="8">
        <v>0</v>
      </c>
      <c r="BH83" s="8">
        <v>0</v>
      </c>
      <c r="BJ83" s="9">
        <f t="shared" si="7"/>
        <v>24363878</v>
      </c>
      <c r="BL83" s="9">
        <f>'Gov Fd Rv'!AQ83-'Gov Fnd Exp'!BJ83</f>
        <v>1341225</v>
      </c>
      <c r="BN83" s="8">
        <v>3646076</v>
      </c>
      <c r="BP83" s="8">
        <v>0</v>
      </c>
      <c r="BT83" s="9">
        <f t="shared" si="3"/>
        <v>4987301</v>
      </c>
      <c r="BU83" s="9"/>
      <c r="BV83" s="9">
        <f>BT83-'Gov Fd BS'!AA86</f>
        <v>0</v>
      </c>
    </row>
    <row r="84" spans="1:74">
      <c r="A84" s="13" t="s">
        <v>510</v>
      </c>
      <c r="B84" s="13"/>
      <c r="C84" s="13" t="s">
        <v>45</v>
      </c>
      <c r="D84" s="13"/>
      <c r="E84" s="32">
        <v>43703</v>
      </c>
      <c r="G84" s="8">
        <v>6031581</v>
      </c>
      <c r="I84" s="8">
        <v>2128712</v>
      </c>
      <c r="K84" s="8">
        <v>293339</v>
      </c>
      <c r="M84" s="8">
        <v>1253560</v>
      </c>
      <c r="O84" s="8">
        <v>385753</v>
      </c>
      <c r="Q84" s="8">
        <v>262231</v>
      </c>
      <c r="S84" s="8">
        <v>17399</v>
      </c>
      <c r="U84" s="8">
        <v>876144</v>
      </c>
      <c r="W84" s="8">
        <v>292928</v>
      </c>
      <c r="Y84" s="8">
        <v>69101</v>
      </c>
      <c r="AA84" s="8">
        <v>1792962</v>
      </c>
      <c r="AC84" s="8">
        <v>421497</v>
      </c>
      <c r="AE84" s="8">
        <v>0</v>
      </c>
      <c r="AG84" s="8">
        <v>494576</v>
      </c>
      <c r="AI84" s="8">
        <v>75150</v>
      </c>
      <c r="AJ84" s="13" t="s">
        <v>510</v>
      </c>
      <c r="AK84" s="13"/>
      <c r="AL84" s="13" t="s">
        <v>45</v>
      </c>
      <c r="AN84" s="8">
        <v>388224</v>
      </c>
      <c r="AP84" s="8">
        <v>7704</v>
      </c>
      <c r="AR84" s="8">
        <v>0</v>
      </c>
      <c r="AT84" s="8">
        <v>403383</v>
      </c>
      <c r="AV84" s="8">
        <v>180059</v>
      </c>
      <c r="AX84" s="8">
        <v>0</v>
      </c>
      <c r="AZ84" s="9">
        <f t="shared" si="8"/>
        <v>15374303</v>
      </c>
      <c r="BB84" s="8">
        <v>263230</v>
      </c>
      <c r="BH84" s="8">
        <v>0</v>
      </c>
      <c r="BJ84" s="9">
        <f t="shared" si="7"/>
        <v>15637533</v>
      </c>
      <c r="BL84" s="9">
        <f>'Gov Fd Rv'!AQ84-'Gov Fnd Exp'!BJ84</f>
        <v>-417701</v>
      </c>
      <c r="BN84" s="8">
        <v>1088424</v>
      </c>
      <c r="BP84" s="8">
        <v>0</v>
      </c>
      <c r="BT84" s="9">
        <f t="shared" ref="BT84:BT153" si="9">BL84+BN84+BP84+BR84</f>
        <v>670723</v>
      </c>
      <c r="BU84" s="9"/>
      <c r="BV84" s="9">
        <f>BT84-'Gov Fd BS'!AA87</f>
        <v>0</v>
      </c>
    </row>
    <row r="85" spans="1:74">
      <c r="A85" s="13" t="s">
        <v>353</v>
      </c>
      <c r="B85" s="13"/>
      <c r="C85" s="13" t="s">
        <v>27</v>
      </c>
      <c r="D85" s="13"/>
      <c r="E85" s="32">
        <v>46946</v>
      </c>
      <c r="G85" s="8">
        <v>14420865</v>
      </c>
      <c r="I85" s="8">
        <v>4310721</v>
      </c>
      <c r="K85" s="8">
        <v>711700</v>
      </c>
      <c r="M85" s="8">
        <v>69882</v>
      </c>
      <c r="O85" s="8">
        <v>1649969</v>
      </c>
      <c r="Q85" s="8">
        <v>1352083</v>
      </c>
      <c r="S85" s="8">
        <v>347716</v>
      </c>
      <c r="U85" s="8">
        <v>2511823</v>
      </c>
      <c r="W85" s="8">
        <v>717618</v>
      </c>
      <c r="Y85" s="8">
        <v>0</v>
      </c>
      <c r="AA85" s="8">
        <v>3553880</v>
      </c>
      <c r="AC85" s="8">
        <v>2006000</v>
      </c>
      <c r="AE85" s="8">
        <v>217107</v>
      </c>
      <c r="AG85" s="8">
        <v>0</v>
      </c>
      <c r="AI85" s="8">
        <v>222272</v>
      </c>
      <c r="AJ85" s="13" t="s">
        <v>353</v>
      </c>
      <c r="AK85" s="13"/>
      <c r="AL85" s="13" t="s">
        <v>27</v>
      </c>
      <c r="AN85" s="8">
        <v>912098</v>
      </c>
      <c r="AP85" s="8">
        <v>98394</v>
      </c>
      <c r="AR85" s="8">
        <v>0</v>
      </c>
      <c r="AT85" s="8">
        <v>4166886</v>
      </c>
      <c r="AV85" s="8">
        <v>2752098</v>
      </c>
      <c r="AX85" s="8">
        <v>26319</v>
      </c>
      <c r="AZ85" s="9">
        <f t="shared" si="8"/>
        <v>40047431</v>
      </c>
      <c r="BB85" s="8">
        <v>0</v>
      </c>
      <c r="BH85" s="8">
        <v>0</v>
      </c>
      <c r="BJ85" s="9">
        <f t="shared" si="7"/>
        <v>40047431</v>
      </c>
      <c r="BL85" s="9">
        <f>'Gov Fd Rv'!AQ85-'Gov Fnd Exp'!BJ85</f>
        <v>-1103201</v>
      </c>
      <c r="BN85" s="8">
        <v>9152091</v>
      </c>
      <c r="BP85" s="8">
        <v>0</v>
      </c>
      <c r="BT85" s="9">
        <f t="shared" si="9"/>
        <v>8048890</v>
      </c>
      <c r="BU85" s="9"/>
      <c r="BV85" s="9">
        <f>BT85-'Gov Fd BS'!AA88</f>
        <v>0</v>
      </c>
    </row>
    <row r="86" spans="1:74">
      <c r="A86" s="13" t="s">
        <v>511</v>
      </c>
      <c r="B86" s="13"/>
      <c r="C86" s="13" t="s">
        <v>45</v>
      </c>
      <c r="D86" s="13"/>
      <c r="E86" s="32">
        <v>48314</v>
      </c>
      <c r="G86" s="8">
        <v>13009659</v>
      </c>
      <c r="I86" s="8">
        <v>1988577</v>
      </c>
      <c r="K86" s="8">
        <v>265182</v>
      </c>
      <c r="M86" s="8">
        <v>0</v>
      </c>
      <c r="O86" s="8">
        <v>1104197</v>
      </c>
      <c r="Q86" s="8">
        <v>1400182</v>
      </c>
      <c r="S86" s="8">
        <v>35675</v>
      </c>
      <c r="U86" s="8">
        <v>1724191</v>
      </c>
      <c r="W86" s="8">
        <v>550491</v>
      </c>
      <c r="Y86" s="8">
        <v>256904</v>
      </c>
      <c r="AA86" s="8">
        <v>2260820</v>
      </c>
      <c r="AC86" s="8">
        <v>1685736</v>
      </c>
      <c r="AE86" s="8">
        <v>145451</v>
      </c>
      <c r="AG86" s="8">
        <v>915120</v>
      </c>
      <c r="AI86" s="8">
        <v>52465</v>
      </c>
      <c r="AJ86" s="13" t="s">
        <v>511</v>
      </c>
      <c r="AK86" s="13"/>
      <c r="AL86" s="13" t="s">
        <v>45</v>
      </c>
      <c r="AN86" s="8">
        <v>852326</v>
      </c>
      <c r="AP86" s="8">
        <v>239002</v>
      </c>
      <c r="AR86" s="8">
        <v>0</v>
      </c>
      <c r="AT86" s="8">
        <v>6036325</v>
      </c>
      <c r="AV86" s="8">
        <v>246664</v>
      </c>
      <c r="AX86" s="8">
        <v>0</v>
      </c>
      <c r="AZ86" s="9">
        <f t="shared" si="8"/>
        <v>32768967</v>
      </c>
      <c r="BB86" s="8">
        <v>85000</v>
      </c>
      <c r="BH86" s="8">
        <v>0</v>
      </c>
      <c r="BJ86" s="9">
        <f t="shared" si="7"/>
        <v>32853967</v>
      </c>
      <c r="BL86" s="9">
        <f>'Gov Fd Rv'!AQ86-'Gov Fnd Exp'!BJ86</f>
        <v>45569</v>
      </c>
      <c r="BN86" s="8">
        <v>7433578</v>
      </c>
      <c r="BP86" s="8">
        <v>0</v>
      </c>
      <c r="BT86" s="9">
        <f t="shared" si="9"/>
        <v>7479147</v>
      </c>
      <c r="BU86" s="9"/>
      <c r="BV86" s="9">
        <f>BT86-'Gov Fd BS'!AA89</f>
        <v>0</v>
      </c>
    </row>
    <row r="87" spans="1:74">
      <c r="A87" s="13" t="s">
        <v>649</v>
      </c>
      <c r="B87" s="13"/>
      <c r="C87" s="13" t="s">
        <v>62</v>
      </c>
      <c r="D87" s="13"/>
      <c r="E87" s="32">
        <v>43711</v>
      </c>
      <c r="G87" s="8">
        <v>10494584</v>
      </c>
      <c r="I87" s="8">
        <v>2266143</v>
      </c>
      <c r="K87" s="8">
        <v>1944909</v>
      </c>
      <c r="M87" s="8">
        <f>250+1411136</f>
        <v>1411386</v>
      </c>
      <c r="O87" s="8">
        <v>1711737</v>
      </c>
      <c r="Q87" s="8">
        <v>1211425</v>
      </c>
      <c r="S87" s="8">
        <v>25268</v>
      </c>
      <c r="U87" s="8">
        <v>1921657</v>
      </c>
      <c r="W87" s="8">
        <v>300265</v>
      </c>
      <c r="Y87" s="8">
        <v>316318</v>
      </c>
      <c r="AA87" s="8">
        <v>2212607</v>
      </c>
      <c r="AC87" s="8">
        <v>984061</v>
      </c>
      <c r="AE87" s="8">
        <v>379517</v>
      </c>
      <c r="AG87" s="8">
        <v>1291882</v>
      </c>
      <c r="AI87" s="8">
        <v>50256</v>
      </c>
      <c r="AJ87" s="13" t="s">
        <v>649</v>
      </c>
      <c r="AK87" s="13"/>
      <c r="AL87" s="13" t="s">
        <v>62</v>
      </c>
      <c r="AN87" s="8">
        <v>711207</v>
      </c>
      <c r="AP87" s="8">
        <v>0</v>
      </c>
      <c r="AR87" s="8">
        <v>0</v>
      </c>
      <c r="AT87" s="8">
        <v>335262</v>
      </c>
      <c r="AV87" s="8">
        <v>84842</v>
      </c>
      <c r="AX87" s="8">
        <v>657838</v>
      </c>
      <c r="AZ87" s="9">
        <f t="shared" si="8"/>
        <v>28311164</v>
      </c>
      <c r="BB87" s="8">
        <v>0</v>
      </c>
      <c r="BH87" s="8">
        <v>0</v>
      </c>
      <c r="BJ87" s="9">
        <f t="shared" si="7"/>
        <v>28311164</v>
      </c>
      <c r="BL87" s="9">
        <f>'Gov Fd Rv'!AQ87-'Gov Fnd Exp'!BJ87</f>
        <v>-628545</v>
      </c>
      <c r="BN87" s="8">
        <v>-2796494</v>
      </c>
      <c r="BP87" s="8">
        <v>0</v>
      </c>
      <c r="BT87" s="9">
        <f t="shared" si="9"/>
        <v>-3425039</v>
      </c>
      <c r="BU87" s="9"/>
      <c r="BV87" s="9">
        <f>BT87-'Gov Fd BS'!AA90</f>
        <v>0</v>
      </c>
    </row>
    <row r="88" spans="1:74">
      <c r="A88" s="13" t="s">
        <v>650</v>
      </c>
      <c r="B88" s="13"/>
      <c r="C88" s="13" t="s">
        <v>62</v>
      </c>
      <c r="D88" s="13"/>
      <c r="E88" s="32">
        <v>49833</v>
      </c>
      <c r="G88" s="8">
        <v>43634000</v>
      </c>
      <c r="I88" s="8">
        <v>15061000</v>
      </c>
      <c r="K88" s="8">
        <v>1811000</v>
      </c>
      <c r="M88" s="8">
        <f>691000+10319000</f>
        <v>11010000</v>
      </c>
      <c r="O88" s="8">
        <v>6683000</v>
      </c>
      <c r="Q88" s="8">
        <v>6608000</v>
      </c>
      <c r="S88" s="8">
        <v>26000</v>
      </c>
      <c r="U88" s="8">
        <v>7851000</v>
      </c>
      <c r="W88" s="8">
        <v>1711000</v>
      </c>
      <c r="Y88" s="8">
        <v>553000</v>
      </c>
      <c r="AA88" s="8">
        <v>11712000</v>
      </c>
      <c r="AC88" s="8">
        <v>3309000</v>
      </c>
      <c r="AE88" s="8">
        <v>3662000</v>
      </c>
      <c r="AG88" s="8">
        <v>0</v>
      </c>
      <c r="AI88" s="8">
        <v>2020000</v>
      </c>
      <c r="AJ88" s="13" t="s">
        <v>650</v>
      </c>
      <c r="AK88" s="13"/>
      <c r="AL88" s="13" t="s">
        <v>62</v>
      </c>
      <c r="AN88" s="8">
        <v>1924000</v>
      </c>
      <c r="AP88" s="8">
        <v>528000</v>
      </c>
      <c r="AR88" s="8">
        <v>0</v>
      </c>
      <c r="AT88" s="8">
        <v>2078000</v>
      </c>
      <c r="AV88" s="8">
        <v>1583000</v>
      </c>
      <c r="AX88" s="8">
        <v>3355000</v>
      </c>
      <c r="AZ88" s="9">
        <f t="shared" si="8"/>
        <v>125119000</v>
      </c>
      <c r="BB88" s="8">
        <v>2230000</v>
      </c>
      <c r="BH88" s="8">
        <v>0</v>
      </c>
      <c r="BJ88" s="9">
        <f t="shared" si="7"/>
        <v>127349000</v>
      </c>
      <c r="BL88" s="9">
        <f>'Gov Fd Rv'!AQ88-'Gov Fnd Exp'!BJ88</f>
        <v>1180000</v>
      </c>
      <c r="BN88" s="8">
        <v>27669000</v>
      </c>
      <c r="BP88" s="8">
        <v>-60000</v>
      </c>
      <c r="BT88" s="9">
        <f t="shared" si="9"/>
        <v>28789000</v>
      </c>
      <c r="BU88" s="9"/>
      <c r="BV88" s="9">
        <f>BT88-'Gov Fd BS'!AA91</f>
        <v>0</v>
      </c>
    </row>
    <row r="89" spans="1:74">
      <c r="A89" s="13" t="s">
        <v>378</v>
      </c>
      <c r="B89" s="13"/>
      <c r="C89" s="13" t="s">
        <v>30</v>
      </c>
      <c r="D89" s="13"/>
      <c r="E89" s="32">
        <v>47175</v>
      </c>
      <c r="G89" s="8">
        <v>6121285</v>
      </c>
      <c r="I89" s="8">
        <v>2804284</v>
      </c>
      <c r="K89" s="8">
        <v>0</v>
      </c>
      <c r="M89" s="8">
        <v>0</v>
      </c>
      <c r="O89" s="8">
        <v>800224</v>
      </c>
      <c r="Q89" s="8">
        <v>536193</v>
      </c>
      <c r="S89" s="8">
        <v>38328</v>
      </c>
      <c r="U89" s="8">
        <v>1075093</v>
      </c>
      <c r="W89" s="8">
        <v>453080</v>
      </c>
      <c r="Y89" s="8">
        <v>58217</v>
      </c>
      <c r="AA89" s="8">
        <v>1388324</v>
      </c>
      <c r="AC89" s="8">
        <v>1247837</v>
      </c>
      <c r="AE89" s="8">
        <v>244341</v>
      </c>
      <c r="AG89" s="8">
        <v>518744</v>
      </c>
      <c r="AI89" s="8">
        <v>14031</v>
      </c>
      <c r="AJ89" s="13" t="s">
        <v>378</v>
      </c>
      <c r="AK89" s="13"/>
      <c r="AL89" s="13" t="s">
        <v>30</v>
      </c>
      <c r="AN89" s="8">
        <v>332992</v>
      </c>
      <c r="AP89" s="8">
        <v>172785</v>
      </c>
      <c r="AR89" s="8">
        <v>0</v>
      </c>
      <c r="AT89" s="8">
        <v>284368</v>
      </c>
      <c r="AV89" s="8">
        <v>410785</v>
      </c>
      <c r="AX89" s="8">
        <v>240632</v>
      </c>
      <c r="AZ89" s="9">
        <f t="shared" si="8"/>
        <v>16741543</v>
      </c>
      <c r="BB89" s="8">
        <v>99165</v>
      </c>
      <c r="BH89" s="8">
        <v>0</v>
      </c>
      <c r="BJ89" s="9">
        <f t="shared" si="7"/>
        <v>16840708</v>
      </c>
      <c r="BL89" s="9">
        <f>'Gov Fd Rv'!AQ89-'Gov Fnd Exp'!BJ89</f>
        <v>-133289</v>
      </c>
      <c r="BN89" s="8">
        <v>3043010</v>
      </c>
      <c r="BP89" s="8">
        <v>0</v>
      </c>
      <c r="BT89" s="9">
        <f t="shared" si="9"/>
        <v>2909721</v>
      </c>
      <c r="BU89" s="9"/>
      <c r="BV89" s="9">
        <f>BT89-'Gov Fd BS'!AA92</f>
        <v>0</v>
      </c>
    </row>
    <row r="90" spans="1:74">
      <c r="A90" s="13" t="s">
        <v>560</v>
      </c>
      <c r="B90" s="13"/>
      <c r="C90" s="13" t="s">
        <v>78</v>
      </c>
      <c r="D90" s="13"/>
      <c r="E90" s="32">
        <v>48793</v>
      </c>
      <c r="G90" s="8">
        <v>4780884</v>
      </c>
      <c r="I90" s="8">
        <v>1312351</v>
      </c>
      <c r="K90" s="8">
        <v>291444</v>
      </c>
      <c r="M90" s="8">
        <v>1443034</v>
      </c>
      <c r="O90" s="8">
        <v>465747</v>
      </c>
      <c r="Q90" s="8">
        <v>423637</v>
      </c>
      <c r="S90" s="8">
        <v>31799</v>
      </c>
      <c r="U90" s="8">
        <v>973737</v>
      </c>
      <c r="W90" s="8">
        <v>229331</v>
      </c>
      <c r="Y90" s="8">
        <v>0</v>
      </c>
      <c r="AA90" s="8">
        <v>1703075</v>
      </c>
      <c r="AC90" s="8">
        <v>533855</v>
      </c>
      <c r="AE90" s="8">
        <v>0</v>
      </c>
      <c r="AG90" s="8">
        <v>457786</v>
      </c>
      <c r="AI90" s="8">
        <v>1810</v>
      </c>
      <c r="AJ90" s="13" t="s">
        <v>560</v>
      </c>
      <c r="AK90" s="13"/>
      <c r="AL90" s="13" t="s">
        <v>78</v>
      </c>
      <c r="AN90" s="8">
        <v>297382</v>
      </c>
      <c r="AP90" s="8">
        <v>0</v>
      </c>
      <c r="AR90" s="8">
        <v>0</v>
      </c>
      <c r="AT90" s="8">
        <v>320000</v>
      </c>
      <c r="AV90" s="8">
        <v>189781</v>
      </c>
      <c r="AX90" s="8">
        <v>0</v>
      </c>
      <c r="AZ90" s="9">
        <f t="shared" si="8"/>
        <v>13455653</v>
      </c>
      <c r="BB90" s="8">
        <v>0</v>
      </c>
      <c r="BH90" s="8">
        <v>0</v>
      </c>
      <c r="BJ90" s="9">
        <f t="shared" si="7"/>
        <v>13455653</v>
      </c>
      <c r="BL90" s="9">
        <f>'Gov Fd Rv'!AQ90-'Gov Fnd Exp'!BJ90</f>
        <v>-1658761</v>
      </c>
      <c r="BN90" s="8">
        <v>4822587</v>
      </c>
      <c r="BP90" s="8">
        <v>0</v>
      </c>
      <c r="BT90" s="9">
        <f t="shared" si="9"/>
        <v>3163826</v>
      </c>
      <c r="BU90" s="9"/>
      <c r="BV90" s="9">
        <f>BT90-'Gov Fd BS'!AA93</f>
        <v>0</v>
      </c>
    </row>
    <row r="91" spans="1:74" hidden="1">
      <c r="A91" s="13" t="s">
        <v>838</v>
      </c>
      <c r="B91" s="13"/>
      <c r="C91" s="13" t="s">
        <v>740</v>
      </c>
      <c r="D91" s="13"/>
      <c r="E91" s="32">
        <v>45260</v>
      </c>
      <c r="G91" s="8">
        <v>3233924</v>
      </c>
      <c r="I91" s="8">
        <v>957668</v>
      </c>
      <c r="K91" s="8">
        <v>393160</v>
      </c>
      <c r="M91" s="8">
        <v>373708</v>
      </c>
      <c r="O91" s="8">
        <v>332643</v>
      </c>
      <c r="Q91" s="8">
        <v>380915</v>
      </c>
      <c r="S91" s="8">
        <v>55159</v>
      </c>
      <c r="U91" s="8">
        <v>595436</v>
      </c>
      <c r="W91" s="8">
        <v>292013</v>
      </c>
      <c r="AA91" s="8">
        <v>459893</v>
      </c>
      <c r="AC91" s="8">
        <v>300717</v>
      </c>
      <c r="AE91" s="8">
        <v>37276</v>
      </c>
      <c r="AG91" s="8">
        <v>311922</v>
      </c>
      <c r="AI91" s="8">
        <v>127373</v>
      </c>
      <c r="AJ91" s="13" t="s">
        <v>838</v>
      </c>
      <c r="AK91" s="13"/>
      <c r="AL91" s="13" t="s">
        <v>740</v>
      </c>
      <c r="AN91" s="8">
        <v>374088</v>
      </c>
      <c r="AP91" s="8">
        <v>28254</v>
      </c>
      <c r="AZ91" s="9">
        <f t="shared" si="8"/>
        <v>8254149</v>
      </c>
      <c r="BB91" s="8">
        <v>0</v>
      </c>
      <c r="BJ91" s="9">
        <f t="shared" si="7"/>
        <v>8254149</v>
      </c>
      <c r="BL91" s="9">
        <f>'Gov Fd Rv'!AQ91-'Gov Fnd Exp'!BJ91</f>
        <v>887709</v>
      </c>
      <c r="BN91" s="8">
        <v>5251552</v>
      </c>
      <c r="BT91" s="9">
        <f t="shared" si="9"/>
        <v>6139261</v>
      </c>
      <c r="BU91" s="9"/>
      <c r="BV91" s="9">
        <f>BT91-'Gov Fd BS'!AA94</f>
        <v>0</v>
      </c>
    </row>
    <row r="92" spans="1:74">
      <c r="A92" s="13"/>
      <c r="B92" s="13"/>
      <c r="C92" s="13"/>
      <c r="D92" s="13"/>
      <c r="E92" s="32"/>
      <c r="AJ92" s="13"/>
      <c r="AK92" s="13"/>
      <c r="AL92" s="13"/>
      <c r="AZ92" s="9"/>
      <c r="BJ92" s="9"/>
      <c r="BL92" s="9"/>
      <c r="BT92" s="9"/>
      <c r="BU92" s="9"/>
      <c r="BV92" s="9"/>
    </row>
    <row r="93" spans="1:74">
      <c r="A93" s="13"/>
      <c r="B93" s="13"/>
      <c r="C93" s="13"/>
      <c r="D93" s="13"/>
      <c r="E93" s="32"/>
      <c r="AI93" s="8" t="s">
        <v>805</v>
      </c>
      <c r="AJ93" s="13"/>
      <c r="AK93" s="13"/>
      <c r="AL93" s="13"/>
      <c r="AZ93" s="9"/>
      <c r="BJ93" s="9"/>
      <c r="BL93" s="9"/>
      <c r="BT93" s="8" t="s">
        <v>805</v>
      </c>
      <c r="BU93" s="9"/>
      <c r="BV93" s="9"/>
    </row>
    <row r="94" spans="1:74">
      <c r="A94" s="13"/>
      <c r="B94" s="13"/>
      <c r="C94" s="13"/>
      <c r="D94" s="13"/>
      <c r="E94" s="32"/>
      <c r="AJ94" s="13"/>
      <c r="AK94" s="13"/>
      <c r="AL94" s="13"/>
      <c r="AZ94" s="9"/>
      <c r="BJ94" s="9"/>
      <c r="BL94" s="9"/>
      <c r="BT94" s="9"/>
      <c r="BU94" s="9"/>
      <c r="BV94" s="9"/>
    </row>
    <row r="95" spans="1:74">
      <c r="A95" s="13" t="s">
        <v>708</v>
      </c>
      <c r="B95" s="13"/>
      <c r="C95" s="13" t="s">
        <v>69</v>
      </c>
      <c r="D95" s="13"/>
      <c r="E95" s="32">
        <v>50419</v>
      </c>
      <c r="G95" s="35">
        <v>7505704</v>
      </c>
      <c r="H95" s="35"/>
      <c r="I95" s="35">
        <v>2185951</v>
      </c>
      <c r="J95" s="35"/>
      <c r="K95" s="35">
        <v>231968</v>
      </c>
      <c r="L95" s="35"/>
      <c r="M95" s="35">
        <v>119924</v>
      </c>
      <c r="N95" s="35"/>
      <c r="O95" s="35">
        <v>693424</v>
      </c>
      <c r="P95" s="35"/>
      <c r="Q95" s="35">
        <v>917615</v>
      </c>
      <c r="R95" s="35"/>
      <c r="S95" s="35">
        <v>22778</v>
      </c>
      <c r="T95" s="35"/>
      <c r="U95" s="35">
        <v>965557</v>
      </c>
      <c r="V95" s="35"/>
      <c r="W95" s="35">
        <v>478440</v>
      </c>
      <c r="X95" s="35"/>
      <c r="Y95" s="35">
        <v>18216</v>
      </c>
      <c r="Z95" s="35"/>
      <c r="AA95" s="35">
        <v>1359522</v>
      </c>
      <c r="AB95" s="35"/>
      <c r="AC95" s="35">
        <v>803412</v>
      </c>
      <c r="AD95" s="35"/>
      <c r="AE95" s="35">
        <v>55256</v>
      </c>
      <c r="AF95" s="35"/>
      <c r="AG95" s="35">
        <v>0</v>
      </c>
      <c r="AH95" s="35"/>
      <c r="AI95" s="35">
        <v>602010</v>
      </c>
      <c r="AJ95" s="13" t="s">
        <v>708</v>
      </c>
      <c r="AK95" s="13"/>
      <c r="AL95" s="13" t="s">
        <v>69</v>
      </c>
      <c r="AN95" s="35">
        <v>506433</v>
      </c>
      <c r="AO95" s="35"/>
      <c r="AP95" s="35">
        <v>0</v>
      </c>
      <c r="AQ95" s="35"/>
      <c r="AR95" s="35">
        <v>0</v>
      </c>
      <c r="AS95" s="35"/>
      <c r="AT95" s="35">
        <v>211428</v>
      </c>
      <c r="AU95" s="35"/>
      <c r="AV95" s="35">
        <v>12997</v>
      </c>
      <c r="AW95" s="35"/>
      <c r="AX95" s="35">
        <v>0</v>
      </c>
      <c r="AY95" s="35"/>
      <c r="AZ95" s="44">
        <f t="shared" si="8"/>
        <v>16690635</v>
      </c>
      <c r="BA95" s="35"/>
      <c r="BB95" s="35">
        <v>0</v>
      </c>
      <c r="BC95" s="35"/>
      <c r="BD95" s="35"/>
      <c r="BE95" s="35"/>
      <c r="BF95" s="35"/>
      <c r="BG95" s="35"/>
      <c r="BH95" s="35">
        <v>0</v>
      </c>
      <c r="BI95" s="35"/>
      <c r="BJ95" s="44">
        <f t="shared" si="7"/>
        <v>16690635</v>
      </c>
      <c r="BK95" s="35"/>
      <c r="BL95" s="44">
        <f>'Gov Fd Rv'!AQ95-'Gov Fnd Exp'!BJ95</f>
        <v>314346</v>
      </c>
      <c r="BM95" s="35"/>
      <c r="BN95" s="35">
        <v>-231395</v>
      </c>
      <c r="BO95" s="35"/>
      <c r="BP95" s="35">
        <v>0</v>
      </c>
      <c r="BQ95" s="35"/>
      <c r="BR95" s="35"/>
      <c r="BS95" s="35"/>
      <c r="BT95" s="44">
        <f t="shared" si="9"/>
        <v>82951</v>
      </c>
      <c r="BU95" s="9"/>
      <c r="BV95" s="9">
        <f>BT95-'Gov Fd BS'!AA95</f>
        <v>0</v>
      </c>
    </row>
    <row r="96" spans="1:74">
      <c r="A96" s="13" t="s">
        <v>253</v>
      </c>
      <c r="B96" s="13"/>
      <c r="C96" s="13" t="s">
        <v>16</v>
      </c>
      <c r="D96" s="13"/>
      <c r="E96" s="32">
        <v>45278</v>
      </c>
      <c r="F96" s="35"/>
      <c r="G96" s="8">
        <v>8870203</v>
      </c>
      <c r="I96" s="8">
        <v>2221081</v>
      </c>
      <c r="K96" s="8">
        <v>262360</v>
      </c>
      <c r="M96" s="8">
        <f>5272+29317+207665</f>
        <v>242254</v>
      </c>
      <c r="O96" s="8">
        <v>1084268</v>
      </c>
      <c r="Q96" s="8">
        <v>1043489</v>
      </c>
      <c r="S96" s="8">
        <v>25766</v>
      </c>
      <c r="U96" s="8">
        <v>1541188</v>
      </c>
      <c r="W96" s="8">
        <v>577228</v>
      </c>
      <c r="Y96" s="8">
        <v>51380</v>
      </c>
      <c r="AA96" s="8">
        <v>1829912</v>
      </c>
      <c r="AC96" s="8">
        <v>1915557</v>
      </c>
      <c r="AE96" s="8">
        <v>50996</v>
      </c>
      <c r="AG96" s="8">
        <v>912802</v>
      </c>
      <c r="AI96" s="8">
        <v>42634</v>
      </c>
      <c r="AJ96" s="13" t="s">
        <v>253</v>
      </c>
      <c r="AK96" s="13"/>
      <c r="AL96" s="13" t="s">
        <v>16</v>
      </c>
      <c r="AN96" s="8">
        <v>475252</v>
      </c>
      <c r="AP96" s="8">
        <v>15936</v>
      </c>
      <c r="AR96" s="8">
        <v>0</v>
      </c>
      <c r="AT96" s="8">
        <v>34606</v>
      </c>
      <c r="AV96" s="8">
        <v>3542</v>
      </c>
      <c r="AX96" s="8">
        <v>0</v>
      </c>
      <c r="AZ96" s="9">
        <f t="shared" si="8"/>
        <v>21200454</v>
      </c>
      <c r="BB96" s="8">
        <v>88650</v>
      </c>
      <c r="BH96" s="8">
        <v>0</v>
      </c>
      <c r="BJ96" s="9">
        <f t="shared" si="7"/>
        <v>21289104</v>
      </c>
      <c r="BL96" s="9">
        <f>'Gov Fd Rv'!AQ96-'Gov Fnd Exp'!BJ96</f>
        <v>-577844</v>
      </c>
      <c r="BN96" s="8">
        <v>2540852</v>
      </c>
      <c r="BP96" s="8">
        <v>0</v>
      </c>
      <c r="BT96" s="9">
        <f t="shared" si="9"/>
        <v>1963008</v>
      </c>
      <c r="BU96" s="9"/>
      <c r="BV96" s="9">
        <f>BT96-'Gov Fd BS'!AA96</f>
        <v>0</v>
      </c>
    </row>
    <row r="97" spans="1:76">
      <c r="A97" s="13" t="s">
        <v>385</v>
      </c>
      <c r="B97" s="13"/>
      <c r="C97" s="13" t="s">
        <v>116</v>
      </c>
      <c r="D97" s="13"/>
      <c r="E97" s="32">
        <v>47258</v>
      </c>
      <c r="G97" s="8">
        <v>2415619</v>
      </c>
      <c r="I97" s="8">
        <v>512646</v>
      </c>
      <c r="K97" s="8">
        <v>5459</v>
      </c>
      <c r="M97" s="8">
        <v>383189</v>
      </c>
      <c r="O97" s="8">
        <v>481924</v>
      </c>
      <c r="Q97" s="8">
        <v>355989</v>
      </c>
      <c r="S97" s="8">
        <v>36254</v>
      </c>
      <c r="U97" s="8">
        <v>583703</v>
      </c>
      <c r="W97" s="8">
        <v>264518</v>
      </c>
      <c r="Y97" s="8">
        <v>0</v>
      </c>
      <c r="AA97" s="8">
        <v>535665</v>
      </c>
      <c r="AC97" s="8">
        <v>307124</v>
      </c>
      <c r="AE97" s="8">
        <v>17555</v>
      </c>
      <c r="AG97" s="8">
        <v>0</v>
      </c>
      <c r="AI97" s="8">
        <v>163616</v>
      </c>
      <c r="AJ97" s="13" t="s">
        <v>385</v>
      </c>
      <c r="AK97" s="13"/>
      <c r="AL97" s="13" t="s">
        <v>116</v>
      </c>
      <c r="AN97" s="8">
        <v>235597</v>
      </c>
      <c r="AP97" s="8">
        <v>32873</v>
      </c>
      <c r="AR97" s="8">
        <v>0</v>
      </c>
      <c r="AT97" s="8">
        <v>0</v>
      </c>
      <c r="AV97" s="8">
        <v>0</v>
      </c>
      <c r="AX97" s="8">
        <v>0</v>
      </c>
      <c r="AZ97" s="9">
        <f t="shared" si="8"/>
        <v>6331731</v>
      </c>
      <c r="BB97" s="26">
        <v>17000</v>
      </c>
      <c r="BH97" s="8">
        <v>0</v>
      </c>
      <c r="BJ97" s="9">
        <f t="shared" si="7"/>
        <v>6348731</v>
      </c>
      <c r="BL97" s="9">
        <f>'Gov Fd Rv'!AQ97-'Gov Fnd Exp'!BJ97</f>
        <v>399037</v>
      </c>
      <c r="BN97" s="8">
        <v>1753802</v>
      </c>
      <c r="BP97" s="8">
        <v>0</v>
      </c>
      <c r="BT97" s="9">
        <f t="shared" si="9"/>
        <v>2152839</v>
      </c>
      <c r="BU97" s="9"/>
      <c r="BV97" s="9">
        <f>BT97-'Gov Fd BS'!AA97</f>
        <v>0</v>
      </c>
    </row>
    <row r="98" spans="1:76" hidden="1">
      <c r="A98" s="13" t="s">
        <v>839</v>
      </c>
      <c r="B98" s="13"/>
      <c r="C98" s="13" t="s">
        <v>534</v>
      </c>
      <c r="D98" s="13"/>
      <c r="E98" s="32">
        <v>43729</v>
      </c>
      <c r="G98" s="8">
        <v>14021633</v>
      </c>
      <c r="I98" s="8">
        <v>3626127</v>
      </c>
      <c r="K98" s="8">
        <v>1483785</v>
      </c>
      <c r="M98" s="8">
        <v>4070</v>
      </c>
      <c r="O98" s="8">
        <v>1897882</v>
      </c>
      <c r="Q98" s="8">
        <v>1468179</v>
      </c>
      <c r="S98" s="8">
        <v>72483</v>
      </c>
      <c r="U98" s="8">
        <v>2072788</v>
      </c>
      <c r="W98" s="8">
        <v>734245</v>
      </c>
      <c r="Y98" s="8">
        <v>207731</v>
      </c>
      <c r="AA98" s="8">
        <v>2581122</v>
      </c>
      <c r="AC98" s="8">
        <v>1361325</v>
      </c>
      <c r="AE98" s="8">
        <v>66468</v>
      </c>
      <c r="AI98" s="8">
        <v>1392786</v>
      </c>
      <c r="AJ98" s="13" t="s">
        <v>533</v>
      </c>
      <c r="AK98" s="13"/>
      <c r="AL98" s="13" t="s">
        <v>534</v>
      </c>
      <c r="AN98" s="8">
        <v>947767</v>
      </c>
      <c r="AP98" s="8">
        <v>69748</v>
      </c>
      <c r="AR98" s="8">
        <v>1498</v>
      </c>
      <c r="AT98" s="8">
        <v>871944</v>
      </c>
      <c r="AV98" s="8">
        <v>453529</v>
      </c>
      <c r="AZ98" s="9">
        <f t="shared" si="8"/>
        <v>33335110</v>
      </c>
      <c r="BJ98" s="9">
        <f t="shared" si="7"/>
        <v>33335110</v>
      </c>
      <c r="BL98" s="9">
        <f>'Gov Fd Rv'!AQ98-'Gov Fnd Exp'!BJ98</f>
        <v>1173953</v>
      </c>
      <c r="BN98" s="8">
        <v>14151311</v>
      </c>
      <c r="BT98" s="9">
        <f t="shared" si="9"/>
        <v>15325264</v>
      </c>
      <c r="BU98" s="9"/>
      <c r="BV98" s="9">
        <f>BT98-'Gov Fd BS'!AA98</f>
        <v>0</v>
      </c>
      <c r="BX98" s="8" t="s">
        <v>956</v>
      </c>
    </row>
    <row r="99" spans="1:76">
      <c r="A99" s="13" t="s">
        <v>906</v>
      </c>
      <c r="B99" s="13"/>
      <c r="C99" s="13" t="s">
        <v>40</v>
      </c>
      <c r="D99" s="13"/>
      <c r="E99" s="32">
        <v>47829</v>
      </c>
      <c r="G99" s="8">
        <v>4195802</v>
      </c>
      <c r="I99" s="8">
        <v>1717751</v>
      </c>
      <c r="K99" s="8">
        <v>185457</v>
      </c>
      <c r="M99" s="8">
        <v>15524</v>
      </c>
      <c r="O99" s="8">
        <v>432827</v>
      </c>
      <c r="Q99" s="8">
        <v>164687</v>
      </c>
      <c r="S99" s="8">
        <v>13088</v>
      </c>
      <c r="U99" s="8">
        <v>895612</v>
      </c>
      <c r="W99" s="8">
        <v>347171</v>
      </c>
      <c r="Y99" s="8">
        <v>0</v>
      </c>
      <c r="AA99" s="8">
        <v>1136625</v>
      </c>
      <c r="AC99" s="8">
        <v>701116</v>
      </c>
      <c r="AE99" s="8">
        <v>14172</v>
      </c>
      <c r="AG99" s="8">
        <v>0</v>
      </c>
      <c r="AI99" s="8">
        <v>302506</v>
      </c>
      <c r="AJ99" s="13" t="s">
        <v>454</v>
      </c>
      <c r="AK99" s="13"/>
      <c r="AL99" s="13" t="s">
        <v>40</v>
      </c>
      <c r="AN99" s="8">
        <v>367878</v>
      </c>
      <c r="AP99" s="8">
        <v>6875</v>
      </c>
      <c r="AR99" s="8">
        <v>0</v>
      </c>
      <c r="AT99" s="8">
        <v>225000</v>
      </c>
      <c r="AV99" s="8">
        <v>222600</v>
      </c>
      <c r="AX99" s="8">
        <v>0</v>
      </c>
      <c r="AZ99" s="9">
        <f t="shared" si="8"/>
        <v>10944691</v>
      </c>
      <c r="BB99" s="8">
        <v>0</v>
      </c>
      <c r="BH99" s="8">
        <v>0</v>
      </c>
      <c r="BJ99" s="9">
        <f t="shared" si="7"/>
        <v>10944691</v>
      </c>
      <c r="BL99" s="9">
        <f>'Gov Fd Rv'!AQ99-'Gov Fnd Exp'!BJ99</f>
        <v>128806</v>
      </c>
      <c r="BN99" s="8">
        <v>5295293</v>
      </c>
      <c r="BP99" s="8">
        <v>0</v>
      </c>
      <c r="BT99" s="9">
        <f t="shared" si="9"/>
        <v>5424099</v>
      </c>
      <c r="BU99" s="9"/>
      <c r="BV99" s="9">
        <f>BT99-'Gov Fd BS'!AA99</f>
        <v>0</v>
      </c>
    </row>
    <row r="100" spans="1:76">
      <c r="A100" s="34" t="s">
        <v>907</v>
      </c>
      <c r="B100" s="13"/>
      <c r="C100" s="13" t="s">
        <v>50</v>
      </c>
      <c r="D100" s="13"/>
      <c r="E100" s="32">
        <v>43737</v>
      </c>
      <c r="G100" s="8">
        <v>39749979</v>
      </c>
      <c r="I100" s="8">
        <v>9041384</v>
      </c>
      <c r="K100" s="8">
        <v>2698827</v>
      </c>
      <c r="M100" s="8">
        <v>943725</v>
      </c>
      <c r="O100" s="8">
        <v>4275525</v>
      </c>
      <c r="Q100" s="8">
        <v>7058555</v>
      </c>
      <c r="S100" s="8">
        <v>33370</v>
      </c>
      <c r="U100" s="8">
        <v>4606366</v>
      </c>
      <c r="W100" s="8">
        <v>1487469</v>
      </c>
      <c r="Y100" s="8">
        <v>656005</v>
      </c>
      <c r="AA100" s="8">
        <v>5781291</v>
      </c>
      <c r="AC100" s="8">
        <v>6420174</v>
      </c>
      <c r="AE100" s="8">
        <v>99859</v>
      </c>
      <c r="AG100" s="8">
        <v>0</v>
      </c>
      <c r="AI100" s="8">
        <v>4648664</v>
      </c>
      <c r="AJ100" s="13" t="s">
        <v>545</v>
      </c>
      <c r="AK100" s="13"/>
      <c r="AL100" s="13" t="s">
        <v>50</v>
      </c>
      <c r="AN100" s="8">
        <v>662240</v>
      </c>
      <c r="AP100" s="8">
        <v>5543888</v>
      </c>
      <c r="AR100" s="8">
        <v>0</v>
      </c>
      <c r="AT100" s="8">
        <v>2735000</v>
      </c>
      <c r="AV100" s="8">
        <v>3228933</v>
      </c>
      <c r="AX100" s="8">
        <v>0</v>
      </c>
      <c r="AZ100" s="9">
        <f t="shared" si="8"/>
        <v>99671254</v>
      </c>
      <c r="BB100" s="8">
        <v>0</v>
      </c>
      <c r="BH100" s="8">
        <v>0</v>
      </c>
      <c r="BJ100" s="9">
        <f t="shared" si="7"/>
        <v>99671254</v>
      </c>
      <c r="BL100" s="9">
        <f>'Gov Fd Rv'!AQ100-'Gov Fnd Exp'!BJ100</f>
        <v>-11079187</v>
      </c>
      <c r="BN100" s="8">
        <v>43829172</v>
      </c>
      <c r="BP100" s="8">
        <v>0</v>
      </c>
      <c r="BT100" s="9">
        <f t="shared" si="9"/>
        <v>32749985</v>
      </c>
      <c r="BU100" s="9"/>
      <c r="BV100" s="9">
        <f>BT100-'Gov Fd BS'!AA100</f>
        <v>0</v>
      </c>
    </row>
    <row r="101" spans="1:76">
      <c r="A101" s="13" t="s">
        <v>794</v>
      </c>
      <c r="B101" s="13"/>
      <c r="C101" s="13" t="s">
        <v>22</v>
      </c>
      <c r="D101" s="13"/>
      <c r="E101" s="32">
        <v>46714</v>
      </c>
      <c r="G101" s="8">
        <v>4338805</v>
      </c>
      <c r="I101" s="8">
        <v>1107554</v>
      </c>
      <c r="K101" s="8">
        <v>209685</v>
      </c>
      <c r="M101" s="8">
        <f>31581+113166+575156</f>
        <v>719903</v>
      </c>
      <c r="O101" s="8">
        <v>530441</v>
      </c>
      <c r="Q101" s="8">
        <v>240606</v>
      </c>
      <c r="S101" s="8">
        <v>19251</v>
      </c>
      <c r="U101" s="8">
        <v>888480</v>
      </c>
      <c r="W101" s="8">
        <v>256322</v>
      </c>
      <c r="Y101" s="8">
        <v>59175</v>
      </c>
      <c r="AA101" s="8">
        <v>721700</v>
      </c>
      <c r="AC101" s="8">
        <v>1026365</v>
      </c>
      <c r="AE101" s="8">
        <v>166130</v>
      </c>
      <c r="AG101" s="8">
        <v>0</v>
      </c>
      <c r="AI101" s="8">
        <v>554737</v>
      </c>
      <c r="AJ101" s="13" t="s">
        <v>794</v>
      </c>
      <c r="AK101" s="13"/>
      <c r="AL101" s="13" t="s">
        <v>22</v>
      </c>
      <c r="AN101" s="8">
        <v>567589</v>
      </c>
      <c r="AP101" s="8">
        <v>180972</v>
      </c>
      <c r="AR101" s="8">
        <v>0</v>
      </c>
      <c r="AT101" s="8">
        <v>209279</v>
      </c>
      <c r="AV101" s="8">
        <v>110132</v>
      </c>
      <c r="AX101" s="8">
        <v>0</v>
      </c>
      <c r="AZ101" s="9">
        <f t="shared" si="8"/>
        <v>11907126</v>
      </c>
      <c r="BB101" s="8">
        <v>0</v>
      </c>
      <c r="BH101" s="8">
        <v>0</v>
      </c>
      <c r="BJ101" s="9">
        <f t="shared" si="7"/>
        <v>11907126</v>
      </c>
      <c r="BL101" s="9">
        <f>'Gov Fd Rv'!AQ101-'Gov Fnd Exp'!BJ101</f>
        <v>-132150</v>
      </c>
      <c r="BN101" s="8">
        <v>2343937</v>
      </c>
      <c r="BP101" s="8">
        <v>0</v>
      </c>
      <c r="BT101" s="9">
        <f t="shared" si="9"/>
        <v>2211787</v>
      </c>
      <c r="BU101" s="9"/>
      <c r="BV101" s="9">
        <f>BT101-'Gov Fd BS'!AA101</f>
        <v>0</v>
      </c>
    </row>
    <row r="102" spans="1:76">
      <c r="A102" s="13" t="s">
        <v>302</v>
      </c>
      <c r="B102" s="13"/>
      <c r="C102" s="13" t="s">
        <v>20</v>
      </c>
      <c r="D102" s="13"/>
      <c r="E102" s="13">
        <v>45286</v>
      </c>
      <c r="G102" s="8">
        <v>10599975</v>
      </c>
      <c r="I102" s="8">
        <v>1998852</v>
      </c>
      <c r="K102" s="8">
        <v>112692</v>
      </c>
      <c r="M102" s="8">
        <v>20131</v>
      </c>
      <c r="O102" s="8">
        <v>896199</v>
      </c>
      <c r="Q102" s="8">
        <v>1283972</v>
      </c>
      <c r="S102" s="8">
        <v>80176</v>
      </c>
      <c r="U102" s="8">
        <v>1980521</v>
      </c>
      <c r="W102" s="8">
        <v>835484</v>
      </c>
      <c r="Y102" s="8">
        <v>400</v>
      </c>
      <c r="AA102" s="8">
        <v>2368677</v>
      </c>
      <c r="AC102" s="8">
        <v>1182167</v>
      </c>
      <c r="AE102" s="8">
        <v>16632</v>
      </c>
      <c r="AG102" s="8">
        <v>0</v>
      </c>
      <c r="AI102" s="8">
        <v>276529</v>
      </c>
      <c r="AJ102" s="13" t="s">
        <v>302</v>
      </c>
      <c r="AK102" s="13"/>
      <c r="AL102" s="13" t="s">
        <v>20</v>
      </c>
      <c r="AN102" s="8">
        <v>797899</v>
      </c>
      <c r="AP102" s="8">
        <v>831865</v>
      </c>
      <c r="AR102" s="8">
        <v>0</v>
      </c>
      <c r="AT102" s="8">
        <v>1485870</v>
      </c>
      <c r="AV102" s="8">
        <v>1144118</v>
      </c>
      <c r="AX102" s="8">
        <v>0</v>
      </c>
      <c r="AZ102" s="9">
        <f t="shared" si="8"/>
        <v>25912159</v>
      </c>
      <c r="BB102" s="8">
        <v>417600</v>
      </c>
      <c r="BH102" s="8">
        <v>0</v>
      </c>
      <c r="BJ102" s="9">
        <f t="shared" si="7"/>
        <v>26329759</v>
      </c>
      <c r="BL102" s="9">
        <f>'Gov Fd Rv'!AQ102-'Gov Fnd Exp'!BJ102</f>
        <v>2353025</v>
      </c>
      <c r="BN102" s="8">
        <v>5590413</v>
      </c>
      <c r="BP102" s="8">
        <v>0</v>
      </c>
      <c r="BT102" s="9">
        <f t="shared" si="9"/>
        <v>7943438</v>
      </c>
      <c r="BU102" s="9"/>
      <c r="BV102" s="9">
        <f>BT102-'Gov Fd BS'!AA102</f>
        <v>0</v>
      </c>
    </row>
    <row r="103" spans="1:76">
      <c r="A103" s="13" t="s">
        <v>678</v>
      </c>
      <c r="B103" s="13"/>
      <c r="C103" s="13" t="s">
        <v>64</v>
      </c>
      <c r="D103" s="13"/>
      <c r="E103" s="32">
        <v>50138</v>
      </c>
      <c r="G103" s="8">
        <v>5833011</v>
      </c>
      <c r="I103" s="8">
        <v>1760533</v>
      </c>
      <c r="K103" s="8">
        <v>187339</v>
      </c>
      <c r="M103" s="8">
        <v>542693</v>
      </c>
      <c r="O103" s="8">
        <v>616653</v>
      </c>
      <c r="Q103" s="8">
        <v>518399</v>
      </c>
      <c r="S103" s="8">
        <v>42312</v>
      </c>
      <c r="U103" s="8">
        <v>1759615</v>
      </c>
      <c r="W103" s="8">
        <v>390333</v>
      </c>
      <c r="Y103" s="8">
        <v>0</v>
      </c>
      <c r="AA103" s="8">
        <v>1642725</v>
      </c>
      <c r="AC103" s="8">
        <v>729795</v>
      </c>
      <c r="AE103" s="8">
        <v>11285</v>
      </c>
      <c r="AG103" s="8">
        <v>468972</v>
      </c>
      <c r="AI103" s="8">
        <v>0</v>
      </c>
      <c r="AJ103" s="13" t="s">
        <v>678</v>
      </c>
      <c r="AK103" s="13"/>
      <c r="AL103" s="13" t="s">
        <v>64</v>
      </c>
      <c r="AN103" s="8">
        <v>442804</v>
      </c>
      <c r="AP103" s="8">
        <v>2010</v>
      </c>
      <c r="AR103" s="8">
        <v>0</v>
      </c>
      <c r="AT103" s="8">
        <v>125868</v>
      </c>
      <c r="AV103" s="8">
        <v>78587</v>
      </c>
      <c r="AX103" s="8">
        <v>0</v>
      </c>
      <c r="AZ103" s="9">
        <f t="shared" si="8"/>
        <v>15152934</v>
      </c>
      <c r="BB103" s="8">
        <v>34692</v>
      </c>
      <c r="BH103" s="8">
        <v>0</v>
      </c>
      <c r="BJ103" s="9">
        <f t="shared" si="7"/>
        <v>15187626</v>
      </c>
      <c r="BL103" s="9">
        <f>'Gov Fd Rv'!AQ103-'Gov Fnd Exp'!BJ103</f>
        <v>-214426</v>
      </c>
      <c r="BN103" s="8">
        <v>-1359143</v>
      </c>
      <c r="BP103" s="8">
        <v>2273</v>
      </c>
      <c r="BT103" s="9">
        <f t="shared" si="9"/>
        <v>-1571296</v>
      </c>
      <c r="BU103" s="9"/>
      <c r="BV103" s="9">
        <f>BT103-'Gov Fd BS'!AA103</f>
        <v>0</v>
      </c>
    </row>
    <row r="104" spans="1:76">
      <c r="A104" s="13" t="s">
        <v>379</v>
      </c>
      <c r="B104" s="13"/>
      <c r="C104" s="13" t="s">
        <v>30</v>
      </c>
      <c r="D104" s="13"/>
      <c r="E104" s="32">
        <v>47183</v>
      </c>
      <c r="G104" s="8">
        <v>14018677</v>
      </c>
      <c r="I104" s="8">
        <v>4419780</v>
      </c>
      <c r="K104" s="8">
        <v>231484</v>
      </c>
      <c r="M104" s="8">
        <f>5618+445513</f>
        <v>451131</v>
      </c>
      <c r="O104" s="8">
        <v>1387046</v>
      </c>
      <c r="Q104" s="8">
        <v>1389926</v>
      </c>
      <c r="S104" s="8">
        <v>139153</v>
      </c>
      <c r="U104" s="8">
        <v>2568912</v>
      </c>
      <c r="W104" s="8">
        <v>894520</v>
      </c>
      <c r="Y104" s="8">
        <v>346385</v>
      </c>
      <c r="AA104" s="8">
        <v>2761200</v>
      </c>
      <c r="AC104" s="8">
        <v>2675514</v>
      </c>
      <c r="AE104" s="8">
        <v>273796</v>
      </c>
      <c r="AG104" s="8">
        <v>978128</v>
      </c>
      <c r="AI104" s="8">
        <v>1127335</v>
      </c>
      <c r="AJ104" s="13" t="s">
        <v>379</v>
      </c>
      <c r="AK104" s="13"/>
      <c r="AL104" s="13" t="s">
        <v>30</v>
      </c>
      <c r="AN104" s="8">
        <v>598816</v>
      </c>
      <c r="AP104" s="8">
        <v>612901</v>
      </c>
      <c r="AR104" s="8">
        <v>0</v>
      </c>
      <c r="AT104" s="8">
        <v>5229</v>
      </c>
      <c r="AV104" s="8">
        <v>207</v>
      </c>
      <c r="AX104" s="8">
        <v>0</v>
      </c>
      <c r="AZ104" s="9">
        <f t="shared" si="8"/>
        <v>34880140</v>
      </c>
      <c r="BB104" s="8">
        <v>190840</v>
      </c>
      <c r="BH104" s="8">
        <v>0</v>
      </c>
      <c r="BJ104" s="9">
        <f t="shared" si="7"/>
        <v>35070980</v>
      </c>
      <c r="BL104" s="9">
        <f>'Gov Fd Rv'!AQ104-'Gov Fnd Exp'!BJ104</f>
        <v>1474163</v>
      </c>
      <c r="BN104" s="8">
        <v>3612840</v>
      </c>
      <c r="BP104" s="8">
        <v>0</v>
      </c>
      <c r="BT104" s="9">
        <f t="shared" si="9"/>
        <v>5087003</v>
      </c>
      <c r="BU104" s="9"/>
      <c r="BV104" s="9">
        <f>BT104-'Gov Fd BS'!AA104</f>
        <v>0</v>
      </c>
    </row>
    <row r="105" spans="1:76">
      <c r="A105" s="13" t="s">
        <v>465</v>
      </c>
      <c r="B105" s="13"/>
      <c r="C105" s="13" t="s">
        <v>466</v>
      </c>
      <c r="D105" s="13"/>
      <c r="E105" s="32">
        <v>45294</v>
      </c>
      <c r="G105" s="8">
        <v>6729265</v>
      </c>
      <c r="I105" s="8">
        <v>1092634</v>
      </c>
      <c r="K105" s="8">
        <v>0</v>
      </c>
      <c r="M105" s="8">
        <v>473337</v>
      </c>
      <c r="O105" s="8">
        <v>564976</v>
      </c>
      <c r="Q105" s="8">
        <v>557503</v>
      </c>
      <c r="S105" s="8">
        <v>111833</v>
      </c>
      <c r="U105" s="8">
        <v>1133818</v>
      </c>
      <c r="W105" s="8">
        <v>309326</v>
      </c>
      <c r="Y105" s="8">
        <v>0</v>
      </c>
      <c r="AA105" s="8">
        <v>1118324</v>
      </c>
      <c r="AC105" s="8">
        <v>802338</v>
      </c>
      <c r="AE105" s="8">
        <v>179119</v>
      </c>
      <c r="AG105" s="8">
        <v>0</v>
      </c>
      <c r="AI105" s="8">
        <v>570060</v>
      </c>
      <c r="AJ105" s="13" t="s">
        <v>465</v>
      </c>
      <c r="AK105" s="13"/>
      <c r="AL105" s="13" t="s">
        <v>466</v>
      </c>
      <c r="AN105" s="8">
        <v>312023</v>
      </c>
      <c r="AP105" s="8">
        <v>359383</v>
      </c>
      <c r="AR105" s="8">
        <v>0</v>
      </c>
      <c r="AT105" s="8">
        <v>259032</v>
      </c>
      <c r="AV105" s="8">
        <v>80685</v>
      </c>
      <c r="AX105" s="8">
        <v>0</v>
      </c>
      <c r="AZ105" s="9">
        <f t="shared" si="8"/>
        <v>14653656</v>
      </c>
      <c r="BB105" s="8">
        <v>139525</v>
      </c>
      <c r="BH105" s="8">
        <v>0</v>
      </c>
      <c r="BJ105" s="9">
        <f t="shared" si="7"/>
        <v>14793181</v>
      </c>
      <c r="BL105" s="9">
        <f>'Gov Fd Rv'!AQ105-'Gov Fnd Exp'!BJ105</f>
        <v>-440932</v>
      </c>
      <c r="BN105" s="8">
        <v>3194368</v>
      </c>
      <c r="BP105" s="8">
        <v>0</v>
      </c>
      <c r="BT105" s="9">
        <f t="shared" si="9"/>
        <v>2753436</v>
      </c>
      <c r="BU105" s="9"/>
      <c r="BV105" s="9">
        <f>BT105-'Gov Fd BS'!AA105</f>
        <v>0</v>
      </c>
    </row>
    <row r="106" spans="1:76">
      <c r="A106" s="13" t="s">
        <v>617</v>
      </c>
      <c r="B106" s="13"/>
      <c r="C106" s="13" t="s">
        <v>58</v>
      </c>
      <c r="D106" s="13"/>
      <c r="E106" s="32">
        <v>43745</v>
      </c>
      <c r="G106" s="8">
        <v>15456386</v>
      </c>
      <c r="I106" s="8">
        <v>3311025</v>
      </c>
      <c r="K106" s="8">
        <v>7094</v>
      </c>
      <c r="M106" s="8">
        <v>722241</v>
      </c>
      <c r="O106" s="8">
        <v>1876023</v>
      </c>
      <c r="Q106" s="8">
        <v>1476377</v>
      </c>
      <c r="S106" s="8">
        <v>49970</v>
      </c>
      <c r="U106" s="8">
        <v>1993198</v>
      </c>
      <c r="W106" s="8">
        <v>771907</v>
      </c>
      <c r="Y106" s="8">
        <v>113438</v>
      </c>
      <c r="AA106" s="8">
        <v>3163218</v>
      </c>
      <c r="AC106" s="8">
        <v>979836</v>
      </c>
      <c r="AE106" s="8">
        <v>275003</v>
      </c>
      <c r="AG106" s="8">
        <v>0</v>
      </c>
      <c r="AI106" s="8">
        <v>1422945</v>
      </c>
      <c r="AJ106" s="13" t="s">
        <v>617</v>
      </c>
      <c r="AK106" s="13"/>
      <c r="AL106" s="13" t="s">
        <v>58</v>
      </c>
      <c r="AN106" s="8">
        <v>557700</v>
      </c>
      <c r="AP106" s="8">
        <v>250003</v>
      </c>
      <c r="AR106" s="8">
        <v>0</v>
      </c>
      <c r="AT106" s="8">
        <v>1045000</v>
      </c>
      <c r="AV106" s="8">
        <v>1372022</v>
      </c>
      <c r="AX106" s="8">
        <v>0</v>
      </c>
      <c r="AZ106" s="9">
        <f t="shared" si="8"/>
        <v>34843386</v>
      </c>
      <c r="BB106" s="8">
        <v>2634</v>
      </c>
      <c r="BH106" s="8">
        <v>0</v>
      </c>
      <c r="BJ106" s="9">
        <f t="shared" si="7"/>
        <v>34846020</v>
      </c>
      <c r="BL106" s="9">
        <f>'Gov Fd Rv'!AQ106-'Gov Fnd Exp'!BJ106</f>
        <v>-12510</v>
      </c>
      <c r="BN106" s="8">
        <v>6384860</v>
      </c>
      <c r="BP106" s="8">
        <v>0</v>
      </c>
      <c r="BT106" s="9">
        <f t="shared" si="9"/>
        <v>6372350</v>
      </c>
      <c r="BU106" s="9"/>
      <c r="BV106" s="9">
        <f>BT106-'Gov Fd BS'!AA106</f>
        <v>0</v>
      </c>
    </row>
    <row r="107" spans="1:76">
      <c r="A107" s="13" t="s">
        <v>721</v>
      </c>
      <c r="B107" s="13"/>
      <c r="C107" s="13" t="s">
        <v>71</v>
      </c>
      <c r="D107" s="13"/>
      <c r="E107" s="32">
        <v>50534</v>
      </c>
      <c r="G107" s="8">
        <v>5206731</v>
      </c>
      <c r="I107" s="8">
        <v>854368</v>
      </c>
      <c r="K107" s="8">
        <v>32869</v>
      </c>
      <c r="M107" s="8">
        <v>279698</v>
      </c>
      <c r="O107" s="8">
        <v>212310</v>
      </c>
      <c r="Q107" s="8">
        <v>448573</v>
      </c>
      <c r="S107" s="8">
        <v>26075</v>
      </c>
      <c r="U107" s="8">
        <v>1095927</v>
      </c>
      <c r="W107" s="8">
        <v>348265</v>
      </c>
      <c r="Y107" s="8">
        <v>0</v>
      </c>
      <c r="AA107" s="8">
        <v>1196370</v>
      </c>
      <c r="AC107" s="8">
        <v>584681</v>
      </c>
      <c r="AE107" s="8">
        <v>153691</v>
      </c>
      <c r="AG107" s="8">
        <v>460806</v>
      </c>
      <c r="AI107" s="8">
        <v>113512</v>
      </c>
      <c r="AJ107" s="13" t="s">
        <v>721</v>
      </c>
      <c r="AK107" s="13"/>
      <c r="AL107" s="13" t="s">
        <v>71</v>
      </c>
      <c r="AN107" s="8">
        <v>479245</v>
      </c>
      <c r="AP107" s="8">
        <v>0</v>
      </c>
      <c r="AR107" s="8">
        <v>0</v>
      </c>
      <c r="AT107" s="8">
        <v>0</v>
      </c>
      <c r="AV107" s="8">
        <v>0</v>
      </c>
      <c r="AX107" s="8">
        <v>0</v>
      </c>
      <c r="AZ107" s="9">
        <f t="shared" si="8"/>
        <v>11493121</v>
      </c>
      <c r="BB107" s="8">
        <v>0</v>
      </c>
      <c r="BH107" s="8">
        <v>0</v>
      </c>
      <c r="BJ107" s="9">
        <f t="shared" si="7"/>
        <v>11493121</v>
      </c>
      <c r="BL107" s="9">
        <f>'Gov Fd Rv'!AQ107-'Gov Fnd Exp'!BJ107</f>
        <v>1638330</v>
      </c>
      <c r="BN107" s="8">
        <v>2498919</v>
      </c>
      <c r="BP107" s="8">
        <v>0</v>
      </c>
      <c r="BT107" s="9">
        <f t="shared" si="9"/>
        <v>4137249</v>
      </c>
      <c r="BU107" s="9"/>
      <c r="BV107" s="9">
        <f>BT107-'Gov Fd BS'!AA107</f>
        <v>0</v>
      </c>
    </row>
    <row r="108" spans="1:76">
      <c r="A108" s="13" t="s">
        <v>910</v>
      </c>
      <c r="B108" s="13"/>
      <c r="C108" s="13" t="s">
        <v>32</v>
      </c>
      <c r="D108" s="13"/>
      <c r="E108" s="32">
        <v>43752</v>
      </c>
      <c r="G108" s="8">
        <v>208745852</v>
      </c>
      <c r="I108" s="8">
        <v>71892127</v>
      </c>
      <c r="K108" s="8">
        <v>5474802</v>
      </c>
      <c r="M108" s="8">
        <v>673707</v>
      </c>
      <c r="O108" s="8">
        <v>24873130</v>
      </c>
      <c r="Q108" s="8">
        <v>43556762</v>
      </c>
      <c r="S108" s="8">
        <v>432078</v>
      </c>
      <c r="U108" s="8">
        <v>33010049</v>
      </c>
      <c r="W108" s="8">
        <v>2924642</v>
      </c>
      <c r="Y108" s="8">
        <v>1338302</v>
      </c>
      <c r="AA108" s="8">
        <v>40587586</v>
      </c>
      <c r="AC108" s="8">
        <v>29623267</v>
      </c>
      <c r="AE108" s="8">
        <v>18714730</v>
      </c>
      <c r="AG108" s="8">
        <v>0</v>
      </c>
      <c r="AI108" s="8">
        <v>25494720</v>
      </c>
      <c r="AJ108" s="13" t="s">
        <v>910</v>
      </c>
      <c r="AK108" s="13"/>
      <c r="AL108" s="13" t="s">
        <v>32</v>
      </c>
      <c r="AN108" s="8">
        <v>6616085</v>
      </c>
      <c r="AP108" s="8">
        <v>121159988</v>
      </c>
      <c r="AR108" s="8">
        <v>0</v>
      </c>
      <c r="AT108" s="8">
        <v>19900000</v>
      </c>
      <c r="AV108" s="8">
        <v>38011339</v>
      </c>
      <c r="AX108" s="8">
        <v>0</v>
      </c>
      <c r="AZ108" s="9">
        <f t="shared" si="8"/>
        <v>693029166</v>
      </c>
      <c r="BB108" s="8">
        <v>152935825</v>
      </c>
      <c r="BH108" s="8">
        <v>0</v>
      </c>
      <c r="BJ108" s="9">
        <f t="shared" si="7"/>
        <v>845964991</v>
      </c>
      <c r="BL108" s="9">
        <f>'Gov Fd Rv'!AQ108-'Gov Fnd Exp'!BJ108</f>
        <v>-53237640</v>
      </c>
      <c r="BN108" s="8">
        <v>518495663</v>
      </c>
      <c r="BP108" s="8">
        <v>0</v>
      </c>
      <c r="BT108" s="9">
        <f t="shared" si="9"/>
        <v>465258023</v>
      </c>
      <c r="BU108" s="9"/>
      <c r="BV108" s="9">
        <f>BT108-'Gov Fd BS'!AA108</f>
        <v>0</v>
      </c>
    </row>
    <row r="109" spans="1:76">
      <c r="A109" s="13" t="s">
        <v>581</v>
      </c>
      <c r="B109" s="13"/>
      <c r="C109" s="13" t="s">
        <v>54</v>
      </c>
      <c r="D109" s="13"/>
      <c r="E109" s="32">
        <v>43760</v>
      </c>
      <c r="G109" s="8">
        <v>10417598</v>
      </c>
      <c r="I109" s="8">
        <v>2799152</v>
      </c>
      <c r="K109" s="8">
        <v>24430</v>
      </c>
      <c r="M109" s="8">
        <v>391738</v>
      </c>
      <c r="O109" s="8">
        <v>976895</v>
      </c>
      <c r="Q109" s="8">
        <v>2933150</v>
      </c>
      <c r="S109" s="8">
        <v>149774</v>
      </c>
      <c r="U109" s="8">
        <v>2011953</v>
      </c>
      <c r="W109" s="8">
        <v>605999</v>
      </c>
      <c r="Y109" s="8">
        <v>0</v>
      </c>
      <c r="AA109" s="8">
        <v>2137764</v>
      </c>
      <c r="AC109" s="8">
        <v>662047</v>
      </c>
      <c r="AE109" s="8">
        <v>0</v>
      </c>
      <c r="AG109" s="8">
        <v>1058769</v>
      </c>
      <c r="AI109" s="8">
        <v>109241</v>
      </c>
      <c r="AJ109" s="13" t="s">
        <v>581</v>
      </c>
      <c r="AK109" s="13"/>
      <c r="AL109" s="13" t="s">
        <v>54</v>
      </c>
      <c r="AN109" s="8">
        <v>479333</v>
      </c>
      <c r="AP109" s="8">
        <v>770583</v>
      </c>
      <c r="AR109" s="8">
        <v>0</v>
      </c>
      <c r="AT109" s="8">
        <v>155942</v>
      </c>
      <c r="AV109" s="8">
        <v>48920</v>
      </c>
      <c r="AX109" s="8">
        <v>0</v>
      </c>
      <c r="AZ109" s="9">
        <f t="shared" si="8"/>
        <v>25733288</v>
      </c>
      <c r="BB109" s="8">
        <v>134607</v>
      </c>
      <c r="BH109" s="8">
        <v>0</v>
      </c>
      <c r="BJ109" s="9">
        <f t="shared" si="7"/>
        <v>25867895</v>
      </c>
      <c r="BL109" s="9">
        <f>'Gov Fd Rv'!AQ109-'Gov Fnd Exp'!BJ109</f>
        <v>1409899</v>
      </c>
      <c r="BN109" s="8">
        <v>11493212</v>
      </c>
      <c r="BP109" s="8">
        <v>2606</v>
      </c>
      <c r="BT109" s="9">
        <f t="shared" si="9"/>
        <v>12905717</v>
      </c>
      <c r="BU109" s="9"/>
      <c r="BV109" s="9">
        <f>BT109-'Gov Fd BS'!AA109</f>
        <v>0</v>
      </c>
    </row>
    <row r="110" spans="1:76">
      <c r="A110" s="13" t="s">
        <v>260</v>
      </c>
      <c r="B110" s="13"/>
      <c r="C110" s="13" t="s">
        <v>17</v>
      </c>
      <c r="D110" s="13"/>
      <c r="E110" s="32">
        <v>46284</v>
      </c>
      <c r="G110" s="8">
        <v>9913436</v>
      </c>
      <c r="I110" s="8">
        <v>2129105</v>
      </c>
      <c r="K110" s="8">
        <v>200495</v>
      </c>
      <c r="M110" s="8">
        <f>24760+325111</f>
        <v>349871</v>
      </c>
      <c r="O110" s="8">
        <v>741600</v>
      </c>
      <c r="Q110" s="8">
        <v>662263</v>
      </c>
      <c r="S110" s="8">
        <v>104144</v>
      </c>
      <c r="U110" s="8">
        <v>1625108</v>
      </c>
      <c r="W110" s="8">
        <v>502866</v>
      </c>
      <c r="Y110" s="8">
        <v>17577</v>
      </c>
      <c r="AA110" s="8">
        <v>1799823</v>
      </c>
      <c r="AC110" s="8">
        <v>984831</v>
      </c>
      <c r="AE110" s="8">
        <v>71134</v>
      </c>
      <c r="AG110" s="8">
        <v>0</v>
      </c>
      <c r="AI110" s="8">
        <v>973075</v>
      </c>
      <c r="AJ110" s="13" t="s">
        <v>260</v>
      </c>
      <c r="AK110" s="13"/>
      <c r="AL110" s="13" t="s">
        <v>17</v>
      </c>
      <c r="AN110" s="8">
        <v>753986</v>
      </c>
      <c r="AP110" s="8">
        <v>960721</v>
      </c>
      <c r="AR110" s="8">
        <v>0</v>
      </c>
      <c r="AT110" s="8">
        <v>42966</v>
      </c>
      <c r="AV110" s="8">
        <v>2545</v>
      </c>
      <c r="AX110" s="8">
        <v>0</v>
      </c>
      <c r="AZ110" s="9">
        <f t="shared" si="8"/>
        <v>21835546</v>
      </c>
      <c r="BB110" s="8">
        <v>0</v>
      </c>
      <c r="BH110" s="8">
        <v>0</v>
      </c>
      <c r="BJ110" s="9">
        <f t="shared" si="7"/>
        <v>21835546</v>
      </c>
      <c r="BL110" s="9">
        <f>'Gov Fd Rv'!AQ110-'Gov Fnd Exp'!BJ110</f>
        <v>12083</v>
      </c>
      <c r="BN110" s="8">
        <v>2963354</v>
      </c>
      <c r="BP110" s="8">
        <v>0</v>
      </c>
      <c r="BT110" s="9">
        <f t="shared" si="9"/>
        <v>2975437</v>
      </c>
      <c r="BU110" s="9"/>
      <c r="BV110" s="9">
        <f>BT110-'Gov Fd BS'!AA110</f>
        <v>0</v>
      </c>
    </row>
    <row r="111" spans="1:76" s="49" customFormat="1">
      <c r="A111" s="48" t="s">
        <v>627</v>
      </c>
      <c r="B111" s="48"/>
      <c r="C111" s="48" t="s">
        <v>59</v>
      </c>
      <c r="D111" s="48"/>
      <c r="E111" s="48">
        <v>49601</v>
      </c>
      <c r="G111" s="8">
        <v>3119457</v>
      </c>
      <c r="H111" s="8"/>
      <c r="I111" s="8">
        <v>511230</v>
      </c>
      <c r="J111" s="8"/>
      <c r="K111" s="8">
        <v>17194</v>
      </c>
      <c r="L111" s="8"/>
      <c r="M111" s="8">
        <v>79876</v>
      </c>
      <c r="N111" s="8"/>
      <c r="O111" s="8">
        <v>334445</v>
      </c>
      <c r="P111" s="8"/>
      <c r="Q111" s="8">
        <v>311455</v>
      </c>
      <c r="R111" s="8"/>
      <c r="S111" s="8">
        <v>17505</v>
      </c>
      <c r="T111" s="8"/>
      <c r="U111" s="8">
        <v>518185</v>
      </c>
      <c r="V111" s="8"/>
      <c r="W111" s="8">
        <v>221219</v>
      </c>
      <c r="X111" s="8"/>
      <c r="Y111" s="8">
        <v>0</v>
      </c>
      <c r="Z111" s="8"/>
      <c r="AA111" s="8">
        <v>432923</v>
      </c>
      <c r="AB111" s="8"/>
      <c r="AC111" s="8">
        <v>251086</v>
      </c>
      <c r="AD111" s="8"/>
      <c r="AE111" s="8">
        <v>25312</v>
      </c>
      <c r="AF111" s="8"/>
      <c r="AG111" s="8">
        <v>304394</v>
      </c>
      <c r="AH111" s="8"/>
      <c r="AI111" s="8">
        <v>0</v>
      </c>
      <c r="AJ111" s="48" t="s">
        <v>627</v>
      </c>
      <c r="AK111" s="48"/>
      <c r="AL111" s="48" t="s">
        <v>59</v>
      </c>
      <c r="AN111" s="8">
        <v>123660</v>
      </c>
      <c r="AO111" s="8"/>
      <c r="AP111" s="8">
        <v>698831</v>
      </c>
      <c r="AQ111" s="8"/>
      <c r="AR111" s="8">
        <v>0</v>
      </c>
      <c r="AS111" s="8"/>
      <c r="AT111" s="8">
        <v>132000</v>
      </c>
      <c r="AU111" s="8"/>
      <c r="AV111" s="8">
        <v>236715</v>
      </c>
      <c r="AW111" s="8"/>
      <c r="AX111" s="8">
        <v>125189</v>
      </c>
      <c r="AY111" s="8"/>
      <c r="AZ111" s="9">
        <f t="shared" si="8"/>
        <v>7460676</v>
      </c>
      <c r="BA111" s="8"/>
      <c r="BB111" s="8">
        <v>233486</v>
      </c>
      <c r="BC111" s="8"/>
      <c r="BD111" s="8"/>
      <c r="BE111" s="8"/>
      <c r="BF111" s="8"/>
      <c r="BG111" s="8"/>
      <c r="BH111" s="8">
        <v>0</v>
      </c>
      <c r="BI111" s="8"/>
      <c r="BJ111" s="9">
        <f t="shared" si="7"/>
        <v>7694162</v>
      </c>
      <c r="BK111" s="8"/>
      <c r="BL111" s="9">
        <f>'Gov Fd Rv'!AQ111-'Gov Fnd Exp'!BJ111</f>
        <v>6347599</v>
      </c>
      <c r="BM111" s="8"/>
      <c r="BN111" s="8">
        <v>781228</v>
      </c>
      <c r="BO111" s="8"/>
      <c r="BP111" s="8">
        <v>0</v>
      </c>
      <c r="BQ111" s="8"/>
      <c r="BR111" s="8"/>
      <c r="BS111" s="8"/>
      <c r="BT111" s="9">
        <f t="shared" si="9"/>
        <v>7128827</v>
      </c>
      <c r="BU111" s="9"/>
      <c r="BV111" s="9">
        <f>BT111-'Gov Fd BS'!AA111</f>
        <v>0</v>
      </c>
    </row>
    <row r="112" spans="1:76">
      <c r="A112" s="13" t="s">
        <v>694</v>
      </c>
      <c r="B112" s="13"/>
      <c r="C112" s="13" t="s">
        <v>65</v>
      </c>
      <c r="D112" s="13"/>
      <c r="E112" s="32">
        <v>43778</v>
      </c>
      <c r="G112" s="8">
        <v>9210185</v>
      </c>
      <c r="I112" s="8">
        <v>2486811</v>
      </c>
      <c r="K112" s="8">
        <v>240539</v>
      </c>
      <c r="M112" s="8">
        <v>0</v>
      </c>
      <c r="O112" s="8">
        <v>914172</v>
      </c>
      <c r="Q112" s="8">
        <v>1068681</v>
      </c>
      <c r="S112" s="8">
        <v>24539</v>
      </c>
      <c r="U112" s="8">
        <v>1458565</v>
      </c>
      <c r="W112" s="8">
        <v>364685</v>
      </c>
      <c r="Y112" s="8">
        <v>36399</v>
      </c>
      <c r="AA112" s="8">
        <v>2278722</v>
      </c>
      <c r="AC112" s="8">
        <v>772966</v>
      </c>
      <c r="AE112" s="8">
        <v>429511</v>
      </c>
      <c r="AG112" s="8">
        <v>813884</v>
      </c>
      <c r="AI112" s="8">
        <v>126936</v>
      </c>
      <c r="AJ112" s="13" t="s">
        <v>694</v>
      </c>
      <c r="AK112" s="13"/>
      <c r="AL112" s="13" t="s">
        <v>65</v>
      </c>
      <c r="AN112" s="8">
        <v>602121</v>
      </c>
      <c r="AP112" s="8">
        <v>32477</v>
      </c>
      <c r="AR112" s="8">
        <v>0</v>
      </c>
      <c r="AT112" s="8">
        <v>337656</v>
      </c>
      <c r="AV112" s="8">
        <v>127667</v>
      </c>
      <c r="AX112" s="8">
        <v>0</v>
      </c>
      <c r="AZ112" s="9">
        <f t="shared" si="8"/>
        <v>21326516</v>
      </c>
      <c r="BB112" s="8">
        <v>0</v>
      </c>
      <c r="BH112" s="8">
        <v>0</v>
      </c>
      <c r="BJ112" s="9">
        <f t="shared" si="7"/>
        <v>21326516</v>
      </c>
      <c r="BL112" s="9">
        <f>'Gov Fd Rv'!AQ112-'Gov Fnd Exp'!BJ112</f>
        <v>-308467</v>
      </c>
      <c r="BN112" s="8">
        <v>3111872</v>
      </c>
      <c r="BP112" s="8">
        <v>3893</v>
      </c>
      <c r="BT112" s="9">
        <f t="shared" si="9"/>
        <v>2807298</v>
      </c>
      <c r="BU112" s="9"/>
      <c r="BV112" s="9">
        <f>BT112-'Gov Fd BS'!AA112</f>
        <v>0</v>
      </c>
    </row>
    <row r="113" spans="1:76">
      <c r="A113" s="13" t="s">
        <v>609</v>
      </c>
      <c r="B113" s="13"/>
      <c r="C113" s="13" t="s">
        <v>112</v>
      </c>
      <c r="D113" s="13"/>
      <c r="E113" s="32">
        <v>49411</v>
      </c>
      <c r="G113" s="8">
        <v>5958950</v>
      </c>
      <c r="I113" s="8">
        <v>1443887</v>
      </c>
      <c r="K113" s="8">
        <v>145551</v>
      </c>
      <c r="M113" s="8">
        <v>652227</v>
      </c>
      <c r="O113" s="8">
        <v>569684</v>
      </c>
      <c r="Q113" s="8">
        <v>667506</v>
      </c>
      <c r="S113" s="8">
        <v>35171</v>
      </c>
      <c r="U113" s="8">
        <v>866047</v>
      </c>
      <c r="W113" s="8">
        <v>303980</v>
      </c>
      <c r="Y113" s="8">
        <v>0</v>
      </c>
      <c r="AA113" s="8">
        <v>1882655</v>
      </c>
      <c r="AC113" s="8">
        <v>1013823</v>
      </c>
      <c r="AE113" s="8">
        <v>85765</v>
      </c>
      <c r="AG113" s="8">
        <v>775295</v>
      </c>
      <c r="AI113" s="8">
        <v>24209</v>
      </c>
      <c r="AJ113" s="13" t="s">
        <v>609</v>
      </c>
      <c r="AK113" s="13"/>
      <c r="AL113" s="13" t="s">
        <v>112</v>
      </c>
      <c r="AN113" s="8">
        <v>480388</v>
      </c>
      <c r="AP113" s="8">
        <v>31184</v>
      </c>
      <c r="AR113" s="8">
        <v>0</v>
      </c>
      <c r="AT113" s="8">
        <v>315000</v>
      </c>
      <c r="AV113" s="8">
        <v>293025</v>
      </c>
      <c r="AX113" s="8">
        <v>0</v>
      </c>
      <c r="AZ113" s="9">
        <f t="shared" si="8"/>
        <v>15544347</v>
      </c>
      <c r="BB113" s="8">
        <v>25000</v>
      </c>
      <c r="BH113" s="8">
        <v>0</v>
      </c>
      <c r="BJ113" s="9">
        <f t="shared" si="7"/>
        <v>15569347</v>
      </c>
      <c r="BL113" s="9">
        <f>'Gov Fd Rv'!AQ113-'Gov Fnd Exp'!BJ113</f>
        <v>812784</v>
      </c>
      <c r="BN113" s="8">
        <v>5849310</v>
      </c>
      <c r="BP113" s="8">
        <v>15479</v>
      </c>
      <c r="BT113" s="9">
        <f t="shared" si="9"/>
        <v>6677573</v>
      </c>
      <c r="BU113" s="9"/>
      <c r="BV113" s="9">
        <f>BT113-'Gov Fd BS'!AA113</f>
        <v>0</v>
      </c>
    </row>
    <row r="114" spans="1:76">
      <c r="A114" s="13" t="s">
        <v>485</v>
      </c>
      <c r="B114" s="13"/>
      <c r="C114" s="13" t="s">
        <v>44</v>
      </c>
      <c r="D114" s="13"/>
      <c r="E114" s="32">
        <v>48132</v>
      </c>
      <c r="G114" s="8">
        <v>6440689</v>
      </c>
      <c r="I114" s="8">
        <v>1311309</v>
      </c>
      <c r="K114" s="8">
        <v>201220</v>
      </c>
      <c r="M114" s="8">
        <v>0</v>
      </c>
      <c r="O114" s="8">
        <v>834885</v>
      </c>
      <c r="Q114" s="8">
        <v>593165</v>
      </c>
      <c r="S114" s="8">
        <v>49124</v>
      </c>
      <c r="U114" s="8">
        <v>1044722</v>
      </c>
      <c r="W114" s="8">
        <v>431047</v>
      </c>
      <c r="Y114" s="8">
        <v>188340</v>
      </c>
      <c r="AA114" s="8">
        <v>1627786</v>
      </c>
      <c r="AC114" s="8">
        <v>368977</v>
      </c>
      <c r="AE114" s="8">
        <v>115822</v>
      </c>
      <c r="AG114" s="8">
        <v>861879</v>
      </c>
      <c r="AI114" s="8">
        <f>19329+37908</f>
        <v>57237</v>
      </c>
      <c r="AJ114" s="13" t="s">
        <v>485</v>
      </c>
      <c r="AK114" s="13"/>
      <c r="AL114" s="13" t="s">
        <v>44</v>
      </c>
      <c r="AN114" s="8">
        <v>435527</v>
      </c>
      <c r="AP114" s="8">
        <v>0</v>
      </c>
      <c r="AR114" s="8">
        <v>0</v>
      </c>
      <c r="AT114" s="8">
        <v>245087</v>
      </c>
      <c r="AV114" s="8">
        <v>281298</v>
      </c>
      <c r="AX114" s="8">
        <v>0</v>
      </c>
      <c r="AZ114" s="9">
        <f t="shared" si="8"/>
        <v>15088114</v>
      </c>
      <c r="BB114" s="8">
        <v>153939</v>
      </c>
      <c r="BH114" s="8">
        <v>0</v>
      </c>
      <c r="BJ114" s="9">
        <f t="shared" si="7"/>
        <v>15242053</v>
      </c>
      <c r="BL114" s="9">
        <f>'Gov Fd Rv'!AQ114-'Gov Fnd Exp'!BJ114</f>
        <v>472781</v>
      </c>
      <c r="BN114" s="8">
        <v>-382262</v>
      </c>
      <c r="BP114" s="8">
        <v>0</v>
      </c>
      <c r="BT114" s="9">
        <f>BL114+BN114+BP114+BR114</f>
        <v>90519</v>
      </c>
      <c r="BU114" s="9"/>
      <c r="BV114" s="9">
        <f>BT114-'Gov Fd BS'!AA114</f>
        <v>0</v>
      </c>
    </row>
    <row r="115" spans="1:76">
      <c r="A115" s="13" t="s">
        <v>911</v>
      </c>
      <c r="B115" s="13"/>
      <c r="C115" s="13" t="s">
        <v>115</v>
      </c>
      <c r="D115" s="13"/>
      <c r="E115" s="32"/>
      <c r="G115" s="8">
        <v>7168122</v>
      </c>
      <c r="I115" s="8">
        <v>2158614</v>
      </c>
      <c r="K115" s="8">
        <v>0</v>
      </c>
      <c r="M115" s="8">
        <v>238602</v>
      </c>
      <c r="O115" s="8">
        <v>856072</v>
      </c>
      <c r="Q115" s="8">
        <v>703739</v>
      </c>
      <c r="S115" s="8">
        <v>67580</v>
      </c>
      <c r="U115" s="8">
        <v>1387629</v>
      </c>
      <c r="W115" s="8">
        <v>523246</v>
      </c>
      <c r="Y115" s="8">
        <v>52529</v>
      </c>
      <c r="AA115" s="8">
        <v>1703575</v>
      </c>
      <c r="AC115" s="8">
        <v>1541144</v>
      </c>
      <c r="AE115" s="8">
        <v>297196</v>
      </c>
      <c r="AG115" s="8">
        <v>689021</v>
      </c>
      <c r="AI115" s="8">
        <v>192024</v>
      </c>
      <c r="AJ115" s="13" t="s">
        <v>911</v>
      </c>
      <c r="AK115" s="13"/>
      <c r="AL115" s="13" t="s">
        <v>115</v>
      </c>
      <c r="AN115" s="8">
        <v>452433</v>
      </c>
      <c r="AP115" s="8">
        <v>0</v>
      </c>
      <c r="AR115" s="8">
        <v>0</v>
      </c>
      <c r="AT115" s="8">
        <v>460000</v>
      </c>
      <c r="AV115" s="8">
        <v>46465</v>
      </c>
      <c r="AX115" s="8">
        <v>0</v>
      </c>
      <c r="AZ115" s="9">
        <f t="shared" si="8"/>
        <v>18537991</v>
      </c>
      <c r="BB115" s="8">
        <v>533236</v>
      </c>
      <c r="BH115" s="8">
        <v>0</v>
      </c>
      <c r="BJ115" s="9">
        <f t="shared" si="7"/>
        <v>19071227</v>
      </c>
      <c r="BL115" s="9">
        <f>'Gov Fd Rv'!AQ115-'Gov Fnd Exp'!BJ115</f>
        <v>-251487</v>
      </c>
      <c r="BN115" s="8">
        <v>3842013</v>
      </c>
      <c r="BP115" s="8">
        <v>0</v>
      </c>
      <c r="BT115" s="9">
        <f>BL115+BN115+BP115+BR115</f>
        <v>3590526</v>
      </c>
      <c r="BU115" s="9"/>
      <c r="BV115" s="9">
        <f>BT115-'Gov Fd BS'!AA115</f>
        <v>0</v>
      </c>
    </row>
    <row r="116" spans="1:76">
      <c r="A116" s="13" t="s">
        <v>908</v>
      </c>
      <c r="B116" s="13"/>
      <c r="C116" s="13" t="s">
        <v>20</v>
      </c>
      <c r="D116" s="13"/>
      <c r="E116" s="32">
        <v>43794</v>
      </c>
      <c r="G116" s="8">
        <v>35617232</v>
      </c>
      <c r="I116" s="8">
        <v>10458889</v>
      </c>
      <c r="K116" s="8">
        <v>2006303</v>
      </c>
      <c r="M116" s="8">
        <f>1097166+3552064</f>
        <v>4649230</v>
      </c>
      <c r="O116" s="8">
        <v>8728926</v>
      </c>
      <c r="Q116" s="8">
        <v>6445317</v>
      </c>
      <c r="S116" s="8">
        <v>460684</v>
      </c>
      <c r="U116" s="8">
        <v>6640220</v>
      </c>
      <c r="W116" s="8">
        <v>2185469</v>
      </c>
      <c r="Y116" s="8">
        <v>1539458</v>
      </c>
      <c r="AA116" s="8">
        <v>11521381</v>
      </c>
      <c r="AC116" s="8">
        <v>4199497</v>
      </c>
      <c r="AE116" s="8">
        <v>3619618</v>
      </c>
      <c r="AG116" s="8">
        <v>0</v>
      </c>
      <c r="AI116" s="8">
        <f>2528283+115736</f>
        <v>2644019</v>
      </c>
      <c r="AJ116" s="13" t="s">
        <v>908</v>
      </c>
      <c r="AK116" s="13"/>
      <c r="AL116" s="13" t="s">
        <v>20</v>
      </c>
      <c r="AN116" s="8">
        <v>1591867</v>
      </c>
      <c r="AP116" s="8">
        <v>1809386</v>
      </c>
      <c r="AR116" s="8">
        <v>0</v>
      </c>
      <c r="AT116" s="8">
        <v>1493387</v>
      </c>
      <c r="AV116" s="8">
        <v>744720</v>
      </c>
      <c r="AX116" s="8">
        <v>0</v>
      </c>
      <c r="AZ116" s="9">
        <f t="shared" si="8"/>
        <v>106355603</v>
      </c>
      <c r="BB116" s="8">
        <v>2427386</v>
      </c>
      <c r="BH116" s="8">
        <v>0</v>
      </c>
      <c r="BJ116" s="9">
        <f t="shared" si="7"/>
        <v>108782989</v>
      </c>
      <c r="BL116" s="9">
        <f>'Gov Fd Rv'!AQ116-'Gov Fnd Exp'!BJ116</f>
        <v>2047918</v>
      </c>
      <c r="BN116" s="8">
        <v>71185034</v>
      </c>
      <c r="BP116" s="8">
        <v>0</v>
      </c>
      <c r="BT116" s="9">
        <f>BL116+BN116+BP116+BR116</f>
        <v>73232952</v>
      </c>
      <c r="BU116" s="9"/>
      <c r="BV116" s="9">
        <f>BT116-'Gov Fd BS'!AA116</f>
        <v>0</v>
      </c>
    </row>
    <row r="117" spans="1:76">
      <c r="A117" s="13" t="s">
        <v>303</v>
      </c>
      <c r="B117" s="13"/>
      <c r="C117" s="13" t="s">
        <v>20</v>
      </c>
      <c r="D117" s="13"/>
      <c r="E117" s="32">
        <v>43786</v>
      </c>
      <c r="G117" s="8">
        <v>317468088</v>
      </c>
      <c r="I117" s="8">
        <v>180320570</v>
      </c>
      <c r="K117" s="8">
        <v>11903774</v>
      </c>
      <c r="M117" s="8">
        <f>2856799+19463893</f>
        <v>22320692</v>
      </c>
      <c r="O117" s="8">
        <v>36579743</v>
      </c>
      <c r="Q117" s="8">
        <v>57763047</v>
      </c>
      <c r="S117" s="8">
        <v>278777</v>
      </c>
      <c r="U117" s="8">
        <v>43240868</v>
      </c>
      <c r="W117" s="8">
        <v>12207258</v>
      </c>
      <c r="Y117" s="8">
        <v>2657905</v>
      </c>
      <c r="AA117" s="8">
        <v>64415385</v>
      </c>
      <c r="AC117" s="8">
        <v>30463468</v>
      </c>
      <c r="AE117" s="8">
        <v>18952494</v>
      </c>
      <c r="AG117" s="8">
        <v>0</v>
      </c>
      <c r="AI117" s="8">
        <v>41995798</v>
      </c>
      <c r="AJ117" s="13" t="s">
        <v>303</v>
      </c>
      <c r="AK117" s="13"/>
      <c r="AL117" s="13" t="s">
        <v>20</v>
      </c>
      <c r="AN117" s="8">
        <v>6902348</v>
      </c>
      <c r="AP117" s="8">
        <v>98020101</v>
      </c>
      <c r="AR117" s="8">
        <v>0</v>
      </c>
      <c r="AT117" s="8">
        <v>9845919</v>
      </c>
      <c r="AV117" s="8">
        <v>8819056</v>
      </c>
      <c r="AX117" s="8">
        <v>0</v>
      </c>
      <c r="AZ117" s="9">
        <f t="shared" si="8"/>
        <v>964155291</v>
      </c>
      <c r="BB117" s="8">
        <v>3770394</v>
      </c>
      <c r="BH117" s="8">
        <v>0</v>
      </c>
      <c r="BJ117" s="9">
        <f t="shared" si="7"/>
        <v>967925685</v>
      </c>
      <c r="BL117" s="9">
        <f>'Gov Fd Rv'!AQ117-'Gov Fnd Exp'!BJ117</f>
        <v>-49566876</v>
      </c>
      <c r="BN117" s="8">
        <v>274033291</v>
      </c>
      <c r="BP117" s="8">
        <v>0</v>
      </c>
      <c r="BT117" s="9">
        <f t="shared" si="9"/>
        <v>224466415</v>
      </c>
      <c r="BU117" s="9"/>
      <c r="BV117" s="9">
        <f>BT117-'Gov Fd BS'!AA117</f>
        <v>0</v>
      </c>
    </row>
    <row r="118" spans="1:76">
      <c r="A118" s="13" t="s">
        <v>275</v>
      </c>
      <c r="B118" s="13"/>
      <c r="C118" s="13" t="s">
        <v>18</v>
      </c>
      <c r="D118" s="13"/>
      <c r="E118" s="32">
        <v>46391</v>
      </c>
      <c r="G118" s="8">
        <v>6577461</v>
      </c>
      <c r="I118" s="8">
        <v>1067552</v>
      </c>
      <c r="K118" s="8">
        <v>0</v>
      </c>
      <c r="M118" s="8">
        <v>1081162</v>
      </c>
      <c r="O118" s="8">
        <v>911863</v>
      </c>
      <c r="Q118" s="8">
        <v>1280856</v>
      </c>
      <c r="S118" s="8">
        <v>17452</v>
      </c>
      <c r="U118" s="8">
        <v>977693</v>
      </c>
      <c r="W118" s="8">
        <v>457838</v>
      </c>
      <c r="Y118" s="8">
        <v>37986</v>
      </c>
      <c r="AA118" s="8">
        <v>1533371</v>
      </c>
      <c r="AC118" s="8">
        <v>913570</v>
      </c>
      <c r="AE118" s="8">
        <v>5310</v>
      </c>
      <c r="AG118" s="8">
        <v>663937</v>
      </c>
      <c r="AI118" s="8">
        <v>4000</v>
      </c>
      <c r="AJ118" s="13" t="s">
        <v>275</v>
      </c>
      <c r="AK118" s="13"/>
      <c r="AL118" s="13" t="s">
        <v>18</v>
      </c>
      <c r="AN118" s="8">
        <v>641223</v>
      </c>
      <c r="AP118" s="8">
        <f>17944894+281387</f>
        <v>18226281</v>
      </c>
      <c r="AR118" s="8">
        <v>0</v>
      </c>
      <c r="AT118" s="8">
        <v>6953310</v>
      </c>
      <c r="AV118" s="8">
        <v>927285</v>
      </c>
      <c r="AX118" s="8">
        <v>0</v>
      </c>
      <c r="AZ118" s="9">
        <f t="shared" si="8"/>
        <v>42278150</v>
      </c>
      <c r="BB118" s="8">
        <v>302319</v>
      </c>
      <c r="BH118" s="8">
        <v>0</v>
      </c>
      <c r="BJ118" s="9">
        <f t="shared" si="7"/>
        <v>42580469</v>
      </c>
      <c r="BL118" s="9">
        <f>'Gov Fd Rv'!AQ118-'Gov Fnd Exp'!BJ118</f>
        <v>-15458958</v>
      </c>
      <c r="BN118" s="8">
        <v>23174125</v>
      </c>
      <c r="BP118" s="8">
        <v>0</v>
      </c>
      <c r="BT118" s="9">
        <f>BL118+BN118+BP118+BR118</f>
        <v>7715167</v>
      </c>
      <c r="BU118" s="9"/>
      <c r="BV118" s="9">
        <f>BT118-'Gov Fd BS'!AA118</f>
        <v>0</v>
      </c>
    </row>
    <row r="119" spans="1:76">
      <c r="A119" s="13" t="s">
        <v>527</v>
      </c>
      <c r="B119" s="13"/>
      <c r="C119" s="13" t="s">
        <v>47</v>
      </c>
      <c r="D119" s="13"/>
      <c r="E119" s="32">
        <v>48488</v>
      </c>
      <c r="G119" s="8">
        <v>16877652</v>
      </c>
      <c r="I119" s="8">
        <v>0</v>
      </c>
      <c r="K119" s="8">
        <v>0</v>
      </c>
      <c r="M119" s="8">
        <v>0</v>
      </c>
      <c r="O119" s="8">
        <v>1418888</v>
      </c>
      <c r="Q119" s="8">
        <v>1663180</v>
      </c>
      <c r="S119" s="8">
        <v>37979</v>
      </c>
      <c r="U119" s="8">
        <v>1755243</v>
      </c>
      <c r="W119" s="8">
        <v>717309</v>
      </c>
      <c r="Y119" s="8">
        <v>452037</v>
      </c>
      <c r="AA119" s="8">
        <v>2462878</v>
      </c>
      <c r="AC119" s="8">
        <v>2190015</v>
      </c>
      <c r="AE119" s="8">
        <v>232241</v>
      </c>
      <c r="AG119" s="8">
        <v>933285</v>
      </c>
      <c r="AI119" s="8">
        <v>504943</v>
      </c>
      <c r="AJ119" s="13" t="s">
        <v>527</v>
      </c>
      <c r="AK119" s="13"/>
      <c r="AL119" s="13" t="s">
        <v>47</v>
      </c>
      <c r="AN119" s="8">
        <v>851375</v>
      </c>
      <c r="AP119" s="8">
        <v>714881</v>
      </c>
      <c r="AR119" s="8">
        <v>0</v>
      </c>
      <c r="AT119" s="8">
        <v>0</v>
      </c>
      <c r="AV119" s="8">
        <v>10267</v>
      </c>
      <c r="AX119" s="8">
        <v>0</v>
      </c>
      <c r="AZ119" s="9">
        <f t="shared" si="8"/>
        <v>30822173</v>
      </c>
      <c r="BB119" s="8">
        <v>287552</v>
      </c>
      <c r="BH119" s="8">
        <v>0</v>
      </c>
      <c r="BJ119" s="9">
        <f t="shared" si="7"/>
        <v>31109725</v>
      </c>
      <c r="BL119" s="9">
        <v>-36909</v>
      </c>
      <c r="BN119" s="8">
        <v>1713209</v>
      </c>
      <c r="BP119" s="8">
        <v>0</v>
      </c>
      <c r="BT119" s="9">
        <f>BL119+BN119+BP119+BR119</f>
        <v>1676300</v>
      </c>
      <c r="BU119" s="9"/>
      <c r="BV119" s="9">
        <f>BT119-'Gov Fd BS'!AA119</f>
        <v>0</v>
      </c>
      <c r="BX119" s="8" t="s">
        <v>913</v>
      </c>
    </row>
    <row r="120" spans="1:76">
      <c r="A120" s="13" t="s">
        <v>622</v>
      </c>
      <c r="B120" s="13"/>
      <c r="C120" s="13" t="s">
        <v>79</v>
      </c>
      <c r="D120" s="13"/>
      <c r="E120" s="32">
        <v>45302</v>
      </c>
      <c r="G120" s="8">
        <v>9801133</v>
      </c>
      <c r="I120" s="8">
        <v>2657258</v>
      </c>
      <c r="K120" s="8">
        <v>1377</v>
      </c>
      <c r="M120" s="8">
        <v>587932</v>
      </c>
      <c r="O120" s="8">
        <v>1141226</v>
      </c>
      <c r="Q120" s="8">
        <v>588022</v>
      </c>
      <c r="S120" s="8">
        <v>28055</v>
      </c>
      <c r="U120" s="8">
        <v>1810625</v>
      </c>
      <c r="W120" s="8">
        <v>594237</v>
      </c>
      <c r="Y120" s="8">
        <v>8807</v>
      </c>
      <c r="AA120" s="8">
        <v>1818580</v>
      </c>
      <c r="AC120" s="8">
        <v>1377536</v>
      </c>
      <c r="AE120" s="8">
        <v>100240</v>
      </c>
      <c r="AG120" s="8">
        <v>924604</v>
      </c>
      <c r="AI120" s="8">
        <v>29929</v>
      </c>
      <c r="AJ120" s="13" t="s">
        <v>622</v>
      </c>
      <c r="AK120" s="13"/>
      <c r="AL120" s="13" t="s">
        <v>79</v>
      </c>
      <c r="AN120" s="8">
        <v>771331</v>
      </c>
      <c r="AP120" s="8">
        <v>8174243</v>
      </c>
      <c r="AR120" s="8">
        <v>0</v>
      </c>
      <c r="AT120" s="8">
        <v>449599</v>
      </c>
      <c r="AV120" s="8">
        <v>1257468</v>
      </c>
      <c r="AX120" s="8">
        <v>38000</v>
      </c>
      <c r="AZ120" s="9">
        <f t="shared" si="8"/>
        <v>32160202</v>
      </c>
      <c r="BB120" s="8">
        <v>115000</v>
      </c>
      <c r="BH120" s="8">
        <v>0</v>
      </c>
      <c r="BJ120" s="9">
        <f t="shared" si="7"/>
        <v>32275202</v>
      </c>
      <c r="BL120" s="9">
        <f>'Gov Fd Rv'!AQ120-'Gov Fnd Exp'!BJ120</f>
        <v>11351289</v>
      </c>
      <c r="BN120" s="8">
        <v>24579942</v>
      </c>
      <c r="BP120" s="8">
        <v>-5164</v>
      </c>
      <c r="BT120" s="9">
        <f t="shared" si="9"/>
        <v>35926067</v>
      </c>
      <c r="BU120" s="9"/>
      <c r="BV120" s="9">
        <f>BT120-'Gov Fd BS'!AA120</f>
        <v>0</v>
      </c>
    </row>
    <row r="121" spans="1:76" hidden="1">
      <c r="A121" s="13" t="s">
        <v>914</v>
      </c>
      <c r="B121" s="13"/>
      <c r="C121" s="13" t="s">
        <v>534</v>
      </c>
      <c r="D121" s="13"/>
      <c r="E121" s="32"/>
      <c r="G121" s="8">
        <v>6525475</v>
      </c>
      <c r="I121" s="8">
        <v>1736261</v>
      </c>
      <c r="K121" s="8">
        <v>649196</v>
      </c>
      <c r="O121" s="8">
        <v>415800</v>
      </c>
      <c r="Q121" s="8">
        <v>303213</v>
      </c>
      <c r="S121" s="8">
        <v>18977</v>
      </c>
      <c r="U121" s="8">
        <v>1159992</v>
      </c>
      <c r="W121" s="8">
        <v>343447</v>
      </c>
      <c r="AA121" s="8">
        <v>1032196</v>
      </c>
      <c r="AC121" s="8">
        <v>570120</v>
      </c>
      <c r="AE121" s="8">
        <v>29094</v>
      </c>
      <c r="AG121" s="8">
        <v>449953</v>
      </c>
      <c r="AI121" s="8">
        <v>80388</v>
      </c>
      <c r="AJ121" s="13" t="s">
        <v>914</v>
      </c>
      <c r="AK121" s="13"/>
      <c r="AL121" s="13" t="s">
        <v>534</v>
      </c>
      <c r="AN121" s="8">
        <v>610785</v>
      </c>
      <c r="AP121" s="8">
        <v>37748</v>
      </c>
      <c r="AT121" s="8">
        <v>440705</v>
      </c>
      <c r="AV121" s="8">
        <v>686048</v>
      </c>
      <c r="AZ121" s="9">
        <f t="shared" si="8"/>
        <v>15089398</v>
      </c>
      <c r="BB121" s="8">
        <v>0</v>
      </c>
      <c r="BH121" s="8">
        <f>-241750-2279-60+241750+4334</f>
        <v>1995</v>
      </c>
      <c r="BJ121" s="9">
        <f t="shared" si="7"/>
        <v>15091393</v>
      </c>
      <c r="BL121" s="9">
        <f>'Gov Fd Rv'!AQ121-'Gov Fnd Exp'!BJ121</f>
        <v>-282256</v>
      </c>
      <c r="BN121" s="8">
        <v>5599024</v>
      </c>
      <c r="BT121" s="9">
        <f t="shared" si="9"/>
        <v>5316768</v>
      </c>
      <c r="BU121" s="9"/>
      <c r="BV121" s="9">
        <f>BT121-'Gov Fd BS'!AA121</f>
        <v>0</v>
      </c>
    </row>
    <row r="122" spans="1:76" hidden="1">
      <c r="A122" s="12" t="s">
        <v>829</v>
      </c>
      <c r="B122" s="13"/>
      <c r="C122" s="13" t="s">
        <v>57</v>
      </c>
      <c r="D122" s="13"/>
      <c r="E122" s="32">
        <v>64964</v>
      </c>
      <c r="G122" s="8">
        <v>465542</v>
      </c>
      <c r="I122" s="8">
        <v>248292</v>
      </c>
      <c r="O122" s="8">
        <v>16409</v>
      </c>
      <c r="Q122" s="8">
        <v>12234</v>
      </c>
      <c r="S122" s="8">
        <v>18033</v>
      </c>
      <c r="U122" s="8">
        <v>76733</v>
      </c>
      <c r="W122" s="8">
        <v>71029</v>
      </c>
      <c r="AA122" s="8">
        <v>23609</v>
      </c>
      <c r="AE122" s="8">
        <v>12618</v>
      </c>
      <c r="AI122" s="8">
        <v>4190</v>
      </c>
      <c r="AJ122" s="13" t="s">
        <v>598</v>
      </c>
      <c r="AK122" s="13"/>
      <c r="AL122" s="13" t="s">
        <v>57</v>
      </c>
      <c r="AZ122" s="9">
        <f t="shared" si="8"/>
        <v>948689</v>
      </c>
      <c r="BJ122" s="9">
        <f t="shared" si="7"/>
        <v>948689</v>
      </c>
      <c r="BL122" s="9">
        <f>'Gov Fd Rv'!AQ122-'Gov Fnd Exp'!BJ122</f>
        <v>370727</v>
      </c>
      <c r="BN122" s="8">
        <v>1954513</v>
      </c>
      <c r="BT122" s="9">
        <f t="shared" si="9"/>
        <v>2325240</v>
      </c>
      <c r="BU122" s="9"/>
      <c r="BV122" s="9">
        <f>BT122-'Gov Fd BS'!AA122</f>
        <v>0</v>
      </c>
    </row>
    <row r="123" spans="1:76">
      <c r="A123" s="13" t="s">
        <v>292</v>
      </c>
      <c r="B123" s="13"/>
      <c r="C123" s="13" t="s">
        <v>113</v>
      </c>
      <c r="D123" s="13"/>
      <c r="E123" s="32">
        <v>46516</v>
      </c>
      <c r="G123" s="8">
        <v>3830974</v>
      </c>
      <c r="I123" s="8">
        <v>1121852</v>
      </c>
      <c r="K123" s="8">
        <v>18242</v>
      </c>
      <c r="M123" s="8">
        <v>5115</v>
      </c>
      <c r="O123" s="8">
        <v>472056</v>
      </c>
      <c r="Q123" s="8">
        <v>275515</v>
      </c>
      <c r="S123" s="8">
        <v>24545</v>
      </c>
      <c r="U123" s="8">
        <v>575730</v>
      </c>
      <c r="W123" s="8">
        <v>394380</v>
      </c>
      <c r="Y123" s="8">
        <v>52</v>
      </c>
      <c r="AA123" s="8">
        <v>1125228</v>
      </c>
      <c r="AC123" s="8">
        <v>921129</v>
      </c>
      <c r="AE123" s="8">
        <v>61581</v>
      </c>
      <c r="AG123" s="8">
        <v>364495</v>
      </c>
      <c r="AI123" s="8">
        <v>31164</v>
      </c>
      <c r="AJ123" s="13" t="s">
        <v>292</v>
      </c>
      <c r="AK123" s="13"/>
      <c r="AL123" s="13" t="s">
        <v>113</v>
      </c>
      <c r="AN123" s="8">
        <v>381086</v>
      </c>
      <c r="AP123" s="8">
        <v>143267</v>
      </c>
      <c r="AR123" s="8">
        <v>0</v>
      </c>
      <c r="AT123" s="8">
        <v>439152</v>
      </c>
      <c r="AV123" s="8">
        <v>537131</v>
      </c>
      <c r="AX123" s="8">
        <v>0</v>
      </c>
      <c r="AZ123" s="9">
        <f t="shared" si="8"/>
        <v>10722694</v>
      </c>
      <c r="BB123" s="8">
        <v>226464</v>
      </c>
      <c r="BH123" s="8">
        <v>0</v>
      </c>
      <c r="BJ123" s="9">
        <f t="shared" si="7"/>
        <v>10949158</v>
      </c>
      <c r="BL123" s="9">
        <f>'Gov Fd Rv'!AQ123-'Gov Fnd Exp'!BJ123</f>
        <v>-154163</v>
      </c>
      <c r="BN123" s="8">
        <v>2757600</v>
      </c>
      <c r="BP123" s="8">
        <v>0</v>
      </c>
      <c r="BT123" s="9">
        <f t="shared" si="9"/>
        <v>2603437</v>
      </c>
      <c r="BU123" s="9"/>
      <c r="BV123" s="9">
        <f>BT123-'Gov Fd BS'!AA123</f>
        <v>0</v>
      </c>
    </row>
    <row r="124" spans="1:76">
      <c r="A124" s="13" t="s">
        <v>486</v>
      </c>
      <c r="B124" s="13"/>
      <c r="C124" s="13" t="s">
        <v>44</v>
      </c>
      <c r="D124" s="13"/>
      <c r="E124" s="32">
        <v>48140</v>
      </c>
      <c r="G124" s="8">
        <v>5371039</v>
      </c>
      <c r="I124" s="8">
        <v>844460</v>
      </c>
      <c r="K124" s="8">
        <v>83644</v>
      </c>
      <c r="M124" s="8">
        <v>476412</v>
      </c>
      <c r="O124" s="8">
        <v>636182</v>
      </c>
      <c r="Q124" s="8">
        <v>358220</v>
      </c>
      <c r="S124" s="8">
        <v>28020</v>
      </c>
      <c r="U124" s="8">
        <v>933279</v>
      </c>
      <c r="W124" s="8">
        <v>369405</v>
      </c>
      <c r="Y124" s="8">
        <v>0</v>
      </c>
      <c r="AA124" s="8">
        <v>1110591</v>
      </c>
      <c r="AC124" s="8">
        <v>757140</v>
      </c>
      <c r="AE124" s="8">
        <v>136026</v>
      </c>
      <c r="AG124" s="8">
        <v>411953</v>
      </c>
      <c r="AI124" s="8">
        <v>0</v>
      </c>
      <c r="AJ124" s="13" t="s">
        <v>486</v>
      </c>
      <c r="AK124" s="13"/>
      <c r="AL124" s="13" t="s">
        <v>44</v>
      </c>
      <c r="AN124" s="8">
        <v>429692</v>
      </c>
      <c r="AP124" s="8">
        <f>7903+77320</f>
        <v>85223</v>
      </c>
      <c r="AR124" s="8">
        <v>0</v>
      </c>
      <c r="AT124" s="8">
        <v>10320</v>
      </c>
      <c r="AV124" s="8">
        <v>4675</v>
      </c>
      <c r="AX124" s="8">
        <v>0</v>
      </c>
      <c r="AZ124" s="9">
        <f t="shared" si="8"/>
        <v>12046281</v>
      </c>
      <c r="BB124" s="8">
        <v>67600</v>
      </c>
      <c r="BH124" s="8">
        <v>0</v>
      </c>
      <c r="BJ124" s="9">
        <f t="shared" si="7"/>
        <v>12113881</v>
      </c>
      <c r="BL124" s="9">
        <f>'Gov Fd Rv'!AQ124-'Gov Fnd Exp'!BJ124</f>
        <v>-952711</v>
      </c>
      <c r="BN124" s="8">
        <v>2381064</v>
      </c>
      <c r="BP124" s="8">
        <v>0</v>
      </c>
      <c r="BT124" s="9">
        <f t="shared" si="9"/>
        <v>1428353</v>
      </c>
      <c r="BU124" s="9"/>
      <c r="BV124" s="9">
        <f>BT124-'Gov Fd BS'!AA124</f>
        <v>0</v>
      </c>
    </row>
    <row r="125" spans="1:76">
      <c r="A125" s="13" t="s">
        <v>279</v>
      </c>
      <c r="B125" s="13"/>
      <c r="C125" s="13" t="s">
        <v>114</v>
      </c>
      <c r="D125" s="13"/>
      <c r="E125" s="32">
        <v>45328</v>
      </c>
      <c r="G125" s="8">
        <v>4991879</v>
      </c>
      <c r="I125" s="8">
        <v>1400736</v>
      </c>
      <c r="K125" s="8">
        <v>0</v>
      </c>
      <c r="M125" s="8">
        <v>69029</v>
      </c>
      <c r="O125" s="8">
        <v>361056</v>
      </c>
      <c r="Q125" s="8">
        <v>114511</v>
      </c>
      <c r="S125" s="8">
        <v>21057</v>
      </c>
      <c r="U125" s="8">
        <v>744144</v>
      </c>
      <c r="W125" s="8">
        <v>351423</v>
      </c>
      <c r="Y125" s="8">
        <v>0</v>
      </c>
      <c r="AA125" s="8">
        <v>660162</v>
      </c>
      <c r="AC125" s="8">
        <v>266394</v>
      </c>
      <c r="AE125" s="8">
        <v>0</v>
      </c>
      <c r="AG125" s="8">
        <v>319218</v>
      </c>
      <c r="AI125" s="8">
        <v>0</v>
      </c>
      <c r="AJ125" s="13" t="s">
        <v>279</v>
      </c>
      <c r="AK125" s="13"/>
      <c r="AL125" s="13" t="s">
        <v>114</v>
      </c>
      <c r="AN125" s="8">
        <v>348165</v>
      </c>
      <c r="AP125" s="8">
        <v>101100</v>
      </c>
      <c r="AR125" s="8">
        <v>0</v>
      </c>
      <c r="AT125" s="8">
        <v>561268</v>
      </c>
      <c r="AV125" s="8">
        <v>386981</v>
      </c>
      <c r="AX125" s="8">
        <v>0</v>
      </c>
      <c r="AZ125" s="9">
        <f t="shared" si="8"/>
        <v>10697123</v>
      </c>
      <c r="BB125" s="8">
        <v>0</v>
      </c>
      <c r="BH125" s="8">
        <v>0</v>
      </c>
      <c r="BJ125" s="9">
        <f t="shared" si="7"/>
        <v>10697123</v>
      </c>
      <c r="BL125" s="9">
        <f>'Gov Fd Rv'!AQ125-'Gov Fnd Exp'!BJ125</f>
        <v>472452</v>
      </c>
      <c r="BN125" s="8">
        <v>3308801</v>
      </c>
      <c r="BP125" s="8">
        <v>0</v>
      </c>
      <c r="BT125" s="9">
        <f t="shared" si="9"/>
        <v>3781253</v>
      </c>
      <c r="BU125" s="9"/>
      <c r="BV125" s="9">
        <f>BT125-'Gov Fd BS'!AA125</f>
        <v>0</v>
      </c>
    </row>
    <row r="126" spans="1:76">
      <c r="A126" s="13" t="s">
        <v>354</v>
      </c>
      <c r="B126" s="13"/>
      <c r="C126" s="13" t="s">
        <v>27</v>
      </c>
      <c r="D126" s="13"/>
      <c r="E126" s="32">
        <v>43802</v>
      </c>
      <c r="G126" s="8">
        <v>320714359</v>
      </c>
      <c r="I126" s="8">
        <v>97850009</v>
      </c>
      <c r="K126" s="8">
        <v>10171778</v>
      </c>
      <c r="M126" s="8">
        <f>2416671+2607321</f>
        <v>5023992</v>
      </c>
      <c r="O126" s="8">
        <v>56296292</v>
      </c>
      <c r="Q126" s="8">
        <v>76315443</v>
      </c>
      <c r="S126" s="8">
        <v>186196</v>
      </c>
      <c r="U126" s="8">
        <v>50566784</v>
      </c>
      <c r="W126" s="8">
        <v>15817065</v>
      </c>
      <c r="Y126" s="8">
        <v>2341348</v>
      </c>
      <c r="AA126" s="8">
        <v>67104066</v>
      </c>
      <c r="AC126" s="8">
        <v>56383981</v>
      </c>
      <c r="AE126" s="8">
        <v>28988121</v>
      </c>
      <c r="AG126" s="8">
        <v>0</v>
      </c>
      <c r="AI126" s="8">
        <v>37071661</v>
      </c>
      <c r="AJ126" s="13" t="s">
        <v>354</v>
      </c>
      <c r="AK126" s="13"/>
      <c r="AL126" s="13" t="s">
        <v>27</v>
      </c>
      <c r="AN126" s="8">
        <v>7707785</v>
      </c>
      <c r="AP126" s="8">
        <v>103035860</v>
      </c>
      <c r="AR126" s="8">
        <v>0</v>
      </c>
      <c r="AT126" s="8">
        <v>30433300</v>
      </c>
      <c r="AV126" s="8">
        <f>17334977+988844+6606255</f>
        <v>24930076</v>
      </c>
      <c r="AX126" s="8">
        <v>0</v>
      </c>
      <c r="AZ126" s="9">
        <f t="shared" si="8"/>
        <v>990938116</v>
      </c>
      <c r="BB126" s="8">
        <v>4639185</v>
      </c>
      <c r="BH126" s="8">
        <v>0</v>
      </c>
      <c r="BJ126" s="9">
        <f t="shared" si="7"/>
        <v>995577301</v>
      </c>
      <c r="BL126" s="9">
        <f>'Gov Fd Rv'!AQ126-'Gov Fnd Exp'!BJ126</f>
        <v>105817633</v>
      </c>
      <c r="BN126" s="8">
        <v>340588235</v>
      </c>
      <c r="BP126" s="8">
        <v>0</v>
      </c>
      <c r="BT126" s="9">
        <f t="shared" si="9"/>
        <v>446405868</v>
      </c>
      <c r="BU126" s="9"/>
      <c r="BV126" s="9">
        <f>BT126-'Gov Fd BS'!AA126</f>
        <v>0</v>
      </c>
    </row>
    <row r="127" spans="1:76" hidden="1">
      <c r="A127" s="13" t="s">
        <v>830</v>
      </c>
      <c r="B127" s="13"/>
      <c r="C127" s="13" t="s">
        <v>603</v>
      </c>
      <c r="D127" s="13"/>
      <c r="E127" s="32">
        <v>49312</v>
      </c>
      <c r="G127" s="8">
        <v>3952434</v>
      </c>
      <c r="I127" s="8">
        <v>728263</v>
      </c>
      <c r="K127" s="8">
        <v>117208</v>
      </c>
      <c r="O127" s="8">
        <v>277183</v>
      </c>
      <c r="Q127" s="8">
        <v>124393</v>
      </c>
      <c r="S127" s="8">
        <v>21874</v>
      </c>
      <c r="U127" s="8">
        <v>506545</v>
      </c>
      <c r="W127" s="8">
        <v>223804</v>
      </c>
      <c r="AA127" s="8">
        <v>523380</v>
      </c>
      <c r="AC127" s="8">
        <v>428512</v>
      </c>
      <c r="AE127" s="8">
        <v>75352</v>
      </c>
      <c r="AG127" s="8">
        <v>283504</v>
      </c>
      <c r="AI127" s="8">
        <v>119809</v>
      </c>
      <c r="AJ127" s="13" t="s">
        <v>602</v>
      </c>
      <c r="AK127" s="13"/>
      <c r="AL127" s="13" t="s">
        <v>603</v>
      </c>
      <c r="AN127" s="8">
        <v>461384</v>
      </c>
      <c r="AP127" s="8">
        <v>724806</v>
      </c>
      <c r="AT127" s="8">
        <v>120000</v>
      </c>
      <c r="AV127" s="8">
        <v>19500</v>
      </c>
      <c r="AZ127" s="9">
        <f t="shared" si="8"/>
        <v>8707951</v>
      </c>
      <c r="BJ127" s="9">
        <f t="shared" si="7"/>
        <v>8707951</v>
      </c>
      <c r="BL127" s="9">
        <f>'Gov Fd Rv'!AQ127-'Gov Fnd Exp'!BJ127</f>
        <v>-280124</v>
      </c>
      <c r="BN127" s="8">
        <v>4713980</v>
      </c>
      <c r="BT127" s="9">
        <f t="shared" si="9"/>
        <v>4433856</v>
      </c>
      <c r="BU127" s="9"/>
      <c r="BV127" s="9">
        <f>BT127-'Gov Fd BS'!AA127</f>
        <v>0</v>
      </c>
    </row>
    <row r="128" spans="1:76">
      <c r="A128" s="13" t="s">
        <v>218</v>
      </c>
      <c r="B128" s="13"/>
      <c r="C128" s="13" t="s">
        <v>12</v>
      </c>
      <c r="D128" s="13"/>
      <c r="E128" s="32">
        <v>43810</v>
      </c>
      <c r="G128" s="8">
        <v>8331727</v>
      </c>
      <c r="I128" s="8">
        <v>1752116</v>
      </c>
      <c r="K128" s="8">
        <v>43467</v>
      </c>
      <c r="M128" s="8">
        <v>612784</v>
      </c>
      <c r="O128" s="8">
        <v>1209273</v>
      </c>
      <c r="Q128" s="8">
        <v>1332028</v>
      </c>
      <c r="S128" s="8">
        <v>40105</v>
      </c>
      <c r="U128" s="8">
        <v>1502674</v>
      </c>
      <c r="W128" s="8">
        <v>394855</v>
      </c>
      <c r="Y128" s="8">
        <v>0</v>
      </c>
      <c r="AA128" s="8">
        <v>2132167</v>
      </c>
      <c r="AC128" s="8">
        <v>916693</v>
      </c>
      <c r="AE128" s="8">
        <v>91272</v>
      </c>
      <c r="AG128" s="8">
        <v>803337</v>
      </c>
      <c r="AI128" s="8">
        <v>0</v>
      </c>
      <c r="AJ128" s="13" t="s">
        <v>218</v>
      </c>
      <c r="AK128" s="13"/>
      <c r="AL128" s="13" t="s">
        <v>12</v>
      </c>
      <c r="AN128" s="8">
        <v>370459</v>
      </c>
      <c r="AP128" s="8">
        <v>397832</v>
      </c>
      <c r="AR128" s="8">
        <v>0</v>
      </c>
      <c r="AT128" s="8">
        <v>255000</v>
      </c>
      <c r="AV128" s="8">
        <v>234910</v>
      </c>
      <c r="AX128" s="8">
        <v>0</v>
      </c>
      <c r="AZ128" s="9">
        <f t="shared" si="8"/>
        <v>20420699</v>
      </c>
      <c r="BB128" s="8">
        <v>10858</v>
      </c>
      <c r="BH128" s="8">
        <v>0</v>
      </c>
      <c r="BJ128" s="9">
        <f t="shared" si="7"/>
        <v>20431557</v>
      </c>
      <c r="BL128" s="9">
        <f>'Gov Fd Rv'!AQ128-'Gov Fnd Exp'!BJ128</f>
        <v>1008023</v>
      </c>
      <c r="BN128" s="8">
        <v>6657034</v>
      </c>
      <c r="BP128" s="8">
        <v>0</v>
      </c>
      <c r="BT128" s="9">
        <f t="shared" si="9"/>
        <v>7665057</v>
      </c>
      <c r="BU128" s="9"/>
      <c r="BV128" s="9">
        <f>BT128-'Gov Fd BS'!AA128</f>
        <v>0</v>
      </c>
    </row>
    <row r="129" spans="1:76">
      <c r="A129" s="13" t="s">
        <v>427</v>
      </c>
      <c r="B129" s="13"/>
      <c r="C129" s="13" t="s">
        <v>428</v>
      </c>
      <c r="D129" s="13"/>
      <c r="E129" s="13">
        <v>47548</v>
      </c>
      <c r="G129" s="8">
        <v>2604574</v>
      </c>
      <c r="I129" s="8">
        <v>671648</v>
      </c>
      <c r="K129" s="8">
        <v>69546</v>
      </c>
      <c r="M129" s="8">
        <v>20063</v>
      </c>
      <c r="O129" s="8">
        <v>221249</v>
      </c>
      <c r="Q129" s="8">
        <v>312701</v>
      </c>
      <c r="S129" s="8">
        <v>13649</v>
      </c>
      <c r="U129" s="8">
        <v>548907</v>
      </c>
      <c r="W129" s="8">
        <v>214553</v>
      </c>
      <c r="Y129" s="8">
        <v>0</v>
      </c>
      <c r="AA129" s="8">
        <v>555594</v>
      </c>
      <c r="AC129" s="8">
        <v>462794</v>
      </c>
      <c r="AE129" s="8">
        <v>14601</v>
      </c>
      <c r="AG129" s="8">
        <v>266006</v>
      </c>
      <c r="AI129" s="8">
        <v>0</v>
      </c>
      <c r="AJ129" s="13" t="s">
        <v>427</v>
      </c>
      <c r="AK129" s="13"/>
      <c r="AL129" s="13" t="s">
        <v>428</v>
      </c>
      <c r="AN129" s="8">
        <v>136183</v>
      </c>
      <c r="AP129" s="8">
        <v>16335</v>
      </c>
      <c r="AR129" s="8">
        <v>0</v>
      </c>
      <c r="AT129" s="8">
        <v>13673</v>
      </c>
      <c r="AV129" s="8">
        <v>3067</v>
      </c>
      <c r="AX129" s="8">
        <v>0</v>
      </c>
      <c r="AZ129" s="9">
        <f t="shared" si="8"/>
        <v>6145143</v>
      </c>
      <c r="BB129" s="8">
        <v>470900</v>
      </c>
      <c r="BH129" s="8">
        <v>0</v>
      </c>
      <c r="BJ129" s="9">
        <f t="shared" si="7"/>
        <v>6616043</v>
      </c>
      <c r="BL129" s="9">
        <f>'Gov Fd Rv'!AQ129-'Gov Fnd Exp'!BJ129</f>
        <v>-730594</v>
      </c>
      <c r="BN129" s="8">
        <v>1733761</v>
      </c>
      <c r="BP129" s="8">
        <v>0</v>
      </c>
      <c r="BT129" s="9">
        <f t="shared" si="9"/>
        <v>1003167</v>
      </c>
      <c r="BU129" s="9"/>
      <c r="BV129" s="9">
        <f>BT129-'Gov Fd BS'!AA129</f>
        <v>0</v>
      </c>
    </row>
    <row r="130" spans="1:76" hidden="1">
      <c r="A130" s="13" t="s">
        <v>969</v>
      </c>
      <c r="B130" s="13"/>
      <c r="C130" s="13" t="s">
        <v>603</v>
      </c>
      <c r="D130" s="13"/>
      <c r="E130" s="32">
        <v>49320</v>
      </c>
      <c r="AJ130" s="13" t="s">
        <v>604</v>
      </c>
      <c r="AK130" s="13"/>
      <c r="AL130" s="13" t="s">
        <v>603</v>
      </c>
      <c r="AZ130" s="9">
        <f t="shared" si="8"/>
        <v>0</v>
      </c>
      <c r="BJ130" s="9">
        <f t="shared" si="7"/>
        <v>0</v>
      </c>
      <c r="BL130" s="9">
        <f>'Gov Fd Rv'!AQ130-'Gov Fnd Exp'!BJ130</f>
        <v>0</v>
      </c>
      <c r="BT130" s="9">
        <f t="shared" si="9"/>
        <v>0</v>
      </c>
      <c r="BU130" s="9"/>
      <c r="BV130" s="9">
        <f>BT130-'Gov Fd BS'!AA130</f>
        <v>0</v>
      </c>
    </row>
    <row r="131" spans="1:76">
      <c r="A131" s="13" t="s">
        <v>664</v>
      </c>
      <c r="B131" s="13"/>
      <c r="C131" s="13" t="s">
        <v>63</v>
      </c>
      <c r="D131" s="13"/>
      <c r="E131" s="13">
        <v>49981</v>
      </c>
      <c r="G131" s="8">
        <v>16173404</v>
      </c>
      <c r="I131" s="8">
        <v>2578525</v>
      </c>
      <c r="K131" s="8">
        <v>673878</v>
      </c>
      <c r="M131" s="8">
        <v>600</v>
      </c>
      <c r="O131" s="8">
        <v>1774611</v>
      </c>
      <c r="Q131" s="8">
        <v>1493190</v>
      </c>
      <c r="S131" s="8">
        <v>169565</v>
      </c>
      <c r="U131" s="8">
        <v>1631506</v>
      </c>
      <c r="W131" s="8">
        <v>970238</v>
      </c>
      <c r="Y131" s="8">
        <v>129907</v>
      </c>
      <c r="AA131" s="8">
        <v>3230518</v>
      </c>
      <c r="AC131" s="8">
        <v>1484575</v>
      </c>
      <c r="AE131" s="8">
        <v>249232</v>
      </c>
      <c r="AG131" s="8">
        <v>924091</v>
      </c>
      <c r="AI131" s="8">
        <v>752313</v>
      </c>
      <c r="AJ131" s="13" t="s">
        <v>664</v>
      </c>
      <c r="AK131" s="13"/>
      <c r="AL131" s="13" t="s">
        <v>63</v>
      </c>
      <c r="AN131" s="8">
        <v>1039066</v>
      </c>
      <c r="AP131" s="8">
        <v>813211</v>
      </c>
      <c r="AR131" s="8">
        <v>0</v>
      </c>
      <c r="AT131" s="8">
        <v>1370285</v>
      </c>
      <c r="AV131" s="8">
        <v>297656</v>
      </c>
      <c r="AX131" s="8">
        <v>0</v>
      </c>
      <c r="AZ131" s="9">
        <f t="shared" si="8"/>
        <v>35756371</v>
      </c>
      <c r="BB131" s="8">
        <v>58000</v>
      </c>
      <c r="BH131" s="8">
        <v>0</v>
      </c>
      <c r="BJ131" s="9">
        <f t="shared" si="7"/>
        <v>35814371</v>
      </c>
      <c r="BL131" s="9">
        <f>'Gov Fd Rv'!AQ131-'Gov Fnd Exp'!BJ131</f>
        <v>-1000996</v>
      </c>
      <c r="BN131" s="8">
        <v>9480004</v>
      </c>
      <c r="BP131" s="8">
        <v>0</v>
      </c>
      <c r="BT131" s="9">
        <f t="shared" si="9"/>
        <v>8479008</v>
      </c>
      <c r="BU131" s="9"/>
      <c r="BV131" s="9">
        <f>BT131-'Gov Fd BS'!AA131</f>
        <v>0</v>
      </c>
    </row>
    <row r="132" spans="1:76">
      <c r="A132" s="13" t="s">
        <v>415</v>
      </c>
      <c r="B132" s="13"/>
      <c r="C132" s="13" t="s">
        <v>33</v>
      </c>
      <c r="D132" s="13"/>
      <c r="E132" s="32">
        <v>47431</v>
      </c>
      <c r="G132" s="8">
        <v>3156999</v>
      </c>
      <c r="I132" s="8">
        <v>632612</v>
      </c>
      <c r="K132" s="8">
        <v>328938</v>
      </c>
      <c r="M132" s="8">
        <v>0</v>
      </c>
      <c r="O132" s="8">
        <v>318705</v>
      </c>
      <c r="Q132" s="8">
        <v>440739</v>
      </c>
      <c r="S132" s="8">
        <v>44162</v>
      </c>
      <c r="U132" s="8">
        <v>786164</v>
      </c>
      <c r="W132" s="8">
        <v>186700</v>
      </c>
      <c r="Y132" s="8">
        <v>0</v>
      </c>
      <c r="AA132" s="8">
        <v>726870</v>
      </c>
      <c r="AC132" s="8">
        <v>396727</v>
      </c>
      <c r="AE132" s="8">
        <v>11246</v>
      </c>
      <c r="AG132" s="8">
        <v>0</v>
      </c>
      <c r="AI132" s="8">
        <v>293238</v>
      </c>
      <c r="AJ132" s="13" t="s">
        <v>415</v>
      </c>
      <c r="AK132" s="13"/>
      <c r="AL132" s="13" t="s">
        <v>33</v>
      </c>
      <c r="AN132" s="8">
        <v>283990</v>
      </c>
      <c r="AP132" s="8">
        <v>30000</v>
      </c>
      <c r="AR132" s="8">
        <v>0</v>
      </c>
      <c r="AT132" s="8">
        <v>3854</v>
      </c>
      <c r="AV132" s="8">
        <v>613</v>
      </c>
      <c r="AX132" s="8">
        <v>0</v>
      </c>
      <c r="AZ132" s="9">
        <f t="shared" si="8"/>
        <v>7641557</v>
      </c>
      <c r="BB132" s="8">
        <v>47828</v>
      </c>
      <c r="BH132" s="8">
        <v>0</v>
      </c>
      <c r="BJ132" s="9">
        <f t="shared" si="7"/>
        <v>7689385</v>
      </c>
      <c r="BL132" s="9">
        <f>'Gov Fd Rv'!AQ132-'Gov Fnd Exp'!BJ132</f>
        <v>-416620</v>
      </c>
      <c r="BN132" s="8">
        <v>469067</v>
      </c>
      <c r="BP132" s="8">
        <v>0</v>
      </c>
      <c r="BT132" s="9">
        <f t="shared" si="9"/>
        <v>52447</v>
      </c>
      <c r="BU132" s="9"/>
      <c r="BV132" s="9">
        <f>BT132-'Gov Fd BS'!AA132</f>
        <v>0</v>
      </c>
    </row>
    <row r="133" spans="1:76">
      <c r="A133" s="13" t="s">
        <v>287</v>
      </c>
      <c r="B133" s="13"/>
      <c r="C133" s="13" t="s">
        <v>19</v>
      </c>
      <c r="D133" s="13"/>
      <c r="E133" s="32">
        <v>43828</v>
      </c>
      <c r="G133" s="8">
        <v>10320189</v>
      </c>
      <c r="I133" s="8">
        <v>0</v>
      </c>
      <c r="K133" s="8">
        <v>0</v>
      </c>
      <c r="M133" s="8">
        <v>0</v>
      </c>
      <c r="O133" s="8">
        <v>659282</v>
      </c>
      <c r="Q133" s="8">
        <v>809461</v>
      </c>
      <c r="S133" s="8">
        <v>2054</v>
      </c>
      <c r="U133" s="8">
        <v>1314940</v>
      </c>
      <c r="W133" s="8">
        <v>402579</v>
      </c>
      <c r="Y133" s="8">
        <v>177166</v>
      </c>
      <c r="AA133" s="8">
        <v>1574921</v>
      </c>
      <c r="AC133" s="8">
        <v>284830</v>
      </c>
      <c r="AE133" s="8">
        <v>23427</v>
      </c>
      <c r="AG133" s="8">
        <v>786653</v>
      </c>
      <c r="AI133" s="8">
        <v>75509</v>
      </c>
      <c r="AJ133" s="13" t="s">
        <v>287</v>
      </c>
      <c r="AK133" s="13"/>
      <c r="AL133" s="13" t="s">
        <v>19</v>
      </c>
      <c r="AN133" s="8">
        <v>384604</v>
      </c>
      <c r="AP133" s="8">
        <v>230641</v>
      </c>
      <c r="AR133" s="8">
        <v>0</v>
      </c>
      <c r="AT133" s="8">
        <v>0</v>
      </c>
      <c r="AV133" s="8">
        <v>0</v>
      </c>
      <c r="AX133" s="8">
        <v>0</v>
      </c>
      <c r="AZ133" s="9">
        <f t="shared" si="8"/>
        <v>17046256</v>
      </c>
      <c r="BB133" s="8">
        <v>240</v>
      </c>
      <c r="BH133" s="8">
        <v>0</v>
      </c>
      <c r="BJ133" s="9">
        <f t="shared" si="7"/>
        <v>17046496</v>
      </c>
      <c r="BL133" s="9">
        <f>'Gov Fd Rv'!AQ133-'Gov Fnd Exp'!BJ133</f>
        <v>840320</v>
      </c>
      <c r="BN133" s="8">
        <v>-940106</v>
      </c>
      <c r="BP133" s="8">
        <v>-1263</v>
      </c>
      <c r="BT133" s="9">
        <f t="shared" si="9"/>
        <v>-101049</v>
      </c>
      <c r="BU133" s="9"/>
      <c r="BV133" s="9">
        <f>BT133-'Gov Fd BS'!AA133</f>
        <v>0</v>
      </c>
      <c r="BX133" s="8" t="s">
        <v>913</v>
      </c>
    </row>
    <row r="134" spans="1:76">
      <c r="A134" s="13" t="s">
        <v>816</v>
      </c>
      <c r="B134" s="13"/>
      <c r="C134" s="13" t="s">
        <v>63</v>
      </c>
      <c r="D134" s="13"/>
      <c r="E134" s="32"/>
      <c r="G134" s="8">
        <v>9493290</v>
      </c>
      <c r="I134" s="8">
        <v>2198612</v>
      </c>
      <c r="K134" s="8">
        <v>169953</v>
      </c>
      <c r="M134" s="8">
        <f>8535+525266</f>
        <v>533801</v>
      </c>
      <c r="O134" s="8">
        <v>1140523</v>
      </c>
      <c r="Q134" s="8">
        <v>1174365</v>
      </c>
      <c r="S134" s="8">
        <v>53683</v>
      </c>
      <c r="U134" s="8">
        <v>1871522</v>
      </c>
      <c r="W134" s="8">
        <v>499587</v>
      </c>
      <c r="Y134" s="8">
        <v>67841</v>
      </c>
      <c r="AA134" s="8">
        <v>2351801</v>
      </c>
      <c r="AC134" s="8">
        <v>1058167</v>
      </c>
      <c r="AE134" s="8">
        <v>147434</v>
      </c>
      <c r="AG134" s="8">
        <v>808370</v>
      </c>
      <c r="AI134" s="8">
        <v>297505</v>
      </c>
      <c r="AJ134" s="13" t="s">
        <v>816</v>
      </c>
      <c r="AK134" s="13"/>
      <c r="AL134" s="13" t="s">
        <v>63</v>
      </c>
      <c r="AN134" s="8">
        <v>486086</v>
      </c>
      <c r="AP134" s="8">
        <v>16502</v>
      </c>
      <c r="AR134" s="8">
        <v>0</v>
      </c>
      <c r="AT134" s="8">
        <v>415002</v>
      </c>
      <c r="AV134" s="8">
        <v>281132</v>
      </c>
      <c r="AX134" s="8">
        <v>0</v>
      </c>
      <c r="AZ134" s="9">
        <f t="shared" si="8"/>
        <v>23065176</v>
      </c>
      <c r="BB134" s="8">
        <v>36121</v>
      </c>
      <c r="BH134" s="8">
        <v>0</v>
      </c>
      <c r="BJ134" s="9">
        <f t="shared" si="7"/>
        <v>23101297</v>
      </c>
      <c r="BL134" s="9">
        <f>'Gov Fd Rv'!AQ134-'Gov Fnd Exp'!BJ134</f>
        <v>-1367009</v>
      </c>
      <c r="BN134" s="8">
        <v>-746634</v>
      </c>
      <c r="BP134" s="8">
        <v>0</v>
      </c>
      <c r="BT134" s="9">
        <f t="shared" si="9"/>
        <v>-2113643</v>
      </c>
      <c r="BU134" s="9"/>
      <c r="BV134" s="9">
        <f>BT134-'Gov Fd BS'!AA134</f>
        <v>0</v>
      </c>
    </row>
    <row r="135" spans="1:76">
      <c r="A135" s="13" t="s">
        <v>915</v>
      </c>
      <c r="B135" s="13"/>
      <c r="C135" s="13" t="s">
        <v>48</v>
      </c>
      <c r="D135" s="13"/>
      <c r="E135" s="32">
        <v>45336</v>
      </c>
      <c r="G135" s="8">
        <v>3523119</v>
      </c>
      <c r="I135" s="8">
        <v>687445</v>
      </c>
      <c r="K135" s="8">
        <v>0</v>
      </c>
      <c r="M135" s="8">
        <v>6591</v>
      </c>
      <c r="O135" s="8">
        <v>317109</v>
      </c>
      <c r="Q135" s="8">
        <v>359261</v>
      </c>
      <c r="S135" s="8">
        <v>9621</v>
      </c>
      <c r="U135" s="8">
        <v>759355</v>
      </c>
      <c r="W135" s="8">
        <v>247678</v>
      </c>
      <c r="Y135" s="8">
        <v>0</v>
      </c>
      <c r="AA135" s="8">
        <v>634160</v>
      </c>
      <c r="AC135" s="8">
        <v>290644</v>
      </c>
      <c r="AE135" s="8">
        <v>129925</v>
      </c>
      <c r="AG135" s="8">
        <v>302637</v>
      </c>
      <c r="AI135" s="8">
        <v>123864</v>
      </c>
      <c r="AJ135" s="13" t="s">
        <v>915</v>
      </c>
      <c r="AK135" s="13"/>
      <c r="AL135" s="13" t="s">
        <v>48</v>
      </c>
      <c r="AN135" s="8">
        <v>467449</v>
      </c>
      <c r="AP135" s="8">
        <f>24975+34312</f>
        <v>59287</v>
      </c>
      <c r="AR135" s="8">
        <v>0</v>
      </c>
      <c r="AT135" s="8">
        <v>44127</v>
      </c>
      <c r="AV135" s="8">
        <v>11486</v>
      </c>
      <c r="AX135" s="8">
        <v>0</v>
      </c>
      <c r="AZ135" s="9">
        <f t="shared" si="8"/>
        <v>7973758</v>
      </c>
      <c r="BB135" s="8">
        <v>0</v>
      </c>
      <c r="BH135" s="8">
        <v>0</v>
      </c>
      <c r="BJ135" s="9">
        <f t="shared" si="7"/>
        <v>7973758</v>
      </c>
      <c r="BL135" s="9">
        <f>'Gov Fd Rv'!AQ135-'Gov Fnd Exp'!BJ135</f>
        <v>403690</v>
      </c>
      <c r="BN135" s="8">
        <v>1641376</v>
      </c>
      <c r="BP135" s="8">
        <v>0</v>
      </c>
      <c r="BT135" s="9">
        <f t="shared" si="9"/>
        <v>2045066</v>
      </c>
      <c r="BU135" s="9"/>
      <c r="BV135" s="9">
        <f>BT135-'Gov Fd BS'!AA135</f>
        <v>0</v>
      </c>
    </row>
    <row r="136" spans="1:76">
      <c r="A136" s="13" t="s">
        <v>916</v>
      </c>
      <c r="B136" s="13"/>
      <c r="C136" s="13" t="s">
        <v>113</v>
      </c>
      <c r="D136" s="13"/>
      <c r="E136" s="32">
        <v>45344</v>
      </c>
      <c r="G136" s="8">
        <v>3439871</v>
      </c>
      <c r="I136" s="8">
        <v>910304</v>
      </c>
      <c r="K136" s="8">
        <v>29694</v>
      </c>
      <c r="M136" s="8">
        <v>479931</v>
      </c>
      <c r="O136" s="8">
        <v>435278</v>
      </c>
      <c r="Q136" s="8">
        <v>427360</v>
      </c>
      <c r="S136" s="8">
        <v>38838</v>
      </c>
      <c r="U136" s="8">
        <v>755474</v>
      </c>
      <c r="W136" s="8">
        <v>256478</v>
      </c>
      <c r="Y136" s="8">
        <v>0</v>
      </c>
      <c r="AA136" s="8">
        <v>682816</v>
      </c>
      <c r="AC136" s="8">
        <v>348890</v>
      </c>
      <c r="AE136" s="8">
        <v>29202</v>
      </c>
      <c r="AG136" s="8">
        <v>277495</v>
      </c>
      <c r="AI136" s="8">
        <v>44756</v>
      </c>
      <c r="AJ136" s="13" t="s">
        <v>293</v>
      </c>
      <c r="AK136" s="13"/>
      <c r="AL136" s="13" t="s">
        <v>113</v>
      </c>
      <c r="AN136" s="8">
        <v>335828</v>
      </c>
      <c r="AP136" s="8">
        <v>79605</v>
      </c>
      <c r="AR136" s="8">
        <v>0</v>
      </c>
      <c r="AT136" s="8">
        <v>0</v>
      </c>
      <c r="AV136" s="8">
        <v>0</v>
      </c>
      <c r="AX136" s="8">
        <v>0</v>
      </c>
      <c r="AZ136" s="9">
        <f t="shared" si="8"/>
        <v>8571820</v>
      </c>
      <c r="BB136" s="8">
        <v>0</v>
      </c>
      <c r="BH136" s="8">
        <v>0</v>
      </c>
      <c r="BJ136" s="9">
        <f t="shared" si="7"/>
        <v>8571820</v>
      </c>
      <c r="BL136" s="9">
        <f>'Gov Fd Rv'!AQ136-'Gov Fnd Exp'!BJ136</f>
        <v>2839</v>
      </c>
      <c r="BN136" s="8">
        <v>2582072</v>
      </c>
      <c r="BP136" s="8">
        <v>0</v>
      </c>
      <c r="BT136" s="9">
        <f t="shared" si="9"/>
        <v>2584911</v>
      </c>
      <c r="BU136" s="9"/>
      <c r="BV136" s="9">
        <f>BT136-'Gov Fd BS'!AA136</f>
        <v>0</v>
      </c>
    </row>
    <row r="137" spans="1:76">
      <c r="A137" s="13" t="s">
        <v>280</v>
      </c>
      <c r="B137" s="13"/>
      <c r="C137" s="13" t="s">
        <v>114</v>
      </c>
      <c r="D137" s="13"/>
      <c r="E137" s="32">
        <v>46433</v>
      </c>
      <c r="G137" s="8">
        <v>5252862</v>
      </c>
      <c r="I137" s="8">
        <v>949363</v>
      </c>
      <c r="K137" s="8">
        <v>143313</v>
      </c>
      <c r="M137" s="8">
        <v>31838</v>
      </c>
      <c r="O137" s="8">
        <v>554013</v>
      </c>
      <c r="Q137" s="8">
        <v>458805</v>
      </c>
      <c r="S137" s="8">
        <v>27583</v>
      </c>
      <c r="U137" s="8">
        <v>755778</v>
      </c>
      <c r="W137" s="8">
        <v>318070</v>
      </c>
      <c r="Y137" s="8">
        <v>0</v>
      </c>
      <c r="AA137" s="8">
        <v>1143285</v>
      </c>
      <c r="AC137" s="8">
        <v>589840</v>
      </c>
      <c r="AE137" s="8">
        <v>18979</v>
      </c>
      <c r="AG137" s="8">
        <v>552859</v>
      </c>
      <c r="AI137" s="8">
        <v>580</v>
      </c>
      <c r="AJ137" s="13" t="s">
        <v>280</v>
      </c>
      <c r="AK137" s="13"/>
      <c r="AL137" s="13" t="s">
        <v>114</v>
      </c>
      <c r="AN137" s="8">
        <v>342711</v>
      </c>
      <c r="AP137" s="8">
        <v>57439</v>
      </c>
      <c r="AR137" s="8">
        <v>0</v>
      </c>
      <c r="AT137" s="8">
        <v>346000</v>
      </c>
      <c r="AV137" s="8">
        <v>54673</v>
      </c>
      <c r="AX137" s="8">
        <v>0</v>
      </c>
      <c r="AZ137" s="9">
        <f t="shared" si="8"/>
        <v>11597991</v>
      </c>
      <c r="BB137" s="8">
        <v>0</v>
      </c>
      <c r="BH137" s="8">
        <v>0</v>
      </c>
      <c r="BJ137" s="9">
        <f t="shared" si="7"/>
        <v>11597991</v>
      </c>
      <c r="BL137" s="9">
        <f>'Gov Fd Rv'!AQ137-'Gov Fnd Exp'!BJ137</f>
        <v>-159305</v>
      </c>
      <c r="BN137" s="8">
        <v>1276222</v>
      </c>
      <c r="BP137" s="8">
        <v>0</v>
      </c>
      <c r="BT137" s="9">
        <f t="shared" si="9"/>
        <v>1116917</v>
      </c>
      <c r="BU137" s="9"/>
      <c r="BV137" s="9">
        <f>BT137-'Gov Fd BS'!AA137</f>
        <v>0</v>
      </c>
    </row>
    <row r="138" spans="1:76">
      <c r="A138" s="13" t="s">
        <v>280</v>
      </c>
      <c r="B138" s="13"/>
      <c r="C138" s="13" t="s">
        <v>112</v>
      </c>
      <c r="D138" s="13"/>
      <c r="E138" s="32">
        <v>49429</v>
      </c>
      <c r="G138" s="8">
        <v>4753531</v>
      </c>
      <c r="I138" s="8">
        <v>1353996</v>
      </c>
      <c r="K138" s="8">
        <v>234613</v>
      </c>
      <c r="M138" s="8">
        <v>34942</v>
      </c>
      <c r="O138" s="8">
        <v>421280</v>
      </c>
      <c r="Q138" s="8">
        <v>336582</v>
      </c>
      <c r="S138" s="8">
        <v>60529</v>
      </c>
      <c r="U138" s="8">
        <v>671362</v>
      </c>
      <c r="W138" s="8">
        <v>254049</v>
      </c>
      <c r="Y138" s="8">
        <v>895</v>
      </c>
      <c r="AA138" s="8">
        <v>1170249</v>
      </c>
      <c r="AC138" s="8">
        <v>1081620</v>
      </c>
      <c r="AE138" s="8">
        <v>80713</v>
      </c>
      <c r="AG138" s="8">
        <v>413529</v>
      </c>
      <c r="AI138" s="8">
        <v>44189</v>
      </c>
      <c r="AJ138" s="13" t="s">
        <v>280</v>
      </c>
      <c r="AK138" s="13"/>
      <c r="AL138" s="13" t="s">
        <v>112</v>
      </c>
      <c r="AN138" s="8">
        <v>451100</v>
      </c>
      <c r="AP138" s="8">
        <v>48120</v>
      </c>
      <c r="AR138" s="8">
        <v>0</v>
      </c>
      <c r="AT138" s="8">
        <v>285000</v>
      </c>
      <c r="AV138" s="8">
        <v>181095</v>
      </c>
      <c r="AX138" s="8">
        <v>0</v>
      </c>
      <c r="AZ138" s="9">
        <f t="shared" si="8"/>
        <v>11877394</v>
      </c>
      <c r="BB138" s="8">
        <v>308171</v>
      </c>
      <c r="BH138" s="8">
        <v>0</v>
      </c>
      <c r="BJ138" s="9">
        <f t="shared" si="7"/>
        <v>12185565</v>
      </c>
      <c r="BL138" s="9">
        <f>'Gov Fd Rv'!AQ138-'Gov Fnd Exp'!BJ138</f>
        <v>556656</v>
      </c>
      <c r="BN138" s="8">
        <v>5662515</v>
      </c>
      <c r="BP138" s="8">
        <v>0</v>
      </c>
      <c r="BT138" s="9">
        <f t="shared" si="9"/>
        <v>6219171</v>
      </c>
      <c r="BU138" s="9"/>
      <c r="BV138" s="9">
        <f>BT138-'Gov Fd BS'!AA138</f>
        <v>0</v>
      </c>
    </row>
    <row r="139" spans="1:76" hidden="1">
      <c r="A139" s="13" t="s">
        <v>917</v>
      </c>
      <c r="B139" s="13"/>
      <c r="C139" s="13" t="s">
        <v>67</v>
      </c>
      <c r="D139" s="13"/>
      <c r="E139" s="32"/>
      <c r="G139" s="8">
        <v>3813209</v>
      </c>
      <c r="I139" s="8">
        <v>979807</v>
      </c>
      <c r="K139" s="8">
        <v>186957</v>
      </c>
      <c r="M139" s="8">
        <f>458286+31253</f>
        <v>489539</v>
      </c>
      <c r="O139" s="8">
        <v>511092</v>
      </c>
      <c r="Q139" s="8">
        <v>226456</v>
      </c>
      <c r="S139" s="8">
        <v>27884</v>
      </c>
      <c r="U139" s="8">
        <v>625766</v>
      </c>
      <c r="W139" s="8">
        <v>251834</v>
      </c>
      <c r="AA139" s="8">
        <v>569324</v>
      </c>
      <c r="AC139" s="8">
        <v>305313</v>
      </c>
      <c r="AE139" s="8">
        <v>193627</v>
      </c>
      <c r="AI139" s="8">
        <v>443097</v>
      </c>
      <c r="AJ139" s="13" t="s">
        <v>917</v>
      </c>
      <c r="AK139" s="13"/>
      <c r="AL139" s="13" t="s">
        <v>67</v>
      </c>
      <c r="AN139" s="8">
        <v>446783</v>
      </c>
      <c r="AP139" s="8">
        <v>2344601</v>
      </c>
      <c r="AT139" s="8">
        <v>72406</v>
      </c>
      <c r="AV139" s="8">
        <v>499079</v>
      </c>
      <c r="AZ139" s="9">
        <f t="shared" si="8"/>
        <v>11986774</v>
      </c>
      <c r="BB139" s="8">
        <f>150000-1280753</f>
        <v>-1130753</v>
      </c>
      <c r="BH139" s="8">
        <f>-23306-1283905+1281351</f>
        <v>-25860</v>
      </c>
      <c r="BJ139" s="9">
        <f t="shared" si="7"/>
        <v>10830161</v>
      </c>
      <c r="BL139" s="9">
        <f>'Gov Fd Rv'!AQ139-'Gov Fnd Exp'!BJ139</f>
        <v>3009821</v>
      </c>
      <c r="BN139" s="8">
        <v>10759993</v>
      </c>
      <c r="BT139" s="9">
        <f t="shared" si="9"/>
        <v>13769814</v>
      </c>
      <c r="BU139" s="9"/>
      <c r="BV139" s="9">
        <f>BT139-'Gov Fd BS'!AA139</f>
        <v>1130753</v>
      </c>
      <c r="BX139" s="8" t="s">
        <v>918</v>
      </c>
    </row>
    <row r="140" spans="1:76">
      <c r="A140" s="13" t="s">
        <v>589</v>
      </c>
      <c r="B140" s="13"/>
      <c r="C140" s="13" t="s">
        <v>56</v>
      </c>
      <c r="D140" s="13"/>
      <c r="E140" s="32">
        <v>49189</v>
      </c>
      <c r="G140" s="8">
        <v>8916229</v>
      </c>
      <c r="I140" s="8">
        <v>1535014</v>
      </c>
      <c r="K140" s="8">
        <v>218192</v>
      </c>
      <c r="M140" s="8">
        <v>1237340</v>
      </c>
      <c r="O140" s="8">
        <v>1057025</v>
      </c>
      <c r="Q140" s="8">
        <v>984927</v>
      </c>
      <c r="S140" s="8">
        <v>17682</v>
      </c>
      <c r="U140" s="8">
        <v>2094092</v>
      </c>
      <c r="W140" s="8">
        <v>461160</v>
      </c>
      <c r="Y140" s="8">
        <v>31252</v>
      </c>
      <c r="AA140" s="8">
        <v>2009642</v>
      </c>
      <c r="AC140" s="8">
        <v>1500321</v>
      </c>
      <c r="AE140" s="8">
        <v>399844</v>
      </c>
      <c r="AG140" s="8">
        <v>623772</v>
      </c>
      <c r="AI140" s="8">
        <v>104470</v>
      </c>
      <c r="AJ140" s="13" t="s">
        <v>589</v>
      </c>
      <c r="AK140" s="13"/>
      <c r="AL140" s="13" t="s">
        <v>56</v>
      </c>
      <c r="AN140" s="8">
        <v>515365</v>
      </c>
      <c r="AP140" s="8">
        <v>196170</v>
      </c>
      <c r="AR140" s="8">
        <v>0</v>
      </c>
      <c r="AT140" s="8">
        <v>346901</v>
      </c>
      <c r="AV140" s="8">
        <v>306662</v>
      </c>
      <c r="AX140" s="8">
        <v>0</v>
      </c>
      <c r="AZ140" s="9">
        <f t="shared" si="8"/>
        <v>22556060</v>
      </c>
      <c r="BB140" s="8">
        <v>377364</v>
      </c>
      <c r="BH140" s="8">
        <v>0</v>
      </c>
      <c r="BJ140" s="9">
        <f t="shared" si="7"/>
        <v>22933424</v>
      </c>
      <c r="BL140" s="9">
        <f>'Gov Fd Rv'!AQ140-'Gov Fnd Exp'!BJ140</f>
        <v>1104644</v>
      </c>
      <c r="BN140" s="8">
        <v>5473930</v>
      </c>
      <c r="BP140" s="8">
        <v>4337</v>
      </c>
      <c r="BT140" s="9">
        <f t="shared" si="9"/>
        <v>6582911</v>
      </c>
      <c r="BU140" s="9"/>
      <c r="BV140" s="9">
        <f>BT140-'Gov Fd BS'!AA140</f>
        <v>0</v>
      </c>
    </row>
    <row r="141" spans="1:76">
      <c r="A141" s="13" t="s">
        <v>817</v>
      </c>
      <c r="B141" s="13"/>
      <c r="C141" s="13" t="s">
        <v>579</v>
      </c>
      <c r="D141" s="13"/>
      <c r="E141" s="32"/>
      <c r="G141" s="8">
        <v>6049405</v>
      </c>
      <c r="I141" s="8">
        <v>0</v>
      </c>
      <c r="K141" s="8">
        <v>0</v>
      </c>
      <c r="M141" s="8">
        <v>0</v>
      </c>
      <c r="O141" s="8">
        <v>742052</v>
      </c>
      <c r="Q141" s="8">
        <v>481938</v>
      </c>
      <c r="S141" s="8">
        <v>35710</v>
      </c>
      <c r="U141" s="8">
        <v>865429</v>
      </c>
      <c r="W141" s="8">
        <v>246821</v>
      </c>
      <c r="Y141" s="8">
        <v>0</v>
      </c>
      <c r="AA141" s="8">
        <v>1146293</v>
      </c>
      <c r="AC141" s="8">
        <v>631195</v>
      </c>
      <c r="AE141" s="8">
        <v>0</v>
      </c>
      <c r="AG141" s="8">
        <v>0</v>
      </c>
      <c r="AI141" s="8">
        <v>539408</v>
      </c>
      <c r="AJ141" s="13" t="s">
        <v>818</v>
      </c>
      <c r="AK141" s="13"/>
      <c r="AL141" s="13" t="s">
        <v>579</v>
      </c>
      <c r="AN141" s="8">
        <v>379839</v>
      </c>
      <c r="AP141" s="8">
        <v>107033</v>
      </c>
      <c r="AR141" s="8">
        <v>0</v>
      </c>
      <c r="AT141" s="8">
        <v>130000</v>
      </c>
      <c r="AV141" s="8">
        <v>70124</v>
      </c>
      <c r="AX141" s="8">
        <v>0</v>
      </c>
      <c r="AZ141" s="9">
        <f t="shared" si="8"/>
        <v>11425247</v>
      </c>
      <c r="BB141" s="8">
        <v>0</v>
      </c>
      <c r="BH141" s="8">
        <v>0</v>
      </c>
      <c r="BJ141" s="9">
        <f t="shared" si="7"/>
        <v>11425247</v>
      </c>
      <c r="BL141" s="9">
        <f>'Gov Fd Rv'!AQ141-'Gov Fnd Exp'!BJ141</f>
        <v>-212575</v>
      </c>
      <c r="BN141" s="8">
        <v>1373250</v>
      </c>
      <c r="BP141" s="8">
        <v>907</v>
      </c>
      <c r="BT141" s="9">
        <f t="shared" si="9"/>
        <v>1161582</v>
      </c>
      <c r="BU141" s="9"/>
      <c r="BV141" s="9">
        <f>BT141-'Gov Fd BS'!AA141</f>
        <v>0</v>
      </c>
    </row>
    <row r="142" spans="1:76">
      <c r="A142" s="13" t="s">
        <v>665</v>
      </c>
      <c r="B142" s="13"/>
      <c r="C142" s="13" t="s">
        <v>63</v>
      </c>
      <c r="D142" s="13"/>
      <c r="E142" s="32">
        <v>43836</v>
      </c>
      <c r="G142" s="8">
        <v>22103134</v>
      </c>
      <c r="I142" s="8">
        <v>5883931</v>
      </c>
      <c r="K142" s="8">
        <v>1104521</v>
      </c>
      <c r="M142" s="8">
        <v>4120497</v>
      </c>
      <c r="O142" s="8">
        <v>2896579</v>
      </c>
      <c r="Q142" s="8">
        <v>1067259</v>
      </c>
      <c r="S142" s="8">
        <v>71923</v>
      </c>
      <c r="U142" s="8">
        <v>3159720</v>
      </c>
      <c r="W142" s="8">
        <v>845647</v>
      </c>
      <c r="Y142" s="8">
        <v>366441</v>
      </c>
      <c r="AA142" s="8">
        <v>5121125</v>
      </c>
      <c r="AC142" s="8">
        <v>1340490</v>
      </c>
      <c r="AE142" s="8">
        <v>425903</v>
      </c>
      <c r="AG142" s="8">
        <v>1422974</v>
      </c>
      <c r="AI142" s="8">
        <v>1299197</v>
      </c>
      <c r="AJ142" s="13" t="s">
        <v>665</v>
      </c>
      <c r="AK142" s="13"/>
      <c r="AL142" s="13" t="s">
        <v>63</v>
      </c>
      <c r="AN142" s="8">
        <v>1059238</v>
      </c>
      <c r="AP142" s="8">
        <v>316817</v>
      </c>
      <c r="AR142" s="8">
        <v>0</v>
      </c>
      <c r="AT142" s="8">
        <v>1305526</v>
      </c>
      <c r="AV142" s="8">
        <v>278696</v>
      </c>
      <c r="AX142" s="8">
        <v>0</v>
      </c>
      <c r="AZ142" s="9">
        <f t="shared" si="8"/>
        <v>54189618</v>
      </c>
      <c r="BB142" s="8">
        <v>0</v>
      </c>
      <c r="BH142" s="8">
        <v>852537</v>
      </c>
      <c r="BJ142" s="9">
        <f t="shared" si="7"/>
        <v>55042155</v>
      </c>
      <c r="BL142" s="9">
        <f>'Gov Fd Rv'!AQ142-'Gov Fnd Exp'!BJ142</f>
        <v>440241</v>
      </c>
      <c r="BN142" s="8">
        <v>3007289</v>
      </c>
      <c r="BP142" s="8">
        <v>0</v>
      </c>
      <c r="BT142" s="9">
        <f t="shared" si="9"/>
        <v>3447530</v>
      </c>
      <c r="BU142" s="9"/>
      <c r="BV142" s="9">
        <f>BT142-'Gov Fd BS'!AA142</f>
        <v>0</v>
      </c>
    </row>
    <row r="143" spans="1:76">
      <c r="A143" s="13" t="s">
        <v>1053</v>
      </c>
      <c r="B143" s="13"/>
      <c r="C143" s="13" t="s">
        <v>20</v>
      </c>
      <c r="D143" s="13"/>
      <c r="E143" s="32">
        <v>46557</v>
      </c>
      <c r="G143" s="8">
        <v>6002471</v>
      </c>
      <c r="I143" s="8">
        <v>1420083</v>
      </c>
      <c r="K143" s="8">
        <v>0</v>
      </c>
      <c r="M143" s="8">
        <v>92437</v>
      </c>
      <c r="O143" s="8">
        <v>1517318</v>
      </c>
      <c r="Q143" s="8">
        <v>867122</v>
      </c>
      <c r="S143" s="8">
        <v>75439</v>
      </c>
      <c r="U143" s="8">
        <v>1374943</v>
      </c>
      <c r="W143" s="8">
        <v>583988</v>
      </c>
      <c r="Y143" s="8">
        <v>141778</v>
      </c>
      <c r="AA143" s="8">
        <v>1802704</v>
      </c>
      <c r="AC143" s="8">
        <v>794971</v>
      </c>
      <c r="AE143" s="8">
        <v>793889</v>
      </c>
      <c r="AG143" s="8">
        <v>333185</v>
      </c>
      <c r="AI143" s="8">
        <v>93302</v>
      </c>
      <c r="AJ143" s="13" t="s">
        <v>304</v>
      </c>
      <c r="AK143" s="13"/>
      <c r="AL143" s="13" t="s">
        <v>20</v>
      </c>
      <c r="AN143" s="8">
        <v>941890</v>
      </c>
      <c r="AP143" s="8">
        <v>704193</v>
      </c>
      <c r="AR143" s="8">
        <v>0</v>
      </c>
      <c r="AT143" s="8">
        <v>484489</v>
      </c>
      <c r="AV143" s="8">
        <v>107154</v>
      </c>
      <c r="AX143" s="8">
        <v>0</v>
      </c>
      <c r="AZ143" s="9">
        <f t="shared" si="8"/>
        <v>18131356</v>
      </c>
      <c r="BB143" s="8">
        <v>0</v>
      </c>
      <c r="BH143" s="8">
        <v>81362</v>
      </c>
      <c r="BJ143" s="9">
        <f t="shared" si="7"/>
        <v>18212718</v>
      </c>
      <c r="BL143" s="9">
        <f>'Gov Fd Rv'!AQ143-'Gov Fnd Exp'!BJ143</f>
        <v>-942807</v>
      </c>
      <c r="BN143" s="8">
        <v>8857230</v>
      </c>
      <c r="BP143" s="8">
        <v>0</v>
      </c>
      <c r="BT143" s="9">
        <f t="shared" si="9"/>
        <v>7914423</v>
      </c>
      <c r="BU143" s="9"/>
      <c r="BV143" s="9">
        <f>BT143-'Gov Fd BS'!AA143</f>
        <v>0</v>
      </c>
      <c r="BX143" s="15" t="s">
        <v>919</v>
      </c>
    </row>
    <row r="144" spans="1:76">
      <c r="A144" s="13" t="s">
        <v>828</v>
      </c>
      <c r="B144" s="13"/>
      <c r="C144" s="13" t="s">
        <v>71</v>
      </c>
      <c r="D144" s="13"/>
      <c r="E144" s="32">
        <v>48934</v>
      </c>
      <c r="G144" s="8">
        <v>3791472</v>
      </c>
      <c r="I144" s="8">
        <v>688137</v>
      </c>
      <c r="K144" s="8">
        <v>131730</v>
      </c>
      <c r="M144" s="8">
        <v>353781</v>
      </c>
      <c r="O144" s="8">
        <v>355653</v>
      </c>
      <c r="Q144" s="8">
        <v>466265</v>
      </c>
      <c r="S144" s="8">
        <v>25403</v>
      </c>
      <c r="U144" s="8">
        <v>857100</v>
      </c>
      <c r="W144" s="8">
        <v>292433</v>
      </c>
      <c r="Y144" s="8">
        <v>0</v>
      </c>
      <c r="AA144" s="8">
        <v>759700</v>
      </c>
      <c r="AC144" s="8">
        <v>389092</v>
      </c>
      <c r="AE144" s="8">
        <v>27133</v>
      </c>
      <c r="AG144" s="8">
        <v>283001</v>
      </c>
      <c r="AI144" s="8">
        <v>197830</v>
      </c>
      <c r="AJ144" s="13" t="s">
        <v>828</v>
      </c>
      <c r="AK144" s="13"/>
      <c r="AL144" s="13" t="s">
        <v>71</v>
      </c>
      <c r="AN144" s="8">
        <v>321522</v>
      </c>
      <c r="AP144" s="8">
        <v>97653</v>
      </c>
      <c r="AR144" s="8">
        <v>0</v>
      </c>
      <c r="AT144" s="8">
        <v>14608</v>
      </c>
      <c r="AV144" s="8">
        <v>5151</v>
      </c>
      <c r="AX144" s="8">
        <v>0</v>
      </c>
      <c r="AZ144" s="9">
        <f t="shared" ref="AZ144:AZ145" si="10">SUM(G144:AX144)</f>
        <v>9057664</v>
      </c>
      <c r="BB144" s="8">
        <v>132411</v>
      </c>
      <c r="BH144" s="8">
        <v>0</v>
      </c>
      <c r="BJ144" s="9">
        <f t="shared" si="7"/>
        <v>9190075</v>
      </c>
      <c r="BL144" s="9">
        <f>'Gov Fd Rv'!AQ144-'Gov Fnd Exp'!BJ144</f>
        <v>61137</v>
      </c>
      <c r="BN144" s="8">
        <v>352433</v>
      </c>
      <c r="BP144" s="8">
        <v>0</v>
      </c>
      <c r="BT144" s="9">
        <f t="shared" si="9"/>
        <v>413570</v>
      </c>
      <c r="BU144" s="9"/>
      <c r="BV144" s="9">
        <f>BT144-'Gov Fd BS'!AA144</f>
        <v>0</v>
      </c>
    </row>
    <row r="145" spans="1:76">
      <c r="A145" s="13" t="s">
        <v>572</v>
      </c>
      <c r="B145" s="13"/>
      <c r="C145" s="13" t="s">
        <v>53</v>
      </c>
      <c r="D145" s="13"/>
      <c r="E145" s="32">
        <v>48934</v>
      </c>
      <c r="G145" s="8">
        <v>4281123</v>
      </c>
      <c r="I145" s="8">
        <v>678010</v>
      </c>
      <c r="K145" s="8">
        <v>0</v>
      </c>
      <c r="M145" s="8">
        <f>53690+17758</f>
        <v>71448</v>
      </c>
      <c r="O145" s="8">
        <v>358925</v>
      </c>
      <c r="Q145" s="8">
        <v>653157</v>
      </c>
      <c r="S145" s="8">
        <v>77475</v>
      </c>
      <c r="U145" s="8">
        <v>936437</v>
      </c>
      <c r="W145" s="8">
        <v>394879</v>
      </c>
      <c r="Y145" s="8">
        <v>0</v>
      </c>
      <c r="AA145" s="8">
        <v>1115551</v>
      </c>
      <c r="AC145" s="8">
        <v>493452</v>
      </c>
      <c r="AE145" s="8">
        <v>9913</v>
      </c>
      <c r="AG145" s="8">
        <v>282471</v>
      </c>
      <c r="AI145" s="8">
        <v>6898</v>
      </c>
      <c r="AJ145" s="13" t="s">
        <v>572</v>
      </c>
      <c r="AK145" s="13"/>
      <c r="AL145" s="13" t="s">
        <v>53</v>
      </c>
      <c r="AN145" s="8">
        <v>313379</v>
      </c>
      <c r="AP145" s="8">
        <v>305117</v>
      </c>
      <c r="AR145" s="8">
        <v>0</v>
      </c>
      <c r="AT145" s="8">
        <v>1713</v>
      </c>
      <c r="AV145" s="8">
        <v>23</v>
      </c>
      <c r="AX145" s="8">
        <v>0</v>
      </c>
      <c r="AZ145" s="9">
        <f t="shared" si="10"/>
        <v>9979971</v>
      </c>
      <c r="BB145" s="26">
        <v>82317</v>
      </c>
      <c r="BH145" s="8">
        <v>0</v>
      </c>
      <c r="BJ145" s="9">
        <f t="shared" si="7"/>
        <v>10062288</v>
      </c>
      <c r="BL145" s="9">
        <f>'Gov Fd Rv'!AQ145-'Gov Fnd Exp'!BJ145</f>
        <v>-2641</v>
      </c>
      <c r="BN145" s="8">
        <v>4033386</v>
      </c>
      <c r="BP145" s="8">
        <v>0</v>
      </c>
      <c r="BT145" s="9">
        <f t="shared" si="9"/>
        <v>4030745</v>
      </c>
      <c r="BU145" s="9"/>
      <c r="BV145" s="9">
        <f>BT145-'Gov Fd BS'!AA145</f>
        <v>0</v>
      </c>
    </row>
    <row r="146" spans="1:76" hidden="1">
      <c r="A146" s="13" t="s">
        <v>921</v>
      </c>
      <c r="B146" s="13"/>
      <c r="C146" s="13" t="s">
        <v>40</v>
      </c>
      <c r="D146" s="13"/>
      <c r="E146" s="32">
        <v>47837</v>
      </c>
      <c r="G146" s="8">
        <v>2823406</v>
      </c>
      <c r="I146" s="8">
        <v>862699</v>
      </c>
      <c r="K146" s="8">
        <v>127014</v>
      </c>
      <c r="M146" s="8">
        <v>116104</v>
      </c>
      <c r="O146" s="8">
        <v>364586</v>
      </c>
      <c r="Q146" s="8">
        <v>536989</v>
      </c>
      <c r="S146" s="8">
        <v>23514</v>
      </c>
      <c r="U146" s="8">
        <v>634852</v>
      </c>
      <c r="W146" s="8">
        <v>165197</v>
      </c>
      <c r="AA146" s="8">
        <v>710733</v>
      </c>
      <c r="AC146" s="8">
        <v>238792</v>
      </c>
      <c r="AE146" s="8">
        <v>70779</v>
      </c>
      <c r="AI146" s="8">
        <v>285724</v>
      </c>
      <c r="AJ146" s="13" t="s">
        <v>455</v>
      </c>
      <c r="AK146" s="13"/>
      <c r="AL146" s="13" t="s">
        <v>40</v>
      </c>
      <c r="AN146" s="8">
        <v>180975</v>
      </c>
      <c r="AT146" s="8">
        <v>60000</v>
      </c>
      <c r="AV146" s="8">
        <v>70174</v>
      </c>
      <c r="AZ146" s="9">
        <f t="shared" ref="AZ146:AZ156" si="11">SUM(G146:AX146)</f>
        <v>7271538</v>
      </c>
      <c r="BJ146" s="9">
        <f t="shared" si="7"/>
        <v>7271538</v>
      </c>
      <c r="BL146" s="9">
        <f>'Gov Fd Rv'!AQ146-'Gov Fnd Exp'!BJ146</f>
        <v>110610</v>
      </c>
      <c r="BN146" s="8">
        <v>2619260</v>
      </c>
      <c r="BT146" s="9">
        <f t="shared" si="9"/>
        <v>2729870</v>
      </c>
      <c r="BU146" s="9"/>
      <c r="BV146" s="9">
        <f>BT146-'Gov Fd BS'!AA146</f>
        <v>0</v>
      </c>
    </row>
    <row r="147" spans="1:76">
      <c r="A147" s="13" t="s">
        <v>467</v>
      </c>
      <c r="B147" s="13"/>
      <c r="C147" s="13" t="s">
        <v>466</v>
      </c>
      <c r="D147" s="13"/>
      <c r="E147" s="32">
        <v>47928</v>
      </c>
      <c r="G147" s="8">
        <v>6359560</v>
      </c>
      <c r="I147" s="8">
        <v>808318</v>
      </c>
      <c r="K147" s="8">
        <v>100451</v>
      </c>
      <c r="M147" s="8">
        <v>0</v>
      </c>
      <c r="O147" s="8">
        <v>562633</v>
      </c>
      <c r="Q147" s="8">
        <v>371916</v>
      </c>
      <c r="S147" s="8">
        <v>45528</v>
      </c>
      <c r="U147" s="8">
        <v>1014370</v>
      </c>
      <c r="W147" s="8">
        <v>396002</v>
      </c>
      <c r="Y147" s="8">
        <v>17967</v>
      </c>
      <c r="AA147" s="8">
        <v>1256838</v>
      </c>
      <c r="AC147" s="8">
        <v>618179</v>
      </c>
      <c r="AE147" s="8">
        <v>108600</v>
      </c>
      <c r="AG147" s="8">
        <v>666761</v>
      </c>
      <c r="AI147" s="8">
        <v>12167</v>
      </c>
      <c r="AJ147" s="13" t="s">
        <v>467</v>
      </c>
      <c r="AK147" s="13"/>
      <c r="AL147" s="13" t="s">
        <v>466</v>
      </c>
      <c r="AN147" s="8">
        <v>393397</v>
      </c>
      <c r="AP147" s="8">
        <v>901883</v>
      </c>
      <c r="AR147" s="8">
        <v>0</v>
      </c>
      <c r="AT147" s="8">
        <v>429000</v>
      </c>
      <c r="AV147" s="8">
        <v>86322</v>
      </c>
      <c r="AX147" s="8">
        <v>0</v>
      </c>
      <c r="AZ147" s="9">
        <f t="shared" si="11"/>
        <v>14149892</v>
      </c>
      <c r="BB147" s="26">
        <v>796090</v>
      </c>
      <c r="BH147" s="8">
        <v>0</v>
      </c>
      <c r="BJ147" s="9">
        <f t="shared" si="7"/>
        <v>14945982</v>
      </c>
      <c r="BL147" s="9">
        <f>'Gov Fd Rv'!AQ147-'Gov Fnd Exp'!BJ147</f>
        <v>-1085890</v>
      </c>
      <c r="BN147" s="8">
        <v>5587641</v>
      </c>
      <c r="BP147" s="8">
        <v>0</v>
      </c>
      <c r="BT147" s="9">
        <f t="shared" si="9"/>
        <v>4501751</v>
      </c>
      <c r="BU147" s="9"/>
      <c r="BV147" s="9">
        <f>BT147-'Gov Fd BS'!AA150</f>
        <v>0</v>
      </c>
    </row>
    <row r="148" spans="1:76">
      <c r="A148" s="13" t="s">
        <v>546</v>
      </c>
      <c r="B148" s="13"/>
      <c r="C148" s="13" t="s">
        <v>50</v>
      </c>
      <c r="D148" s="13"/>
      <c r="E148" s="32">
        <v>43844</v>
      </c>
      <c r="G148" s="8">
        <v>62647055</v>
      </c>
      <c r="I148" s="8">
        <v>27572843</v>
      </c>
      <c r="K148" s="8">
        <v>3451151</v>
      </c>
      <c r="M148" s="8">
        <f>421967+5267148</f>
        <v>5689115</v>
      </c>
      <c r="O148" s="8">
        <v>10671850</v>
      </c>
      <c r="Q148" s="8">
        <v>15418891</v>
      </c>
      <c r="S148" s="8">
        <v>704595</v>
      </c>
      <c r="U148" s="8">
        <v>16112024</v>
      </c>
      <c r="W148" s="8">
        <v>3749422</v>
      </c>
      <c r="Y148" s="8">
        <v>1664969</v>
      </c>
      <c r="AA148" s="8">
        <v>22020305</v>
      </c>
      <c r="AC148" s="8">
        <v>15292841</v>
      </c>
      <c r="AE148" s="8">
        <v>7546319</v>
      </c>
      <c r="AG148" s="8">
        <v>0</v>
      </c>
      <c r="AI148" s="8">
        <v>71922219</v>
      </c>
      <c r="AJ148" s="13" t="s">
        <v>546</v>
      </c>
      <c r="AK148" s="13"/>
      <c r="AL148" s="13" t="s">
        <v>50</v>
      </c>
      <c r="AN148" s="8">
        <v>1910692</v>
      </c>
      <c r="AP148" s="8">
        <v>51779324</v>
      </c>
      <c r="AR148" s="8">
        <v>0</v>
      </c>
      <c r="AT148" s="8">
        <v>6855890</v>
      </c>
      <c r="AV148" s="8">
        <v>12133216</v>
      </c>
      <c r="AX148" s="8">
        <v>0</v>
      </c>
      <c r="AZ148" s="9">
        <f t="shared" si="11"/>
        <v>337142721</v>
      </c>
      <c r="BB148" s="8">
        <v>23591877</v>
      </c>
      <c r="BH148" s="8">
        <v>0</v>
      </c>
      <c r="BJ148" s="9">
        <f t="shared" si="7"/>
        <v>360734598</v>
      </c>
      <c r="BL148" s="9">
        <f>'Gov Fd Rv'!AQ148-'Gov Fnd Exp'!BJ148</f>
        <v>-12143136</v>
      </c>
      <c r="BN148" s="8">
        <v>199262078</v>
      </c>
      <c r="BP148" s="8">
        <v>0</v>
      </c>
      <c r="BT148" s="9">
        <f t="shared" si="9"/>
        <v>187118942</v>
      </c>
      <c r="BU148" s="9"/>
      <c r="BV148" s="9">
        <f>BT148-'Gov Fd BS'!AA151</f>
        <v>0</v>
      </c>
    </row>
    <row r="149" spans="1:76">
      <c r="A149" s="13" t="s">
        <v>924</v>
      </c>
      <c r="B149" s="13"/>
      <c r="C149" s="13" t="s">
        <v>32</v>
      </c>
      <c r="D149" s="13"/>
      <c r="E149" s="32">
        <v>43851</v>
      </c>
      <c r="G149" s="8">
        <v>6227942</v>
      </c>
      <c r="I149" s="8">
        <v>1319494</v>
      </c>
      <c r="K149" s="8">
        <v>168063</v>
      </c>
      <c r="M149" s="8">
        <v>74952</v>
      </c>
      <c r="O149" s="8">
        <v>970410</v>
      </c>
      <c r="Q149" s="8">
        <v>919362</v>
      </c>
      <c r="S149" s="8">
        <v>74375</v>
      </c>
      <c r="U149" s="8">
        <v>1256542</v>
      </c>
      <c r="W149" s="8">
        <v>521155</v>
      </c>
      <c r="Y149" s="8">
        <v>136141</v>
      </c>
      <c r="AA149" s="8">
        <v>1518961</v>
      </c>
      <c r="AC149" s="8">
        <v>256743</v>
      </c>
      <c r="AE149" s="8">
        <v>151328</v>
      </c>
      <c r="AG149" s="8">
        <v>0</v>
      </c>
      <c r="AI149" s="8">
        <v>645724</v>
      </c>
      <c r="AJ149" s="13" t="s">
        <v>392</v>
      </c>
      <c r="AK149" s="13"/>
      <c r="AL149" s="13" t="s">
        <v>32</v>
      </c>
      <c r="AN149" s="8">
        <v>571650</v>
      </c>
      <c r="AP149" s="8">
        <v>0</v>
      </c>
      <c r="AR149" s="8">
        <v>0</v>
      </c>
      <c r="AT149" s="8">
        <v>116712</v>
      </c>
      <c r="AV149" s="8">
        <v>31501</v>
      </c>
      <c r="AX149" s="8">
        <v>0</v>
      </c>
      <c r="AZ149" s="9">
        <f t="shared" si="11"/>
        <v>14961055</v>
      </c>
      <c r="BB149" s="8">
        <v>31380</v>
      </c>
      <c r="BH149" s="8">
        <v>0</v>
      </c>
      <c r="BJ149" s="9">
        <f t="shared" si="7"/>
        <v>14992435</v>
      </c>
      <c r="BL149" s="9">
        <f>'Gov Fd Rv'!AQ149-'Gov Fnd Exp'!BJ149</f>
        <v>767449</v>
      </c>
      <c r="BN149" s="8">
        <v>4612620</v>
      </c>
      <c r="BP149" s="8">
        <v>0</v>
      </c>
      <c r="BT149" s="9">
        <f t="shared" si="9"/>
        <v>5380069</v>
      </c>
      <c r="BU149" s="9"/>
      <c r="BV149" s="9">
        <f>BT149-'Gov Fd BS'!AA152</f>
        <v>0</v>
      </c>
    </row>
    <row r="150" spans="1:76" hidden="1">
      <c r="A150" s="13" t="s">
        <v>925</v>
      </c>
      <c r="B150" s="13"/>
      <c r="C150" s="13" t="s">
        <v>22</v>
      </c>
      <c r="D150" s="13"/>
      <c r="E150" s="32">
        <v>43869</v>
      </c>
      <c r="G150" s="8">
        <v>9428099</v>
      </c>
      <c r="I150" s="8">
        <v>2773865</v>
      </c>
      <c r="K150" s="8">
        <v>400923</v>
      </c>
      <c r="M150" s="8">
        <v>1608079</v>
      </c>
      <c r="O150" s="8">
        <v>1207929</v>
      </c>
      <c r="Q150" s="8">
        <v>1367098</v>
      </c>
      <c r="S150" s="8">
        <v>46104</v>
      </c>
      <c r="U150" s="8">
        <v>1726525</v>
      </c>
      <c r="W150" s="8">
        <v>570347</v>
      </c>
      <c r="AA150" s="8">
        <v>2440415</v>
      </c>
      <c r="AC150" s="8">
        <v>822520</v>
      </c>
      <c r="AE150" s="8">
        <v>23334</v>
      </c>
      <c r="AG150" s="8">
        <v>1108616</v>
      </c>
      <c r="AI150" s="8">
        <v>362410</v>
      </c>
      <c r="AJ150" s="13" t="s">
        <v>331</v>
      </c>
      <c r="AK150" s="13"/>
      <c r="AL150" s="13" t="s">
        <v>22</v>
      </c>
      <c r="AN150" s="8">
        <v>779876</v>
      </c>
      <c r="AP150" s="8">
        <v>8911631</v>
      </c>
      <c r="AT150" s="8">
        <v>935000</v>
      </c>
      <c r="AV150" s="8">
        <v>449465</v>
      </c>
      <c r="AX150" s="8">
        <v>14696</v>
      </c>
      <c r="AZ150" s="9">
        <f t="shared" si="11"/>
        <v>34976932</v>
      </c>
      <c r="BB150" s="8">
        <v>0</v>
      </c>
      <c r="BH150" s="8">
        <f>3317-785000-17246-461234-63671-39845</f>
        <v>-1363679</v>
      </c>
      <c r="BJ150" s="9">
        <f t="shared" si="7"/>
        <v>33613253</v>
      </c>
      <c r="BL150" s="9">
        <f>'Gov Fd Rv'!AQ150-'Gov Fnd Exp'!BJ150</f>
        <v>-6348436</v>
      </c>
      <c r="BN150" s="8">
        <v>12479149</v>
      </c>
      <c r="BT150" s="9">
        <f t="shared" si="9"/>
        <v>6130713</v>
      </c>
      <c r="BU150" s="9"/>
      <c r="BV150" s="9">
        <f>BT150-'Gov Fd BS'!AA153</f>
        <v>0</v>
      </c>
    </row>
    <row r="151" spans="1:76">
      <c r="A151" s="13" t="s">
        <v>926</v>
      </c>
      <c r="B151" s="13"/>
      <c r="C151" s="13" t="s">
        <v>23</v>
      </c>
      <c r="D151" s="13"/>
      <c r="E151" s="32"/>
      <c r="G151" s="8">
        <v>20815485</v>
      </c>
      <c r="I151" s="8">
        <v>5212199</v>
      </c>
      <c r="K151" s="8">
        <v>346734</v>
      </c>
      <c r="M151" s="8">
        <f>196574+1723802</f>
        <v>1920376</v>
      </c>
      <c r="O151" s="8">
        <v>2391453</v>
      </c>
      <c r="Q151" s="8">
        <v>2720981</v>
      </c>
      <c r="S151" s="8">
        <v>122478</v>
      </c>
      <c r="U151" s="8">
        <v>3009811</v>
      </c>
      <c r="W151" s="8">
        <v>1080920</v>
      </c>
      <c r="Y151" s="8">
        <v>327897</v>
      </c>
      <c r="AA151" s="8">
        <v>4567460</v>
      </c>
      <c r="AC151" s="8">
        <v>2683521</v>
      </c>
      <c r="AE151" s="8">
        <v>159258</v>
      </c>
      <c r="AG151" s="8">
        <v>0</v>
      </c>
      <c r="AI151" s="8">
        <v>2029209</v>
      </c>
      <c r="AJ151" s="13" t="s">
        <v>926</v>
      </c>
      <c r="AK151" s="13"/>
      <c r="AL151" s="13" t="s">
        <v>23</v>
      </c>
      <c r="AN151" s="8">
        <v>1137966</v>
      </c>
      <c r="AP151" s="8">
        <v>879519</v>
      </c>
      <c r="AR151" s="8">
        <v>0</v>
      </c>
      <c r="AT151" s="8">
        <v>2231683</v>
      </c>
      <c r="AV151" s="8">
        <v>1302529</v>
      </c>
      <c r="AX151" s="8">
        <v>0</v>
      </c>
      <c r="AZ151" s="9">
        <f t="shared" si="11"/>
        <v>52939479</v>
      </c>
      <c r="BB151" s="8">
        <v>30000</v>
      </c>
      <c r="BH151" s="8">
        <v>0</v>
      </c>
      <c r="BJ151" s="9">
        <f t="shared" si="7"/>
        <v>52969479</v>
      </c>
      <c r="BL151" s="9">
        <f>'Gov Fd Rv'!AQ151-'Gov Fnd Exp'!BJ151</f>
        <v>-1472894</v>
      </c>
      <c r="BN151" s="8">
        <v>13347522</v>
      </c>
      <c r="BP151" s="8">
        <v>0</v>
      </c>
      <c r="BT151" s="9">
        <f t="shared" si="9"/>
        <v>11874628</v>
      </c>
      <c r="BU151" s="9"/>
      <c r="BV151" s="9">
        <f>BT151-'Gov Fd BS'!AA154</f>
        <v>0</v>
      </c>
    </row>
    <row r="152" spans="1:76">
      <c r="A152" s="13" t="s">
        <v>210</v>
      </c>
      <c r="B152" s="13"/>
      <c r="C152" s="13" t="s">
        <v>10</v>
      </c>
      <c r="D152" s="13"/>
      <c r="E152" s="32">
        <v>43885</v>
      </c>
      <c r="G152" s="8">
        <v>4648238</v>
      </c>
      <c r="I152" s="8">
        <v>914414</v>
      </c>
      <c r="K152" s="8">
        <v>469422</v>
      </c>
      <c r="M152" s="8">
        <v>574</v>
      </c>
      <c r="O152" s="8">
        <v>493623</v>
      </c>
      <c r="Q152" s="8">
        <v>506965</v>
      </c>
      <c r="S152" s="8">
        <v>20043</v>
      </c>
      <c r="U152" s="8">
        <v>844780</v>
      </c>
      <c r="W152" s="8">
        <v>329722</v>
      </c>
      <c r="Y152" s="8">
        <v>0</v>
      </c>
      <c r="AA152" s="8">
        <v>647635</v>
      </c>
      <c r="AC152" s="8">
        <v>473221</v>
      </c>
      <c r="AE152" s="8">
        <v>11523</v>
      </c>
      <c r="AG152" s="8">
        <v>0</v>
      </c>
      <c r="AI152" s="8">
        <v>1149612</v>
      </c>
      <c r="AJ152" s="13" t="s">
        <v>210</v>
      </c>
      <c r="AK152" s="13"/>
      <c r="AL152" s="13" t="s">
        <v>10</v>
      </c>
      <c r="AN152" s="8">
        <v>368721</v>
      </c>
      <c r="AP152" s="8">
        <v>235227</v>
      </c>
      <c r="AR152" s="8">
        <v>10963</v>
      </c>
      <c r="AT152" s="8">
        <v>0</v>
      </c>
      <c r="AV152" s="8">
        <v>0</v>
      </c>
      <c r="AX152" s="8">
        <v>0</v>
      </c>
      <c r="AZ152" s="9">
        <f t="shared" si="11"/>
        <v>11124683</v>
      </c>
      <c r="BB152" s="8">
        <v>0</v>
      </c>
      <c r="BH152" s="8">
        <v>0</v>
      </c>
      <c r="BJ152" s="9">
        <f t="shared" ref="BJ152:BJ153" si="12">AZ152+BB152+BH152</f>
        <v>11124683</v>
      </c>
      <c r="BL152" s="9">
        <f>'Gov Fd Rv'!AQ152-'Gov Fnd Exp'!BJ152</f>
        <v>-60442</v>
      </c>
      <c r="BN152" s="8">
        <v>302734</v>
      </c>
      <c r="BP152" s="8">
        <v>0</v>
      </c>
      <c r="BT152" s="9">
        <f t="shared" si="9"/>
        <v>242292</v>
      </c>
      <c r="BU152" s="9"/>
      <c r="BV152" s="9">
        <f>BT152-'Gov Fd BS'!AA155</f>
        <v>0</v>
      </c>
    </row>
    <row r="153" spans="1:76">
      <c r="A153" s="13" t="s">
        <v>695</v>
      </c>
      <c r="B153" s="13"/>
      <c r="C153" s="13" t="s">
        <v>65</v>
      </c>
      <c r="D153" s="13"/>
      <c r="E153" s="32">
        <v>43893</v>
      </c>
      <c r="G153" s="8">
        <v>9773975</v>
      </c>
      <c r="I153" s="8">
        <v>2184572</v>
      </c>
      <c r="K153" s="8">
        <v>86833</v>
      </c>
      <c r="M153" s="8">
        <v>121204</v>
      </c>
      <c r="O153" s="8">
        <v>1146625</v>
      </c>
      <c r="Q153" s="8">
        <v>1133442</v>
      </c>
      <c r="S153" s="8">
        <v>43039</v>
      </c>
      <c r="U153" s="8">
        <v>1709301</v>
      </c>
      <c r="W153" s="8">
        <v>750720</v>
      </c>
      <c r="Y153" s="8">
        <v>0</v>
      </c>
      <c r="AA153" s="8">
        <v>2119580</v>
      </c>
      <c r="AC153" s="8">
        <v>552148</v>
      </c>
      <c r="AE153" s="8">
        <v>0</v>
      </c>
      <c r="AG153" s="8">
        <v>771514</v>
      </c>
      <c r="AI153" s="8">
        <v>218776</v>
      </c>
      <c r="AJ153" s="13" t="s">
        <v>695</v>
      </c>
      <c r="AK153" s="13"/>
      <c r="AL153" s="13" t="s">
        <v>65</v>
      </c>
      <c r="AN153" s="8">
        <v>922663</v>
      </c>
      <c r="AP153" s="8">
        <v>0</v>
      </c>
      <c r="AR153" s="8">
        <v>0</v>
      </c>
      <c r="AT153" s="8">
        <v>737199</v>
      </c>
      <c r="AV153" s="8">
        <v>160703</v>
      </c>
      <c r="AX153" s="8">
        <v>0</v>
      </c>
      <c r="AZ153" s="9">
        <f t="shared" si="11"/>
        <v>22432294</v>
      </c>
      <c r="BB153" s="8">
        <v>138000</v>
      </c>
      <c r="BH153" s="8">
        <v>0</v>
      </c>
      <c r="BJ153" s="9">
        <f t="shared" si="12"/>
        <v>22570294</v>
      </c>
      <c r="BL153" s="9">
        <f>'Gov Fd Rv'!AQ153-'Gov Fnd Exp'!BJ153</f>
        <v>1531404</v>
      </c>
      <c r="BN153" s="8">
        <v>2732960</v>
      </c>
      <c r="BP153" s="8">
        <v>0</v>
      </c>
      <c r="BT153" s="9">
        <f t="shared" si="9"/>
        <v>4264364</v>
      </c>
      <c r="BU153" s="9"/>
      <c r="BV153" s="9">
        <f>BT153-'Gov Fd BS'!AA156</f>
        <v>0</v>
      </c>
    </row>
    <row r="154" spans="1:76">
      <c r="A154" s="13" t="s">
        <v>355</v>
      </c>
      <c r="B154" s="13"/>
      <c r="C154" s="13" t="s">
        <v>27</v>
      </c>
      <c r="D154" s="13"/>
      <c r="E154" s="32">
        <v>47027</v>
      </c>
      <c r="G154" s="8">
        <v>71275693</v>
      </c>
      <c r="I154" s="8">
        <v>19196575</v>
      </c>
      <c r="K154" s="8">
        <v>240935</v>
      </c>
      <c r="M154" s="8">
        <v>0</v>
      </c>
      <c r="O154" s="8">
        <v>9263271</v>
      </c>
      <c r="Q154" s="8">
        <v>13830553</v>
      </c>
      <c r="S154" s="8">
        <v>135855</v>
      </c>
      <c r="U154" s="8">
        <v>10433056</v>
      </c>
      <c r="W154" s="8">
        <v>2756815</v>
      </c>
      <c r="Y154" s="8">
        <v>931733</v>
      </c>
      <c r="AA154" s="8">
        <v>14193576</v>
      </c>
      <c r="AC154" s="8">
        <v>7101922</v>
      </c>
      <c r="AE154" s="8">
        <v>457743</v>
      </c>
      <c r="AG154" s="8">
        <v>0</v>
      </c>
      <c r="AI154" s="8">
        <v>558884</v>
      </c>
      <c r="AJ154" s="13" t="s">
        <v>355</v>
      </c>
      <c r="AK154" s="13"/>
      <c r="AL154" s="13" t="s">
        <v>27</v>
      </c>
      <c r="AN154" s="8">
        <v>4893455</v>
      </c>
      <c r="AP154" s="8">
        <f>606043+4864779</f>
        <v>5470822</v>
      </c>
      <c r="AR154" s="8">
        <v>0</v>
      </c>
      <c r="AT154" s="8">
        <v>17111000</v>
      </c>
      <c r="AV154" s="8">
        <v>7166669</v>
      </c>
      <c r="AX154" s="8">
        <v>19930</v>
      </c>
      <c r="AZ154" s="9">
        <f t="shared" si="11"/>
        <v>185038487</v>
      </c>
      <c r="BB154" s="8">
        <v>757608</v>
      </c>
      <c r="BH154" s="8">
        <v>0</v>
      </c>
      <c r="BJ154" s="9">
        <f t="shared" ref="BJ154:BJ224" si="13">AZ154+BB154+BH154</f>
        <v>185796095</v>
      </c>
      <c r="BL154" s="9">
        <f>'Gov Fd Rv'!AQ154-'Gov Fnd Exp'!BJ154</f>
        <v>18114957</v>
      </c>
      <c r="BN154" s="8">
        <v>94514085</v>
      </c>
      <c r="BP154" s="8">
        <v>50231</v>
      </c>
      <c r="BT154" s="9">
        <f t="shared" ref="BT154:BT226" si="14">BL154+BN154+BP154+BR154</f>
        <v>112679273</v>
      </c>
      <c r="BU154" s="9"/>
      <c r="BV154" s="9">
        <f>BT154-'Gov Fd BS'!AA157</f>
        <v>0</v>
      </c>
    </row>
    <row r="155" spans="1:76">
      <c r="A155" s="13" t="s">
        <v>305</v>
      </c>
      <c r="B155" s="13"/>
      <c r="C155" s="13" t="s">
        <v>20</v>
      </c>
      <c r="D155" s="13"/>
      <c r="E155" s="32">
        <v>43901</v>
      </c>
      <c r="G155" s="8">
        <v>16941530</v>
      </c>
      <c r="I155" s="8">
        <v>10296120</v>
      </c>
      <c r="K155" s="8">
        <v>1521343</v>
      </c>
      <c r="M155" s="8">
        <f>72691+5118658</f>
        <v>5191349</v>
      </c>
      <c r="O155" s="8">
        <v>2623347</v>
      </c>
      <c r="Q155" s="8">
        <v>4232150</v>
      </c>
      <c r="S155" s="8">
        <v>45672</v>
      </c>
      <c r="U155" s="8">
        <v>4573193</v>
      </c>
      <c r="W155" s="8">
        <v>1866170</v>
      </c>
      <c r="Y155" s="8">
        <v>284549</v>
      </c>
      <c r="AA155" s="8">
        <v>4751885</v>
      </c>
      <c r="AC155" s="8">
        <v>1190874</v>
      </c>
      <c r="AE155" s="8">
        <v>2068722</v>
      </c>
      <c r="AG155" s="8">
        <v>1653037</v>
      </c>
      <c r="AI155" s="8">
        <v>37682</v>
      </c>
      <c r="AJ155" s="13" t="s">
        <v>305</v>
      </c>
      <c r="AK155" s="13"/>
      <c r="AL155" s="13" t="s">
        <v>20</v>
      </c>
      <c r="AN155" s="8">
        <v>423050</v>
      </c>
      <c r="AP155" s="8">
        <v>2290556</v>
      </c>
      <c r="AR155" s="8">
        <v>0</v>
      </c>
      <c r="AT155" s="8">
        <v>495000</v>
      </c>
      <c r="AV155" s="8">
        <v>281021</v>
      </c>
      <c r="AX155" s="8">
        <v>0</v>
      </c>
      <c r="AZ155" s="9">
        <f t="shared" si="11"/>
        <v>60767250</v>
      </c>
      <c r="BB155" s="8">
        <v>376779</v>
      </c>
      <c r="BH155" s="8">
        <v>0</v>
      </c>
      <c r="BJ155" s="9">
        <f t="shared" si="13"/>
        <v>61144029</v>
      </c>
      <c r="BL155" s="9">
        <f>'Gov Fd Rv'!AQ155-'Gov Fnd Exp'!BJ155</f>
        <v>3125207</v>
      </c>
      <c r="BN155" s="8">
        <v>34564963</v>
      </c>
      <c r="BP155" s="8">
        <v>0</v>
      </c>
      <c r="BT155" s="9">
        <f t="shared" si="14"/>
        <v>37690170</v>
      </c>
      <c r="BU155" s="9"/>
      <c r="BV155" s="9">
        <f>BT155-'Gov Fd BS'!AA158</f>
        <v>0</v>
      </c>
      <c r="BX155" s="8" t="s">
        <v>956</v>
      </c>
    </row>
    <row r="156" spans="1:76">
      <c r="A156" s="13" t="s">
        <v>276</v>
      </c>
      <c r="B156" s="13"/>
      <c r="C156" s="13" t="s">
        <v>18</v>
      </c>
      <c r="D156" s="13"/>
      <c r="E156" s="32">
        <v>46409</v>
      </c>
      <c r="G156" s="8">
        <v>5748568</v>
      </c>
      <c r="I156" s="8">
        <v>1119073</v>
      </c>
      <c r="K156" s="8">
        <v>88696</v>
      </c>
      <c r="M156" s="8">
        <v>0</v>
      </c>
      <c r="O156" s="8">
        <v>466178</v>
      </c>
      <c r="Q156" s="8">
        <v>879722</v>
      </c>
      <c r="S156" s="8">
        <v>54253</v>
      </c>
      <c r="U156" s="8">
        <v>973504</v>
      </c>
      <c r="W156" s="8">
        <v>299638</v>
      </c>
      <c r="Y156" s="8">
        <v>6338</v>
      </c>
      <c r="AA156" s="8">
        <v>1323348</v>
      </c>
      <c r="AC156" s="8">
        <v>891468</v>
      </c>
      <c r="AE156" s="8">
        <v>87608</v>
      </c>
      <c r="AG156" s="8">
        <v>560283</v>
      </c>
      <c r="AI156" s="8">
        <v>1000</v>
      </c>
      <c r="AJ156" s="13" t="s">
        <v>276</v>
      </c>
      <c r="AK156" s="13"/>
      <c r="AL156" s="13" t="s">
        <v>18</v>
      </c>
      <c r="AN156" s="8">
        <v>311847</v>
      </c>
      <c r="AP156" s="8">
        <v>0</v>
      </c>
      <c r="AR156" s="8">
        <v>0</v>
      </c>
      <c r="AT156" s="8">
        <v>240000</v>
      </c>
      <c r="AV156" s="8">
        <v>58235</v>
      </c>
      <c r="AX156" s="8">
        <v>0</v>
      </c>
      <c r="AZ156" s="9">
        <f t="shared" si="11"/>
        <v>13109759</v>
      </c>
      <c r="BB156" s="8">
        <v>0</v>
      </c>
      <c r="BH156" s="8">
        <v>0</v>
      </c>
      <c r="BJ156" s="9">
        <f t="shared" si="13"/>
        <v>13109759</v>
      </c>
      <c r="BL156" s="9">
        <f>'Gov Fd Rv'!AQ156-'Gov Fnd Exp'!BJ156</f>
        <v>644517</v>
      </c>
      <c r="BN156" s="8">
        <v>881763</v>
      </c>
      <c r="BP156" s="8">
        <v>0</v>
      </c>
      <c r="BT156" s="9">
        <f t="shared" si="14"/>
        <v>1526280</v>
      </c>
      <c r="BU156" s="9"/>
      <c r="BV156" s="9">
        <f>BT156-'Gov Fd BS'!AA159</f>
        <v>0</v>
      </c>
    </row>
    <row r="157" spans="1:76" ht="12.75" customHeight="1">
      <c r="A157" s="13" t="s">
        <v>390</v>
      </c>
      <c r="B157" s="13"/>
      <c r="C157" s="13" t="s">
        <v>31</v>
      </c>
      <c r="D157" s="13"/>
      <c r="E157" s="32">
        <v>69682</v>
      </c>
      <c r="G157" s="8">
        <v>4687078</v>
      </c>
      <c r="I157" s="8">
        <v>969356</v>
      </c>
      <c r="K157" s="8">
        <v>254371</v>
      </c>
      <c r="M157" s="8">
        <f>6250+224430</f>
        <v>230680</v>
      </c>
      <c r="O157" s="8">
        <v>539450</v>
      </c>
      <c r="Q157" s="8">
        <v>490600</v>
      </c>
      <c r="S157" s="8">
        <v>29582</v>
      </c>
      <c r="U157" s="8">
        <v>827294</v>
      </c>
      <c r="W157" s="8">
        <v>335268</v>
      </c>
      <c r="Y157" s="8">
        <v>0</v>
      </c>
      <c r="AA157" s="8">
        <v>1185404</v>
      </c>
      <c r="AC157" s="8">
        <v>1091860</v>
      </c>
      <c r="AE157" s="8">
        <v>37947</v>
      </c>
      <c r="AG157" s="8">
        <v>453144</v>
      </c>
      <c r="AI157" s="8">
        <v>0</v>
      </c>
      <c r="AJ157" s="13" t="s">
        <v>390</v>
      </c>
      <c r="AK157" s="13"/>
      <c r="AL157" s="13" t="s">
        <v>31</v>
      </c>
      <c r="AN157" s="8">
        <v>351659</v>
      </c>
      <c r="AP157" s="8">
        <v>8718</v>
      </c>
      <c r="AR157" s="8">
        <v>0</v>
      </c>
      <c r="AT157" s="8">
        <v>434453</v>
      </c>
      <c r="AV157" s="8">
        <v>189731</v>
      </c>
      <c r="AX157" s="8">
        <v>0</v>
      </c>
      <c r="AZ157" s="9">
        <f t="shared" ref="AZ157:AZ224" si="15">SUM(G157:AX157)</f>
        <v>12116595</v>
      </c>
      <c r="BB157" s="8">
        <v>38969</v>
      </c>
      <c r="BH157" s="8">
        <v>0</v>
      </c>
      <c r="BJ157" s="9">
        <f t="shared" si="13"/>
        <v>12155564</v>
      </c>
      <c r="BL157" s="9">
        <f>'Gov Fd Rv'!AQ157-'Gov Fnd Exp'!BJ157</f>
        <v>-55801</v>
      </c>
      <c r="BN157" s="8">
        <v>3781052</v>
      </c>
      <c r="BP157" s="8">
        <v>0</v>
      </c>
      <c r="BT157" s="9">
        <f t="shared" si="14"/>
        <v>3725251</v>
      </c>
      <c r="BU157" s="9"/>
      <c r="BV157" s="9">
        <f>BT157-'Gov Fd BS'!AA160</f>
        <v>0</v>
      </c>
    </row>
    <row r="158" spans="1:76">
      <c r="A158" s="13" t="s">
        <v>441</v>
      </c>
      <c r="B158" s="13"/>
      <c r="C158" s="13" t="s">
        <v>36</v>
      </c>
      <c r="D158" s="13"/>
      <c r="E158" s="32">
        <v>47688</v>
      </c>
      <c r="G158" s="8">
        <v>8254631</v>
      </c>
      <c r="I158" s="8">
        <v>1833534</v>
      </c>
      <c r="K158" s="8">
        <v>550086</v>
      </c>
      <c r="M158" s="8">
        <v>49107</v>
      </c>
      <c r="O158" s="8">
        <v>755550</v>
      </c>
      <c r="Q158" s="8">
        <v>918884</v>
      </c>
      <c r="S158" s="8">
        <v>29109</v>
      </c>
      <c r="U158" s="8">
        <v>1621715</v>
      </c>
      <c r="W158" s="8">
        <v>428047</v>
      </c>
      <c r="Y158" s="8">
        <v>0</v>
      </c>
      <c r="AA158" s="8">
        <v>1469899</v>
      </c>
      <c r="AC158" s="8">
        <v>1222508</v>
      </c>
      <c r="AE158" s="8">
        <v>122411</v>
      </c>
      <c r="AG158" s="8">
        <v>760109</v>
      </c>
      <c r="AI158" s="8">
        <v>0</v>
      </c>
      <c r="AJ158" s="13" t="s">
        <v>441</v>
      </c>
      <c r="AK158" s="13"/>
      <c r="AL158" s="13" t="s">
        <v>36</v>
      </c>
      <c r="AN158" s="8">
        <v>406904</v>
      </c>
      <c r="AP158" s="8">
        <v>172119</v>
      </c>
      <c r="AR158" s="8">
        <v>0</v>
      </c>
      <c r="AT158" s="8">
        <v>170000</v>
      </c>
      <c r="AV158" s="8">
        <v>90078</v>
      </c>
      <c r="AX158" s="8">
        <v>0</v>
      </c>
      <c r="AZ158" s="9">
        <f t="shared" si="15"/>
        <v>18854691</v>
      </c>
      <c r="BB158" s="8">
        <v>0</v>
      </c>
      <c r="BH158" s="8">
        <v>0</v>
      </c>
      <c r="BJ158" s="9">
        <f t="shared" si="13"/>
        <v>18854691</v>
      </c>
      <c r="BL158" s="9">
        <f>'Gov Fd Rv'!AQ158-'Gov Fnd Exp'!BJ158</f>
        <v>-396718</v>
      </c>
      <c r="BN158" s="8">
        <v>5391967</v>
      </c>
      <c r="BP158" s="8">
        <v>0</v>
      </c>
      <c r="BT158" s="9">
        <f t="shared" si="14"/>
        <v>4995249</v>
      </c>
      <c r="BU158" s="9"/>
      <c r="BV158" s="9">
        <f>BT158-'Gov Fd BS'!AA161</f>
        <v>0</v>
      </c>
    </row>
    <row r="159" spans="1:76" hidden="1">
      <c r="A159" s="13" t="s">
        <v>929</v>
      </c>
      <c r="B159" s="13"/>
      <c r="C159" s="13" t="s">
        <v>40</v>
      </c>
      <c r="D159" s="13"/>
      <c r="E159" s="32"/>
      <c r="G159" s="8">
        <v>4378918</v>
      </c>
      <c r="I159" s="8">
        <v>1475887</v>
      </c>
      <c r="K159" s="8">
        <v>201234</v>
      </c>
      <c r="M159" s="8">
        <v>1542061</v>
      </c>
      <c r="O159" s="8">
        <v>619707</v>
      </c>
      <c r="Q159" s="8">
        <v>224021</v>
      </c>
      <c r="S159" s="8">
        <v>15019</v>
      </c>
      <c r="U159" s="8">
        <v>1058552</v>
      </c>
      <c r="W159" s="8">
        <v>327868</v>
      </c>
      <c r="AA159" s="8">
        <v>1145690</v>
      </c>
      <c r="AC159" s="8">
        <v>819602</v>
      </c>
      <c r="AG159" s="8">
        <v>543949</v>
      </c>
      <c r="AJ159" s="13" t="s">
        <v>929</v>
      </c>
      <c r="AK159" s="13"/>
      <c r="AL159" s="13" t="s">
        <v>40</v>
      </c>
      <c r="AN159" s="8">
        <v>331371</v>
      </c>
      <c r="AP159" s="8">
        <v>3586544</v>
      </c>
      <c r="AT159" s="8">
        <v>3035000</v>
      </c>
      <c r="AV159" s="8">
        <v>555066</v>
      </c>
      <c r="AZ159" s="9">
        <f t="shared" si="15"/>
        <v>19860489</v>
      </c>
      <c r="BB159" s="8">
        <v>0</v>
      </c>
      <c r="BH159" s="8">
        <f>-3010000-12966+3615-825</f>
        <v>-3020176</v>
      </c>
      <c r="BJ159" s="9">
        <f t="shared" si="13"/>
        <v>16840313</v>
      </c>
      <c r="BL159" s="9">
        <f>'Gov Fd Rv'!AQ159-'Gov Fnd Exp'!BJ159</f>
        <v>-3862089</v>
      </c>
      <c r="BN159" s="8">
        <v>7447977</v>
      </c>
      <c r="BT159" s="9">
        <f t="shared" si="14"/>
        <v>3585888</v>
      </c>
      <c r="BU159" s="9"/>
      <c r="BV159" s="9">
        <f>BT159-'Gov Fd BS'!AA162</f>
        <v>0</v>
      </c>
    </row>
    <row r="160" spans="1:76">
      <c r="A160" s="13" t="s">
        <v>281</v>
      </c>
      <c r="B160" s="13"/>
      <c r="C160" s="13" t="s">
        <v>114</v>
      </c>
      <c r="D160" s="13"/>
      <c r="E160" s="32">
        <v>43919</v>
      </c>
      <c r="G160" s="8">
        <v>12423787</v>
      </c>
      <c r="I160" s="8">
        <v>2568673</v>
      </c>
      <c r="K160" s="8">
        <v>962501</v>
      </c>
      <c r="M160" s="8">
        <f>6668+114732+175538</f>
        <v>296938</v>
      </c>
      <c r="O160" s="8">
        <v>918442</v>
      </c>
      <c r="Q160" s="8">
        <v>1202012</v>
      </c>
      <c r="S160" s="8">
        <v>190352</v>
      </c>
      <c r="U160" s="8">
        <v>1507575</v>
      </c>
      <c r="W160" s="8">
        <v>593371</v>
      </c>
      <c r="Y160" s="8">
        <v>44524</v>
      </c>
      <c r="AA160" s="8">
        <v>3586497</v>
      </c>
      <c r="AC160" s="8">
        <v>1346490</v>
      </c>
      <c r="AE160" s="8">
        <v>2752</v>
      </c>
      <c r="AG160" s="8">
        <v>847069</v>
      </c>
      <c r="AI160" s="8">
        <v>189000</v>
      </c>
      <c r="AJ160" s="13" t="s">
        <v>281</v>
      </c>
      <c r="AK160" s="13"/>
      <c r="AL160" s="13" t="s">
        <v>114</v>
      </c>
      <c r="AN160" s="8">
        <v>361255</v>
      </c>
      <c r="AP160" s="8">
        <v>12708191</v>
      </c>
      <c r="AR160" s="8">
        <v>0</v>
      </c>
      <c r="AT160" s="8">
        <v>40338</v>
      </c>
      <c r="AV160" s="8">
        <v>12471</v>
      </c>
      <c r="AX160" s="8">
        <v>0</v>
      </c>
      <c r="AZ160" s="9">
        <f t="shared" si="15"/>
        <v>39802238</v>
      </c>
      <c r="BB160" s="8">
        <v>97888</v>
      </c>
      <c r="BH160" s="8">
        <v>0</v>
      </c>
      <c r="BJ160" s="9">
        <f t="shared" si="13"/>
        <v>39900126</v>
      </c>
      <c r="BL160" s="9">
        <f>'Gov Fd Rv'!AQ160-'Gov Fnd Exp'!BJ160</f>
        <v>5521462</v>
      </c>
      <c r="BN160" s="8">
        <v>20777986</v>
      </c>
      <c r="BP160" s="8">
        <v>0</v>
      </c>
      <c r="BT160" s="9">
        <f t="shared" si="14"/>
        <v>26299448</v>
      </c>
      <c r="BU160" s="9"/>
      <c r="BV160" s="9">
        <f>BT160-'Gov Fd BS'!AA163</f>
        <v>0</v>
      </c>
    </row>
    <row r="161" spans="1:76">
      <c r="A161" s="13" t="s">
        <v>563</v>
      </c>
      <c r="B161" s="13"/>
      <c r="C161" s="13" t="s">
        <v>51</v>
      </c>
      <c r="D161" s="13"/>
      <c r="E161" s="32">
        <v>48835</v>
      </c>
      <c r="G161" s="8">
        <v>8683343</v>
      </c>
      <c r="I161" s="8">
        <v>1338024</v>
      </c>
      <c r="K161" s="8">
        <v>244902</v>
      </c>
      <c r="M161" s="8">
        <v>13446</v>
      </c>
      <c r="O161" s="8">
        <v>396948</v>
      </c>
      <c r="Q161" s="8">
        <v>1304293</v>
      </c>
      <c r="S161" s="8">
        <v>32716</v>
      </c>
      <c r="U161" s="8">
        <v>1856028</v>
      </c>
      <c r="W161" s="8">
        <v>388383</v>
      </c>
      <c r="Y161" s="8">
        <v>0</v>
      </c>
      <c r="AA161" s="8">
        <v>1885988</v>
      </c>
      <c r="AC161" s="8">
        <v>1177941</v>
      </c>
      <c r="AE161" s="8">
        <v>168172</v>
      </c>
      <c r="AG161" s="8">
        <v>894947</v>
      </c>
      <c r="AI161" s="8">
        <v>0</v>
      </c>
      <c r="AJ161" s="13" t="s">
        <v>563</v>
      </c>
      <c r="AK161" s="13"/>
      <c r="AL161" s="13" t="s">
        <v>51</v>
      </c>
      <c r="AN161" s="8">
        <v>457421</v>
      </c>
      <c r="AP161" s="8">
        <v>0</v>
      </c>
      <c r="AR161" s="8">
        <v>0</v>
      </c>
      <c r="AT161" s="8">
        <v>337947</v>
      </c>
      <c r="AV161" s="8">
        <v>283869</v>
      </c>
      <c r="AX161" s="8">
        <v>0</v>
      </c>
      <c r="AZ161" s="9">
        <f t="shared" si="15"/>
        <v>19464368</v>
      </c>
      <c r="BB161" s="8">
        <v>0</v>
      </c>
      <c r="BH161" s="8">
        <v>0</v>
      </c>
      <c r="BJ161" s="9">
        <f t="shared" si="13"/>
        <v>19464368</v>
      </c>
      <c r="BL161" s="9">
        <f>'Gov Fd Rv'!AQ161-'Gov Fnd Exp'!BJ161</f>
        <v>307013</v>
      </c>
      <c r="BN161" s="8">
        <v>4111321</v>
      </c>
      <c r="BP161" s="8">
        <v>0</v>
      </c>
      <c r="BT161" s="9">
        <f t="shared" si="14"/>
        <v>4418334</v>
      </c>
      <c r="BU161" s="9"/>
      <c r="BV161" s="9">
        <f>BT161-'Gov Fd BS'!AA164</f>
        <v>0</v>
      </c>
    </row>
    <row r="162" spans="1:76">
      <c r="A162" s="13" t="s">
        <v>282</v>
      </c>
      <c r="B162" s="13"/>
      <c r="C162" s="13" t="s">
        <v>114</v>
      </c>
      <c r="D162" s="13"/>
      <c r="E162" s="32">
        <v>43927</v>
      </c>
      <c r="G162" s="8">
        <v>4559120</v>
      </c>
      <c r="I162" s="8">
        <v>2205078</v>
      </c>
      <c r="K162" s="8">
        <v>58678</v>
      </c>
      <c r="M162" s="8">
        <v>0</v>
      </c>
      <c r="O162" s="8">
        <v>675723</v>
      </c>
      <c r="Q162" s="8">
        <v>465103</v>
      </c>
      <c r="S162" s="8">
        <v>27340</v>
      </c>
      <c r="U162" s="8">
        <v>726750</v>
      </c>
      <c r="W162" s="8">
        <v>275180</v>
      </c>
      <c r="Y162" s="8">
        <v>435215</v>
      </c>
      <c r="AA162" s="8">
        <v>1202472</v>
      </c>
      <c r="AC162" s="8">
        <v>498103</v>
      </c>
      <c r="AE162" s="8">
        <v>0</v>
      </c>
      <c r="AG162" s="8">
        <v>506202</v>
      </c>
      <c r="AI162" s="8">
        <v>12630</v>
      </c>
      <c r="AJ162" s="13" t="s">
        <v>282</v>
      </c>
      <c r="AK162" s="13"/>
      <c r="AL162" s="13" t="s">
        <v>114</v>
      </c>
      <c r="AN162" s="8">
        <v>362215</v>
      </c>
      <c r="AP162" s="8">
        <v>20698</v>
      </c>
      <c r="AR162" s="8">
        <v>0</v>
      </c>
      <c r="AT162" s="8">
        <v>1294098</v>
      </c>
      <c r="AV162" s="8">
        <v>159259</v>
      </c>
      <c r="AX162" s="8">
        <v>0</v>
      </c>
      <c r="AZ162" s="9">
        <f t="shared" si="15"/>
        <v>13483864</v>
      </c>
      <c r="BB162" s="8">
        <v>0</v>
      </c>
      <c r="BH162" s="8">
        <v>0</v>
      </c>
      <c r="BJ162" s="9">
        <f t="shared" si="13"/>
        <v>13483864</v>
      </c>
      <c r="BL162" s="9">
        <f>'Gov Fd Rv'!AQ162-'Gov Fnd Exp'!BJ162</f>
        <v>-302919</v>
      </c>
      <c r="BN162" s="8">
        <v>702366</v>
      </c>
      <c r="BP162" s="8">
        <v>0</v>
      </c>
      <c r="BT162" s="9">
        <f t="shared" si="14"/>
        <v>399447</v>
      </c>
      <c r="BU162" s="9"/>
      <c r="BV162" s="9">
        <f>BT162-'Gov Fd BS'!AA165</f>
        <v>0</v>
      </c>
    </row>
    <row r="163" spans="1:76">
      <c r="A163" s="13" t="s">
        <v>237</v>
      </c>
      <c r="B163" s="13"/>
      <c r="C163" s="13" t="s">
        <v>77</v>
      </c>
      <c r="D163" s="13"/>
      <c r="E163" s="32">
        <v>46037</v>
      </c>
      <c r="G163" s="8">
        <v>6158038</v>
      </c>
      <c r="I163" s="8">
        <v>1353851</v>
      </c>
      <c r="K163" s="8">
        <v>143548</v>
      </c>
      <c r="M163" s="8">
        <v>876516</v>
      </c>
      <c r="O163" s="8">
        <v>427530</v>
      </c>
      <c r="Q163" s="8">
        <v>1110660</v>
      </c>
      <c r="S163" s="8">
        <v>19321</v>
      </c>
      <c r="U163" s="8">
        <v>1005797</v>
      </c>
      <c r="W163" s="8">
        <v>428944</v>
      </c>
      <c r="Y163" s="8">
        <v>5762</v>
      </c>
      <c r="AA163" s="8">
        <v>984036</v>
      </c>
      <c r="AC163" s="8">
        <v>844028</v>
      </c>
      <c r="AE163" s="8">
        <v>33260</v>
      </c>
      <c r="AG163" s="8">
        <v>0</v>
      </c>
      <c r="AI163" s="8">
        <v>560672</v>
      </c>
      <c r="AJ163" s="13" t="s">
        <v>237</v>
      </c>
      <c r="AK163" s="13"/>
      <c r="AL163" s="13" t="s">
        <v>77</v>
      </c>
      <c r="AN163" s="8">
        <v>216576</v>
      </c>
      <c r="AP163" s="8">
        <v>20963212</v>
      </c>
      <c r="AR163" s="8">
        <v>0</v>
      </c>
      <c r="AT163" s="8">
        <v>325000</v>
      </c>
      <c r="AV163" s="8">
        <v>440826</v>
      </c>
      <c r="AX163" s="8">
        <v>0</v>
      </c>
      <c r="AZ163" s="9">
        <f t="shared" si="15"/>
        <v>35897577</v>
      </c>
      <c r="BB163" s="8">
        <v>2472</v>
      </c>
      <c r="BH163" s="8">
        <v>0</v>
      </c>
      <c r="BJ163" s="9">
        <f t="shared" si="13"/>
        <v>35900049</v>
      </c>
      <c r="BL163" s="9">
        <f>'Gov Fd Rv'!AQ163-'Gov Fnd Exp'!BJ163</f>
        <v>-14136232</v>
      </c>
      <c r="BN163" s="8">
        <v>22023212</v>
      </c>
      <c r="BP163" s="8">
        <v>0</v>
      </c>
      <c r="BT163" s="9">
        <f t="shared" si="14"/>
        <v>7886980</v>
      </c>
      <c r="BU163" s="9"/>
      <c r="BV163" s="9">
        <f>BT163-'Gov Fd BS'!AA166</f>
        <v>0</v>
      </c>
    </row>
    <row r="164" spans="1:76">
      <c r="A164" s="12" t="s">
        <v>237</v>
      </c>
      <c r="B164" s="12"/>
      <c r="C164" s="12" t="s">
        <v>531</v>
      </c>
      <c r="D164" s="12"/>
      <c r="E164" s="32">
        <v>48512</v>
      </c>
      <c r="G164" s="8">
        <v>3797611</v>
      </c>
      <c r="I164" s="8">
        <v>834025</v>
      </c>
      <c r="K164" s="8">
        <v>0</v>
      </c>
      <c r="M164" s="8">
        <v>3077</v>
      </c>
      <c r="O164" s="8">
        <v>487344</v>
      </c>
      <c r="Q164" s="8">
        <v>323796</v>
      </c>
      <c r="S164" s="8">
        <v>38242</v>
      </c>
      <c r="U164" s="8">
        <v>698337</v>
      </c>
      <c r="W164" s="8">
        <v>307901</v>
      </c>
      <c r="Y164" s="8">
        <v>0</v>
      </c>
      <c r="AA164" s="8">
        <v>772972</v>
      </c>
      <c r="AC164" s="8">
        <v>560567</v>
      </c>
      <c r="AE164" s="8">
        <v>88491</v>
      </c>
      <c r="AG164" s="8">
        <v>0</v>
      </c>
      <c r="AI164" s="8">
        <v>434275</v>
      </c>
      <c r="AJ164" s="13" t="s">
        <v>237</v>
      </c>
      <c r="AK164" s="13"/>
      <c r="AL164" s="13" t="s">
        <v>531</v>
      </c>
      <c r="AN164" s="8">
        <v>188536</v>
      </c>
      <c r="AP164" s="8">
        <v>95384</v>
      </c>
      <c r="AR164" s="8">
        <v>0</v>
      </c>
      <c r="AT164" s="8">
        <v>60000</v>
      </c>
      <c r="AV164" s="8">
        <v>52275</v>
      </c>
      <c r="AX164" s="8">
        <v>0</v>
      </c>
      <c r="AZ164" s="9">
        <f t="shared" si="15"/>
        <v>8742833</v>
      </c>
      <c r="BB164" s="26">
        <v>1058</v>
      </c>
      <c r="BH164" s="8">
        <v>0</v>
      </c>
      <c r="BJ164" s="9">
        <f t="shared" si="13"/>
        <v>8743891</v>
      </c>
      <c r="BL164" s="9">
        <f>'Gov Fd Rv'!AQ164-'Gov Fnd Exp'!BJ164</f>
        <v>397499</v>
      </c>
      <c r="BN164" s="8">
        <v>934333</v>
      </c>
      <c r="BP164" s="8">
        <v>0</v>
      </c>
      <c r="BT164" s="9">
        <f t="shared" si="14"/>
        <v>1331832</v>
      </c>
      <c r="BU164" s="9"/>
      <c r="BV164" s="9">
        <f>BT164-'Gov Fd BS'!AA167</f>
        <v>0</v>
      </c>
    </row>
    <row r="165" spans="1:76" hidden="1">
      <c r="A165" s="13" t="s">
        <v>931</v>
      </c>
      <c r="B165" s="13"/>
      <c r="C165" s="13" t="s">
        <v>55</v>
      </c>
      <c r="D165" s="13"/>
      <c r="E165" s="32">
        <v>49122</v>
      </c>
      <c r="G165" s="8">
        <v>3554200</v>
      </c>
      <c r="I165" s="8">
        <v>1001183</v>
      </c>
      <c r="K165" s="8">
        <v>26469</v>
      </c>
      <c r="M165" s="8">
        <v>1075229</v>
      </c>
      <c r="O165" s="8">
        <v>252302</v>
      </c>
      <c r="Q165" s="8">
        <v>177400</v>
      </c>
      <c r="S165" s="8">
        <v>32039</v>
      </c>
      <c r="U165" s="8">
        <v>673431</v>
      </c>
      <c r="W165" s="8">
        <v>222403</v>
      </c>
      <c r="AA165" s="8">
        <v>762187</v>
      </c>
      <c r="AC165" s="8">
        <v>706552</v>
      </c>
      <c r="AE165" s="8">
        <v>130853</v>
      </c>
      <c r="AI165" s="8">
        <v>346523</v>
      </c>
      <c r="AJ165" s="13" t="s">
        <v>931</v>
      </c>
      <c r="AK165" s="13"/>
      <c r="AL165" s="13" t="s">
        <v>55</v>
      </c>
      <c r="AN165" s="8">
        <v>116317</v>
      </c>
      <c r="AP165" s="8">
        <v>11239</v>
      </c>
      <c r="AT165" s="8">
        <v>55000</v>
      </c>
      <c r="AV165" s="8">
        <v>50065</v>
      </c>
      <c r="AZ165" s="9">
        <f t="shared" si="15"/>
        <v>9193392</v>
      </c>
      <c r="BH165" s="8">
        <v>-3463</v>
      </c>
      <c r="BJ165" s="9">
        <f t="shared" si="13"/>
        <v>9189929</v>
      </c>
      <c r="BL165" s="9">
        <f>'Gov Fd Rv'!AQ165-'Gov Fnd Exp'!BJ165</f>
        <v>-229589</v>
      </c>
      <c r="BN165" s="8">
        <v>2218047</v>
      </c>
      <c r="BT165" s="9">
        <f t="shared" si="14"/>
        <v>1988458</v>
      </c>
      <c r="BU165" s="9"/>
      <c r="BV165" s="9">
        <f>BT165-'Gov Fd BS'!AA168</f>
        <v>0</v>
      </c>
    </row>
    <row r="166" spans="1:76">
      <c r="A166" s="13" t="s">
        <v>734</v>
      </c>
      <c r="B166" s="13"/>
      <c r="C166" s="13" t="s">
        <v>72</v>
      </c>
      <c r="D166" s="13"/>
      <c r="E166" s="32">
        <v>50674</v>
      </c>
      <c r="G166" s="8">
        <v>7457279</v>
      </c>
      <c r="I166" s="8">
        <v>1670855</v>
      </c>
      <c r="K166" s="8">
        <v>220271</v>
      </c>
      <c r="M166" s="8">
        <v>0</v>
      </c>
      <c r="O166" s="8">
        <v>454829</v>
      </c>
      <c r="Q166" s="8">
        <v>434014</v>
      </c>
      <c r="S166" s="8">
        <v>59173</v>
      </c>
      <c r="U166" s="8">
        <v>1269052</v>
      </c>
      <c r="W166" s="8">
        <v>542206</v>
      </c>
      <c r="Y166" s="8">
        <v>0</v>
      </c>
      <c r="AA166" s="8">
        <v>1418181</v>
      </c>
      <c r="AC166" s="8">
        <v>1045303</v>
      </c>
      <c r="AE166" s="8">
        <v>0</v>
      </c>
      <c r="AG166" s="8">
        <v>0</v>
      </c>
      <c r="AI166" s="8">
        <v>721696</v>
      </c>
      <c r="AJ166" s="13" t="s">
        <v>734</v>
      </c>
      <c r="AK166" s="13"/>
      <c r="AL166" s="13" t="s">
        <v>72</v>
      </c>
      <c r="AN166" s="8">
        <v>524538</v>
      </c>
      <c r="AP166" s="8">
        <v>83198</v>
      </c>
      <c r="AR166" s="8">
        <v>0</v>
      </c>
      <c r="AT166" s="8">
        <v>332434</v>
      </c>
      <c r="AV166" s="8">
        <v>147638</v>
      </c>
      <c r="AX166" s="8">
        <v>0</v>
      </c>
      <c r="AZ166" s="9">
        <f t="shared" si="15"/>
        <v>16380667</v>
      </c>
      <c r="BB166" s="8">
        <v>39526</v>
      </c>
      <c r="BH166" s="8">
        <v>0</v>
      </c>
      <c r="BJ166" s="9">
        <f t="shared" si="13"/>
        <v>16420193</v>
      </c>
      <c r="BL166" s="9">
        <f>'Gov Fd Rv'!AQ166-'Gov Fnd Exp'!BJ166</f>
        <v>1177592</v>
      </c>
      <c r="BN166" s="8">
        <v>4348190</v>
      </c>
      <c r="BP166" s="8">
        <v>0</v>
      </c>
      <c r="BT166" s="9">
        <f t="shared" si="14"/>
        <v>5525782</v>
      </c>
      <c r="BU166" s="9"/>
      <c r="BV166" s="9">
        <f>BT166-'Gov Fd BS'!AA169</f>
        <v>0</v>
      </c>
    </row>
    <row r="167" spans="1:76">
      <c r="A167" s="12" t="s">
        <v>974</v>
      </c>
      <c r="B167" s="13"/>
      <c r="C167" s="13" t="s">
        <v>57</v>
      </c>
      <c r="D167" s="13"/>
      <c r="E167" s="32">
        <v>43935</v>
      </c>
      <c r="G167" s="8">
        <v>11679340</v>
      </c>
      <c r="I167" s="8">
        <v>0</v>
      </c>
      <c r="K167" s="8">
        <v>0</v>
      </c>
      <c r="M167" s="8">
        <v>0</v>
      </c>
      <c r="O167" s="8">
        <v>900754</v>
      </c>
      <c r="Q167" s="8">
        <v>527124</v>
      </c>
      <c r="S167" s="8">
        <v>16830</v>
      </c>
      <c r="U167" s="8">
        <v>1642757</v>
      </c>
      <c r="W167" s="8">
        <v>625181</v>
      </c>
      <c r="Y167" s="8">
        <v>2407</v>
      </c>
      <c r="AA167" s="8">
        <v>1871705</v>
      </c>
      <c r="AC167" s="8">
        <v>1242463</v>
      </c>
      <c r="AE167" s="8">
        <v>130611</v>
      </c>
      <c r="AG167" s="8">
        <v>0</v>
      </c>
      <c r="AI167" s="8">
        <v>5939</v>
      </c>
      <c r="AJ167" s="12" t="s">
        <v>974</v>
      </c>
      <c r="AK167" s="13"/>
      <c r="AL167" s="13" t="s">
        <v>57</v>
      </c>
      <c r="AN167" s="8">
        <v>641798</v>
      </c>
      <c r="AP167" s="8">
        <v>391011</v>
      </c>
      <c r="AR167" s="8">
        <v>0</v>
      </c>
      <c r="AT167" s="8">
        <v>585000</v>
      </c>
      <c r="AV167" s="8">
        <v>1082769</v>
      </c>
      <c r="AX167" s="8">
        <v>0</v>
      </c>
      <c r="AZ167" s="9">
        <f t="shared" si="15"/>
        <v>21345689</v>
      </c>
      <c r="BB167" s="8">
        <v>225</v>
      </c>
      <c r="BH167" s="8">
        <v>0</v>
      </c>
      <c r="BJ167" s="9">
        <f t="shared" si="13"/>
        <v>21345914</v>
      </c>
      <c r="BL167" s="9">
        <f>'Gov Fd Rv'!AQ167-'Gov Fnd Exp'!BJ167</f>
        <v>1535288</v>
      </c>
      <c r="BN167" s="8">
        <v>12494489</v>
      </c>
      <c r="BP167" s="8">
        <v>12755</v>
      </c>
      <c r="BT167" s="9">
        <f t="shared" si="14"/>
        <v>14042532</v>
      </c>
      <c r="BU167" s="9"/>
      <c r="BV167" s="9">
        <f>BT167-'Gov Fd BS'!AA170</f>
        <v>0</v>
      </c>
      <c r="BX167" s="8" t="s">
        <v>976</v>
      </c>
    </row>
    <row r="168" spans="1:76" hidden="1">
      <c r="A168" s="12" t="s">
        <v>932</v>
      </c>
      <c r="B168" s="13"/>
      <c r="C168" s="13" t="s">
        <v>727</v>
      </c>
      <c r="D168" s="13"/>
      <c r="E168" s="32">
        <v>50617</v>
      </c>
      <c r="G168" s="8">
        <v>2342347</v>
      </c>
      <c r="I168" s="8">
        <v>510238</v>
      </c>
      <c r="K168" s="8">
        <v>51230</v>
      </c>
      <c r="M168" s="8">
        <f>16280+383848</f>
        <v>400128</v>
      </c>
      <c r="O168" s="8">
        <v>232073</v>
      </c>
      <c r="Q168" s="8">
        <v>284705</v>
      </c>
      <c r="S168" s="8">
        <v>55097</v>
      </c>
      <c r="U168" s="8">
        <v>459782</v>
      </c>
      <c r="W168" s="8">
        <v>263976</v>
      </c>
      <c r="AA168" s="8">
        <v>587600</v>
      </c>
      <c r="AC168" s="8">
        <v>233322</v>
      </c>
      <c r="AE168" s="8">
        <v>35351</v>
      </c>
      <c r="AI168" s="8">
        <v>309531</v>
      </c>
      <c r="AJ168" s="12" t="s">
        <v>932</v>
      </c>
      <c r="AK168" s="13"/>
      <c r="AL168" s="13" t="s">
        <v>727</v>
      </c>
      <c r="AN168" s="8">
        <v>230793</v>
      </c>
      <c r="AP168" s="8">
        <v>197528</v>
      </c>
      <c r="AT168" s="8">
        <v>271032</v>
      </c>
      <c r="AV168" s="8">
        <v>355383</v>
      </c>
      <c r="AZ168" s="9">
        <f t="shared" si="15"/>
        <v>6820116</v>
      </c>
      <c r="BB168" s="8">
        <f>-4987+4987</f>
        <v>0</v>
      </c>
      <c r="BH168" s="8">
        <f>-64053-1714+64053+800</f>
        <v>-914</v>
      </c>
      <c r="BJ168" s="9">
        <f t="shared" si="13"/>
        <v>6819202</v>
      </c>
      <c r="BL168" s="9">
        <f>'Gov Fd Rv'!AQ168-'Gov Fnd Exp'!BJ168</f>
        <v>2822810</v>
      </c>
      <c r="BN168" s="8">
        <v>2433933</v>
      </c>
      <c r="BT168" s="9">
        <f t="shared" si="14"/>
        <v>5256743</v>
      </c>
      <c r="BU168" s="9"/>
      <c r="BV168" s="9">
        <f>BT168-'Gov Fd BS'!AA171</f>
        <v>0</v>
      </c>
    </row>
    <row r="169" spans="1:76">
      <c r="A169" s="13" t="s">
        <v>241</v>
      </c>
      <c r="B169" s="13"/>
      <c r="C169" s="13" t="s">
        <v>242</v>
      </c>
      <c r="D169" s="13"/>
      <c r="E169" s="32">
        <v>46094</v>
      </c>
      <c r="G169" s="8">
        <v>13942469</v>
      </c>
      <c r="I169" s="8">
        <v>4148498</v>
      </c>
      <c r="K169" s="8">
        <v>0</v>
      </c>
      <c r="M169" s="8">
        <v>39890</v>
      </c>
      <c r="O169" s="8">
        <v>2438657</v>
      </c>
      <c r="Q169" s="8">
        <v>3294445</v>
      </c>
      <c r="S169" s="8">
        <v>343239</v>
      </c>
      <c r="U169" s="8">
        <v>2333693</v>
      </c>
      <c r="W169" s="8">
        <v>863214</v>
      </c>
      <c r="Y169" s="8">
        <v>169378</v>
      </c>
      <c r="AA169" s="8">
        <v>2752311</v>
      </c>
      <c r="AC169" s="8">
        <v>1643435</v>
      </c>
      <c r="AE169" s="8">
        <v>202615</v>
      </c>
      <c r="AG169" s="8">
        <v>1452170</v>
      </c>
      <c r="AI169" s="8">
        <v>19714</v>
      </c>
      <c r="AJ169" s="13" t="s">
        <v>241</v>
      </c>
      <c r="AK169" s="13"/>
      <c r="AL169" s="13" t="s">
        <v>242</v>
      </c>
      <c r="AN169" s="8">
        <v>598068</v>
      </c>
      <c r="AP169" s="8">
        <f>3059796+24325</f>
        <v>3084121</v>
      </c>
      <c r="AR169" s="8">
        <v>0</v>
      </c>
      <c r="AT169" s="8">
        <v>2057253</v>
      </c>
      <c r="AV169" s="8">
        <v>572913</v>
      </c>
      <c r="AX169" s="8">
        <v>15750</v>
      </c>
      <c r="AZ169" s="9">
        <f t="shared" si="15"/>
        <v>39971833</v>
      </c>
      <c r="BB169" s="8">
        <v>39836</v>
      </c>
      <c r="BH169" s="8">
        <v>0</v>
      </c>
      <c r="BJ169" s="9">
        <f t="shared" si="13"/>
        <v>40011669</v>
      </c>
      <c r="BL169" s="9">
        <f>'Gov Fd Rv'!AQ169-'Gov Fnd Exp'!BJ169</f>
        <v>-1546823</v>
      </c>
      <c r="BN169" s="8">
        <v>7195394</v>
      </c>
      <c r="BP169" s="8">
        <v>1384</v>
      </c>
      <c r="BR169" s="8">
        <v>0</v>
      </c>
      <c r="BT169" s="9">
        <f t="shared" si="14"/>
        <v>5649955</v>
      </c>
      <c r="BU169" s="9"/>
      <c r="BV169" s="9">
        <f>BT169-'Gov Fd BS'!AA172</f>
        <v>0</v>
      </c>
    </row>
    <row r="170" spans="1:76">
      <c r="A170" s="13" t="s">
        <v>450</v>
      </c>
      <c r="B170" s="13"/>
      <c r="C170" s="13" t="s">
        <v>39</v>
      </c>
      <c r="D170" s="13"/>
      <c r="E170" s="32">
        <v>47795</v>
      </c>
      <c r="G170" s="8">
        <v>7255551</v>
      </c>
      <c r="I170" s="8">
        <v>1624294</v>
      </c>
      <c r="K170" s="8">
        <v>117045</v>
      </c>
      <c r="M170" s="8">
        <v>2105901</v>
      </c>
      <c r="O170" s="8">
        <v>772576</v>
      </c>
      <c r="Q170" s="8">
        <v>1139556</v>
      </c>
      <c r="S170" s="8">
        <v>179447</v>
      </c>
      <c r="U170" s="8">
        <v>1595452</v>
      </c>
      <c r="W170" s="8">
        <v>356480</v>
      </c>
      <c r="Y170" s="8">
        <v>123191</v>
      </c>
      <c r="AA170" s="8">
        <v>2036455</v>
      </c>
      <c r="AC170" s="8">
        <v>1978416</v>
      </c>
      <c r="AE170" s="8">
        <v>203196</v>
      </c>
      <c r="AG170" s="8">
        <v>842996</v>
      </c>
      <c r="AI170" s="8">
        <v>7355</v>
      </c>
      <c r="AJ170" s="13" t="s">
        <v>450</v>
      </c>
      <c r="AK170" s="13"/>
      <c r="AL170" s="13" t="s">
        <v>39</v>
      </c>
      <c r="AN170" s="8">
        <v>378256</v>
      </c>
      <c r="AP170" s="8">
        <v>0</v>
      </c>
      <c r="AR170" s="8">
        <v>0</v>
      </c>
      <c r="AT170" s="8">
        <v>246307</v>
      </c>
      <c r="AV170" s="8">
        <v>39761</v>
      </c>
      <c r="AX170" s="8">
        <v>0</v>
      </c>
      <c r="AZ170" s="9">
        <f t="shared" si="15"/>
        <v>21002235</v>
      </c>
      <c r="BB170" s="8">
        <v>480467</v>
      </c>
      <c r="BH170" s="8">
        <v>0</v>
      </c>
      <c r="BJ170" s="9">
        <f>AZ170+BB170+BH170</f>
        <v>21482702</v>
      </c>
      <c r="BL170" s="9">
        <f>'Gov Fd Rv'!AQ170-'Gov Fnd Exp'!BJ170</f>
        <v>1386101</v>
      </c>
      <c r="BN170" s="8">
        <v>-1488703</v>
      </c>
      <c r="BP170" s="8">
        <v>-4272</v>
      </c>
      <c r="BR170" s="8">
        <v>0</v>
      </c>
      <c r="BT170" s="9">
        <f>BL170+BN170+BP170+BR170</f>
        <v>-106874</v>
      </c>
      <c r="BU170" s="9"/>
      <c r="BV170" s="9">
        <f>BT170-'Gov Fd BS'!AA173</f>
        <v>0</v>
      </c>
    </row>
    <row r="171" spans="1:76">
      <c r="A171" s="13" t="s">
        <v>729</v>
      </c>
      <c r="B171" s="13"/>
      <c r="C171" s="13" t="s">
        <v>727</v>
      </c>
      <c r="D171" s="13"/>
      <c r="E171" s="32">
        <v>50625</v>
      </c>
      <c r="G171" s="8">
        <v>2662203</v>
      </c>
      <c r="I171" s="8">
        <v>678621</v>
      </c>
      <c r="K171" s="8">
        <v>169672</v>
      </c>
      <c r="M171" s="8">
        <f>53+12272</f>
        <v>12325</v>
      </c>
      <c r="O171" s="8">
        <v>276468</v>
      </c>
      <c r="Q171" s="8">
        <v>472648</v>
      </c>
      <c r="S171" s="8">
        <v>12802</v>
      </c>
      <c r="U171" s="8">
        <v>470597</v>
      </c>
      <c r="W171" s="8">
        <v>242858</v>
      </c>
      <c r="Y171" s="8">
        <v>780</v>
      </c>
      <c r="AA171" s="8">
        <v>670307</v>
      </c>
      <c r="AC171" s="8">
        <v>576236</v>
      </c>
      <c r="AE171" s="8">
        <v>50703</v>
      </c>
      <c r="AG171" s="8">
        <v>0</v>
      </c>
      <c r="AI171" s="8">
        <v>249006</v>
      </c>
      <c r="AJ171" s="13" t="s">
        <v>729</v>
      </c>
      <c r="AK171" s="13"/>
      <c r="AL171" s="13" t="s">
        <v>727</v>
      </c>
      <c r="AN171" s="8">
        <v>278159</v>
      </c>
      <c r="AP171" s="8">
        <v>21536</v>
      </c>
      <c r="AR171" s="8">
        <v>0</v>
      </c>
      <c r="AT171" s="8">
        <v>240000</v>
      </c>
      <c r="AV171" s="8">
        <v>141026</v>
      </c>
      <c r="AX171" s="8">
        <v>0</v>
      </c>
      <c r="AZ171" s="9">
        <f t="shared" si="15"/>
        <v>7225947</v>
      </c>
      <c r="BB171" s="8">
        <v>0</v>
      </c>
      <c r="BH171" s="8">
        <v>0</v>
      </c>
      <c r="BJ171" s="9">
        <f t="shared" si="13"/>
        <v>7225947</v>
      </c>
      <c r="BL171" s="9">
        <f>'Gov Fd Rv'!AQ171-'Gov Fnd Exp'!BJ171</f>
        <v>-689723</v>
      </c>
      <c r="BN171" s="8">
        <v>3719218</v>
      </c>
      <c r="BP171" s="8">
        <v>0</v>
      </c>
      <c r="BT171" s="9">
        <f t="shared" si="14"/>
        <v>3029495</v>
      </c>
      <c r="BU171" s="9"/>
      <c r="BV171" s="9">
        <f>BT171-'Gov Fd BS'!AA174</f>
        <v>0</v>
      </c>
    </row>
    <row r="172" spans="1:76" hidden="1">
      <c r="A172" s="13" t="s">
        <v>934</v>
      </c>
      <c r="B172" s="13"/>
      <c r="C172" s="13" t="s">
        <v>10</v>
      </c>
      <c r="D172" s="13"/>
      <c r="E172" s="32"/>
      <c r="G172" s="8">
        <v>11795595</v>
      </c>
      <c r="I172" s="8">
        <v>1934523</v>
      </c>
      <c r="K172" s="8">
        <v>28953</v>
      </c>
      <c r="M172" s="8">
        <v>2970</v>
      </c>
      <c r="O172" s="8">
        <v>950159</v>
      </c>
      <c r="Q172" s="8">
        <v>746199</v>
      </c>
      <c r="S172" s="8">
        <v>27048</v>
      </c>
      <c r="U172" s="8">
        <v>1472155</v>
      </c>
      <c r="W172" s="8">
        <v>508156</v>
      </c>
      <c r="Y172" s="8">
        <v>191347</v>
      </c>
      <c r="AA172" s="8">
        <v>1766184</v>
      </c>
      <c r="AC172" s="8">
        <v>1560226</v>
      </c>
      <c r="AG172" s="8">
        <v>920901</v>
      </c>
      <c r="AI172" s="8">
        <v>356816</v>
      </c>
      <c r="AJ172" s="13" t="s">
        <v>934</v>
      </c>
      <c r="AK172" s="13"/>
      <c r="AL172" s="13" t="s">
        <v>10</v>
      </c>
      <c r="AN172" s="8">
        <v>700766</v>
      </c>
      <c r="AP172" s="8">
        <v>3077475</v>
      </c>
      <c r="AT172" s="8">
        <v>38305193</v>
      </c>
      <c r="AV172" s="8">
        <v>1988393</v>
      </c>
      <c r="AZ172" s="9">
        <f t="shared" si="15"/>
        <v>66333059</v>
      </c>
      <c r="BH172" s="8">
        <f>-38249986-1429930+261329-202510</f>
        <v>-39621097</v>
      </c>
      <c r="BJ172" s="9">
        <f t="shared" si="13"/>
        <v>26711962</v>
      </c>
      <c r="BL172" s="9">
        <f>'Gov Fd Rv'!AQ172-'Gov Fnd Exp'!BJ172</f>
        <v>-1448667</v>
      </c>
      <c r="BN172" s="8">
        <v>42865840</v>
      </c>
      <c r="BT172" s="9">
        <f t="shared" si="14"/>
        <v>41417173</v>
      </c>
      <c r="BU172" s="9"/>
      <c r="BV172" s="9">
        <f>BT172-'Gov Fd BS'!AA175</f>
        <v>0</v>
      </c>
    </row>
    <row r="173" spans="1:76" hidden="1">
      <c r="A173" s="12" t="s">
        <v>1020</v>
      </c>
      <c r="B173" s="12"/>
      <c r="C173" s="12" t="s">
        <v>72</v>
      </c>
      <c r="D173" s="13"/>
      <c r="E173" s="32"/>
      <c r="AJ173" s="13"/>
      <c r="AK173" s="13"/>
      <c r="AL173" s="13"/>
      <c r="AZ173" s="9"/>
      <c r="BJ173" s="9"/>
      <c r="BL173" s="9"/>
      <c r="BT173" s="9"/>
      <c r="BU173" s="9"/>
      <c r="BV173" s="9"/>
      <c r="BX173" s="8" t="s">
        <v>967</v>
      </c>
    </row>
    <row r="174" spans="1:76">
      <c r="A174" s="12" t="s">
        <v>977</v>
      </c>
      <c r="B174" s="13"/>
      <c r="C174" s="13" t="s">
        <v>46</v>
      </c>
      <c r="D174" s="13"/>
      <c r="E174" s="32">
        <v>48413</v>
      </c>
      <c r="G174" s="8">
        <v>6904748</v>
      </c>
      <c r="I174" s="8">
        <v>1439230</v>
      </c>
      <c r="K174" s="8">
        <v>76166</v>
      </c>
      <c r="M174" s="8">
        <v>0</v>
      </c>
      <c r="O174" s="8">
        <v>672900</v>
      </c>
      <c r="Q174" s="8">
        <v>447036</v>
      </c>
      <c r="S174" s="8">
        <v>29744</v>
      </c>
      <c r="U174" s="8">
        <v>1117039</v>
      </c>
      <c r="W174" s="8">
        <v>403155</v>
      </c>
      <c r="Y174" s="8">
        <v>0</v>
      </c>
      <c r="AA174" s="8">
        <v>1103256</v>
      </c>
      <c r="AC174" s="8">
        <v>815268</v>
      </c>
      <c r="AE174" s="8">
        <v>0</v>
      </c>
      <c r="AG174" s="8">
        <v>0</v>
      </c>
      <c r="AI174" s="8">
        <v>598984</v>
      </c>
      <c r="AJ174" s="13" t="s">
        <v>520</v>
      </c>
      <c r="AK174" s="13"/>
      <c r="AL174" s="13" t="s">
        <v>46</v>
      </c>
      <c r="AN174" s="8">
        <v>340031</v>
      </c>
      <c r="AP174" s="8">
        <v>17636</v>
      </c>
      <c r="AR174" s="8">
        <v>0</v>
      </c>
      <c r="AT174" s="8">
        <v>0</v>
      </c>
      <c r="AV174" s="8">
        <v>0</v>
      </c>
      <c r="AX174" s="8">
        <v>0</v>
      </c>
      <c r="AZ174" s="9">
        <f t="shared" si="15"/>
        <v>13965193</v>
      </c>
      <c r="BB174" s="8">
        <v>0</v>
      </c>
      <c r="BH174" s="8">
        <v>0</v>
      </c>
      <c r="BJ174" s="9">
        <f t="shared" si="13"/>
        <v>13965193</v>
      </c>
      <c r="BL174" s="9">
        <f>'Gov Fd Rv'!AQ174-'Gov Fnd Exp'!BJ174</f>
        <v>-291695</v>
      </c>
      <c r="BN174" s="8">
        <v>1011150</v>
      </c>
      <c r="BP174" s="8">
        <v>0</v>
      </c>
      <c r="BT174" s="9">
        <f t="shared" si="14"/>
        <v>719455</v>
      </c>
      <c r="BU174" s="9"/>
      <c r="BV174" s="9">
        <f>BT174-'Gov Fd BS'!AA177</f>
        <v>0</v>
      </c>
    </row>
    <row r="175" spans="1:76">
      <c r="A175" s="13" t="s">
        <v>487</v>
      </c>
      <c r="B175" s="13"/>
      <c r="C175" s="13" t="s">
        <v>44</v>
      </c>
      <c r="D175" s="13"/>
      <c r="E175" s="32">
        <v>43943</v>
      </c>
      <c r="G175" s="8">
        <v>29962658</v>
      </c>
      <c r="I175" s="8">
        <v>10406496</v>
      </c>
      <c r="K175" s="8">
        <v>226607</v>
      </c>
      <c r="M175" s="8">
        <f>72801+675918+6676199</f>
        <v>7424918</v>
      </c>
      <c r="O175" s="8">
        <v>4078100</v>
      </c>
      <c r="Q175" s="8">
        <v>4958951</v>
      </c>
      <c r="S175" s="8">
        <v>104943</v>
      </c>
      <c r="U175" s="8">
        <v>4757130</v>
      </c>
      <c r="W175" s="8">
        <v>1714088</v>
      </c>
      <c r="Y175" s="8">
        <v>646906</v>
      </c>
      <c r="AA175" s="8">
        <v>6869330</v>
      </c>
      <c r="AC175" s="8">
        <v>3184262</v>
      </c>
      <c r="AE175" s="8">
        <v>1326184</v>
      </c>
      <c r="AG175" s="8">
        <v>0</v>
      </c>
      <c r="AI175" s="8">
        <v>1847686</v>
      </c>
      <c r="AJ175" s="13" t="s">
        <v>487</v>
      </c>
      <c r="AK175" s="13"/>
      <c r="AL175" s="13" t="s">
        <v>44</v>
      </c>
      <c r="AN175" s="8">
        <v>1404075</v>
      </c>
      <c r="AP175" s="8">
        <v>12501387</v>
      </c>
      <c r="AR175" s="8">
        <v>0</v>
      </c>
      <c r="AT175" s="8">
        <v>759594</v>
      </c>
      <c r="AV175" s="8">
        <v>2362890</v>
      </c>
      <c r="AX175" s="8">
        <v>0</v>
      </c>
      <c r="AZ175" s="9">
        <f t="shared" si="15"/>
        <v>94536205</v>
      </c>
      <c r="BB175" s="8">
        <v>6076275</v>
      </c>
      <c r="BH175" s="8">
        <v>0</v>
      </c>
      <c r="BJ175" s="9">
        <f t="shared" si="13"/>
        <v>100612480</v>
      </c>
      <c r="BL175" s="9">
        <f>'Gov Fd Rv'!AQ175-'Gov Fnd Exp'!BJ175</f>
        <v>6345376</v>
      </c>
      <c r="BN175" s="8">
        <v>47056370</v>
      </c>
      <c r="BP175" s="8">
        <v>0</v>
      </c>
      <c r="BT175" s="9">
        <f t="shared" si="14"/>
        <v>53401746</v>
      </c>
      <c r="BU175" s="9"/>
      <c r="BV175" s="9">
        <f>BT175-'Gov Fd BS'!AA178</f>
        <v>0</v>
      </c>
    </row>
    <row r="176" spans="1:76">
      <c r="A176" s="13" t="s">
        <v>306</v>
      </c>
      <c r="B176" s="13"/>
      <c r="C176" s="13" t="s">
        <v>20</v>
      </c>
      <c r="D176" s="13"/>
      <c r="E176" s="32">
        <v>43950</v>
      </c>
      <c r="G176" s="8">
        <v>29513925</v>
      </c>
      <c r="I176" s="8">
        <v>14723287</v>
      </c>
      <c r="K176" s="8">
        <v>1288483</v>
      </c>
      <c r="M176" s="8">
        <f>80109+727357</f>
        <v>807466</v>
      </c>
      <c r="O176" s="8">
        <v>4088536</v>
      </c>
      <c r="Q176" s="8">
        <v>5334449</v>
      </c>
      <c r="S176" s="8">
        <v>62252</v>
      </c>
      <c r="U176" s="8">
        <v>5275109</v>
      </c>
      <c r="W176" s="8">
        <v>2013309</v>
      </c>
      <c r="Y176" s="8">
        <v>757615</v>
      </c>
      <c r="AA176" s="8">
        <v>8297477</v>
      </c>
      <c r="AC176" s="8">
        <v>3937938</v>
      </c>
      <c r="AE176" s="8">
        <v>1438448</v>
      </c>
      <c r="AG176" s="8">
        <v>0</v>
      </c>
      <c r="AI176" s="8">
        <v>1153314</v>
      </c>
      <c r="AJ176" s="13" t="s">
        <v>306</v>
      </c>
      <c r="AK176" s="13"/>
      <c r="AL176" s="13" t="s">
        <v>20</v>
      </c>
      <c r="AN176" s="8">
        <v>1287931</v>
      </c>
      <c r="AP176" s="8">
        <v>176011</v>
      </c>
      <c r="AR176" s="8">
        <v>0</v>
      </c>
      <c r="AT176" s="8">
        <v>2320000</v>
      </c>
      <c r="AV176" s="8">
        <v>497565</v>
      </c>
      <c r="AX176" s="8">
        <v>0</v>
      </c>
      <c r="AZ176" s="9">
        <f t="shared" si="15"/>
        <v>82973115</v>
      </c>
      <c r="BB176" s="8">
        <v>1652867</v>
      </c>
      <c r="BH176" s="8">
        <v>0</v>
      </c>
      <c r="BJ176" s="9">
        <f t="shared" si="13"/>
        <v>84625982</v>
      </c>
      <c r="BL176" s="9">
        <f>'Gov Fd Rv'!AQ176-'Gov Fnd Exp'!BJ176</f>
        <v>3027435</v>
      </c>
      <c r="BN176" s="8">
        <v>10662259</v>
      </c>
      <c r="BP176" s="8">
        <v>0</v>
      </c>
      <c r="BT176" s="9">
        <f t="shared" si="14"/>
        <v>13689694</v>
      </c>
      <c r="BU176" s="9"/>
      <c r="BV176" s="9">
        <f>BT176-'Gov Fd BS'!AA179</f>
        <v>0</v>
      </c>
    </row>
    <row r="177" spans="1:74" hidden="1">
      <c r="A177" s="13" t="s">
        <v>840</v>
      </c>
      <c r="B177" s="13"/>
      <c r="C177" s="13" t="s">
        <v>28</v>
      </c>
      <c r="D177" s="13"/>
      <c r="E177" s="32">
        <v>47050</v>
      </c>
      <c r="G177" s="8">
        <v>4847321</v>
      </c>
      <c r="I177" s="8">
        <v>1542547</v>
      </c>
      <c r="K177" s="8">
        <v>134545</v>
      </c>
      <c r="M177" s="8">
        <v>604716</v>
      </c>
      <c r="O177" s="8">
        <v>595499</v>
      </c>
      <c r="Q177" s="8">
        <v>790095</v>
      </c>
      <c r="S177" s="8">
        <v>35441</v>
      </c>
      <c r="U177" s="8">
        <v>988015</v>
      </c>
      <c r="W177" s="8">
        <v>337945</v>
      </c>
      <c r="Y177" s="8">
        <v>18000</v>
      </c>
      <c r="AA177" s="8">
        <v>1226198</v>
      </c>
      <c r="AC177" s="8">
        <v>1110910</v>
      </c>
      <c r="AE177" s="8">
        <v>86321</v>
      </c>
      <c r="AI177" s="8">
        <v>610805</v>
      </c>
      <c r="AJ177" s="13" t="s">
        <v>369</v>
      </c>
      <c r="AK177" s="13"/>
      <c r="AL177" s="13" t="s">
        <v>28</v>
      </c>
      <c r="AN177" s="8">
        <v>466174</v>
      </c>
      <c r="AP177" s="8">
        <v>6740</v>
      </c>
      <c r="AT177" s="8">
        <v>325264</v>
      </c>
      <c r="AV177" s="8">
        <v>913106</v>
      </c>
      <c r="AZ177" s="9">
        <f t="shared" si="15"/>
        <v>14639642</v>
      </c>
      <c r="BH177" s="8">
        <f>-450-30840-26400+26450</f>
        <v>-31240</v>
      </c>
      <c r="BJ177" s="9">
        <f t="shared" si="13"/>
        <v>14608402</v>
      </c>
      <c r="BL177" s="9">
        <f>'Gov Fd Rv'!AQ177-'Gov Fnd Exp'!BJ177</f>
        <v>721738</v>
      </c>
      <c r="BN177" s="8">
        <v>5249866</v>
      </c>
      <c r="BT177" s="9">
        <f t="shared" si="14"/>
        <v>5971604</v>
      </c>
      <c r="BU177" s="9"/>
      <c r="BV177" s="9">
        <f>BT177-'Gov Fd BS'!AA180</f>
        <v>0</v>
      </c>
    </row>
    <row r="178" spans="1:74">
      <c r="A178" s="13" t="s">
        <v>702</v>
      </c>
      <c r="B178" s="13"/>
      <c r="C178" s="13" t="s">
        <v>66</v>
      </c>
      <c r="D178" s="13"/>
      <c r="E178" s="32">
        <v>50328</v>
      </c>
      <c r="G178" s="8">
        <v>4242224</v>
      </c>
      <c r="I178" s="8">
        <v>819974</v>
      </c>
      <c r="K178" s="8">
        <v>38602</v>
      </c>
      <c r="M178" s="8">
        <v>58931</v>
      </c>
      <c r="O178" s="8">
        <v>665342</v>
      </c>
      <c r="Q178" s="8">
        <v>458796</v>
      </c>
      <c r="S178" s="8">
        <v>98478</v>
      </c>
      <c r="U178" s="8">
        <v>850821</v>
      </c>
      <c r="W178" s="8">
        <v>372513</v>
      </c>
      <c r="Y178" s="8">
        <v>0</v>
      </c>
      <c r="AA178" s="8">
        <v>932784</v>
      </c>
      <c r="AC178" s="8">
        <v>726618</v>
      </c>
      <c r="AE178" s="8">
        <v>9000</v>
      </c>
      <c r="AG178" s="8">
        <v>216677</v>
      </c>
      <c r="AI178" s="8">
        <v>168050</v>
      </c>
      <c r="AJ178" s="13" t="s">
        <v>702</v>
      </c>
      <c r="AK178" s="13"/>
      <c r="AL178" s="13" t="s">
        <v>66</v>
      </c>
      <c r="AN178" s="8">
        <v>305395</v>
      </c>
      <c r="AP178" s="8">
        <v>4445832</v>
      </c>
      <c r="AR178" s="8">
        <v>0</v>
      </c>
      <c r="AT178" s="8">
        <v>576225</v>
      </c>
      <c r="AV178" s="8">
        <v>555523</v>
      </c>
      <c r="AX178" s="8">
        <v>0</v>
      </c>
      <c r="AZ178" s="9">
        <f t="shared" si="15"/>
        <v>15541785</v>
      </c>
      <c r="BB178" s="8">
        <v>367884</v>
      </c>
      <c r="BH178" s="8">
        <v>0</v>
      </c>
      <c r="BJ178" s="9">
        <f t="shared" si="13"/>
        <v>15909669</v>
      </c>
      <c r="BL178" s="9">
        <f>'Gov Fd Rv'!AQ178-'Gov Fnd Exp'!BJ178</f>
        <v>-3749472</v>
      </c>
      <c r="BN178" s="8">
        <v>7373086</v>
      </c>
      <c r="BP178" s="8">
        <v>0</v>
      </c>
      <c r="BT178" s="9">
        <f t="shared" si="14"/>
        <v>3623614</v>
      </c>
      <c r="BU178" s="9"/>
      <c r="BV178" s="9">
        <f>BT178-'Gov Fd BS'!AA181</f>
        <v>0</v>
      </c>
    </row>
    <row r="179" spans="1:74">
      <c r="A179" s="13" t="s">
        <v>853</v>
      </c>
      <c r="B179" s="13"/>
      <c r="C179" s="13" t="s">
        <v>116</v>
      </c>
      <c r="D179" s="13"/>
      <c r="E179" s="32">
        <v>50328</v>
      </c>
      <c r="G179" s="8">
        <v>18368146</v>
      </c>
      <c r="I179" s="8">
        <v>6419877</v>
      </c>
      <c r="K179" s="8">
        <v>0</v>
      </c>
      <c r="M179" s="8">
        <v>2638844</v>
      </c>
      <c r="O179" s="8">
        <v>2660959</v>
      </c>
      <c r="Q179" s="8">
        <v>2397545</v>
      </c>
      <c r="S179" s="8">
        <v>62140</v>
      </c>
      <c r="U179" s="8">
        <v>2954197</v>
      </c>
      <c r="W179" s="8">
        <v>818843</v>
      </c>
      <c r="Y179" s="8">
        <v>229353</v>
      </c>
      <c r="AA179" s="8">
        <v>3916147</v>
      </c>
      <c r="AC179" s="8">
        <v>2716881</v>
      </c>
      <c r="AE179" s="8">
        <v>526355</v>
      </c>
      <c r="AG179" s="8">
        <v>0</v>
      </c>
      <c r="AI179" s="8">
        <v>1624306</v>
      </c>
      <c r="AJ179" s="13" t="s">
        <v>853</v>
      </c>
      <c r="AK179" s="13"/>
      <c r="AL179" s="13" t="s">
        <v>116</v>
      </c>
      <c r="AN179" s="8">
        <v>743750</v>
      </c>
      <c r="AP179" s="8">
        <v>32953</v>
      </c>
      <c r="AR179" s="8">
        <v>0</v>
      </c>
      <c r="AT179" s="8">
        <v>962036</v>
      </c>
      <c r="AV179" s="8">
        <v>827316</v>
      </c>
      <c r="AX179" s="8">
        <v>0</v>
      </c>
      <c r="AZ179" s="9">
        <f t="shared" si="15"/>
        <v>47899648</v>
      </c>
      <c r="BB179" s="8">
        <v>729800</v>
      </c>
      <c r="BH179" s="8">
        <v>0</v>
      </c>
      <c r="BJ179" s="9">
        <f t="shared" si="13"/>
        <v>48629448</v>
      </c>
      <c r="BL179" s="9">
        <f>'Gov Fd Rv'!AQ179-'Gov Fnd Exp'!BJ179</f>
        <v>2599255</v>
      </c>
      <c r="BN179" s="8">
        <v>2374776</v>
      </c>
      <c r="BP179" s="8">
        <v>-3187</v>
      </c>
      <c r="BT179" s="9">
        <f t="shared" si="14"/>
        <v>4970844</v>
      </c>
      <c r="BU179" s="9"/>
      <c r="BV179" s="9">
        <f>BT179-'Gov Fd BS'!AA182</f>
        <v>0</v>
      </c>
    </row>
    <row r="180" spans="1:74">
      <c r="A180" s="13"/>
      <c r="B180" s="13"/>
      <c r="C180" s="13"/>
      <c r="D180" s="13"/>
      <c r="E180" s="32"/>
      <c r="AJ180" s="13"/>
      <c r="AK180" s="13"/>
      <c r="AL180" s="13"/>
      <c r="AZ180" s="9"/>
      <c r="BJ180" s="9"/>
      <c r="BL180" s="9"/>
      <c r="BT180" s="9"/>
      <c r="BU180" s="9"/>
      <c r="BV180" s="9"/>
    </row>
    <row r="181" spans="1:74">
      <c r="A181" s="13"/>
      <c r="B181" s="13"/>
      <c r="C181" s="13"/>
      <c r="D181" s="13"/>
      <c r="E181" s="32"/>
      <c r="AI181" s="125" t="s">
        <v>805</v>
      </c>
      <c r="AJ181" s="13"/>
      <c r="AK181" s="13"/>
      <c r="AL181" s="13"/>
      <c r="AZ181" s="9"/>
      <c r="BJ181" s="9"/>
      <c r="BL181" s="9"/>
      <c r="BT181" s="125" t="s">
        <v>805</v>
      </c>
      <c r="BU181" s="9"/>
      <c r="BV181" s="9"/>
    </row>
    <row r="182" spans="1:74">
      <c r="A182" s="13"/>
      <c r="B182" s="13"/>
      <c r="C182" s="13"/>
      <c r="D182" s="13"/>
      <c r="E182" s="32"/>
      <c r="AJ182" s="13"/>
      <c r="AK182" s="13"/>
      <c r="AL182" s="13"/>
      <c r="AZ182" s="9"/>
      <c r="BJ182" s="9"/>
      <c r="BL182" s="9"/>
      <c r="BT182" s="9"/>
      <c r="BU182" s="9"/>
      <c r="BV182" s="9"/>
    </row>
    <row r="183" spans="1:74">
      <c r="A183" s="13" t="s">
        <v>243</v>
      </c>
      <c r="B183" s="13"/>
      <c r="C183" s="13" t="s">
        <v>242</v>
      </c>
      <c r="D183" s="13"/>
      <c r="E183" s="32">
        <v>46102</v>
      </c>
      <c r="G183" s="35">
        <v>36199989</v>
      </c>
      <c r="H183" s="35"/>
      <c r="I183" s="35">
        <v>8938506</v>
      </c>
      <c r="J183" s="35"/>
      <c r="K183" s="35">
        <v>89895</v>
      </c>
      <c r="L183" s="35"/>
      <c r="M183" s="35">
        <v>1783381</v>
      </c>
      <c r="N183" s="35"/>
      <c r="O183" s="35">
        <v>3932160</v>
      </c>
      <c r="P183" s="35"/>
      <c r="Q183" s="35">
        <v>6039981</v>
      </c>
      <c r="R183" s="35"/>
      <c r="S183" s="35">
        <v>27451</v>
      </c>
      <c r="T183" s="35"/>
      <c r="U183" s="35">
        <v>6244117</v>
      </c>
      <c r="V183" s="35"/>
      <c r="W183" s="35">
        <v>1302182</v>
      </c>
      <c r="X183" s="35"/>
      <c r="Y183" s="35">
        <v>151024</v>
      </c>
      <c r="Z183" s="35"/>
      <c r="AA183" s="35">
        <v>7783681</v>
      </c>
      <c r="AB183" s="35"/>
      <c r="AC183" s="35">
        <v>5240728</v>
      </c>
      <c r="AD183" s="35"/>
      <c r="AE183" s="35">
        <v>150181</v>
      </c>
      <c r="AF183" s="35"/>
      <c r="AG183" s="35">
        <v>0</v>
      </c>
      <c r="AH183" s="35"/>
      <c r="AI183" s="35">
        <v>5357561</v>
      </c>
      <c r="AJ183" s="13" t="s">
        <v>243</v>
      </c>
      <c r="AK183" s="13"/>
      <c r="AL183" s="13" t="s">
        <v>242</v>
      </c>
      <c r="AN183" s="35">
        <v>1748694</v>
      </c>
      <c r="AO183" s="35"/>
      <c r="AP183" s="35">
        <v>907578</v>
      </c>
      <c r="AQ183" s="35"/>
      <c r="AR183" s="35">
        <v>0</v>
      </c>
      <c r="AS183" s="35"/>
      <c r="AT183" s="35">
        <v>2352528</v>
      </c>
      <c r="AU183" s="35"/>
      <c r="AV183" s="35">
        <v>2056855</v>
      </c>
      <c r="AW183" s="35"/>
      <c r="AX183" s="35">
        <v>0</v>
      </c>
      <c r="AY183" s="35"/>
      <c r="AZ183" s="44">
        <f t="shared" si="15"/>
        <v>90306492</v>
      </c>
      <c r="BA183" s="35"/>
      <c r="BB183" s="35">
        <v>0</v>
      </c>
      <c r="BC183" s="35"/>
      <c r="BD183" s="35"/>
      <c r="BE183" s="35"/>
      <c r="BF183" s="35"/>
      <c r="BG183" s="35"/>
      <c r="BH183" s="35">
        <v>0</v>
      </c>
      <c r="BI183" s="35"/>
      <c r="BJ183" s="44">
        <f t="shared" si="13"/>
        <v>90306492</v>
      </c>
      <c r="BK183" s="35"/>
      <c r="BL183" s="44">
        <f>'Gov Fd Rv'!AQ183-'Gov Fnd Exp'!BJ183</f>
        <v>110251</v>
      </c>
      <c r="BM183" s="35"/>
      <c r="BN183" s="35">
        <v>13264576</v>
      </c>
      <c r="BO183" s="35"/>
      <c r="BP183" s="35">
        <v>0</v>
      </c>
      <c r="BQ183" s="35"/>
      <c r="BR183" s="35"/>
      <c r="BS183" s="35"/>
      <c r="BT183" s="44">
        <f t="shared" si="14"/>
        <v>13374827</v>
      </c>
      <c r="BU183" s="9"/>
      <c r="BV183" s="9">
        <f>BT183-'Gov Fd BS'!AA183</f>
        <v>0</v>
      </c>
    </row>
    <row r="184" spans="1:74">
      <c r="A184" s="13" t="s">
        <v>436</v>
      </c>
      <c r="B184" s="13"/>
      <c r="C184" s="13" t="s">
        <v>435</v>
      </c>
      <c r="D184" s="13"/>
      <c r="E184" s="32">
        <v>47621</v>
      </c>
      <c r="G184" s="8">
        <v>3258101</v>
      </c>
      <c r="I184" s="8">
        <v>357139</v>
      </c>
      <c r="K184" s="8">
        <v>179640</v>
      </c>
      <c r="M184" s="8">
        <v>25817</v>
      </c>
      <c r="O184" s="8">
        <v>262990</v>
      </c>
      <c r="Q184" s="8">
        <v>397928</v>
      </c>
      <c r="S184" s="8">
        <v>22515</v>
      </c>
      <c r="U184" s="8">
        <v>488503</v>
      </c>
      <c r="W184" s="8">
        <v>292101</v>
      </c>
      <c r="Y184" s="8">
        <v>45837</v>
      </c>
      <c r="AA184" s="8">
        <v>617345</v>
      </c>
      <c r="AC184" s="8">
        <v>468138</v>
      </c>
      <c r="AE184" s="8">
        <v>115432</v>
      </c>
      <c r="AG184" s="8">
        <v>252746</v>
      </c>
      <c r="AI184" s="8">
        <v>7528</v>
      </c>
      <c r="AJ184" s="13" t="s">
        <v>436</v>
      </c>
      <c r="AK184" s="13"/>
      <c r="AL184" s="13" t="s">
        <v>435</v>
      </c>
      <c r="AN184" s="8">
        <v>100792</v>
      </c>
      <c r="AP184" s="8">
        <v>0</v>
      </c>
      <c r="AR184" s="8">
        <v>0</v>
      </c>
      <c r="AT184" s="8">
        <v>100000</v>
      </c>
      <c r="AV184" s="8">
        <v>68250</v>
      </c>
      <c r="AX184" s="8">
        <v>0</v>
      </c>
      <c r="AZ184" s="9">
        <f t="shared" si="15"/>
        <v>7060802</v>
      </c>
      <c r="BB184" s="8">
        <v>0</v>
      </c>
      <c r="BH184" s="8">
        <v>0</v>
      </c>
      <c r="BJ184" s="9">
        <f t="shared" si="13"/>
        <v>7060802</v>
      </c>
      <c r="BL184" s="9">
        <f>'Gov Fd Rv'!AQ184-'Gov Fnd Exp'!BJ184</f>
        <v>1102097</v>
      </c>
      <c r="BN184" s="8">
        <v>-108911</v>
      </c>
      <c r="BP184" s="8">
        <v>0</v>
      </c>
      <c r="BT184" s="9">
        <f t="shared" si="14"/>
        <v>993186</v>
      </c>
      <c r="BU184" s="9"/>
      <c r="BV184" s="9">
        <f>BT184-'Gov Fd BS'!AA184</f>
        <v>0</v>
      </c>
    </row>
    <row r="185" spans="1:74">
      <c r="A185" s="13" t="s">
        <v>346</v>
      </c>
      <c r="B185" s="13"/>
      <c r="C185" s="13" t="s">
        <v>25</v>
      </c>
      <c r="D185" s="13"/>
      <c r="E185" s="32">
        <v>46870</v>
      </c>
      <c r="G185" s="8">
        <v>8025376</v>
      </c>
      <c r="I185" s="8">
        <v>1951496</v>
      </c>
      <c r="K185" s="8">
        <v>392788</v>
      </c>
      <c r="M185" s="8">
        <v>397747</v>
      </c>
      <c r="O185" s="8">
        <v>868388</v>
      </c>
      <c r="Q185" s="8">
        <v>715197</v>
      </c>
      <c r="S185" s="8">
        <v>31239</v>
      </c>
      <c r="U185" s="8">
        <v>1681217</v>
      </c>
      <c r="W185" s="8">
        <v>554243</v>
      </c>
      <c r="Y185" s="8">
        <v>0</v>
      </c>
      <c r="AA185" s="8">
        <v>1236971</v>
      </c>
      <c r="AC185" s="8">
        <v>1243637</v>
      </c>
      <c r="AE185" s="8">
        <v>152309</v>
      </c>
      <c r="AG185" s="8">
        <v>0</v>
      </c>
      <c r="AI185" s="8">
        <v>780696</v>
      </c>
      <c r="AJ185" s="13" t="s">
        <v>346</v>
      </c>
      <c r="AK185" s="13"/>
      <c r="AL185" s="13" t="s">
        <v>25</v>
      </c>
      <c r="AN185" s="8">
        <v>643367</v>
      </c>
      <c r="AP185" s="8">
        <v>30713644</v>
      </c>
      <c r="AR185" s="8">
        <v>0</v>
      </c>
      <c r="AT185" s="8">
        <v>447678</v>
      </c>
      <c r="AV185" s="8">
        <v>1196648</v>
      </c>
      <c r="AX185" s="8">
        <v>0</v>
      </c>
      <c r="AZ185" s="9">
        <f t="shared" si="15"/>
        <v>51032641</v>
      </c>
      <c r="BB185" s="8">
        <v>1691388</v>
      </c>
      <c r="BH185" s="8">
        <v>0</v>
      </c>
      <c r="BJ185" s="9">
        <f t="shared" si="13"/>
        <v>52724029</v>
      </c>
      <c r="BL185" s="9">
        <f>'Gov Fd Rv'!AQ185-'Gov Fnd Exp'!BJ185</f>
        <v>-10288780</v>
      </c>
      <c r="BN185" s="8">
        <v>41913334</v>
      </c>
      <c r="BP185" s="8">
        <v>0</v>
      </c>
      <c r="BT185" s="9">
        <f t="shared" si="14"/>
        <v>31624554</v>
      </c>
      <c r="BU185" s="9"/>
      <c r="BV185" s="9">
        <f>BT185-'Gov Fd BS'!AA185</f>
        <v>0</v>
      </c>
    </row>
    <row r="186" spans="1:74">
      <c r="A186" s="13" t="s">
        <v>468</v>
      </c>
      <c r="B186" s="13"/>
      <c r="C186" s="13" t="s">
        <v>466</v>
      </c>
      <c r="D186" s="13"/>
      <c r="E186" s="32">
        <v>47936</v>
      </c>
      <c r="G186" s="8">
        <v>7355109</v>
      </c>
      <c r="I186" s="8">
        <v>1851730</v>
      </c>
      <c r="K186" s="8">
        <v>57221</v>
      </c>
      <c r="M186" s="8">
        <f>16113+14489</f>
        <v>30602</v>
      </c>
      <c r="O186" s="8">
        <v>512155</v>
      </c>
      <c r="Q186" s="8">
        <v>854245</v>
      </c>
      <c r="S186" s="8">
        <v>119443</v>
      </c>
      <c r="U186" s="8">
        <v>1232769</v>
      </c>
      <c r="W186" s="8">
        <v>420254</v>
      </c>
      <c r="Y186" s="8">
        <v>0</v>
      </c>
      <c r="AA186" s="8">
        <v>2318530</v>
      </c>
      <c r="AC186" s="8">
        <v>744845</v>
      </c>
      <c r="AE186" s="8">
        <v>0</v>
      </c>
      <c r="AG186" s="8">
        <v>622720</v>
      </c>
      <c r="AI186" s="8">
        <v>0</v>
      </c>
      <c r="AJ186" s="13" t="s">
        <v>468</v>
      </c>
      <c r="AK186" s="13"/>
      <c r="AL186" s="13" t="s">
        <v>466</v>
      </c>
      <c r="AN186" s="8">
        <v>278886</v>
      </c>
      <c r="AP186" s="8">
        <v>0</v>
      </c>
      <c r="AR186" s="8">
        <v>0</v>
      </c>
      <c r="AT186" s="8">
        <v>145000</v>
      </c>
      <c r="AV186" s="8">
        <v>147961</v>
      </c>
      <c r="AX186" s="8">
        <v>0</v>
      </c>
      <c r="AZ186" s="9">
        <f t="shared" si="15"/>
        <v>16691470</v>
      </c>
      <c r="BB186" s="8">
        <v>64867</v>
      </c>
      <c r="BH186" s="8">
        <v>0</v>
      </c>
      <c r="BJ186" s="9">
        <f t="shared" si="13"/>
        <v>16756337</v>
      </c>
      <c r="BL186" s="9">
        <f>'Gov Fd Rv'!AQ186-'Gov Fnd Exp'!BJ186</f>
        <v>-486334</v>
      </c>
      <c r="BN186" s="8">
        <v>5398897</v>
      </c>
      <c r="BP186" s="8">
        <v>0</v>
      </c>
      <c r="BT186" s="9">
        <f t="shared" si="14"/>
        <v>4912563</v>
      </c>
      <c r="BU186" s="9"/>
      <c r="BV186" s="9">
        <f>BT186-'Gov Fd BS'!AA186</f>
        <v>0</v>
      </c>
    </row>
    <row r="187" spans="1:74" ht="12" hidden="1" customHeight="1">
      <c r="A187" s="12" t="s">
        <v>841</v>
      </c>
      <c r="B187" s="13"/>
      <c r="C187" s="13" t="s">
        <v>61</v>
      </c>
      <c r="D187" s="13"/>
      <c r="E187" s="32">
        <v>49775</v>
      </c>
      <c r="G187" s="8">
        <v>1854472</v>
      </c>
      <c r="I187" s="8">
        <v>385135</v>
      </c>
      <c r="K187" s="8">
        <v>30678</v>
      </c>
      <c r="O187" s="8">
        <v>243785</v>
      </c>
      <c r="Q187" s="8">
        <v>363193</v>
      </c>
      <c r="S187" s="8">
        <v>10350</v>
      </c>
      <c r="U187" s="8">
        <v>513685</v>
      </c>
      <c r="W187" s="8">
        <v>224200</v>
      </c>
      <c r="Y187" s="8">
        <v>4634</v>
      </c>
      <c r="AA187" s="8">
        <v>407576</v>
      </c>
      <c r="AC187" s="8">
        <v>298660</v>
      </c>
      <c r="AI187" s="8">
        <v>204296</v>
      </c>
      <c r="AJ187" s="13" t="s">
        <v>643</v>
      </c>
      <c r="AK187" s="13"/>
      <c r="AL187" s="13" t="s">
        <v>61</v>
      </c>
      <c r="AN187" s="8">
        <v>145275</v>
      </c>
      <c r="AP187" s="8">
        <v>12336334</v>
      </c>
      <c r="AT187" s="8">
        <v>125000</v>
      </c>
      <c r="AV187" s="8">
        <v>225789</v>
      </c>
      <c r="AZ187" s="9">
        <f t="shared" si="15"/>
        <v>17373062</v>
      </c>
      <c r="BB187" s="8">
        <v>0</v>
      </c>
      <c r="BJ187" s="9">
        <f t="shared" si="13"/>
        <v>17373062</v>
      </c>
      <c r="BL187" s="9">
        <f>'Gov Fd Rv'!AQ187-'Gov Fnd Exp'!BJ187</f>
        <v>-3669736</v>
      </c>
      <c r="BN187" s="8">
        <v>13986639</v>
      </c>
      <c r="BT187" s="9">
        <f t="shared" si="14"/>
        <v>10316903</v>
      </c>
      <c r="BU187" s="9"/>
      <c r="BV187" s="9">
        <f>BT187-'Gov Fd BS'!AA187</f>
        <v>0</v>
      </c>
    </row>
    <row r="188" spans="1:74">
      <c r="A188" s="13" t="s">
        <v>651</v>
      </c>
      <c r="B188" s="13"/>
      <c r="C188" s="13" t="s">
        <v>62</v>
      </c>
      <c r="D188" s="13"/>
      <c r="E188" s="32">
        <v>49841</v>
      </c>
      <c r="G188" s="8">
        <v>7652322</v>
      </c>
      <c r="I188" s="8">
        <v>2043118</v>
      </c>
      <c r="K188" s="8">
        <v>108974</v>
      </c>
      <c r="M188" s="8">
        <v>389391</v>
      </c>
      <c r="O188" s="8">
        <v>1123379</v>
      </c>
      <c r="Q188" s="8">
        <v>432526</v>
      </c>
      <c r="S188" s="8">
        <v>19922</v>
      </c>
      <c r="U188" s="8">
        <v>1540534</v>
      </c>
      <c r="W188" s="8">
        <v>391936</v>
      </c>
      <c r="Y188" s="8">
        <v>0</v>
      </c>
      <c r="AA188" s="8">
        <v>1445129</v>
      </c>
      <c r="AC188" s="8">
        <v>1001964</v>
      </c>
      <c r="AE188" s="8">
        <v>36851</v>
      </c>
      <c r="AG188" s="8">
        <v>735641</v>
      </c>
      <c r="AI188" s="8">
        <v>39609</v>
      </c>
      <c r="AJ188" s="13" t="s">
        <v>651</v>
      </c>
      <c r="AK188" s="13"/>
      <c r="AL188" s="13" t="s">
        <v>62</v>
      </c>
      <c r="AN188" s="8">
        <v>411788</v>
      </c>
      <c r="AP188" s="8">
        <v>419786</v>
      </c>
      <c r="AR188" s="8">
        <v>0</v>
      </c>
      <c r="AT188" s="8">
        <v>270000</v>
      </c>
      <c r="AV188" s="8">
        <v>607931</v>
      </c>
      <c r="AX188" s="8">
        <v>0</v>
      </c>
      <c r="AZ188" s="9">
        <f t="shared" si="15"/>
        <v>18670801</v>
      </c>
      <c r="BB188" s="8">
        <v>400000</v>
      </c>
      <c r="BH188" s="8">
        <v>0</v>
      </c>
      <c r="BJ188" s="9">
        <f t="shared" si="13"/>
        <v>19070801</v>
      </c>
      <c r="BL188" s="9">
        <f>'Gov Fd Rv'!AQ188-'Gov Fnd Exp'!BJ188</f>
        <v>-602359</v>
      </c>
      <c r="BN188" s="8">
        <v>3292892</v>
      </c>
      <c r="BP188" s="8">
        <v>4594</v>
      </c>
      <c r="BT188" s="9">
        <f t="shared" si="14"/>
        <v>2695127</v>
      </c>
      <c r="BU188" s="9"/>
      <c r="BV188" s="9">
        <f>BT188-'Gov Fd BS'!AA188</f>
        <v>0</v>
      </c>
    </row>
    <row r="189" spans="1:74" ht="12" hidden="1" customHeight="1">
      <c r="A189" s="12" t="s">
        <v>972</v>
      </c>
      <c r="B189" s="13"/>
      <c r="C189" s="13" t="s">
        <v>41</v>
      </c>
      <c r="D189" s="13"/>
      <c r="E189" s="32">
        <v>45369</v>
      </c>
      <c r="AJ189" s="13" t="s">
        <v>458</v>
      </c>
      <c r="AK189" s="13"/>
      <c r="AL189" s="13" t="s">
        <v>41</v>
      </c>
      <c r="AZ189" s="9">
        <f t="shared" si="15"/>
        <v>0</v>
      </c>
      <c r="BJ189" s="9">
        <f t="shared" si="13"/>
        <v>0</v>
      </c>
      <c r="BL189" s="9">
        <f>'Gov Fd Rv'!AQ189-'Gov Fnd Exp'!BJ189</f>
        <v>0</v>
      </c>
      <c r="BT189" s="9">
        <f t="shared" si="14"/>
        <v>0</v>
      </c>
      <c r="BU189" s="9"/>
      <c r="BV189" s="9">
        <f>BT189-'Gov Fd BS'!AA189</f>
        <v>0</v>
      </c>
    </row>
    <row r="190" spans="1:74">
      <c r="A190" s="13" t="s">
        <v>307</v>
      </c>
      <c r="B190" s="13"/>
      <c r="C190" s="13" t="s">
        <v>20</v>
      </c>
      <c r="D190" s="13"/>
      <c r="E190" s="32">
        <v>43976</v>
      </c>
      <c r="G190" s="8">
        <v>8778083</v>
      </c>
      <c r="I190" s="8">
        <v>3004012</v>
      </c>
      <c r="K190" s="8">
        <v>17430</v>
      </c>
      <c r="M190" s="8">
        <v>15305</v>
      </c>
      <c r="O190" s="8">
        <v>1167004</v>
      </c>
      <c r="Q190" s="8">
        <v>1654506</v>
      </c>
      <c r="S190" s="8">
        <v>27381</v>
      </c>
      <c r="U190" s="8">
        <v>1336634</v>
      </c>
      <c r="W190" s="8">
        <v>742080</v>
      </c>
      <c r="Y190" s="8">
        <v>219281</v>
      </c>
      <c r="AA190" s="8">
        <v>2271267</v>
      </c>
      <c r="AC190" s="8">
        <v>640776</v>
      </c>
      <c r="AE190" s="8">
        <v>240556</v>
      </c>
      <c r="AG190" s="8">
        <v>0</v>
      </c>
      <c r="AI190" s="8">
        <v>603912</v>
      </c>
      <c r="AJ190" s="13" t="s">
        <v>307</v>
      </c>
      <c r="AK190" s="13"/>
      <c r="AL190" s="13" t="s">
        <v>20</v>
      </c>
      <c r="AN190" s="8">
        <v>609636</v>
      </c>
      <c r="AP190" s="8">
        <v>1765933</v>
      </c>
      <c r="AR190" s="8">
        <v>0</v>
      </c>
      <c r="AT190" s="8">
        <v>1145000</v>
      </c>
      <c r="AV190" s="8">
        <v>1268198</v>
      </c>
      <c r="AX190" s="8">
        <v>0</v>
      </c>
      <c r="AZ190" s="9">
        <f t="shared" si="15"/>
        <v>25506994</v>
      </c>
      <c r="BB190" s="8">
        <v>402013</v>
      </c>
      <c r="BH190" s="8">
        <v>0</v>
      </c>
      <c r="BJ190" s="9">
        <f t="shared" si="13"/>
        <v>25909007</v>
      </c>
      <c r="BL190" s="9">
        <f>'Gov Fd Rv'!AQ190-'Gov Fnd Exp'!BJ190</f>
        <v>367912</v>
      </c>
      <c r="BN190" s="8">
        <v>15627609</v>
      </c>
      <c r="BP190" s="8">
        <v>0</v>
      </c>
      <c r="BT190" s="9">
        <f t="shared" si="14"/>
        <v>15995521</v>
      </c>
      <c r="BU190" s="9"/>
      <c r="BV190" s="9">
        <f>BT190-'Gov Fd BS'!AA190</f>
        <v>0</v>
      </c>
    </row>
    <row r="191" spans="1:74">
      <c r="A191" s="12" t="s">
        <v>936</v>
      </c>
      <c r="B191" s="12"/>
      <c r="C191" s="12" t="s">
        <v>28</v>
      </c>
      <c r="D191" s="13"/>
      <c r="E191" s="32"/>
      <c r="G191" s="8">
        <v>2330708</v>
      </c>
      <c r="I191" s="8">
        <v>601349</v>
      </c>
      <c r="K191" s="8">
        <v>101755</v>
      </c>
      <c r="M191" s="8">
        <v>0</v>
      </c>
      <c r="O191" s="8">
        <v>384038</v>
      </c>
      <c r="Q191" s="8">
        <v>190138</v>
      </c>
      <c r="S191" s="8">
        <v>21973</v>
      </c>
      <c r="U191" s="8">
        <v>431962</v>
      </c>
      <c r="W191" s="8">
        <v>222987</v>
      </c>
      <c r="Y191" s="8">
        <v>0</v>
      </c>
      <c r="AA191" s="8">
        <v>457641</v>
      </c>
      <c r="AC191" s="8">
        <v>200186</v>
      </c>
      <c r="AE191" s="8">
        <v>29918</v>
      </c>
      <c r="AG191" s="8">
        <v>0</v>
      </c>
      <c r="AI191" s="8">
        <v>203759</v>
      </c>
      <c r="AJ191" s="12" t="s">
        <v>936</v>
      </c>
      <c r="AK191" s="12"/>
      <c r="AL191" s="12" t="s">
        <v>28</v>
      </c>
      <c r="AN191" s="8">
        <v>174011</v>
      </c>
      <c r="AP191" s="8">
        <v>1515043</v>
      </c>
      <c r="AR191" s="8">
        <v>0</v>
      </c>
      <c r="AT191" s="8">
        <v>110000</v>
      </c>
      <c r="AV191" s="8">
        <v>218575</v>
      </c>
      <c r="AX191" s="8">
        <v>0</v>
      </c>
      <c r="AZ191" s="9">
        <f t="shared" si="15"/>
        <v>7194043</v>
      </c>
      <c r="BB191" s="8">
        <v>22423</v>
      </c>
      <c r="BH191" s="8">
        <v>0</v>
      </c>
      <c r="BJ191" s="9">
        <f t="shared" si="13"/>
        <v>7216466</v>
      </c>
      <c r="BL191" s="9">
        <f>'Gov Fd Rv'!AQ191-'Gov Fnd Exp'!BJ191</f>
        <v>-1162696</v>
      </c>
      <c r="BN191" s="8">
        <v>4572390</v>
      </c>
      <c r="BP191" s="8">
        <v>0</v>
      </c>
      <c r="BT191" s="9">
        <f t="shared" si="14"/>
        <v>3409694</v>
      </c>
      <c r="BU191" s="9"/>
      <c r="BV191" s="9">
        <f>BT191-'Gov Fd BS'!AA191</f>
        <v>0</v>
      </c>
    </row>
    <row r="192" spans="1:74">
      <c r="A192" s="13" t="s">
        <v>238</v>
      </c>
      <c r="B192" s="13"/>
      <c r="C192" s="13" t="s">
        <v>77</v>
      </c>
      <c r="D192" s="13"/>
      <c r="E192" s="32">
        <v>46045</v>
      </c>
      <c r="G192" s="8">
        <v>3680087</v>
      </c>
      <c r="I192" s="8">
        <v>973301</v>
      </c>
      <c r="K192" s="8">
        <v>172027</v>
      </c>
      <c r="M192" s="8">
        <v>29816</v>
      </c>
      <c r="O192" s="8">
        <v>398763</v>
      </c>
      <c r="Q192" s="8">
        <v>814809</v>
      </c>
      <c r="S192" s="8">
        <v>65123</v>
      </c>
      <c r="U192" s="8">
        <v>797143</v>
      </c>
      <c r="W192" s="8">
        <v>314920</v>
      </c>
      <c r="Y192" s="8">
        <v>0</v>
      </c>
      <c r="AA192" s="8">
        <v>888684</v>
      </c>
      <c r="AC192" s="8">
        <v>486366</v>
      </c>
      <c r="AE192" s="8">
        <v>7656</v>
      </c>
      <c r="AG192" s="8">
        <v>462694</v>
      </c>
      <c r="AI192" s="8">
        <v>109857</v>
      </c>
      <c r="AJ192" s="13" t="s">
        <v>238</v>
      </c>
      <c r="AK192" s="13"/>
      <c r="AL192" s="13" t="s">
        <v>77</v>
      </c>
      <c r="AN192" s="8">
        <v>204979</v>
      </c>
      <c r="AP192" s="8">
        <v>12341080</v>
      </c>
      <c r="AR192" s="8">
        <v>0</v>
      </c>
      <c r="AT192" s="8">
        <v>305952</v>
      </c>
      <c r="AV192" s="8">
        <v>364913</v>
      </c>
      <c r="AX192" s="8">
        <v>0</v>
      </c>
      <c r="AZ192" s="9">
        <f t="shared" si="15"/>
        <v>22418170</v>
      </c>
      <c r="BB192" s="8">
        <v>0</v>
      </c>
      <c r="BH192" s="8">
        <v>0</v>
      </c>
      <c r="BJ192" s="9">
        <f t="shared" si="13"/>
        <v>22418170</v>
      </c>
      <c r="BL192" s="9">
        <f>'Gov Fd Rv'!AQ192-'Gov Fnd Exp'!BJ192</f>
        <v>-9380502</v>
      </c>
      <c r="BN192" s="8">
        <v>15388959</v>
      </c>
      <c r="BP192" s="8">
        <v>0</v>
      </c>
      <c r="BT192" s="9">
        <f t="shared" si="14"/>
        <v>6008457</v>
      </c>
      <c r="BU192" s="9"/>
      <c r="BV192" s="9">
        <f>BT192-'Gov Fd BS'!AA192</f>
        <v>0</v>
      </c>
    </row>
    <row r="193" spans="1:74">
      <c r="A193" s="13" t="s">
        <v>937</v>
      </c>
      <c r="B193" s="13"/>
      <c r="C193" s="13" t="s">
        <v>13</v>
      </c>
      <c r="D193" s="13"/>
      <c r="E193" s="32"/>
      <c r="G193" s="8">
        <v>4597745</v>
      </c>
      <c r="I193" s="8">
        <v>1568983</v>
      </c>
      <c r="K193" s="8">
        <v>222791</v>
      </c>
      <c r="M193" s="8">
        <v>0</v>
      </c>
      <c r="O193" s="8">
        <v>301988</v>
      </c>
      <c r="Q193" s="8">
        <v>407511</v>
      </c>
      <c r="S193" s="8">
        <v>38851</v>
      </c>
      <c r="U193" s="8">
        <v>1178179</v>
      </c>
      <c r="W193" s="8">
        <v>1980730</v>
      </c>
      <c r="Y193" s="8">
        <v>0</v>
      </c>
      <c r="AA193" s="8">
        <v>1005822</v>
      </c>
      <c r="AC193" s="8">
        <v>1115076</v>
      </c>
      <c r="AE193" s="8">
        <v>37777</v>
      </c>
      <c r="AG193" s="8">
        <v>0</v>
      </c>
      <c r="AI193" s="8">
        <v>516667</v>
      </c>
      <c r="AJ193" s="13" t="s">
        <v>937</v>
      </c>
      <c r="AK193" s="13"/>
      <c r="AL193" s="13" t="s">
        <v>13</v>
      </c>
      <c r="AN193" s="8">
        <v>75246</v>
      </c>
      <c r="AP193" s="8">
        <v>3840</v>
      </c>
      <c r="AR193" s="8">
        <v>0</v>
      </c>
      <c r="AT193" s="8">
        <v>180000</v>
      </c>
      <c r="AV193" s="8">
        <f>46211+25463</f>
        <v>71674</v>
      </c>
      <c r="AX193" s="8">
        <v>0</v>
      </c>
      <c r="AZ193" s="9">
        <f t="shared" si="15"/>
        <v>13302880</v>
      </c>
      <c r="BB193" s="8">
        <v>0</v>
      </c>
      <c r="BH193" s="8">
        <v>699097</v>
      </c>
      <c r="BJ193" s="9">
        <f t="shared" si="13"/>
        <v>14001977</v>
      </c>
      <c r="BL193" s="9">
        <f>'Gov Fd Rv'!AQ193-'Gov Fnd Exp'!BJ193</f>
        <v>1188958</v>
      </c>
      <c r="BN193" s="8">
        <v>415526</v>
      </c>
      <c r="BP193" s="8">
        <v>0</v>
      </c>
      <c r="BT193" s="9">
        <f t="shared" si="14"/>
        <v>1604484</v>
      </c>
      <c r="BU193" s="9"/>
      <c r="BV193" s="9">
        <f>BT193-'Gov Fd BS'!AA193</f>
        <v>0</v>
      </c>
    </row>
    <row r="194" spans="1:74">
      <c r="A194" s="13" t="s">
        <v>268</v>
      </c>
      <c r="B194" s="13"/>
      <c r="C194" s="13" t="s">
        <v>115</v>
      </c>
      <c r="D194" s="13"/>
      <c r="E194" s="32">
        <v>46334</v>
      </c>
      <c r="G194" s="8">
        <v>4790786</v>
      </c>
      <c r="I194" s="8">
        <v>718536</v>
      </c>
      <c r="K194" s="8">
        <v>0</v>
      </c>
      <c r="M194" s="8">
        <v>1300683</v>
      </c>
      <c r="O194" s="8">
        <v>615435</v>
      </c>
      <c r="Q194" s="8">
        <v>390191</v>
      </c>
      <c r="S194" s="8">
        <v>22632</v>
      </c>
      <c r="U194" s="8">
        <v>786493</v>
      </c>
      <c r="W194" s="8">
        <v>376719</v>
      </c>
      <c r="Y194" s="8">
        <v>0</v>
      </c>
      <c r="AA194" s="8">
        <v>1100524</v>
      </c>
      <c r="AC194" s="8">
        <v>551224</v>
      </c>
      <c r="AE194" s="8">
        <v>51802</v>
      </c>
      <c r="AG194" s="8">
        <v>499692</v>
      </c>
      <c r="AI194" s="8">
        <v>0</v>
      </c>
      <c r="AJ194" s="13" t="s">
        <v>268</v>
      </c>
      <c r="AK194" s="13"/>
      <c r="AL194" s="13" t="s">
        <v>115</v>
      </c>
      <c r="AN194" s="8">
        <v>173698</v>
      </c>
      <c r="AP194" s="8">
        <v>187670</v>
      </c>
      <c r="AR194" s="8">
        <v>0</v>
      </c>
      <c r="AT194" s="8">
        <v>135328</v>
      </c>
      <c r="AV194" s="8">
        <v>133767</v>
      </c>
      <c r="AX194" s="8">
        <v>0</v>
      </c>
      <c r="AZ194" s="9">
        <f t="shared" si="15"/>
        <v>11835180</v>
      </c>
      <c r="BB194" s="8">
        <v>0</v>
      </c>
      <c r="BH194" s="8">
        <v>0</v>
      </c>
      <c r="BJ194" s="9">
        <f t="shared" si="13"/>
        <v>11835180</v>
      </c>
      <c r="BL194" s="9">
        <f>'Gov Fd Rv'!AQ194-'Gov Fnd Exp'!BJ194</f>
        <v>-452118</v>
      </c>
      <c r="BN194" s="8">
        <v>1580576</v>
      </c>
      <c r="BP194" s="8">
        <v>0</v>
      </c>
      <c r="BT194" s="9">
        <f t="shared" si="14"/>
        <v>1128458</v>
      </c>
      <c r="BU194" s="9"/>
      <c r="BV194" s="9">
        <f>BT194-'Gov Fd BS'!AA194</f>
        <v>0</v>
      </c>
    </row>
    <row r="195" spans="1:74">
      <c r="A195" s="12" t="s">
        <v>1054</v>
      </c>
      <c r="B195" s="13"/>
      <c r="C195" s="13" t="s">
        <v>56</v>
      </c>
      <c r="D195" s="13"/>
      <c r="E195" s="32">
        <v>49197</v>
      </c>
      <c r="G195" s="8">
        <v>9834761</v>
      </c>
      <c r="I195" s="8">
        <v>1975744</v>
      </c>
      <c r="K195" s="8">
        <v>129519</v>
      </c>
      <c r="M195" s="8">
        <f>40880+143639</f>
        <v>184519</v>
      </c>
      <c r="O195" s="8">
        <v>923074</v>
      </c>
      <c r="Q195" s="8">
        <v>876411</v>
      </c>
      <c r="S195" s="8">
        <v>15606</v>
      </c>
      <c r="U195" s="8">
        <v>2046251</v>
      </c>
      <c r="W195" s="8">
        <v>542754</v>
      </c>
      <c r="Y195" s="8">
        <v>6570</v>
      </c>
      <c r="AA195" s="8">
        <v>1674211</v>
      </c>
      <c r="AC195" s="8">
        <v>1177032</v>
      </c>
      <c r="AE195" s="8">
        <v>100983</v>
      </c>
      <c r="AG195" s="8">
        <v>0</v>
      </c>
      <c r="AI195" s="8">
        <v>36043</v>
      </c>
      <c r="AJ195" s="13" t="s">
        <v>590</v>
      </c>
      <c r="AK195" s="13"/>
      <c r="AL195" s="13" t="s">
        <v>56</v>
      </c>
      <c r="AN195" s="8">
        <v>376105</v>
      </c>
      <c r="AP195" s="8">
        <v>491068</v>
      </c>
      <c r="AR195" s="8">
        <v>0</v>
      </c>
      <c r="AT195" s="8">
        <v>139864</v>
      </c>
      <c r="AV195" s="8">
        <v>1187279</v>
      </c>
      <c r="AX195" s="8">
        <v>0</v>
      </c>
      <c r="AZ195" s="9">
        <f t="shared" si="15"/>
        <v>21717794</v>
      </c>
      <c r="BB195" s="8">
        <v>0</v>
      </c>
      <c r="BH195" s="8">
        <v>0</v>
      </c>
      <c r="BJ195" s="9">
        <f t="shared" si="13"/>
        <v>21717794</v>
      </c>
      <c r="BL195" s="9">
        <f>'Gov Fd Rv'!AQ195-'Gov Fnd Exp'!BJ195</f>
        <v>401503</v>
      </c>
      <c r="BN195" s="8">
        <v>394623</v>
      </c>
      <c r="BP195" s="8">
        <v>0</v>
      </c>
      <c r="BT195" s="9">
        <f t="shared" si="14"/>
        <v>796126</v>
      </c>
      <c r="BU195" s="9"/>
      <c r="BV195" s="9">
        <f>BT195-'Gov Fd BS'!AA195</f>
        <v>0</v>
      </c>
    </row>
    <row r="196" spans="1:74">
      <c r="A196" s="13" t="s">
        <v>416</v>
      </c>
      <c r="B196" s="13"/>
      <c r="C196" s="13" t="s">
        <v>33</v>
      </c>
      <c r="D196" s="13"/>
      <c r="E196" s="32">
        <v>43984</v>
      </c>
      <c r="G196" s="8">
        <v>24629853</v>
      </c>
      <c r="I196" s="8">
        <v>7146702</v>
      </c>
      <c r="K196" s="8">
        <v>3433998</v>
      </c>
      <c r="M196" s="8">
        <f>155179+2768086</f>
        <v>2923265</v>
      </c>
      <c r="O196" s="8">
        <v>3024955</v>
      </c>
      <c r="Q196" s="8">
        <v>4663475</v>
      </c>
      <c r="S196" s="8">
        <v>96451</v>
      </c>
      <c r="U196" s="8">
        <v>4112967</v>
      </c>
      <c r="W196" s="8">
        <v>1450467</v>
      </c>
      <c r="Y196" s="8">
        <v>44346</v>
      </c>
      <c r="AA196" s="8">
        <v>6420137</v>
      </c>
      <c r="AC196" s="8">
        <v>2544164</v>
      </c>
      <c r="AE196" s="8">
        <v>191755</v>
      </c>
      <c r="AG196" s="8">
        <v>1893068</v>
      </c>
      <c r="AI196" s="8">
        <v>646203</v>
      </c>
      <c r="AJ196" s="13" t="s">
        <v>416</v>
      </c>
      <c r="AK196" s="13"/>
      <c r="AL196" s="13" t="s">
        <v>33</v>
      </c>
      <c r="AN196" s="8">
        <v>1412921</v>
      </c>
      <c r="AP196" s="8">
        <v>1202504</v>
      </c>
      <c r="AR196" s="8">
        <v>0</v>
      </c>
      <c r="AT196" s="8">
        <v>388149</v>
      </c>
      <c r="AV196" s="8">
        <v>88219</v>
      </c>
      <c r="AX196" s="8">
        <v>0</v>
      </c>
      <c r="AZ196" s="9">
        <f t="shared" si="15"/>
        <v>66313599</v>
      </c>
      <c r="BB196" s="8">
        <v>75000</v>
      </c>
      <c r="BH196" s="8">
        <v>0</v>
      </c>
      <c r="BJ196" s="9">
        <f t="shared" si="13"/>
        <v>66388599</v>
      </c>
      <c r="BL196" s="9">
        <f>'Gov Fd Rv'!AQ196-'Gov Fnd Exp'!BJ196</f>
        <v>654733</v>
      </c>
      <c r="BN196" s="8">
        <v>8718553</v>
      </c>
      <c r="BP196" s="8">
        <v>10946</v>
      </c>
      <c r="BT196" s="9">
        <f t="shared" si="14"/>
        <v>9384232</v>
      </c>
      <c r="BU196" s="9"/>
      <c r="BV196" s="9">
        <f>BT196-'Gov Fd BS'!AA196</f>
        <v>0</v>
      </c>
    </row>
    <row r="197" spans="1:74">
      <c r="A197" s="13" t="s">
        <v>393</v>
      </c>
      <c r="B197" s="13"/>
      <c r="C197" s="13" t="s">
        <v>32</v>
      </c>
      <c r="D197" s="13"/>
      <c r="E197" s="32">
        <v>47332</v>
      </c>
      <c r="G197" s="8">
        <v>7367409</v>
      </c>
      <c r="I197" s="8">
        <v>2351904</v>
      </c>
      <c r="K197" s="8">
        <v>95127</v>
      </c>
      <c r="M197" s="8">
        <v>737810</v>
      </c>
      <c r="O197" s="8">
        <v>1300569</v>
      </c>
      <c r="Q197" s="8">
        <v>1517673</v>
      </c>
      <c r="S197" s="8">
        <v>37419</v>
      </c>
      <c r="U197" s="8">
        <v>1330515</v>
      </c>
      <c r="W197" s="8">
        <v>430753</v>
      </c>
      <c r="Y197" s="8">
        <v>389839</v>
      </c>
      <c r="AA197" s="8">
        <v>1752053</v>
      </c>
      <c r="AC197" s="8">
        <v>972890</v>
      </c>
      <c r="AE197" s="8">
        <v>229879</v>
      </c>
      <c r="AG197" s="8">
        <v>0</v>
      </c>
      <c r="AI197" s="8">
        <v>2105703</v>
      </c>
      <c r="AJ197" s="13" t="s">
        <v>393</v>
      </c>
      <c r="AK197" s="13"/>
      <c r="AL197" s="13" t="s">
        <v>32</v>
      </c>
      <c r="AN197" s="8">
        <v>554694</v>
      </c>
      <c r="AP197" s="8">
        <v>319350</v>
      </c>
      <c r="AR197" s="8">
        <v>0</v>
      </c>
      <c r="AT197" s="8">
        <v>205000</v>
      </c>
      <c r="AV197" s="8">
        <v>414967</v>
      </c>
      <c r="AX197" s="8">
        <v>0</v>
      </c>
      <c r="AZ197" s="9">
        <f t="shared" si="15"/>
        <v>22113554</v>
      </c>
      <c r="BB197" s="8">
        <v>16750</v>
      </c>
      <c r="BH197" s="8">
        <v>0</v>
      </c>
      <c r="BJ197" s="9">
        <f t="shared" si="13"/>
        <v>22130304</v>
      </c>
      <c r="BL197" s="9">
        <f>'Gov Fd Rv'!AQ197-'Gov Fnd Exp'!BJ197</f>
        <v>-1337669</v>
      </c>
      <c r="BN197" s="8">
        <v>5242590</v>
      </c>
      <c r="BP197" s="8">
        <v>0</v>
      </c>
      <c r="BT197" s="9">
        <f t="shared" si="14"/>
        <v>3904921</v>
      </c>
      <c r="BU197" s="9"/>
      <c r="BV197" s="9">
        <f>BT197-'Gov Fd BS'!AA197</f>
        <v>0</v>
      </c>
    </row>
    <row r="198" spans="1:74">
      <c r="A198" s="13" t="s">
        <v>488</v>
      </c>
      <c r="B198" s="13"/>
      <c r="C198" s="13" t="s">
        <v>44</v>
      </c>
      <c r="D198" s="13"/>
      <c r="E198" s="32">
        <v>48157</v>
      </c>
      <c r="G198" s="8">
        <v>7556366</v>
      </c>
      <c r="I198" s="8">
        <v>2149845</v>
      </c>
      <c r="K198" s="8">
        <v>244972</v>
      </c>
      <c r="M198" s="8">
        <v>1233979</v>
      </c>
      <c r="O198" s="8">
        <v>1177500</v>
      </c>
      <c r="Q198" s="8">
        <v>409076</v>
      </c>
      <c r="S198" s="8">
        <v>16497</v>
      </c>
      <c r="U198" s="8">
        <v>1575581</v>
      </c>
      <c r="W198" s="8">
        <v>360295</v>
      </c>
      <c r="Y198" s="8">
        <v>0</v>
      </c>
      <c r="AA198" s="8">
        <v>1286247</v>
      </c>
      <c r="AC198" s="8">
        <v>1323286</v>
      </c>
      <c r="AE198" s="8">
        <v>301785</v>
      </c>
      <c r="AG198" s="8">
        <v>625631</v>
      </c>
      <c r="AI198" s="8">
        <v>21781</v>
      </c>
      <c r="AJ198" s="13" t="s">
        <v>488</v>
      </c>
      <c r="AK198" s="13"/>
      <c r="AL198" s="13" t="s">
        <v>44</v>
      </c>
      <c r="AN198" s="8">
        <v>578707</v>
      </c>
      <c r="AP198" s="8">
        <v>559834</v>
      </c>
      <c r="AR198" s="8">
        <v>0</v>
      </c>
      <c r="AT198" s="8">
        <v>10473</v>
      </c>
      <c r="AV198" s="8">
        <v>4467</v>
      </c>
      <c r="AX198" s="8">
        <v>0</v>
      </c>
      <c r="AZ198" s="9">
        <f t="shared" si="15"/>
        <v>19436322</v>
      </c>
      <c r="BB198" s="8">
        <v>37359</v>
      </c>
      <c r="BH198" s="8">
        <v>0</v>
      </c>
      <c r="BJ198" s="9">
        <f t="shared" si="13"/>
        <v>19473681</v>
      </c>
      <c r="BL198" s="9">
        <f>'Gov Fd Rv'!AQ198-'Gov Fnd Exp'!BJ198</f>
        <v>-1106557</v>
      </c>
      <c r="BN198" s="8">
        <v>4715526</v>
      </c>
      <c r="BP198" s="8">
        <v>2193</v>
      </c>
      <c r="BT198" s="9">
        <f t="shared" si="14"/>
        <v>3611162</v>
      </c>
      <c r="BU198" s="9"/>
      <c r="BV198" s="9">
        <f>BT198-'Gov Fd BS'!AA198</f>
        <v>0</v>
      </c>
    </row>
    <row r="199" spans="1:74">
      <c r="A199" s="13" t="s">
        <v>394</v>
      </c>
      <c r="B199" s="13"/>
      <c r="C199" s="13" t="s">
        <v>32</v>
      </c>
      <c r="D199" s="13"/>
      <c r="E199" s="32">
        <v>47340</v>
      </c>
      <c r="G199" s="8">
        <v>35916629</v>
      </c>
      <c r="I199" s="8">
        <v>9420760</v>
      </c>
      <c r="K199" s="8">
        <v>0</v>
      </c>
      <c r="M199" s="8">
        <v>1658693</v>
      </c>
      <c r="O199" s="8">
        <v>3584081</v>
      </c>
      <c r="Q199" s="8">
        <v>7730680</v>
      </c>
      <c r="S199" s="8">
        <v>41059</v>
      </c>
      <c r="U199" s="8">
        <v>5517457</v>
      </c>
      <c r="W199" s="8">
        <v>1255879</v>
      </c>
      <c r="Y199" s="8">
        <v>181110</v>
      </c>
      <c r="AA199" s="8">
        <v>6000952</v>
      </c>
      <c r="AC199" s="8">
        <v>4163542</v>
      </c>
      <c r="AE199" s="8">
        <v>521609</v>
      </c>
      <c r="AG199" s="8">
        <v>2041868</v>
      </c>
      <c r="AI199" s="8">
        <v>932839</v>
      </c>
      <c r="AJ199" s="13" t="s">
        <v>394</v>
      </c>
      <c r="AK199" s="13"/>
      <c r="AL199" s="13" t="s">
        <v>32</v>
      </c>
      <c r="AN199" s="8">
        <v>2141977</v>
      </c>
      <c r="AP199" s="8">
        <v>1382627</v>
      </c>
      <c r="AR199" s="8">
        <v>0</v>
      </c>
      <c r="AT199" s="8">
        <v>1620000</v>
      </c>
      <c r="AV199" s="8">
        <v>671943</v>
      </c>
      <c r="AX199" s="8">
        <v>0</v>
      </c>
      <c r="AZ199" s="9">
        <f t="shared" si="15"/>
        <v>84783705</v>
      </c>
      <c r="BB199" s="8">
        <v>305241</v>
      </c>
      <c r="BH199" s="8">
        <v>0</v>
      </c>
      <c r="BJ199" s="9">
        <f t="shared" si="13"/>
        <v>85088946</v>
      </c>
      <c r="BL199" s="9">
        <f>'Gov Fd Rv'!AQ199-'Gov Fnd Exp'!BJ199</f>
        <v>-3743604</v>
      </c>
      <c r="BN199" s="8">
        <v>31392691</v>
      </c>
      <c r="BP199" s="8">
        <v>0</v>
      </c>
      <c r="BT199" s="9">
        <f t="shared" si="14"/>
        <v>27649087</v>
      </c>
      <c r="BU199" s="9"/>
      <c r="BV199" s="9">
        <f>BT199-'Gov Fd BS'!AA199</f>
        <v>0</v>
      </c>
    </row>
    <row r="200" spans="1:74" ht="12" hidden="1" customHeight="1">
      <c r="A200" s="13" t="s">
        <v>836</v>
      </c>
      <c r="B200" s="13"/>
      <c r="C200" s="13" t="s">
        <v>70</v>
      </c>
      <c r="D200" s="13"/>
      <c r="E200" s="32">
        <v>50484</v>
      </c>
      <c r="G200" s="8">
        <v>4666834</v>
      </c>
      <c r="I200" s="8">
        <v>1059811</v>
      </c>
      <c r="K200" s="8">
        <v>275059</v>
      </c>
      <c r="O200" s="8">
        <v>310259</v>
      </c>
      <c r="Q200" s="8">
        <v>641679</v>
      </c>
      <c r="S200" s="8">
        <v>36250</v>
      </c>
      <c r="U200" s="8">
        <v>1011076</v>
      </c>
      <c r="W200" s="8">
        <v>400105</v>
      </c>
      <c r="AA200" s="8">
        <v>1105208</v>
      </c>
      <c r="AC200" s="8">
        <v>720315</v>
      </c>
      <c r="AE200" s="8">
        <v>63952</v>
      </c>
      <c r="AI200" s="8">
        <v>543649</v>
      </c>
      <c r="AJ200" s="13" t="s">
        <v>716</v>
      </c>
      <c r="AK200" s="13"/>
      <c r="AL200" s="13" t="s">
        <v>70</v>
      </c>
      <c r="AN200" s="8">
        <v>274652</v>
      </c>
      <c r="AP200" s="8">
        <v>26858</v>
      </c>
      <c r="AZ200" s="9">
        <f t="shared" si="15"/>
        <v>11135707</v>
      </c>
      <c r="BH200" s="8">
        <v>-4557</v>
      </c>
      <c r="BJ200" s="9">
        <f t="shared" si="13"/>
        <v>11131150</v>
      </c>
      <c r="BL200" s="9">
        <f>'Gov Fd Rv'!AQ200-'Gov Fnd Exp'!BJ200</f>
        <v>829723</v>
      </c>
      <c r="BN200" s="8">
        <v>2164203</v>
      </c>
      <c r="BT200" s="9">
        <f t="shared" si="14"/>
        <v>2993926</v>
      </c>
      <c r="BU200" s="9"/>
      <c r="BV200" s="9">
        <f>BT200-'Gov Fd BS'!AA200</f>
        <v>0</v>
      </c>
    </row>
    <row r="201" spans="1:74">
      <c r="A201" s="13" t="s">
        <v>644</v>
      </c>
      <c r="B201" s="13"/>
      <c r="C201" s="13" t="s">
        <v>61</v>
      </c>
      <c r="D201" s="13"/>
      <c r="E201" s="32">
        <v>49783</v>
      </c>
      <c r="G201" s="8">
        <v>3476253</v>
      </c>
      <c r="I201" s="8">
        <v>486465</v>
      </c>
      <c r="K201" s="8">
        <v>0</v>
      </c>
      <c r="M201" s="8">
        <v>0</v>
      </c>
      <c r="O201" s="8">
        <v>598183</v>
      </c>
      <c r="Q201" s="8">
        <v>358184</v>
      </c>
      <c r="S201" s="8">
        <v>40239</v>
      </c>
      <c r="U201" s="8">
        <v>647142</v>
      </c>
      <c r="W201" s="8">
        <v>226260</v>
      </c>
      <c r="Y201" s="8">
        <v>6875</v>
      </c>
      <c r="AA201" s="8">
        <v>764662</v>
      </c>
      <c r="AC201" s="8">
        <v>390300</v>
      </c>
      <c r="AE201" s="8">
        <v>54462</v>
      </c>
      <c r="AG201" s="8">
        <v>0</v>
      </c>
      <c r="AI201" s="8">
        <v>290115</v>
      </c>
      <c r="AJ201" s="13" t="s">
        <v>644</v>
      </c>
      <c r="AK201" s="13"/>
      <c r="AL201" s="13" t="s">
        <v>61</v>
      </c>
      <c r="AN201" s="8">
        <v>406524</v>
      </c>
      <c r="AP201" s="8">
        <f>10838988</f>
        <v>10838988</v>
      </c>
      <c r="AR201" s="8">
        <v>0</v>
      </c>
      <c r="AT201" s="8">
        <v>1739780</v>
      </c>
      <c r="AV201" s="8">
        <f>610010+8200</f>
        <v>618210</v>
      </c>
      <c r="AX201" s="8">
        <v>0</v>
      </c>
      <c r="AZ201" s="9">
        <f t="shared" si="15"/>
        <v>20942642</v>
      </c>
      <c r="BB201" s="8">
        <v>49010</v>
      </c>
      <c r="BH201" s="8">
        <v>7532</v>
      </c>
      <c r="BJ201" s="9">
        <f t="shared" si="13"/>
        <v>20999184</v>
      </c>
      <c r="BL201" s="9">
        <f>'Gov Fd Rv'!AQ201-'Gov Fnd Exp'!BJ201</f>
        <v>-7417358</v>
      </c>
      <c r="BN201" s="8">
        <v>14606178</v>
      </c>
      <c r="BP201" s="8">
        <v>0</v>
      </c>
      <c r="BT201" s="9">
        <f t="shared" si="14"/>
        <v>7188820</v>
      </c>
      <c r="BU201" s="9"/>
      <c r="BV201" s="9">
        <f>BT201-'Gov Fd BS'!AA201</f>
        <v>0</v>
      </c>
    </row>
    <row r="202" spans="1:74" ht="12" hidden="1" customHeight="1">
      <c r="A202" s="13" t="s">
        <v>938</v>
      </c>
      <c r="B202" s="13"/>
      <c r="C202" s="13" t="s">
        <v>534</v>
      </c>
      <c r="D202" s="13"/>
      <c r="E202" s="32"/>
      <c r="G202" s="8">
        <v>4301886</v>
      </c>
      <c r="I202" s="8">
        <v>1426668</v>
      </c>
      <c r="K202" s="8">
        <v>276322</v>
      </c>
      <c r="M202" s="8">
        <v>6140</v>
      </c>
      <c r="O202" s="8">
        <v>263240</v>
      </c>
      <c r="Q202" s="8">
        <v>366136</v>
      </c>
      <c r="S202" s="8">
        <v>31444</v>
      </c>
      <c r="U202" s="8">
        <v>765076</v>
      </c>
      <c r="W202" s="8">
        <v>235283</v>
      </c>
      <c r="Y202" s="8">
        <v>6787</v>
      </c>
      <c r="AA202" s="8">
        <v>991115</v>
      </c>
      <c r="AC202" s="8">
        <v>372208</v>
      </c>
      <c r="AE202" s="8">
        <v>84675</v>
      </c>
      <c r="AI202" s="8">
        <v>6350</v>
      </c>
      <c r="AJ202" s="13" t="s">
        <v>938</v>
      </c>
      <c r="AK202" s="13"/>
      <c r="AL202" s="13" t="s">
        <v>534</v>
      </c>
      <c r="AN202" s="8">
        <v>293660</v>
      </c>
      <c r="AT202" s="8">
        <v>152866</v>
      </c>
      <c r="AV202" s="8">
        <v>92363</v>
      </c>
      <c r="AZ202" s="9">
        <f t="shared" si="15"/>
        <v>9672219</v>
      </c>
      <c r="BB202" s="8">
        <f>355000-305000</f>
        <v>50000</v>
      </c>
      <c r="BH202" s="8">
        <v>-1020</v>
      </c>
      <c r="BJ202" s="9">
        <f t="shared" si="13"/>
        <v>9721199</v>
      </c>
      <c r="BL202" s="9">
        <f>'Gov Fd Rv'!AQ202-'Gov Fnd Exp'!BJ202</f>
        <v>-222552</v>
      </c>
      <c r="BN202" s="8">
        <v>3375984</v>
      </c>
      <c r="BT202" s="9">
        <f t="shared" si="14"/>
        <v>3153432</v>
      </c>
      <c r="BU202" s="9"/>
      <c r="BV202" s="9">
        <f>BT202-'Gov Fd BS'!AA202</f>
        <v>0</v>
      </c>
    </row>
    <row r="203" spans="1:74" ht="13.5" customHeight="1">
      <c r="A203" s="13" t="s">
        <v>636</v>
      </c>
      <c r="B203" s="13"/>
      <c r="C203" s="13" t="s">
        <v>60</v>
      </c>
      <c r="D203" s="13"/>
      <c r="E203" s="13">
        <v>43992</v>
      </c>
      <c r="G203" s="8">
        <v>10934675</v>
      </c>
      <c r="I203" s="8">
        <v>2513237</v>
      </c>
      <c r="K203" s="8">
        <v>230555</v>
      </c>
      <c r="M203" s="8">
        <f>73510+859477</f>
        <v>932987</v>
      </c>
      <c r="O203" s="8">
        <v>1198636</v>
      </c>
      <c r="Q203" s="8">
        <v>1751616</v>
      </c>
      <c r="S203" s="8">
        <v>31852</v>
      </c>
      <c r="U203" s="8">
        <v>1939958</v>
      </c>
      <c r="W203" s="8">
        <v>560371</v>
      </c>
      <c r="Y203" s="8">
        <v>0</v>
      </c>
      <c r="AA203" s="8">
        <v>2202490</v>
      </c>
      <c r="AC203" s="8">
        <v>911056</v>
      </c>
      <c r="AE203" s="8">
        <v>58482</v>
      </c>
      <c r="AG203" s="8">
        <v>1202222</v>
      </c>
      <c r="AI203" s="8">
        <v>406940</v>
      </c>
      <c r="AJ203" s="13" t="s">
        <v>636</v>
      </c>
      <c r="AK203" s="13"/>
      <c r="AL203" s="13" t="s">
        <v>60</v>
      </c>
      <c r="AN203" s="8">
        <v>385940</v>
      </c>
      <c r="AP203" s="8">
        <v>367922</v>
      </c>
      <c r="AR203" s="8">
        <v>0</v>
      </c>
      <c r="AT203" s="8">
        <v>752000</v>
      </c>
      <c r="AV203" s="8">
        <v>148690</v>
      </c>
      <c r="AX203" s="8">
        <v>0</v>
      </c>
      <c r="AZ203" s="9">
        <f t="shared" si="15"/>
        <v>26529629</v>
      </c>
      <c r="BB203" s="8">
        <v>138613</v>
      </c>
      <c r="BH203" s="8">
        <v>0</v>
      </c>
      <c r="BJ203" s="9">
        <f t="shared" si="13"/>
        <v>26668242</v>
      </c>
      <c r="BL203" s="9">
        <f>'Gov Fd Rv'!AQ203-'Gov Fnd Exp'!BJ203</f>
        <v>-846358</v>
      </c>
      <c r="BN203" s="8">
        <v>13037305</v>
      </c>
      <c r="BP203" s="8">
        <v>0</v>
      </c>
      <c r="BT203" s="9">
        <f t="shared" si="14"/>
        <v>12190947</v>
      </c>
      <c r="BU203" s="9"/>
      <c r="BV203" s="9">
        <f>BT203-'Gov Fd BS'!AA203</f>
        <v>0</v>
      </c>
    </row>
    <row r="204" spans="1:74">
      <c r="A204" s="13" t="s">
        <v>709</v>
      </c>
      <c r="B204" s="13"/>
      <c r="C204" s="13" t="s">
        <v>69</v>
      </c>
      <c r="D204" s="13"/>
      <c r="E204" s="32">
        <v>44008</v>
      </c>
      <c r="G204" s="8">
        <v>13486641</v>
      </c>
      <c r="I204" s="8">
        <v>3767231</v>
      </c>
      <c r="K204" s="8">
        <v>486219</v>
      </c>
      <c r="M204" s="8">
        <v>34987</v>
      </c>
      <c r="O204" s="8">
        <v>1407864</v>
      </c>
      <c r="Q204" s="8">
        <v>1462137</v>
      </c>
      <c r="S204" s="8">
        <v>28235</v>
      </c>
      <c r="U204" s="8">
        <v>2138112</v>
      </c>
      <c r="W204" s="8">
        <v>629537</v>
      </c>
      <c r="Y204" s="8">
        <v>167176</v>
      </c>
      <c r="AA204" s="8">
        <v>2547503</v>
      </c>
      <c r="AC204" s="8">
        <v>1085413</v>
      </c>
      <c r="AE204" s="8">
        <v>387907</v>
      </c>
      <c r="AG204" s="8">
        <v>0</v>
      </c>
      <c r="AI204" s="8">
        <v>1662882</v>
      </c>
      <c r="AJ204" s="13" t="s">
        <v>709</v>
      </c>
      <c r="AK204" s="13"/>
      <c r="AL204" s="13" t="s">
        <v>69</v>
      </c>
      <c r="AN204" s="8">
        <v>762241</v>
      </c>
      <c r="AP204" s="8">
        <v>1228721</v>
      </c>
      <c r="AR204" s="8">
        <v>0</v>
      </c>
      <c r="AT204" s="8">
        <v>233216</v>
      </c>
      <c r="AV204" s="8">
        <v>246763</v>
      </c>
      <c r="AX204" s="8">
        <v>0</v>
      </c>
      <c r="AZ204" s="9">
        <f t="shared" si="15"/>
        <v>31762785</v>
      </c>
      <c r="BB204" s="8">
        <v>0</v>
      </c>
      <c r="BH204" s="8">
        <v>0</v>
      </c>
      <c r="BJ204" s="9">
        <f t="shared" si="13"/>
        <v>31762785</v>
      </c>
      <c r="BL204" s="9">
        <f>'Gov Fd Rv'!AQ204-'Gov Fnd Exp'!BJ204</f>
        <v>294152</v>
      </c>
      <c r="BN204" s="8">
        <v>6633935</v>
      </c>
      <c r="BP204" s="8">
        <v>0</v>
      </c>
      <c r="BT204" s="9">
        <f t="shared" si="14"/>
        <v>6928087</v>
      </c>
      <c r="BU204" s="9"/>
      <c r="BV204" s="9">
        <f>BT204-'Gov Fd BS'!AA204</f>
        <v>0</v>
      </c>
    </row>
    <row r="205" spans="1:74">
      <c r="A205" s="13" t="s">
        <v>564</v>
      </c>
      <c r="B205" s="13"/>
      <c r="C205" s="13" t="s">
        <v>51</v>
      </c>
      <c r="D205" s="13"/>
      <c r="E205" s="32">
        <v>48843</v>
      </c>
      <c r="G205" s="8">
        <v>9850967</v>
      </c>
      <c r="I205" s="8">
        <v>2326184</v>
      </c>
      <c r="K205" s="8">
        <v>196454</v>
      </c>
      <c r="M205" s="8">
        <v>338722</v>
      </c>
      <c r="O205" s="8">
        <v>733230</v>
      </c>
      <c r="Q205" s="8">
        <v>964720</v>
      </c>
      <c r="S205" s="8">
        <v>105952</v>
      </c>
      <c r="U205" s="8">
        <v>1403586</v>
      </c>
      <c r="W205" s="8">
        <v>384183</v>
      </c>
      <c r="Y205" s="8">
        <v>0</v>
      </c>
      <c r="AA205" s="8">
        <v>1790447</v>
      </c>
      <c r="AC205" s="8">
        <v>1591336</v>
      </c>
      <c r="AE205" s="8">
        <v>124865</v>
      </c>
      <c r="AG205" s="8">
        <v>1146796</v>
      </c>
      <c r="AI205" s="8">
        <f>47841+6628</f>
        <v>54469</v>
      </c>
      <c r="AJ205" s="13" t="s">
        <v>564</v>
      </c>
      <c r="AK205" s="13"/>
      <c r="AL205" s="13" t="s">
        <v>51</v>
      </c>
      <c r="AN205" s="8">
        <v>436449</v>
      </c>
      <c r="AP205" s="8">
        <v>311762</v>
      </c>
      <c r="AR205" s="8">
        <v>0</v>
      </c>
      <c r="AT205" s="8">
        <v>418743</v>
      </c>
      <c r="AV205" s="8">
        <v>322986</v>
      </c>
      <c r="AX205" s="8">
        <v>0</v>
      </c>
      <c r="AZ205" s="9">
        <f t="shared" si="15"/>
        <v>22501851</v>
      </c>
      <c r="BB205" s="8">
        <v>201000</v>
      </c>
      <c r="BH205" s="8">
        <v>0</v>
      </c>
      <c r="BJ205" s="9">
        <f t="shared" si="13"/>
        <v>22702851</v>
      </c>
      <c r="BL205" s="9">
        <f>'Gov Fd Rv'!AQ205-'Gov Fnd Exp'!BJ205</f>
        <v>-208623</v>
      </c>
      <c r="BN205" s="8">
        <v>6103865</v>
      </c>
      <c r="BP205" s="8">
        <v>0</v>
      </c>
      <c r="BT205" s="9">
        <f t="shared" si="14"/>
        <v>5895242</v>
      </c>
      <c r="BU205" s="9"/>
      <c r="BV205" s="9">
        <f>BT205-'Gov Fd BS'!AA205</f>
        <v>0</v>
      </c>
    </row>
    <row r="206" spans="1:74" ht="12" hidden="1" customHeight="1">
      <c r="A206" s="12" t="s">
        <v>835</v>
      </c>
      <c r="B206" s="13"/>
      <c r="C206" s="13" t="s">
        <v>21</v>
      </c>
      <c r="D206" s="13"/>
      <c r="E206" s="32">
        <v>46649</v>
      </c>
      <c r="G206" s="8">
        <v>2749633</v>
      </c>
      <c r="I206" s="8">
        <v>654334</v>
      </c>
      <c r="K206" s="8">
        <v>177999</v>
      </c>
      <c r="M206" s="8">
        <f>59878+17130</f>
        <v>77008</v>
      </c>
      <c r="O206" s="8">
        <v>333313</v>
      </c>
      <c r="Q206" s="8">
        <v>453533</v>
      </c>
      <c r="S206" s="8">
        <v>29593</v>
      </c>
      <c r="U206" s="8">
        <v>538579</v>
      </c>
      <c r="W206" s="8">
        <v>194062</v>
      </c>
      <c r="AA206" s="8">
        <v>491502</v>
      </c>
      <c r="AC206" s="8">
        <v>430944</v>
      </c>
      <c r="AE206" s="8">
        <v>86575</v>
      </c>
      <c r="AI206" s="8">
        <v>192707</v>
      </c>
      <c r="AJ206" s="13" t="s">
        <v>326</v>
      </c>
      <c r="AK206" s="13"/>
      <c r="AL206" s="13" t="s">
        <v>21</v>
      </c>
      <c r="AN206" s="8">
        <v>242703</v>
      </c>
      <c r="AP206" s="8">
        <v>212647</v>
      </c>
      <c r="AV206" s="8">
        <v>122534</v>
      </c>
      <c r="AZ206" s="9">
        <f t="shared" si="15"/>
        <v>6987666</v>
      </c>
      <c r="BH206" s="8">
        <f>8176-31111-6217999-6218000-122534</f>
        <v>-12581468</v>
      </c>
      <c r="BJ206" s="9">
        <f t="shared" si="13"/>
        <v>-5593802</v>
      </c>
      <c r="BL206" s="9">
        <f>'Gov Fd Rv'!AQ206-'Gov Fnd Exp'!BJ206</f>
        <v>14006456</v>
      </c>
      <c r="BN206" s="8">
        <v>2519352</v>
      </c>
      <c r="BT206" s="9">
        <f t="shared" si="14"/>
        <v>16525808</v>
      </c>
      <c r="BU206" s="9"/>
      <c r="BV206" s="9">
        <f>BT206-'Gov Fd BS'!AA206</f>
        <v>0</v>
      </c>
    </row>
    <row r="207" spans="1:74" ht="12" hidden="1" customHeight="1">
      <c r="A207" s="12" t="s">
        <v>939</v>
      </c>
      <c r="B207" s="13"/>
      <c r="C207" s="13" t="s">
        <v>40</v>
      </c>
      <c r="D207" s="13"/>
      <c r="E207" s="32">
        <v>47852</v>
      </c>
      <c r="G207" s="8">
        <v>4617526</v>
      </c>
      <c r="I207" s="8">
        <v>1175429</v>
      </c>
      <c r="K207" s="8">
        <v>156433</v>
      </c>
      <c r="M207" s="8">
        <v>60933</v>
      </c>
      <c r="O207" s="8">
        <v>428537</v>
      </c>
      <c r="Q207" s="8">
        <v>838738</v>
      </c>
      <c r="S207" s="8">
        <v>36450</v>
      </c>
      <c r="U207" s="8">
        <v>842235</v>
      </c>
      <c r="W207" s="8">
        <v>254577</v>
      </c>
      <c r="Y207" s="8">
        <v>68955</v>
      </c>
      <c r="AA207" s="8">
        <v>951201</v>
      </c>
      <c r="AC207" s="8">
        <v>699744</v>
      </c>
      <c r="AE207" s="8">
        <v>46979</v>
      </c>
      <c r="AI207" s="8">
        <v>340704</v>
      </c>
      <c r="AJ207" s="13" t="s">
        <v>456</v>
      </c>
      <c r="AK207" s="13"/>
      <c r="AL207" s="13" t="s">
        <v>40</v>
      </c>
      <c r="AN207" s="8">
        <v>441598</v>
      </c>
      <c r="AP207" s="8">
        <v>2379038</v>
      </c>
      <c r="AT207" s="8">
        <v>260000</v>
      </c>
      <c r="AV207" s="8">
        <v>398464</v>
      </c>
      <c r="AZ207" s="9">
        <f t="shared" si="15"/>
        <v>13997541</v>
      </c>
      <c r="BH207" s="8">
        <v>-63686</v>
      </c>
      <c r="BJ207" s="9">
        <f t="shared" si="13"/>
        <v>13933855</v>
      </c>
      <c r="BL207" s="9">
        <f>'Gov Fd Rv'!AQ207-'Gov Fnd Exp'!BJ207</f>
        <v>-2925110</v>
      </c>
      <c r="BN207" s="8">
        <v>6101617</v>
      </c>
      <c r="BT207" s="9">
        <f t="shared" si="14"/>
        <v>3176507</v>
      </c>
      <c r="BU207" s="9"/>
      <c r="BV207" s="9">
        <f>BT207-'Gov Fd BS'!AA207</f>
        <v>0</v>
      </c>
    </row>
    <row r="208" spans="1:74">
      <c r="A208" s="13" t="s">
        <v>623</v>
      </c>
      <c r="B208" s="13"/>
      <c r="C208" s="13" t="s">
        <v>79</v>
      </c>
      <c r="D208" s="13"/>
      <c r="E208" s="32">
        <v>44016</v>
      </c>
      <c r="G208" s="8">
        <v>16525574</v>
      </c>
      <c r="I208" s="8">
        <v>6230052</v>
      </c>
      <c r="K208" s="8">
        <v>109225</v>
      </c>
      <c r="M208" s="8">
        <v>373421</v>
      </c>
      <c r="O208" s="8">
        <v>2224699</v>
      </c>
      <c r="Q208" s="8">
        <v>1796741</v>
      </c>
      <c r="S208" s="8">
        <v>90273</v>
      </c>
      <c r="U208" s="8">
        <v>2857340</v>
      </c>
      <c r="W208" s="8">
        <v>749892</v>
      </c>
      <c r="Y208" s="8">
        <v>146744</v>
      </c>
      <c r="AA208" s="8">
        <v>3222670</v>
      </c>
      <c r="AC208" s="8">
        <v>1230689</v>
      </c>
      <c r="AE208" s="8">
        <v>82939</v>
      </c>
      <c r="AG208" s="8">
        <v>0</v>
      </c>
      <c r="AI208" s="8">
        <v>2048609</v>
      </c>
      <c r="AJ208" s="13" t="s">
        <v>623</v>
      </c>
      <c r="AK208" s="13"/>
      <c r="AL208" s="13" t="s">
        <v>79</v>
      </c>
      <c r="AN208" s="8">
        <v>777529</v>
      </c>
      <c r="AP208" s="8">
        <v>1270422</v>
      </c>
      <c r="AR208" s="8">
        <v>0</v>
      </c>
      <c r="AT208" s="8">
        <v>130000</v>
      </c>
      <c r="AV208" s="8">
        <f>19133+122545</f>
        <v>141678</v>
      </c>
      <c r="AX208" s="8">
        <v>0</v>
      </c>
      <c r="AZ208" s="9">
        <f t="shared" si="15"/>
        <v>40008497</v>
      </c>
      <c r="BB208" s="8">
        <v>209167</v>
      </c>
      <c r="BH208" s="8">
        <v>0</v>
      </c>
      <c r="BJ208" s="9">
        <f t="shared" si="13"/>
        <v>40217664</v>
      </c>
      <c r="BL208" s="9">
        <f>'Gov Fd Rv'!AQ208-'Gov Fnd Exp'!BJ208</f>
        <v>23099896</v>
      </c>
      <c r="BN208" s="8">
        <v>8316309</v>
      </c>
      <c r="BP208" s="8">
        <v>0</v>
      </c>
      <c r="BT208" s="9">
        <f t="shared" si="14"/>
        <v>31416205</v>
      </c>
      <c r="BU208" s="9"/>
      <c r="BV208" s="9">
        <f>BT208-'Gov Fd BS'!AA208</f>
        <v>0</v>
      </c>
    </row>
    <row r="209" spans="1:76">
      <c r="A209" s="13" t="s">
        <v>717</v>
      </c>
      <c r="B209" s="13"/>
      <c r="C209" s="13" t="s">
        <v>70</v>
      </c>
      <c r="D209" s="13"/>
      <c r="E209" s="32">
        <v>50492</v>
      </c>
      <c r="G209" s="8">
        <v>3208623</v>
      </c>
      <c r="I209" s="8">
        <v>875340</v>
      </c>
      <c r="K209" s="8">
        <v>262096</v>
      </c>
      <c r="M209" s="8">
        <v>4005</v>
      </c>
      <c r="O209" s="8">
        <v>355495</v>
      </c>
      <c r="Q209" s="8">
        <v>167238</v>
      </c>
      <c r="S209" s="8">
        <v>43989</v>
      </c>
      <c r="U209" s="8">
        <v>784758</v>
      </c>
      <c r="W209" s="8">
        <v>264661</v>
      </c>
      <c r="Y209" s="8">
        <v>0</v>
      </c>
      <c r="AA209" s="8">
        <v>989152</v>
      </c>
      <c r="AC209" s="8">
        <v>571156</v>
      </c>
      <c r="AE209" s="8">
        <v>13383</v>
      </c>
      <c r="AG209" s="8">
        <v>352296</v>
      </c>
      <c r="AI209" s="8">
        <v>6802</v>
      </c>
      <c r="AJ209" s="13" t="s">
        <v>717</v>
      </c>
      <c r="AK209" s="13"/>
      <c r="AL209" s="13" t="s">
        <v>70</v>
      </c>
      <c r="AN209" s="8">
        <v>112220</v>
      </c>
      <c r="AP209" s="8">
        <v>192526</v>
      </c>
      <c r="AR209" s="8">
        <v>0</v>
      </c>
      <c r="AT209" s="8">
        <v>101543</v>
      </c>
      <c r="AV209" s="8">
        <v>122225</v>
      </c>
      <c r="AX209" s="8">
        <v>0</v>
      </c>
      <c r="AZ209" s="9">
        <f t="shared" si="15"/>
        <v>8427508</v>
      </c>
      <c r="BB209" s="8">
        <v>0</v>
      </c>
      <c r="BH209" s="8">
        <v>0</v>
      </c>
      <c r="BJ209" s="9">
        <f t="shared" si="13"/>
        <v>8427508</v>
      </c>
      <c r="BL209" s="9">
        <f>'Gov Fd Rv'!AQ209-'Gov Fnd Exp'!BJ209</f>
        <v>439795</v>
      </c>
      <c r="BN209" s="8">
        <v>1636436</v>
      </c>
      <c r="BP209" s="8">
        <v>0</v>
      </c>
      <c r="BT209" s="9">
        <f t="shared" si="14"/>
        <v>2076231</v>
      </c>
      <c r="BU209" s="9"/>
      <c r="BV209" s="9">
        <f>BT209-'Gov Fd BS'!AA209</f>
        <v>0</v>
      </c>
    </row>
    <row r="210" spans="1:76">
      <c r="A210" s="13" t="s">
        <v>356</v>
      </c>
      <c r="B210" s="13"/>
      <c r="C210" s="13" t="s">
        <v>27</v>
      </c>
      <c r="D210" s="13"/>
      <c r="E210" s="32">
        <v>46961</v>
      </c>
      <c r="G210" s="8">
        <v>37981359</v>
      </c>
      <c r="I210" s="8">
        <v>10461375</v>
      </c>
      <c r="K210" s="8">
        <v>998076</v>
      </c>
      <c r="M210" s="8">
        <v>14960</v>
      </c>
      <c r="O210" s="8">
        <v>3897932</v>
      </c>
      <c r="Q210" s="8">
        <v>4423349</v>
      </c>
      <c r="S210" s="8">
        <v>256100</v>
      </c>
      <c r="U210" s="8">
        <v>7523175</v>
      </c>
      <c r="W210" s="8">
        <v>1432424</v>
      </c>
      <c r="Y210" s="8">
        <v>5348</v>
      </c>
      <c r="AA210" s="8">
        <v>5980392</v>
      </c>
      <c r="AC210" s="8">
        <v>2429630</v>
      </c>
      <c r="AE210" s="8">
        <v>362605</v>
      </c>
      <c r="AG210" s="8">
        <v>0</v>
      </c>
      <c r="AI210" s="8">
        <v>1387400</v>
      </c>
      <c r="AJ210" s="13" t="s">
        <v>356</v>
      </c>
      <c r="AK210" s="13"/>
      <c r="AL210" s="13" t="s">
        <v>27</v>
      </c>
      <c r="AN210" s="8">
        <v>1250732</v>
      </c>
      <c r="AP210" s="8">
        <v>7350719</v>
      </c>
      <c r="AR210" s="8">
        <v>0</v>
      </c>
      <c r="AT210" s="8">
        <v>2139999</v>
      </c>
      <c r="AV210" s="8">
        <v>1009177</v>
      </c>
      <c r="AX210" s="8">
        <f>367821+466</f>
        <v>368287</v>
      </c>
      <c r="AZ210" s="9">
        <f t="shared" si="15"/>
        <v>89273039</v>
      </c>
      <c r="BB210" s="8">
        <v>0</v>
      </c>
      <c r="BH210" s="8">
        <v>6380000</v>
      </c>
      <c r="BJ210" s="9">
        <f t="shared" si="13"/>
        <v>95653039</v>
      </c>
      <c r="BL210" s="9">
        <f>'Gov Fd Rv'!AQ210-'Gov Fnd Exp'!BJ210</f>
        <v>-7178953</v>
      </c>
      <c r="BN210" s="8">
        <v>34095414</v>
      </c>
      <c r="BP210" s="8">
        <v>0</v>
      </c>
      <c r="BT210" s="9">
        <f t="shared" si="14"/>
        <v>26916461</v>
      </c>
      <c r="BU210" s="9"/>
      <c r="BV210" s="9">
        <f>BT210-'Gov Fd BS'!AA210</f>
        <v>0</v>
      </c>
    </row>
    <row r="211" spans="1:76">
      <c r="A211" s="13" t="s">
        <v>294</v>
      </c>
      <c r="B211" s="13"/>
      <c r="C211" s="13" t="s">
        <v>113</v>
      </c>
      <c r="D211" s="13"/>
      <c r="E211" s="32">
        <v>44024</v>
      </c>
      <c r="G211" s="8">
        <v>8539187</v>
      </c>
      <c r="I211" s="8">
        <v>2838093</v>
      </c>
      <c r="K211" s="8">
        <v>54593</v>
      </c>
      <c r="M211" s="8">
        <v>0</v>
      </c>
      <c r="O211" s="8">
        <v>952083</v>
      </c>
      <c r="Q211" s="8">
        <v>799220</v>
      </c>
      <c r="S211" s="8">
        <v>88029</v>
      </c>
      <c r="U211" s="8">
        <v>1388205</v>
      </c>
      <c r="W211" s="8">
        <v>423633</v>
      </c>
      <c r="Y211" s="8">
        <v>0</v>
      </c>
      <c r="AA211" s="8">
        <v>1660776</v>
      </c>
      <c r="AC211" s="8">
        <v>932134</v>
      </c>
      <c r="AE211" s="8">
        <v>139539</v>
      </c>
      <c r="AG211" s="8">
        <v>0</v>
      </c>
      <c r="AI211" s="8">
        <v>867339</v>
      </c>
      <c r="AJ211" s="13" t="s">
        <v>294</v>
      </c>
      <c r="AK211" s="13"/>
      <c r="AL211" s="13" t="s">
        <v>113</v>
      </c>
      <c r="AN211" s="8">
        <v>577616</v>
      </c>
      <c r="AP211" s="8">
        <v>1748269</v>
      </c>
      <c r="AR211" s="8">
        <v>0</v>
      </c>
      <c r="AT211" s="8">
        <v>331410</v>
      </c>
      <c r="AV211" s="8">
        <v>800299</v>
      </c>
      <c r="AX211" s="8">
        <v>0</v>
      </c>
      <c r="AZ211" s="9">
        <f t="shared" si="15"/>
        <v>22140425</v>
      </c>
      <c r="BB211" s="8">
        <v>127958</v>
      </c>
      <c r="BH211" s="8">
        <v>0</v>
      </c>
      <c r="BJ211" s="9">
        <f t="shared" si="13"/>
        <v>22268383</v>
      </c>
      <c r="BL211" s="9">
        <f>'Gov Fd Rv'!AQ211-'Gov Fnd Exp'!BJ211</f>
        <v>-1387789</v>
      </c>
      <c r="BN211" s="8">
        <v>6757777</v>
      </c>
      <c r="BP211" s="8">
        <v>0</v>
      </c>
      <c r="BT211" s="9">
        <f t="shared" si="14"/>
        <v>5369988</v>
      </c>
      <c r="BU211" s="9"/>
      <c r="BV211" s="9">
        <f>BT211-'Gov Fd BS'!AA211</f>
        <v>0</v>
      </c>
    </row>
    <row r="212" spans="1:76">
      <c r="A212" s="13" t="s">
        <v>375</v>
      </c>
      <c r="B212" s="13"/>
      <c r="C212" s="13" t="s">
        <v>29</v>
      </c>
      <c r="D212" s="13"/>
      <c r="E212" s="32">
        <v>65680</v>
      </c>
      <c r="G212" s="8">
        <v>9061763</v>
      </c>
      <c r="I212" s="8">
        <v>3178930</v>
      </c>
      <c r="K212" s="8">
        <v>490008</v>
      </c>
      <c r="M212" s="8">
        <v>2032413</v>
      </c>
      <c r="O212" s="8">
        <v>585928</v>
      </c>
      <c r="Q212" s="8">
        <v>1025705</v>
      </c>
      <c r="S212" s="8">
        <v>90602</v>
      </c>
      <c r="U212" s="8">
        <v>1646800</v>
      </c>
      <c r="W212" s="8">
        <v>678584</v>
      </c>
      <c r="Y212" s="8">
        <v>24137</v>
      </c>
      <c r="AA212" s="8">
        <v>1871702</v>
      </c>
      <c r="AC212" s="8">
        <v>2125996</v>
      </c>
      <c r="AE212" s="8">
        <v>481083</v>
      </c>
      <c r="AG212" s="8">
        <v>0</v>
      </c>
      <c r="AI212" s="8">
        <v>1082984</v>
      </c>
      <c r="AJ212" s="13" t="s">
        <v>375</v>
      </c>
      <c r="AK212" s="13"/>
      <c r="AL212" s="13" t="s">
        <v>29</v>
      </c>
      <c r="AN212" s="8">
        <v>461465</v>
      </c>
      <c r="AP212" s="8">
        <v>21112803</v>
      </c>
      <c r="AR212" s="8">
        <v>0</v>
      </c>
      <c r="AT212" s="8">
        <v>570000</v>
      </c>
      <c r="AV212" s="8">
        <v>1966320</v>
      </c>
      <c r="AX212" s="8">
        <v>0</v>
      </c>
      <c r="AZ212" s="9">
        <f t="shared" si="15"/>
        <v>48487223</v>
      </c>
      <c r="BB212" s="8">
        <v>73201</v>
      </c>
      <c r="BH212" s="8">
        <v>0</v>
      </c>
      <c r="BJ212" s="9">
        <f t="shared" si="13"/>
        <v>48560424</v>
      </c>
      <c r="BL212" s="9">
        <f>'Gov Fd Rv'!AQ212-'Gov Fnd Exp'!BJ212</f>
        <v>-19191094</v>
      </c>
      <c r="BN212" s="8">
        <v>35655490</v>
      </c>
      <c r="BP212" s="8">
        <v>0</v>
      </c>
      <c r="BT212" s="9">
        <f t="shared" si="14"/>
        <v>16464396</v>
      </c>
      <c r="BU212" s="9"/>
      <c r="BV212" s="9">
        <f>BT212-'Gov Fd BS'!AA212</f>
        <v>0</v>
      </c>
    </row>
    <row r="213" spans="1:76" s="35" customFormat="1">
      <c r="A213" s="34" t="s">
        <v>376</v>
      </c>
      <c r="B213" s="34"/>
      <c r="C213" s="34" t="s">
        <v>29</v>
      </c>
      <c r="D213" s="34"/>
      <c r="E213" s="34">
        <v>44032</v>
      </c>
      <c r="G213" s="8">
        <v>8849983</v>
      </c>
      <c r="H213" s="8"/>
      <c r="I213" s="8">
        <v>3131094</v>
      </c>
      <c r="J213" s="8"/>
      <c r="K213" s="8">
        <v>97275</v>
      </c>
      <c r="L213" s="8"/>
      <c r="M213" s="8">
        <v>1168964</v>
      </c>
      <c r="N213" s="8"/>
      <c r="O213" s="8">
        <v>1059755</v>
      </c>
      <c r="P213" s="8"/>
      <c r="Q213" s="8">
        <v>1330025</v>
      </c>
      <c r="R213" s="8"/>
      <c r="S213" s="8">
        <v>23957</v>
      </c>
      <c r="T213" s="8"/>
      <c r="U213" s="8">
        <v>1770812</v>
      </c>
      <c r="V213" s="8"/>
      <c r="W213" s="8">
        <v>441374</v>
      </c>
      <c r="X213" s="8"/>
      <c r="Y213" s="8">
        <v>0</v>
      </c>
      <c r="Z213" s="8"/>
      <c r="AA213" s="8">
        <v>1476557</v>
      </c>
      <c r="AB213" s="8"/>
      <c r="AC213" s="8">
        <v>1556923</v>
      </c>
      <c r="AD213" s="8"/>
      <c r="AE213" s="8">
        <v>75773</v>
      </c>
      <c r="AF213" s="8"/>
      <c r="AG213" s="8">
        <v>824008</v>
      </c>
      <c r="AH213" s="8"/>
      <c r="AI213" s="8">
        <v>1782</v>
      </c>
      <c r="AJ213" s="34" t="s">
        <v>376</v>
      </c>
      <c r="AK213" s="34"/>
      <c r="AL213" s="34" t="s">
        <v>29</v>
      </c>
      <c r="AN213" s="8">
        <v>542148</v>
      </c>
      <c r="AO213" s="8"/>
      <c r="AP213" s="8">
        <v>16569236</v>
      </c>
      <c r="AQ213" s="8"/>
      <c r="AR213" s="8">
        <v>0</v>
      </c>
      <c r="AS213" s="8"/>
      <c r="AT213" s="8">
        <v>470000</v>
      </c>
      <c r="AU213" s="8"/>
      <c r="AV213" s="8">
        <v>1089444</v>
      </c>
      <c r="AW213" s="8"/>
      <c r="AX213" s="8">
        <v>0</v>
      </c>
      <c r="AY213" s="8"/>
      <c r="AZ213" s="9">
        <f t="shared" si="15"/>
        <v>40479110</v>
      </c>
      <c r="BA213" s="8"/>
      <c r="BB213" s="8">
        <v>269827</v>
      </c>
      <c r="BC213" s="8"/>
      <c r="BD213" s="8"/>
      <c r="BE213" s="8"/>
      <c r="BF213" s="8"/>
      <c r="BG213" s="8"/>
      <c r="BH213" s="8">
        <v>0</v>
      </c>
      <c r="BI213" s="8"/>
      <c r="BJ213" s="9">
        <f t="shared" si="13"/>
        <v>40748937</v>
      </c>
      <c r="BK213" s="8"/>
      <c r="BL213" s="9">
        <f>'Gov Fd Rv'!AQ213-'Gov Fnd Exp'!BJ213</f>
        <v>-1678529</v>
      </c>
      <c r="BM213" s="8"/>
      <c r="BN213" s="8">
        <v>33924536</v>
      </c>
      <c r="BO213" s="8"/>
      <c r="BP213" s="8">
        <v>-81715</v>
      </c>
      <c r="BQ213" s="8"/>
      <c r="BR213" s="8"/>
      <c r="BS213" s="8"/>
      <c r="BT213" s="9">
        <f t="shared" si="14"/>
        <v>32164292</v>
      </c>
      <c r="BU213" s="9"/>
      <c r="BV213" s="9">
        <f>BT213-'Gov Fd BS'!AA213</f>
        <v>0</v>
      </c>
    </row>
    <row r="214" spans="1:76">
      <c r="A214" s="13" t="s">
        <v>696</v>
      </c>
      <c r="B214" s="13"/>
      <c r="C214" s="13" t="s">
        <v>65</v>
      </c>
      <c r="D214" s="13"/>
      <c r="E214" s="32">
        <v>50278</v>
      </c>
      <c r="G214" s="8">
        <v>5529506</v>
      </c>
      <c r="I214" s="8">
        <v>1124887</v>
      </c>
      <c r="K214" s="8">
        <v>1508</v>
      </c>
      <c r="M214" s="8">
        <v>80858</v>
      </c>
      <c r="O214" s="8">
        <v>309729</v>
      </c>
      <c r="Q214" s="8">
        <v>609786</v>
      </c>
      <c r="S214" s="8">
        <v>10638</v>
      </c>
      <c r="U214" s="8">
        <v>1040065</v>
      </c>
      <c r="W214" s="8">
        <v>374545</v>
      </c>
      <c r="Y214" s="8">
        <v>0</v>
      </c>
      <c r="AA214" s="8">
        <v>1048010</v>
      </c>
      <c r="AC214" s="8">
        <v>793967</v>
      </c>
      <c r="AE214" s="8">
        <v>39862</v>
      </c>
      <c r="AG214" s="8">
        <v>441106</v>
      </c>
      <c r="AI214" s="8">
        <v>0</v>
      </c>
      <c r="AJ214" s="13" t="s">
        <v>696</v>
      </c>
      <c r="AK214" s="13"/>
      <c r="AL214" s="13" t="s">
        <v>65</v>
      </c>
      <c r="AN214" s="8">
        <v>353115</v>
      </c>
      <c r="AP214" s="8">
        <v>0</v>
      </c>
      <c r="AR214" s="8">
        <v>0</v>
      </c>
      <c r="AT214" s="8">
        <v>163818</v>
      </c>
      <c r="AV214" s="8">
        <v>52034</v>
      </c>
      <c r="AX214" s="8">
        <v>0</v>
      </c>
      <c r="AZ214" s="9">
        <f t="shared" si="15"/>
        <v>11973434</v>
      </c>
      <c r="BB214" s="8">
        <v>21550</v>
      </c>
      <c r="BH214" s="8">
        <v>0</v>
      </c>
      <c r="BJ214" s="9">
        <f t="shared" si="13"/>
        <v>11994984</v>
      </c>
      <c r="BL214" s="9">
        <f>'Gov Fd Rv'!AQ214-'Gov Fnd Exp'!BJ214</f>
        <v>31967</v>
      </c>
      <c r="BN214" s="8">
        <v>3499813</v>
      </c>
      <c r="BP214" s="8">
        <v>0</v>
      </c>
      <c r="BT214" s="9">
        <f t="shared" si="14"/>
        <v>3531780</v>
      </c>
      <c r="BU214" s="9"/>
      <c r="BV214" s="9">
        <f>BT214-'Gov Fd BS'!AA214</f>
        <v>0</v>
      </c>
    </row>
    <row r="215" spans="1:76">
      <c r="A215" s="12" t="s">
        <v>980</v>
      </c>
      <c r="B215" s="13"/>
      <c r="C215" s="13" t="s">
        <v>20</v>
      </c>
      <c r="D215" s="13"/>
      <c r="E215" s="32">
        <v>44040</v>
      </c>
      <c r="G215" s="8">
        <v>14490141</v>
      </c>
      <c r="I215" s="8">
        <v>4664105</v>
      </c>
      <c r="K215" s="8">
        <v>419050</v>
      </c>
      <c r="M215" s="8">
        <f>886740+1804725</f>
        <v>2691465</v>
      </c>
      <c r="O215" s="8">
        <v>3110783</v>
      </c>
      <c r="Q215" s="8">
        <v>2902030</v>
      </c>
      <c r="S215" s="8">
        <v>108585</v>
      </c>
      <c r="U215" s="8">
        <v>2570428</v>
      </c>
      <c r="W215" s="8">
        <v>941540</v>
      </c>
      <c r="Y215" s="8">
        <v>823281</v>
      </c>
      <c r="AA215" s="8">
        <v>4078926</v>
      </c>
      <c r="AC215" s="8">
        <v>1023498</v>
      </c>
      <c r="AE215" s="8">
        <v>377000</v>
      </c>
      <c r="AG215" s="8">
        <v>1374138</v>
      </c>
      <c r="AI215" s="8">
        <f>1355392+121179</f>
        <v>1476571</v>
      </c>
      <c r="AJ215" s="13" t="s">
        <v>308</v>
      </c>
      <c r="AK215" s="13"/>
      <c r="AL215" s="13" t="s">
        <v>20</v>
      </c>
      <c r="AN215" s="8">
        <v>535130</v>
      </c>
      <c r="AP215" s="8">
        <v>90354</v>
      </c>
      <c r="AR215" s="8">
        <v>0</v>
      </c>
      <c r="AT215" s="8">
        <v>1904638</v>
      </c>
      <c r="AV215" s="8">
        <v>2210795</v>
      </c>
      <c r="AX215" s="8">
        <v>0</v>
      </c>
      <c r="AZ215" s="9">
        <f t="shared" si="15"/>
        <v>45792458</v>
      </c>
      <c r="BB215" s="8">
        <v>45645</v>
      </c>
      <c r="BH215" s="8">
        <v>0</v>
      </c>
      <c r="BJ215" s="9">
        <f t="shared" si="13"/>
        <v>45838103</v>
      </c>
      <c r="BL215" s="9">
        <f>'Gov Fd Rv'!AQ215-'Gov Fnd Exp'!BJ215</f>
        <v>518222</v>
      </c>
      <c r="BN215" s="8">
        <v>7407371</v>
      </c>
      <c r="BP215" s="8">
        <v>0</v>
      </c>
      <c r="BT215" s="9">
        <f t="shared" si="14"/>
        <v>7925593</v>
      </c>
      <c r="BU215" s="9"/>
      <c r="BV215" s="9">
        <f>BT215-'Gov Fd BS'!AA215</f>
        <v>0</v>
      </c>
      <c r="BX215" s="8" t="s">
        <v>979</v>
      </c>
    </row>
    <row r="216" spans="1:76">
      <c r="A216" s="12" t="s">
        <v>888</v>
      </c>
      <c r="B216" s="13"/>
      <c r="C216" s="13" t="s">
        <v>12</v>
      </c>
      <c r="D216" s="13"/>
      <c r="E216" s="32">
        <v>44057</v>
      </c>
      <c r="G216" s="8">
        <v>11223799</v>
      </c>
      <c r="I216" s="8">
        <v>3407475</v>
      </c>
      <c r="K216" s="8">
        <v>424687</v>
      </c>
      <c r="M216" s="8">
        <v>1347143</v>
      </c>
      <c r="O216" s="8">
        <v>1526802</v>
      </c>
      <c r="Q216" s="8">
        <v>608712</v>
      </c>
      <c r="S216" s="8">
        <v>27425</v>
      </c>
      <c r="U216" s="8">
        <v>1898649</v>
      </c>
      <c r="W216" s="8">
        <v>515368</v>
      </c>
      <c r="Y216" s="8">
        <v>35584</v>
      </c>
      <c r="AA216" s="8">
        <v>3361638</v>
      </c>
      <c r="AC216" s="8">
        <v>1203269</v>
      </c>
      <c r="AE216" s="8">
        <v>4033</v>
      </c>
      <c r="AG216" s="8">
        <v>0</v>
      </c>
      <c r="AI216" s="8">
        <v>1419294</v>
      </c>
      <c r="AJ216" s="13" t="s">
        <v>219</v>
      </c>
      <c r="AK216" s="13"/>
      <c r="AL216" s="13" t="s">
        <v>12</v>
      </c>
      <c r="AN216" s="8">
        <v>659735</v>
      </c>
      <c r="AP216" s="8">
        <v>3397065</v>
      </c>
      <c r="AR216" s="8">
        <v>0</v>
      </c>
      <c r="AT216" s="8">
        <v>1150000</v>
      </c>
      <c r="AV216" s="8">
        <v>829830</v>
      </c>
      <c r="AX216" s="8">
        <v>0</v>
      </c>
      <c r="AZ216" s="9">
        <f t="shared" si="15"/>
        <v>33040508</v>
      </c>
      <c r="BB216" s="8">
        <v>259761</v>
      </c>
      <c r="BH216" s="8">
        <v>0</v>
      </c>
      <c r="BJ216" s="9">
        <f t="shared" si="13"/>
        <v>33300269</v>
      </c>
      <c r="BL216" s="9">
        <f>'Gov Fd Rv'!AQ216-'Gov Fnd Exp'!BJ216</f>
        <v>6896546</v>
      </c>
      <c r="BN216" s="8">
        <v>11992007</v>
      </c>
      <c r="BP216" s="8">
        <v>0</v>
      </c>
      <c r="BT216" s="9">
        <f t="shared" si="14"/>
        <v>18888553</v>
      </c>
      <c r="BU216" s="9"/>
      <c r="BV216" s="9">
        <f>BT216-'Gov Fd BS'!AA216</f>
        <v>0</v>
      </c>
    </row>
    <row r="217" spans="1:76">
      <c r="A217" s="13" t="s">
        <v>573</v>
      </c>
      <c r="B217" s="13"/>
      <c r="C217" s="13" t="s">
        <v>53</v>
      </c>
      <c r="D217" s="13"/>
      <c r="E217" s="32">
        <v>48942</v>
      </c>
      <c r="G217" s="8">
        <v>7480791</v>
      </c>
      <c r="I217" s="8">
        <v>1107173</v>
      </c>
      <c r="K217" s="8">
        <v>0</v>
      </c>
      <c r="M217" s="8">
        <v>0</v>
      </c>
      <c r="O217" s="8">
        <v>343617</v>
      </c>
      <c r="Q217" s="8">
        <v>144880</v>
      </c>
      <c r="S217" s="8">
        <v>9513</v>
      </c>
      <c r="U217" s="8">
        <v>1026960</v>
      </c>
      <c r="W217" s="8">
        <v>343370</v>
      </c>
      <c r="Y217" s="8">
        <v>18434</v>
      </c>
      <c r="AA217" s="8">
        <v>1254568</v>
      </c>
      <c r="AC217" s="8">
        <v>445613</v>
      </c>
      <c r="AE217" s="8">
        <v>362283</v>
      </c>
      <c r="AG217" s="8">
        <v>0</v>
      </c>
      <c r="AI217" s="8">
        <v>3913</v>
      </c>
      <c r="AJ217" s="13" t="s">
        <v>573</v>
      </c>
      <c r="AK217" s="13"/>
      <c r="AL217" s="13" t="s">
        <v>53</v>
      </c>
      <c r="AN217" s="8">
        <v>559995</v>
      </c>
      <c r="AP217" s="8">
        <f>215306+96160</f>
        <v>311466</v>
      </c>
      <c r="AR217" s="8">
        <v>0</v>
      </c>
      <c r="AT217" s="8">
        <v>371184</v>
      </c>
      <c r="AV217" s="8">
        <f>224859+30228</f>
        <v>255087</v>
      </c>
      <c r="AX217" s="8">
        <v>0</v>
      </c>
      <c r="AZ217" s="9">
        <f t="shared" si="15"/>
        <v>14038847</v>
      </c>
      <c r="BB217" s="8">
        <v>83159</v>
      </c>
      <c r="BH217" s="8">
        <v>0</v>
      </c>
      <c r="BJ217" s="9">
        <f t="shared" si="13"/>
        <v>14122006</v>
      </c>
      <c r="BL217" s="9">
        <f>'Gov Fd Rv'!AQ217-'Gov Fnd Exp'!BJ217</f>
        <v>5572365</v>
      </c>
      <c r="BN217" s="8">
        <v>2711791</v>
      </c>
      <c r="BP217" s="8">
        <v>0</v>
      </c>
      <c r="BT217" s="9">
        <f t="shared" si="14"/>
        <v>8284156</v>
      </c>
      <c r="BU217" s="9"/>
      <c r="BV217" s="9">
        <f>BT217-'Gov Fd BS'!AA217</f>
        <v>0</v>
      </c>
    </row>
    <row r="218" spans="1:76" hidden="1">
      <c r="A218" s="12" t="s">
        <v>940</v>
      </c>
      <c r="B218" s="13"/>
      <c r="C218" s="13" t="s">
        <v>77</v>
      </c>
      <c r="D218" s="13"/>
      <c r="E218" s="32">
        <v>45377</v>
      </c>
      <c r="G218" s="8">
        <v>4185611</v>
      </c>
      <c r="I218" s="8">
        <v>872055</v>
      </c>
      <c r="K218" s="8">
        <v>163317</v>
      </c>
      <c r="M218" s="8">
        <v>28882</v>
      </c>
      <c r="O218" s="8">
        <v>399594</v>
      </c>
      <c r="Q218" s="8">
        <v>614312</v>
      </c>
      <c r="S218" s="8">
        <v>34528</v>
      </c>
      <c r="U218" s="8">
        <v>696369</v>
      </c>
      <c r="W218" s="8">
        <v>317608</v>
      </c>
      <c r="Y218" s="8">
        <v>42974</v>
      </c>
      <c r="AA218" s="8">
        <v>798395</v>
      </c>
      <c r="AC218" s="8">
        <v>540928</v>
      </c>
      <c r="AE218" s="8">
        <v>66316</v>
      </c>
      <c r="AG218" s="8">
        <v>378292</v>
      </c>
      <c r="AI218" s="8">
        <v>7446</v>
      </c>
      <c r="AJ218" s="12" t="s">
        <v>940</v>
      </c>
      <c r="AK218" s="13"/>
      <c r="AL218" s="13" t="s">
        <v>77</v>
      </c>
      <c r="AN218" s="8">
        <v>604185</v>
      </c>
      <c r="AP218" s="8">
        <v>250142</v>
      </c>
      <c r="AT218" s="8">
        <v>147000</v>
      </c>
      <c r="AV218" s="8">
        <v>224278</v>
      </c>
      <c r="AZ218" s="9">
        <f t="shared" si="15"/>
        <v>10372232</v>
      </c>
      <c r="BH218" s="8">
        <f>-6400-36056+167</f>
        <v>-42289</v>
      </c>
      <c r="BJ218" s="9">
        <f t="shared" si="13"/>
        <v>10329943</v>
      </c>
      <c r="BL218" s="9">
        <f>'Gov Fd Rv'!AQ218-'Gov Fnd Exp'!BJ218</f>
        <v>-542540</v>
      </c>
      <c r="BN218" s="8">
        <v>1892966</v>
      </c>
      <c r="BT218" s="9">
        <f t="shared" si="14"/>
        <v>1350426</v>
      </c>
      <c r="BU218" s="9"/>
      <c r="BV218" s="9">
        <f>BT218-'Gov Fd BS'!AA218</f>
        <v>0</v>
      </c>
    </row>
    <row r="219" spans="1:76">
      <c r="A219" s="13" t="s">
        <v>624</v>
      </c>
      <c r="B219" s="13"/>
      <c r="C219" s="13" t="s">
        <v>79</v>
      </c>
      <c r="D219" s="13"/>
      <c r="E219" s="32">
        <v>45385</v>
      </c>
      <c r="G219" s="8">
        <v>4617405</v>
      </c>
      <c r="I219" s="8">
        <v>934369</v>
      </c>
      <c r="K219" s="8">
        <v>159749</v>
      </c>
      <c r="M219" s="8">
        <v>20700</v>
      </c>
      <c r="O219" s="8">
        <v>382545</v>
      </c>
      <c r="Q219" s="8">
        <v>57001</v>
      </c>
      <c r="S219" s="8">
        <v>47132</v>
      </c>
      <c r="U219" s="8">
        <v>784177</v>
      </c>
      <c r="W219" s="8">
        <v>455214</v>
      </c>
      <c r="Y219" s="8">
        <v>6378</v>
      </c>
      <c r="AA219" s="8">
        <v>1145958</v>
      </c>
      <c r="AC219" s="8">
        <v>299271</v>
      </c>
      <c r="AE219" s="8">
        <v>3618</v>
      </c>
      <c r="AG219" s="8">
        <v>454114</v>
      </c>
      <c r="AI219" s="8">
        <v>104508</v>
      </c>
      <c r="AJ219" s="13" t="s">
        <v>624</v>
      </c>
      <c r="AK219" s="13"/>
      <c r="AL219" s="13" t="s">
        <v>79</v>
      </c>
      <c r="AN219" s="8">
        <v>359550</v>
      </c>
      <c r="AP219" s="8">
        <v>0</v>
      </c>
      <c r="AR219" s="8">
        <v>0</v>
      </c>
      <c r="AT219" s="8">
        <v>335000</v>
      </c>
      <c r="AV219" s="8">
        <v>172764</v>
      </c>
      <c r="AX219" s="8">
        <v>0</v>
      </c>
      <c r="AZ219" s="9">
        <f t="shared" si="15"/>
        <v>10339453</v>
      </c>
      <c r="BB219" s="8">
        <v>0</v>
      </c>
      <c r="BH219" s="8">
        <v>0</v>
      </c>
      <c r="BJ219" s="9">
        <f t="shared" si="13"/>
        <v>10339453</v>
      </c>
      <c r="BL219" s="9">
        <f>'Gov Fd Rv'!AQ219-'Gov Fnd Exp'!BJ219</f>
        <v>-324136</v>
      </c>
      <c r="BN219" s="8">
        <v>4248061</v>
      </c>
      <c r="BP219" s="8">
        <v>0</v>
      </c>
      <c r="BT219" s="9">
        <f t="shared" si="14"/>
        <v>3923925</v>
      </c>
      <c r="BU219" s="9"/>
      <c r="BV219" s="9">
        <f>BT219-'Gov Fd BS'!AA219</f>
        <v>0</v>
      </c>
      <c r="BW219" s="9"/>
    </row>
    <row r="220" spans="1:76">
      <c r="A220" s="13" t="s">
        <v>679</v>
      </c>
      <c r="B220" s="13"/>
      <c r="C220" s="13" t="s">
        <v>64</v>
      </c>
      <c r="D220" s="13"/>
      <c r="E220" s="32">
        <v>44065</v>
      </c>
      <c r="G220" s="8">
        <v>6531751</v>
      </c>
      <c r="I220" s="8">
        <v>1458011</v>
      </c>
      <c r="K220" s="8">
        <v>133698</v>
      </c>
      <c r="M220" s="8">
        <v>707386</v>
      </c>
      <c r="O220" s="8">
        <v>894354</v>
      </c>
      <c r="Q220" s="8">
        <v>323498</v>
      </c>
      <c r="S220" s="8">
        <v>34042</v>
      </c>
      <c r="U220" s="8">
        <v>1086580</v>
      </c>
      <c r="W220" s="8">
        <v>766454</v>
      </c>
      <c r="Y220" s="8">
        <v>0</v>
      </c>
      <c r="AA220" s="8">
        <v>4004945</v>
      </c>
      <c r="AC220" s="8">
        <v>469438</v>
      </c>
      <c r="AE220" s="8">
        <v>5977</v>
      </c>
      <c r="AG220" s="8">
        <v>654469</v>
      </c>
      <c r="AI220" s="8">
        <v>213693</v>
      </c>
      <c r="AJ220" s="13" t="s">
        <v>679</v>
      </c>
      <c r="AK220" s="13"/>
      <c r="AL220" s="13" t="s">
        <v>64</v>
      </c>
      <c r="AN220" s="8">
        <v>501610</v>
      </c>
      <c r="AP220" s="8">
        <v>2118119</v>
      </c>
      <c r="AR220" s="8">
        <v>0</v>
      </c>
      <c r="AT220" s="8">
        <v>560000</v>
      </c>
      <c r="AV220" s="8">
        <v>629757</v>
      </c>
      <c r="AX220" s="8">
        <v>0</v>
      </c>
      <c r="AZ220" s="9">
        <f t="shared" si="15"/>
        <v>21093782</v>
      </c>
      <c r="BB220" s="8">
        <v>7419</v>
      </c>
      <c r="BH220" s="8">
        <v>0</v>
      </c>
      <c r="BJ220" s="9">
        <f t="shared" si="13"/>
        <v>21101201</v>
      </c>
      <c r="BL220" s="9">
        <f>'Gov Fd Rv'!AQ220-'Gov Fnd Exp'!BJ220</f>
        <v>6318106</v>
      </c>
      <c r="BN220" s="8">
        <v>18434203</v>
      </c>
      <c r="BP220" s="8">
        <v>2271</v>
      </c>
      <c r="BT220" s="9">
        <f t="shared" si="14"/>
        <v>24754580</v>
      </c>
      <c r="BU220" s="9"/>
      <c r="BV220" s="9">
        <f>BT220-'Gov Fd BS'!AA220</f>
        <v>0</v>
      </c>
    </row>
    <row r="221" spans="1:76" hidden="1">
      <c r="A221" s="12" t="s">
        <v>1030</v>
      </c>
      <c r="B221" s="13"/>
      <c r="C221" s="13" t="s">
        <v>28</v>
      </c>
      <c r="D221" s="13"/>
      <c r="E221" s="32">
        <v>47068</v>
      </c>
      <c r="AJ221" s="13" t="s">
        <v>370</v>
      </c>
      <c r="AK221" s="13"/>
      <c r="AL221" s="13" t="s">
        <v>28</v>
      </c>
      <c r="AZ221" s="9">
        <f t="shared" si="15"/>
        <v>0</v>
      </c>
      <c r="BJ221" s="9">
        <f t="shared" si="13"/>
        <v>0</v>
      </c>
      <c r="BL221" s="9">
        <f>'Gov Fd Rv'!AQ221-'Gov Fnd Exp'!BJ221</f>
        <v>0</v>
      </c>
      <c r="BT221" s="9">
        <f t="shared" si="14"/>
        <v>0</v>
      </c>
      <c r="BU221" s="9"/>
      <c r="BV221" s="9">
        <f>BT221-'Gov Fd BS'!AA221</f>
        <v>0</v>
      </c>
      <c r="BX221" s="15" t="s">
        <v>973</v>
      </c>
    </row>
    <row r="222" spans="1:76">
      <c r="A222" s="13" t="s">
        <v>269</v>
      </c>
      <c r="B222" s="13"/>
      <c r="C222" s="13" t="s">
        <v>115</v>
      </c>
      <c r="D222" s="13"/>
      <c r="E222" s="32">
        <v>46342</v>
      </c>
      <c r="G222" s="8">
        <v>9855071</v>
      </c>
      <c r="I222" s="8">
        <v>1890362</v>
      </c>
      <c r="K222" s="8">
        <v>549150</v>
      </c>
      <c r="M222" s="8">
        <v>16710</v>
      </c>
      <c r="O222" s="8">
        <v>1829065</v>
      </c>
      <c r="Q222" s="8">
        <v>3292257</v>
      </c>
      <c r="S222" s="8">
        <v>46452</v>
      </c>
      <c r="U222" s="8">
        <v>1563055</v>
      </c>
      <c r="W222" s="8">
        <v>574673</v>
      </c>
      <c r="Y222" s="8">
        <v>85752</v>
      </c>
      <c r="AA222" s="8">
        <v>2110667</v>
      </c>
      <c r="AC222" s="8">
        <v>2275084</v>
      </c>
      <c r="AE222" s="8">
        <v>0</v>
      </c>
      <c r="AG222" s="8">
        <v>932475</v>
      </c>
      <c r="AI222" s="8">
        <v>69349</v>
      </c>
      <c r="AJ222" s="13" t="s">
        <v>269</v>
      </c>
      <c r="AK222" s="13"/>
      <c r="AL222" s="13" t="s">
        <v>115</v>
      </c>
      <c r="AN222" s="8">
        <v>468170</v>
      </c>
      <c r="AP222" s="8">
        <v>431461</v>
      </c>
      <c r="AR222" s="8">
        <v>0</v>
      </c>
      <c r="AT222" s="8">
        <v>537800</v>
      </c>
      <c r="AV222" s="8">
        <v>470988</v>
      </c>
      <c r="AX222" s="8">
        <v>0</v>
      </c>
      <c r="AZ222" s="9">
        <f t="shared" si="15"/>
        <v>26998541</v>
      </c>
      <c r="BB222" s="8">
        <v>12628</v>
      </c>
      <c r="BH222" s="8">
        <v>0</v>
      </c>
      <c r="BJ222" s="9">
        <f t="shared" si="13"/>
        <v>27011169</v>
      </c>
      <c r="BL222" s="9">
        <f>'Gov Fd Rv'!AQ222-'Gov Fnd Exp'!BJ222</f>
        <v>-743276</v>
      </c>
      <c r="BN222" s="8">
        <v>5461867</v>
      </c>
      <c r="BP222" s="8">
        <v>0</v>
      </c>
      <c r="BT222" s="9">
        <f t="shared" si="14"/>
        <v>4718591</v>
      </c>
      <c r="BU222" s="9"/>
      <c r="BV222" s="9">
        <f>BT222-'Gov Fd BS'!AA222</f>
        <v>0</v>
      </c>
    </row>
    <row r="223" spans="1:76">
      <c r="A223" s="13" t="s">
        <v>254</v>
      </c>
      <c r="B223" s="13"/>
      <c r="C223" s="13" t="s">
        <v>255</v>
      </c>
      <c r="D223" s="13"/>
      <c r="E223" s="32">
        <v>46193</v>
      </c>
      <c r="G223" s="8">
        <f>7274538+61720</f>
        <v>7336258</v>
      </c>
      <c r="I223" s="8">
        <f>1614332+513244</f>
        <v>2127576</v>
      </c>
      <c r="K223" s="8">
        <v>788</v>
      </c>
      <c r="M223" s="8">
        <f>1425495+2000+10196</f>
        <v>1437691</v>
      </c>
      <c r="O223" s="8">
        <f>848992+263245</f>
        <v>1112237</v>
      </c>
      <c r="Q223" s="8">
        <f>1223988+77645</f>
        <v>1301633</v>
      </c>
      <c r="S223" s="8">
        <f>94955+187+89+18</f>
        <v>95249</v>
      </c>
      <c r="U223" s="8">
        <f>1494183+3210</f>
        <v>1497393</v>
      </c>
      <c r="W223" s="8">
        <f>421320+31920+7893+2623</f>
        <v>463756</v>
      </c>
      <c r="Y223" s="8">
        <v>40185</v>
      </c>
      <c r="AA223" s="8">
        <f>1406018+28569+224888</f>
        <v>1659475</v>
      </c>
      <c r="AC223" s="8">
        <f>1371906+207761</f>
        <v>1579667</v>
      </c>
      <c r="AE223" s="8">
        <f>201392+7000</f>
        <v>208392</v>
      </c>
      <c r="AG223" s="8">
        <v>0</v>
      </c>
      <c r="AI223" s="8">
        <v>734985</v>
      </c>
      <c r="AJ223" s="13" t="s">
        <v>254</v>
      </c>
      <c r="AK223" s="13"/>
      <c r="AL223" s="13" t="s">
        <v>255</v>
      </c>
      <c r="AN223" s="8">
        <f>336822+210497</f>
        <v>547319</v>
      </c>
      <c r="AP223" s="8">
        <f>41456+38466+4512911+45116</f>
        <v>4637949</v>
      </c>
      <c r="AR223" s="8">
        <v>0</v>
      </c>
      <c r="AT223" s="8">
        <f>21000+435000+110150</f>
        <v>566150</v>
      </c>
      <c r="AV223" s="8">
        <f>13653+819923+29802</f>
        <v>863378</v>
      </c>
      <c r="AX223" s="8">
        <v>0</v>
      </c>
      <c r="AZ223" s="9">
        <f t="shared" si="15"/>
        <v>26210081</v>
      </c>
      <c r="BB223" s="8">
        <v>51000</v>
      </c>
      <c r="BH223" s="8">
        <v>0</v>
      </c>
      <c r="BJ223" s="9">
        <f t="shared" si="13"/>
        <v>26261081</v>
      </c>
      <c r="BL223" s="9">
        <f>'Gov Fd Rv'!AQ223-'Gov Fnd Exp'!BJ223</f>
        <v>4737353</v>
      </c>
      <c r="BN223" s="8">
        <f>1060943+1361183+357913+57810+810680</f>
        <v>3648529</v>
      </c>
      <c r="BP223" s="8">
        <v>0</v>
      </c>
      <c r="BT223" s="9">
        <f t="shared" si="14"/>
        <v>8385882</v>
      </c>
      <c r="BU223" s="9"/>
      <c r="BV223" s="9">
        <f>BT223-'Gov Fd BS'!AA226</f>
        <v>0</v>
      </c>
    </row>
    <row r="224" spans="1:76">
      <c r="A224" s="13" t="s">
        <v>220</v>
      </c>
      <c r="B224" s="13"/>
      <c r="C224" s="13" t="s">
        <v>12</v>
      </c>
      <c r="D224" s="13"/>
      <c r="E224" s="32">
        <v>45864</v>
      </c>
      <c r="G224" s="8">
        <v>6227166</v>
      </c>
      <c r="I224" s="8">
        <v>1032184</v>
      </c>
      <c r="K224" s="8">
        <v>183687</v>
      </c>
      <c r="M224" s="8">
        <v>50382</v>
      </c>
      <c r="O224" s="8">
        <v>492638</v>
      </c>
      <c r="Q224" s="8">
        <v>401649</v>
      </c>
      <c r="S224" s="8">
        <v>17633</v>
      </c>
      <c r="U224" s="8">
        <v>1281822</v>
      </c>
      <c r="W224" s="8">
        <v>327757</v>
      </c>
      <c r="Y224" s="8">
        <v>28107</v>
      </c>
      <c r="AA224" s="8">
        <v>1104343</v>
      </c>
      <c r="AC224" s="8">
        <v>1280895</v>
      </c>
      <c r="AE224" s="8">
        <v>16281</v>
      </c>
      <c r="AG224" s="8">
        <v>566305</v>
      </c>
      <c r="AI224" s="8">
        <v>0</v>
      </c>
      <c r="AJ224" s="13" t="s">
        <v>220</v>
      </c>
      <c r="AK224" s="13"/>
      <c r="AL224" s="13" t="s">
        <v>12</v>
      </c>
      <c r="AN224" s="8">
        <v>419229</v>
      </c>
      <c r="AP224" s="8">
        <v>608775</v>
      </c>
      <c r="AR224" s="8">
        <v>0</v>
      </c>
      <c r="AT224" s="8">
        <v>526000</v>
      </c>
      <c r="AV224" s="8">
        <v>574867</v>
      </c>
      <c r="AX224" s="8">
        <v>0</v>
      </c>
      <c r="AZ224" s="9">
        <f t="shared" si="15"/>
        <v>15139720</v>
      </c>
      <c r="BB224" s="8">
        <v>2115165</v>
      </c>
      <c r="BH224" s="8">
        <v>0</v>
      </c>
      <c r="BJ224" s="9">
        <f t="shared" si="13"/>
        <v>17254885</v>
      </c>
      <c r="BL224" s="9">
        <f>'Gov Fd Rv'!AQ224-'Gov Fnd Exp'!BJ224</f>
        <v>-1055083</v>
      </c>
      <c r="BN224" s="8">
        <v>12672220</v>
      </c>
      <c r="BP224" s="8">
        <v>0</v>
      </c>
      <c r="BT224" s="9">
        <f>BL224+BN224+BP224+BR224</f>
        <v>11617137</v>
      </c>
      <c r="BU224" s="9"/>
      <c r="BV224" s="9">
        <f>BT224-'Gov Fd BS'!AA227</f>
        <v>0</v>
      </c>
    </row>
    <row r="225" spans="1:76">
      <c r="A225" s="13" t="s">
        <v>357</v>
      </c>
      <c r="B225" s="13"/>
      <c r="C225" s="13" t="s">
        <v>27</v>
      </c>
      <c r="D225" s="13"/>
      <c r="E225" s="32">
        <v>44073</v>
      </c>
      <c r="G225" s="8">
        <v>7123643</v>
      </c>
      <c r="I225" s="8">
        <v>2493752</v>
      </c>
      <c r="K225" s="8">
        <v>111221</v>
      </c>
      <c r="M225" s="8">
        <v>0</v>
      </c>
      <c r="O225" s="8">
        <v>1492814</v>
      </c>
      <c r="Q225" s="8">
        <v>665401</v>
      </c>
      <c r="S225" s="8">
        <v>18566</v>
      </c>
      <c r="U225" s="8">
        <v>1070857</v>
      </c>
      <c r="W225" s="8">
        <v>503959</v>
      </c>
      <c r="Y225" s="8">
        <v>39793</v>
      </c>
      <c r="AA225" s="8">
        <v>1470367</v>
      </c>
      <c r="AC225" s="8">
        <v>15674</v>
      </c>
      <c r="AE225" s="8">
        <v>59718</v>
      </c>
      <c r="AG225" s="8">
        <v>0</v>
      </c>
      <c r="AI225" s="8">
        <v>0</v>
      </c>
      <c r="AJ225" s="13" t="s">
        <v>357</v>
      </c>
      <c r="AK225" s="13"/>
      <c r="AL225" s="13" t="s">
        <v>27</v>
      </c>
      <c r="AN225" s="8">
        <v>715517</v>
      </c>
      <c r="AP225" s="8">
        <v>264527</v>
      </c>
      <c r="AR225" s="8">
        <v>0</v>
      </c>
      <c r="AT225" s="8">
        <v>889715</v>
      </c>
      <c r="AV225" s="8">
        <v>343582</v>
      </c>
      <c r="AX225" s="8">
        <v>268345</v>
      </c>
      <c r="AZ225" s="9">
        <f t="shared" ref="AZ225:AZ293" si="16">SUM(G225:AX225)</f>
        <v>17547451</v>
      </c>
      <c r="BB225" s="8">
        <v>62235</v>
      </c>
      <c r="BH225" s="8">
        <v>0</v>
      </c>
      <c r="BJ225" s="9">
        <f t="shared" ref="BJ225:BJ293" si="17">AZ225+BB225+BH225</f>
        <v>17609686</v>
      </c>
      <c r="BL225" s="9">
        <f>'Gov Fd Rv'!AQ225-'Gov Fnd Exp'!BJ225</f>
        <v>933756</v>
      </c>
      <c r="BN225" s="8">
        <v>8210369</v>
      </c>
      <c r="BP225" s="8">
        <v>0</v>
      </c>
      <c r="BT225" s="9">
        <f t="shared" si="14"/>
        <v>9144125</v>
      </c>
      <c r="BU225" s="9"/>
      <c r="BV225" s="9">
        <f>BT225-'Gov Fd BS'!AA228</f>
        <v>0</v>
      </c>
    </row>
    <row r="226" spans="1:76">
      <c r="A226" s="12" t="s">
        <v>942</v>
      </c>
      <c r="B226" s="13"/>
      <c r="C226" s="13" t="s">
        <v>42</v>
      </c>
      <c r="D226" s="13"/>
      <c r="E226" s="32">
        <v>45393</v>
      </c>
      <c r="G226" s="8">
        <v>11184331</v>
      </c>
      <c r="I226" s="8">
        <v>2106722</v>
      </c>
      <c r="K226" s="8">
        <v>156148</v>
      </c>
      <c r="M226" s="8">
        <v>0</v>
      </c>
      <c r="O226" s="8">
        <v>1852373</v>
      </c>
      <c r="Q226" s="8">
        <v>1401774</v>
      </c>
      <c r="S226" s="8">
        <v>60091</v>
      </c>
      <c r="U226" s="8">
        <v>1412395</v>
      </c>
      <c r="W226" s="8">
        <v>690515</v>
      </c>
      <c r="Y226" s="8">
        <v>116480</v>
      </c>
      <c r="AA226" s="8">
        <v>2516637</v>
      </c>
      <c r="AC226" s="8">
        <v>1533543</v>
      </c>
      <c r="AE226" s="8">
        <v>345242</v>
      </c>
      <c r="AG226" s="8">
        <v>0</v>
      </c>
      <c r="AI226" s="8">
        <v>23631</v>
      </c>
      <c r="AJ226" s="12" t="s">
        <v>942</v>
      </c>
      <c r="AK226" s="13"/>
      <c r="AL226" s="13" t="s">
        <v>42</v>
      </c>
      <c r="AN226" s="8">
        <v>857678</v>
      </c>
      <c r="AP226" s="8">
        <v>1712558</v>
      </c>
      <c r="AR226" s="8">
        <v>0</v>
      </c>
      <c r="AT226" s="8">
        <v>1503030</v>
      </c>
      <c r="AV226" s="8">
        <v>1997435</v>
      </c>
      <c r="AX226" s="8">
        <v>0</v>
      </c>
      <c r="AZ226" s="9">
        <f t="shared" si="16"/>
        <v>29470583</v>
      </c>
      <c r="BB226" s="8">
        <v>0</v>
      </c>
      <c r="BH226" s="8">
        <v>0</v>
      </c>
      <c r="BJ226" s="9">
        <f t="shared" si="17"/>
        <v>29470583</v>
      </c>
      <c r="BL226" s="9">
        <f>'Gov Fd Rv'!AQ226-'Gov Fnd Exp'!BJ226</f>
        <v>-2663037</v>
      </c>
      <c r="BN226" s="8">
        <v>10888646</v>
      </c>
      <c r="BP226" s="8">
        <v>0</v>
      </c>
      <c r="BT226" s="9">
        <f t="shared" si="14"/>
        <v>8225609</v>
      </c>
      <c r="BU226" s="9"/>
      <c r="BV226" s="9">
        <f>BT226-'Gov Fd BS'!AA229</f>
        <v>0</v>
      </c>
    </row>
    <row r="227" spans="1:76">
      <c r="A227" s="13" t="s">
        <v>628</v>
      </c>
      <c r="B227" s="13"/>
      <c r="C227" s="13" t="s">
        <v>59</v>
      </c>
      <c r="D227" s="13"/>
      <c r="E227" s="32">
        <v>49619</v>
      </c>
      <c r="G227" s="8">
        <v>2421066</v>
      </c>
      <c r="I227" s="8">
        <v>692882</v>
      </c>
      <c r="K227" s="8">
        <v>167965</v>
      </c>
      <c r="M227" s="8">
        <v>713522</v>
      </c>
      <c r="O227" s="8">
        <v>431128</v>
      </c>
      <c r="Q227" s="8">
        <v>252618</v>
      </c>
      <c r="S227" s="8">
        <v>30335</v>
      </c>
      <c r="U227" s="8">
        <v>524021</v>
      </c>
      <c r="W227" s="8">
        <v>232414</v>
      </c>
      <c r="Y227" s="8">
        <v>0</v>
      </c>
      <c r="AA227" s="8">
        <v>691953</v>
      </c>
      <c r="AC227" s="8">
        <v>449067</v>
      </c>
      <c r="AE227" s="8">
        <v>0</v>
      </c>
      <c r="AG227" s="8">
        <v>0</v>
      </c>
      <c r="AI227" s="8">
        <v>308650</v>
      </c>
      <c r="AJ227" s="13" t="s">
        <v>628</v>
      </c>
      <c r="AK227" s="13"/>
      <c r="AL227" s="13" t="s">
        <v>59</v>
      </c>
      <c r="AN227" s="8">
        <v>110559</v>
      </c>
      <c r="AP227" s="8">
        <v>0</v>
      </c>
      <c r="AR227" s="8">
        <v>0</v>
      </c>
      <c r="AT227" s="8">
        <v>0</v>
      </c>
      <c r="AV227" s="8">
        <v>0</v>
      </c>
      <c r="AX227" s="8">
        <v>0</v>
      </c>
      <c r="AZ227" s="9">
        <f t="shared" si="16"/>
        <v>7026180</v>
      </c>
      <c r="BB227" s="8">
        <v>82508</v>
      </c>
      <c r="BH227" s="8">
        <v>0</v>
      </c>
      <c r="BJ227" s="9">
        <f t="shared" si="17"/>
        <v>7108688</v>
      </c>
      <c r="BL227" s="9">
        <f>'Gov Fd Rv'!AQ227-'Gov Fnd Exp'!BJ227</f>
        <v>77279</v>
      </c>
      <c r="BN227" s="8">
        <v>368921</v>
      </c>
      <c r="BP227" s="8">
        <v>0</v>
      </c>
      <c r="BT227" s="9">
        <f t="shared" ref="BT227:BT295" si="18">BL227+BN227+BP227+BR227</f>
        <v>446200</v>
      </c>
      <c r="BU227" s="9"/>
      <c r="BV227" s="9">
        <f>BT227-'Gov Fd BS'!AA230</f>
        <v>0</v>
      </c>
    </row>
    <row r="228" spans="1:76">
      <c r="A228" s="13" t="s">
        <v>628</v>
      </c>
      <c r="B228" s="13"/>
      <c r="C228" s="13" t="s">
        <v>63</v>
      </c>
      <c r="D228" s="13"/>
      <c r="E228" s="32">
        <v>50013</v>
      </c>
      <c r="G228" s="8">
        <v>16531610</v>
      </c>
      <c r="I228" s="8">
        <v>5717491</v>
      </c>
      <c r="K228" s="8">
        <v>157606</v>
      </c>
      <c r="M228" s="8">
        <v>1239876</v>
      </c>
      <c r="O228" s="8">
        <v>2604758</v>
      </c>
      <c r="Q228" s="8">
        <v>2002854</v>
      </c>
      <c r="S228" s="8">
        <v>41937</v>
      </c>
      <c r="U228" s="8">
        <v>3804980</v>
      </c>
      <c r="W228" s="8">
        <v>877716</v>
      </c>
      <c r="Y228" s="8">
        <v>148033</v>
      </c>
      <c r="AA228" s="8">
        <v>3607714</v>
      </c>
      <c r="AC228" s="8">
        <v>2137659</v>
      </c>
      <c r="AE228" s="8">
        <v>24163</v>
      </c>
      <c r="AG228" s="8">
        <v>1354439</v>
      </c>
      <c r="AI228" s="8">
        <v>138876</v>
      </c>
      <c r="AJ228" s="13" t="s">
        <v>628</v>
      </c>
      <c r="AK228" s="13"/>
      <c r="AL228" s="13" t="s">
        <v>63</v>
      </c>
      <c r="AN228" s="8">
        <v>1088184</v>
      </c>
      <c r="AP228" s="8">
        <v>1396853</v>
      </c>
      <c r="AR228" s="8">
        <v>0</v>
      </c>
      <c r="AT228" s="8">
        <v>516929</v>
      </c>
      <c r="AV228" s="8">
        <f>2109668+255380</f>
        <v>2365048</v>
      </c>
      <c r="AX228" s="8">
        <v>0</v>
      </c>
      <c r="AZ228" s="9">
        <f t="shared" si="16"/>
        <v>45756726</v>
      </c>
      <c r="BB228" s="8">
        <v>120000</v>
      </c>
      <c r="BH228" s="8">
        <v>13473937</v>
      </c>
      <c r="BJ228" s="9">
        <f>AZ228+BB228+BH228</f>
        <v>59350663</v>
      </c>
      <c r="BL228" s="9">
        <f>'Gov Fd Rv'!AQ228-'Gov Fnd Exp'!BJ228</f>
        <v>-3577970</v>
      </c>
      <c r="BN228" s="8">
        <v>4099915</v>
      </c>
      <c r="BP228" s="8">
        <v>0</v>
      </c>
      <c r="BT228" s="9">
        <f t="shared" si="18"/>
        <v>521945</v>
      </c>
      <c r="BU228" s="9"/>
      <c r="BV228" s="9">
        <f>BT228-'Gov Fd BS'!AA231</f>
        <v>0</v>
      </c>
    </row>
    <row r="229" spans="1:76">
      <c r="A229" s="13" t="s">
        <v>628</v>
      </c>
      <c r="B229" s="13"/>
      <c r="C229" s="13" t="s">
        <v>71</v>
      </c>
      <c r="D229" s="13"/>
      <c r="E229" s="32">
        <v>50559</v>
      </c>
      <c r="G229" s="8">
        <v>4821320</v>
      </c>
      <c r="I229" s="8">
        <v>891874</v>
      </c>
      <c r="K229" s="8">
        <v>208995</v>
      </c>
      <c r="M229" s="8">
        <v>648281</v>
      </c>
      <c r="O229" s="8">
        <v>314904</v>
      </c>
      <c r="Q229" s="8">
        <v>318744</v>
      </c>
      <c r="S229" s="8">
        <v>53218</v>
      </c>
      <c r="U229" s="8">
        <v>1057896</v>
      </c>
      <c r="W229" s="8">
        <v>316591</v>
      </c>
      <c r="Y229" s="8">
        <v>464</v>
      </c>
      <c r="AA229" s="8">
        <v>859560</v>
      </c>
      <c r="AC229" s="8">
        <v>644983</v>
      </c>
      <c r="AE229" s="8">
        <v>101224</v>
      </c>
      <c r="AG229" s="8">
        <v>321468</v>
      </c>
      <c r="AI229" s="8">
        <v>46978</v>
      </c>
      <c r="AJ229" s="13" t="s">
        <v>628</v>
      </c>
      <c r="AK229" s="13"/>
      <c r="AL229" s="13" t="s">
        <v>71</v>
      </c>
      <c r="AN229" s="8">
        <v>507928</v>
      </c>
      <c r="AP229" s="8">
        <v>290807</v>
      </c>
      <c r="AR229" s="8">
        <v>0</v>
      </c>
      <c r="AT229" s="8">
        <v>87796</v>
      </c>
      <c r="AV229" s="8">
        <v>28976</v>
      </c>
      <c r="AX229" s="8">
        <v>0</v>
      </c>
      <c r="AZ229" s="9">
        <f t="shared" si="16"/>
        <v>11522007</v>
      </c>
      <c r="BB229" s="8">
        <v>0</v>
      </c>
      <c r="BH229" s="8">
        <v>0</v>
      </c>
      <c r="BJ229" s="9">
        <f>AZ229+BB229+BH229</f>
        <v>11522007</v>
      </c>
      <c r="BL229" s="9">
        <f>'Gov Fd Rv'!AQ229-'Gov Fnd Exp'!BJ229</f>
        <v>153628</v>
      </c>
      <c r="BN229" s="8">
        <v>373523</v>
      </c>
      <c r="BP229" s="8">
        <v>0</v>
      </c>
      <c r="BT229" s="9">
        <f t="shared" si="18"/>
        <v>527151</v>
      </c>
      <c r="BU229" s="9"/>
      <c r="BV229" s="9">
        <f>BT229-'Gov Fd BS'!AA232</f>
        <v>0</v>
      </c>
    </row>
    <row r="230" spans="1:76">
      <c r="A230" s="13" t="s">
        <v>386</v>
      </c>
      <c r="B230" s="13"/>
      <c r="C230" s="13" t="s">
        <v>116</v>
      </c>
      <c r="D230" s="13"/>
      <c r="E230" s="32">
        <v>47266</v>
      </c>
      <c r="G230" s="8">
        <v>5153711</v>
      </c>
      <c r="I230" s="8">
        <v>1059899</v>
      </c>
      <c r="K230" s="8">
        <v>91242</v>
      </c>
      <c r="M230" s="8">
        <v>19371</v>
      </c>
      <c r="O230" s="8">
        <v>1116942</v>
      </c>
      <c r="Q230" s="8">
        <v>715696</v>
      </c>
      <c r="S230" s="8">
        <v>79897</v>
      </c>
      <c r="U230" s="8">
        <v>1116831</v>
      </c>
      <c r="W230" s="8">
        <v>337734</v>
      </c>
      <c r="Y230" s="8">
        <v>0</v>
      </c>
      <c r="AA230" s="8">
        <v>1009199</v>
      </c>
      <c r="AC230" s="8">
        <v>804423</v>
      </c>
      <c r="AE230" s="8">
        <v>0</v>
      </c>
      <c r="AG230" s="8">
        <v>0</v>
      </c>
      <c r="AI230" s="8">
        <v>372487</v>
      </c>
      <c r="AJ230" s="13" t="s">
        <v>386</v>
      </c>
      <c r="AK230" s="13"/>
      <c r="AL230" s="13" t="s">
        <v>116</v>
      </c>
      <c r="AN230" s="8">
        <v>410703</v>
      </c>
      <c r="AP230" s="8">
        <v>177606</v>
      </c>
      <c r="AR230" s="8">
        <v>0</v>
      </c>
      <c r="AT230" s="8">
        <v>295000</v>
      </c>
      <c r="AV230" s="8">
        <v>327980</v>
      </c>
      <c r="AX230" s="8">
        <v>0</v>
      </c>
      <c r="AZ230" s="9">
        <f t="shared" si="16"/>
        <v>13088721</v>
      </c>
      <c r="BB230" s="8">
        <v>33812</v>
      </c>
      <c r="BH230" s="8">
        <v>0</v>
      </c>
      <c r="BJ230" s="9">
        <f t="shared" ref="BJ230" si="19">AZ230+BB230+BH230</f>
        <v>13122533</v>
      </c>
      <c r="BL230" s="9">
        <f>'Gov Fd Rv'!AQ230-'Gov Fnd Exp'!BJ230</f>
        <v>1479681</v>
      </c>
      <c r="BN230" s="8">
        <v>3386393</v>
      </c>
      <c r="BP230" s="8">
        <v>0</v>
      </c>
      <c r="BT230" s="9">
        <f t="shared" si="18"/>
        <v>4866074</v>
      </c>
      <c r="BU230" s="9"/>
      <c r="BV230" s="9">
        <f>BT230-'Gov Fd BS'!AA233</f>
        <v>0</v>
      </c>
    </row>
    <row r="231" spans="1:76">
      <c r="A231" s="13" t="s">
        <v>437</v>
      </c>
      <c r="B231" s="13"/>
      <c r="C231" s="13" t="s">
        <v>435</v>
      </c>
      <c r="D231" s="13"/>
      <c r="E231" s="32">
        <v>45401</v>
      </c>
      <c r="G231" s="8">
        <v>9085679</v>
      </c>
      <c r="I231" s="8">
        <v>1783804</v>
      </c>
      <c r="K231" s="8">
        <v>524474</v>
      </c>
      <c r="M231" s="8">
        <v>968827</v>
      </c>
      <c r="O231" s="8">
        <v>740468</v>
      </c>
      <c r="Q231" s="8">
        <v>280805</v>
      </c>
      <c r="S231" s="8">
        <v>65533</v>
      </c>
      <c r="U231" s="8">
        <v>1599389</v>
      </c>
      <c r="W231" s="8">
        <v>394237</v>
      </c>
      <c r="Y231" s="8">
        <v>0</v>
      </c>
      <c r="AA231" s="8">
        <v>1751676</v>
      </c>
      <c r="AC231" s="8">
        <v>1124684</v>
      </c>
      <c r="AE231" s="8">
        <v>2078</v>
      </c>
      <c r="AG231" s="8">
        <v>0</v>
      </c>
      <c r="AI231" s="8">
        <v>658942</v>
      </c>
      <c r="AJ231" s="13" t="s">
        <v>437</v>
      </c>
      <c r="AK231" s="13"/>
      <c r="AL231" s="13" t="s">
        <v>435</v>
      </c>
      <c r="AN231" s="8">
        <v>363332</v>
      </c>
      <c r="AP231" s="8">
        <v>95773</v>
      </c>
      <c r="AR231" s="8">
        <v>0</v>
      </c>
      <c r="AT231" s="8">
        <v>170672</v>
      </c>
      <c r="AV231" s="8">
        <v>142106</v>
      </c>
      <c r="AX231" s="8">
        <v>0</v>
      </c>
      <c r="AZ231" s="9">
        <f t="shared" si="16"/>
        <v>19752479</v>
      </c>
      <c r="BB231" s="8">
        <v>192759</v>
      </c>
      <c r="BH231" s="8">
        <v>0</v>
      </c>
      <c r="BJ231" s="9">
        <f t="shared" si="17"/>
        <v>19945238</v>
      </c>
      <c r="BL231" s="9">
        <f>'Gov Fd Rv'!AQ231-'Gov Fnd Exp'!BJ231</f>
        <v>1108454</v>
      </c>
      <c r="BN231" s="8">
        <v>4604520</v>
      </c>
      <c r="BP231" s="8">
        <v>0</v>
      </c>
      <c r="BT231" s="9">
        <f t="shared" si="18"/>
        <v>5712974</v>
      </c>
      <c r="BU231" s="9"/>
      <c r="BV231" s="9">
        <f>BT231-'Gov Fd BS'!AA234</f>
        <v>0</v>
      </c>
    </row>
    <row r="232" spans="1:76">
      <c r="A232" s="13" t="s">
        <v>261</v>
      </c>
      <c r="B232" s="13"/>
      <c r="C232" s="13" t="s">
        <v>17</v>
      </c>
      <c r="D232" s="13"/>
      <c r="E232" s="32">
        <v>46235</v>
      </c>
      <c r="G232" s="8">
        <v>7167312</v>
      </c>
      <c r="I232" s="8">
        <v>1587370</v>
      </c>
      <c r="K232" s="8">
        <v>518624</v>
      </c>
      <c r="M232" s="8">
        <v>412634</v>
      </c>
      <c r="O232" s="8">
        <v>591575</v>
      </c>
      <c r="Q232" s="8">
        <v>500321</v>
      </c>
      <c r="S232" s="8">
        <v>118921</v>
      </c>
      <c r="U232" s="8">
        <v>1574877</v>
      </c>
      <c r="W232" s="8">
        <v>504016</v>
      </c>
      <c r="Y232" s="8">
        <v>151772</v>
      </c>
      <c r="AA232" s="8">
        <v>1506954</v>
      </c>
      <c r="AC232" s="8">
        <v>1126209</v>
      </c>
      <c r="AE232" s="8">
        <v>108937</v>
      </c>
      <c r="AG232" s="8">
        <v>0</v>
      </c>
      <c r="AI232" s="8">
        <v>643257</v>
      </c>
      <c r="AJ232" s="13" t="s">
        <v>261</v>
      </c>
      <c r="AK232" s="13"/>
      <c r="AL232" s="13" t="s">
        <v>17</v>
      </c>
      <c r="AN232" s="8">
        <v>433471</v>
      </c>
      <c r="AP232" s="8">
        <v>327734</v>
      </c>
      <c r="AR232" s="8">
        <v>0</v>
      </c>
      <c r="AT232" s="8">
        <v>23295</v>
      </c>
      <c r="AV232" s="8">
        <v>3737</v>
      </c>
      <c r="AX232" s="8">
        <v>0</v>
      </c>
      <c r="AZ232" s="9">
        <f t="shared" si="16"/>
        <v>17301016</v>
      </c>
      <c r="BB232" s="8">
        <v>0</v>
      </c>
      <c r="BH232" s="8">
        <v>0</v>
      </c>
      <c r="BJ232" s="9">
        <f t="shared" si="17"/>
        <v>17301016</v>
      </c>
      <c r="BL232" s="9">
        <f>'Gov Fd Rv'!AQ232-'Gov Fnd Exp'!BJ232</f>
        <v>227654</v>
      </c>
      <c r="BN232" s="8">
        <v>2982177</v>
      </c>
      <c r="BP232" s="8">
        <v>0</v>
      </c>
      <c r="BT232" s="9">
        <f t="shared" si="18"/>
        <v>3209831</v>
      </c>
      <c r="BU232" s="9"/>
      <c r="BV232" s="9">
        <f>BT232-'Gov Fd BS'!AA235</f>
        <v>0</v>
      </c>
    </row>
    <row r="233" spans="1:76">
      <c r="A233" s="13" t="s">
        <v>327</v>
      </c>
      <c r="B233" s="13"/>
      <c r="C233" s="13" t="s">
        <v>21</v>
      </c>
      <c r="D233" s="13"/>
      <c r="E233" s="32">
        <v>44099</v>
      </c>
      <c r="G233" s="8">
        <v>12406876</v>
      </c>
      <c r="I233" s="8">
        <v>3253258</v>
      </c>
      <c r="K233" s="8">
        <v>2091356</v>
      </c>
      <c r="M233" s="8">
        <f>58776+98918</f>
        <v>157694</v>
      </c>
      <c r="O233" s="8">
        <v>1290937</v>
      </c>
      <c r="Q233" s="8">
        <v>1586609</v>
      </c>
      <c r="S233" s="8">
        <v>124265</v>
      </c>
      <c r="U233" s="8">
        <v>2103601</v>
      </c>
      <c r="W233" s="8">
        <v>735038</v>
      </c>
      <c r="Y233" s="8">
        <v>4376</v>
      </c>
      <c r="AA233" s="8">
        <v>1658912</v>
      </c>
      <c r="AC233" s="8">
        <v>1190245</v>
      </c>
      <c r="AE233" s="8">
        <v>319953</v>
      </c>
      <c r="AG233" s="8">
        <v>0</v>
      </c>
      <c r="AI233" s="8">
        <v>917116</v>
      </c>
      <c r="AJ233" s="13" t="s">
        <v>327</v>
      </c>
      <c r="AK233" s="13"/>
      <c r="AL233" s="13" t="s">
        <v>21</v>
      </c>
      <c r="AN233" s="8">
        <v>659352</v>
      </c>
      <c r="AP233" s="8">
        <v>1211985</v>
      </c>
      <c r="AR233" s="8">
        <v>0</v>
      </c>
      <c r="AT233" s="8">
        <v>0</v>
      </c>
      <c r="AV233" s="8">
        <v>0</v>
      </c>
      <c r="AX233" s="8">
        <v>0</v>
      </c>
      <c r="AZ233" s="9">
        <f t="shared" si="16"/>
        <v>29711573</v>
      </c>
      <c r="BB233" s="8">
        <v>1351826</v>
      </c>
      <c r="BH233" s="8">
        <v>0</v>
      </c>
      <c r="BJ233" s="9">
        <f t="shared" si="17"/>
        <v>31063399</v>
      </c>
      <c r="BL233" s="9">
        <f>'Gov Fd Rv'!AQ233-'Gov Fnd Exp'!BJ233</f>
        <v>-2191353</v>
      </c>
      <c r="BN233" s="8">
        <v>8653954</v>
      </c>
      <c r="BP233" s="8">
        <v>0</v>
      </c>
      <c r="BT233" s="9">
        <f t="shared" si="18"/>
        <v>6462601</v>
      </c>
      <c r="BU233" s="9"/>
      <c r="BV233" s="9">
        <f>BT233-'Gov Fd BS'!AA236</f>
        <v>0</v>
      </c>
    </row>
    <row r="234" spans="1:76">
      <c r="A234" s="13" t="s">
        <v>358</v>
      </c>
      <c r="B234" s="13"/>
      <c r="C234" s="13" t="s">
        <v>27</v>
      </c>
      <c r="D234" s="13"/>
      <c r="E234" s="32">
        <v>46979</v>
      </c>
      <c r="G234" s="8">
        <v>31380550</v>
      </c>
      <c r="I234" s="8">
        <v>9107422</v>
      </c>
      <c r="K234" s="8">
        <v>262310</v>
      </c>
      <c r="M234" s="8">
        <v>1284880</v>
      </c>
      <c r="O234" s="8">
        <v>2916054</v>
      </c>
      <c r="Q234" s="8">
        <v>1347264</v>
      </c>
      <c r="S234" s="8">
        <v>1258989</v>
      </c>
      <c r="U234" s="8">
        <v>3970232</v>
      </c>
      <c r="W234" s="8">
        <v>1047196</v>
      </c>
      <c r="Y234" s="8">
        <v>182247</v>
      </c>
      <c r="AA234" s="8">
        <v>4963004</v>
      </c>
      <c r="AC234" s="8">
        <v>5058072</v>
      </c>
      <c r="AE234" s="8">
        <v>579750</v>
      </c>
      <c r="AG234" s="8">
        <v>0</v>
      </c>
      <c r="AI234" s="8">
        <v>2673302</v>
      </c>
      <c r="AJ234" s="13" t="s">
        <v>358</v>
      </c>
      <c r="AK234" s="13"/>
      <c r="AL234" s="13" t="s">
        <v>27</v>
      </c>
      <c r="AN234" s="8">
        <v>677620</v>
      </c>
      <c r="AP234" s="8">
        <v>168581</v>
      </c>
      <c r="AR234" s="8">
        <v>0</v>
      </c>
      <c r="AT234" s="8">
        <v>140000</v>
      </c>
      <c r="AV234" s="8">
        <v>25463</v>
      </c>
      <c r="AX234" s="8">
        <v>0</v>
      </c>
      <c r="AZ234" s="9">
        <f t="shared" si="16"/>
        <v>67042936</v>
      </c>
      <c r="BB234" s="8">
        <v>27962</v>
      </c>
      <c r="BH234" s="8">
        <v>0</v>
      </c>
      <c r="BJ234" s="9">
        <f t="shared" si="17"/>
        <v>67070898</v>
      </c>
      <c r="BL234" s="9">
        <f>'Gov Fd Rv'!AQ234-'Gov Fnd Exp'!BJ234</f>
        <v>2766817</v>
      </c>
      <c r="BN234" s="8">
        <v>2622054</v>
      </c>
      <c r="BP234" s="8">
        <v>0</v>
      </c>
      <c r="BT234" s="9">
        <f t="shared" si="18"/>
        <v>5388871</v>
      </c>
      <c r="BU234" s="9"/>
      <c r="BV234" s="9">
        <f>BT234-'Gov Fd BS'!AA237</f>
        <v>0</v>
      </c>
      <c r="BX234" s="15" t="s">
        <v>905</v>
      </c>
    </row>
    <row r="235" spans="1:76">
      <c r="A235" s="13" t="s">
        <v>244</v>
      </c>
      <c r="B235" s="13"/>
      <c r="C235" s="13" t="s">
        <v>242</v>
      </c>
      <c r="D235" s="13"/>
      <c r="E235" s="32">
        <v>44107</v>
      </c>
      <c r="G235" s="8">
        <v>37820649</v>
      </c>
      <c r="I235" s="8">
        <v>11331780</v>
      </c>
      <c r="K235" s="8">
        <v>1909844</v>
      </c>
      <c r="M235" s="8">
        <v>236093</v>
      </c>
      <c r="O235" s="8">
        <v>7015402</v>
      </c>
      <c r="Q235" s="8">
        <v>5743049</v>
      </c>
      <c r="S235" s="8">
        <v>374236</v>
      </c>
      <c r="U235" s="8">
        <v>4973035</v>
      </c>
      <c r="W235" s="8">
        <v>1159775</v>
      </c>
      <c r="Y235" s="8">
        <v>353953</v>
      </c>
      <c r="AA235" s="8">
        <v>7789233</v>
      </c>
      <c r="AC235" s="8">
        <v>3223687</v>
      </c>
      <c r="AE235" s="8">
        <v>864542</v>
      </c>
      <c r="AG235" s="8">
        <v>4932834</v>
      </c>
      <c r="AI235" s="8">
        <v>6375</v>
      </c>
      <c r="AJ235" s="13" t="s">
        <v>244</v>
      </c>
      <c r="AK235" s="13"/>
      <c r="AL235" s="13" t="s">
        <v>242</v>
      </c>
      <c r="AN235" s="8">
        <v>1129094</v>
      </c>
      <c r="AP235" s="8">
        <v>65779138</v>
      </c>
      <c r="AR235" s="8">
        <v>0</v>
      </c>
      <c r="AT235" s="8">
        <v>2710900</v>
      </c>
      <c r="AV235" s="8">
        <v>5298389</v>
      </c>
      <c r="AX235" s="8">
        <v>0</v>
      </c>
      <c r="AZ235" s="9">
        <f t="shared" si="16"/>
        <v>162652008</v>
      </c>
      <c r="BB235" s="8">
        <v>428516</v>
      </c>
      <c r="BH235" s="8">
        <v>13572</v>
      </c>
      <c r="BJ235" s="9">
        <f t="shared" si="17"/>
        <v>163094096</v>
      </c>
      <c r="BL235" s="9">
        <f>'Gov Fd Rv'!AQ235-'Gov Fnd Exp'!BJ235</f>
        <v>6649774</v>
      </c>
      <c r="BN235" s="8">
        <v>91065127</v>
      </c>
      <c r="BP235" s="8">
        <v>0</v>
      </c>
      <c r="BT235" s="9">
        <f t="shared" si="18"/>
        <v>97714901</v>
      </c>
      <c r="BU235" s="9"/>
      <c r="BV235" s="9">
        <f>BT235-'Gov Fd BS'!AA238</f>
        <v>0</v>
      </c>
    </row>
    <row r="236" spans="1:76">
      <c r="A236" s="12" t="s">
        <v>981</v>
      </c>
      <c r="B236" s="13"/>
      <c r="C236" s="13" t="s">
        <v>27</v>
      </c>
      <c r="D236" s="13"/>
      <c r="E236" s="32">
        <v>46953</v>
      </c>
      <c r="G236" s="8">
        <v>10616156</v>
      </c>
      <c r="I236" s="8">
        <v>2400188</v>
      </c>
      <c r="K236" s="8">
        <v>295362</v>
      </c>
      <c r="M236" s="8">
        <v>2490481</v>
      </c>
      <c r="O236" s="8">
        <v>1733922</v>
      </c>
      <c r="Q236" s="8">
        <v>699572</v>
      </c>
      <c r="S236" s="8">
        <v>13502</v>
      </c>
      <c r="U236" s="8">
        <v>2158009</v>
      </c>
      <c r="W236" s="8">
        <v>1217505</v>
      </c>
      <c r="Y236" s="8">
        <v>34055</v>
      </c>
      <c r="AA236" s="8">
        <v>2786378</v>
      </c>
      <c r="AC236" s="8">
        <v>872466</v>
      </c>
      <c r="AE236" s="8">
        <v>39377</v>
      </c>
      <c r="AG236" s="8">
        <v>0</v>
      </c>
      <c r="AI236" s="8">
        <v>1296294</v>
      </c>
      <c r="AJ236" s="13" t="s">
        <v>359</v>
      </c>
      <c r="AK236" s="13"/>
      <c r="AL236" s="13" t="s">
        <v>27</v>
      </c>
      <c r="AN236" s="8">
        <v>754999</v>
      </c>
      <c r="AP236" s="8">
        <v>10317204</v>
      </c>
      <c r="AR236" s="8">
        <v>0</v>
      </c>
      <c r="AT236" s="8">
        <v>705000</v>
      </c>
      <c r="AV236" s="8">
        <v>1096751</v>
      </c>
      <c r="AX236" s="8">
        <v>0</v>
      </c>
      <c r="AZ236" s="9">
        <f t="shared" si="16"/>
        <v>39527221</v>
      </c>
      <c r="BB236" s="8">
        <v>176751</v>
      </c>
      <c r="BH236" s="8">
        <v>0</v>
      </c>
      <c r="BJ236" s="9">
        <f t="shared" si="17"/>
        <v>39703972</v>
      </c>
      <c r="BL236" s="9">
        <f>'Gov Fd Rv'!AQ236-'Gov Fnd Exp'!BJ236</f>
        <v>-7384151</v>
      </c>
      <c r="BN236" s="8">
        <v>19046894</v>
      </c>
      <c r="BP236" s="8">
        <v>-1727</v>
      </c>
      <c r="BT236" s="9">
        <f t="shared" si="18"/>
        <v>11661016</v>
      </c>
      <c r="BU236" s="9"/>
      <c r="BV236" s="9">
        <f>BT236-'Gov Fd BS'!AA239</f>
        <v>0</v>
      </c>
    </row>
    <row r="237" spans="1:76">
      <c r="A237" s="13" t="s">
        <v>422</v>
      </c>
      <c r="B237" s="13"/>
      <c r="C237" s="13" t="s">
        <v>421</v>
      </c>
      <c r="D237" s="13"/>
      <c r="E237" s="32">
        <v>47498</v>
      </c>
      <c r="G237" s="8">
        <v>2318522</v>
      </c>
      <c r="I237" s="8">
        <v>441614</v>
      </c>
      <c r="K237" s="8">
        <v>215145</v>
      </c>
      <c r="M237" s="8">
        <v>0</v>
      </c>
      <c r="O237" s="8">
        <v>154458</v>
      </c>
      <c r="Q237" s="8">
        <v>141482</v>
      </c>
      <c r="S237" s="8">
        <v>81003</v>
      </c>
      <c r="U237" s="8">
        <v>451046</v>
      </c>
      <c r="W237" s="8">
        <v>219335</v>
      </c>
      <c r="Y237" s="8">
        <v>0</v>
      </c>
      <c r="AA237" s="8">
        <v>318295</v>
      </c>
      <c r="AC237" s="8">
        <v>293397</v>
      </c>
      <c r="AE237" s="8">
        <v>963</v>
      </c>
      <c r="AG237" s="8">
        <v>0</v>
      </c>
      <c r="AI237" s="8">
        <v>167231</v>
      </c>
      <c r="AJ237" s="13" t="s">
        <v>422</v>
      </c>
      <c r="AK237" s="13"/>
      <c r="AL237" s="13" t="s">
        <v>421</v>
      </c>
      <c r="AN237" s="8">
        <v>183784</v>
      </c>
      <c r="AP237" s="8">
        <v>929185</v>
      </c>
      <c r="AR237" s="8">
        <v>0</v>
      </c>
      <c r="AT237" s="8">
        <v>0</v>
      </c>
      <c r="AV237" s="8">
        <v>165090</v>
      </c>
      <c r="AX237" s="8">
        <v>0</v>
      </c>
      <c r="AZ237" s="9">
        <f t="shared" si="16"/>
        <v>6080550</v>
      </c>
      <c r="BB237" s="8">
        <v>2000</v>
      </c>
      <c r="BH237" s="8">
        <v>0</v>
      </c>
      <c r="BJ237" s="9">
        <f t="shared" si="17"/>
        <v>6082550</v>
      </c>
      <c r="BL237" s="9">
        <f>'Gov Fd Rv'!AQ237-'Gov Fnd Exp'!BJ237</f>
        <v>4230200</v>
      </c>
      <c r="BN237" s="8">
        <v>5666010</v>
      </c>
      <c r="BP237" s="8">
        <v>0</v>
      </c>
      <c r="BT237" s="9">
        <f t="shared" si="18"/>
        <v>9896210</v>
      </c>
      <c r="BU237" s="9"/>
      <c r="BV237" s="9">
        <f>BT237-'Gov Fd BS'!AA240</f>
        <v>0</v>
      </c>
    </row>
    <row r="238" spans="1:76">
      <c r="A238" s="13" t="s">
        <v>645</v>
      </c>
      <c r="B238" s="13"/>
      <c r="C238" s="13" t="s">
        <v>61</v>
      </c>
      <c r="D238" s="13"/>
      <c r="E238" s="32">
        <v>49791</v>
      </c>
      <c r="G238" s="8">
        <v>4167039</v>
      </c>
      <c r="I238" s="8">
        <v>1057340</v>
      </c>
      <c r="K238" s="8">
        <v>98301</v>
      </c>
      <c r="M238" s="8">
        <f>16276+48795</f>
        <v>65071</v>
      </c>
      <c r="O238" s="8">
        <v>343933</v>
      </c>
      <c r="Q238" s="8">
        <v>364799</v>
      </c>
      <c r="S238" s="8">
        <v>12414</v>
      </c>
      <c r="U238" s="8">
        <v>537015</v>
      </c>
      <c r="W238" s="8">
        <v>256637</v>
      </c>
      <c r="Y238" s="8">
        <v>1712</v>
      </c>
      <c r="AA238" s="8">
        <v>669652</v>
      </c>
      <c r="AC238" s="8">
        <v>514423</v>
      </c>
      <c r="AE238" s="8">
        <v>12770</v>
      </c>
      <c r="AG238" s="8">
        <v>0</v>
      </c>
      <c r="AI238" s="8">
        <v>246322</v>
      </c>
      <c r="AJ238" s="13" t="s">
        <v>645</v>
      </c>
      <c r="AK238" s="13"/>
      <c r="AL238" s="13" t="s">
        <v>61</v>
      </c>
      <c r="AN238" s="8">
        <v>197694</v>
      </c>
      <c r="AP238" s="8">
        <f>717167+254270</f>
        <v>971437</v>
      </c>
      <c r="AR238" s="8">
        <v>0</v>
      </c>
      <c r="AT238" s="8">
        <v>9255183</v>
      </c>
      <c r="AV238" s="8">
        <f>363335+192883</f>
        <v>556218</v>
      </c>
      <c r="AX238" s="8">
        <v>0</v>
      </c>
      <c r="AZ238" s="9">
        <f t="shared" si="16"/>
        <v>19327960</v>
      </c>
      <c r="BB238" s="8">
        <v>0</v>
      </c>
      <c r="BH238" s="8">
        <v>0</v>
      </c>
      <c r="BJ238" s="9">
        <f t="shared" si="17"/>
        <v>19327960</v>
      </c>
      <c r="BL238" s="9">
        <f>'Gov Fd Rv'!AQ238-'Gov Fnd Exp'!BJ238</f>
        <v>11780121</v>
      </c>
      <c r="BN238" s="8">
        <v>3004250</v>
      </c>
      <c r="BP238" s="8">
        <v>0</v>
      </c>
      <c r="BT238" s="9">
        <f t="shared" si="18"/>
        <v>14784371</v>
      </c>
      <c r="BU238" s="9"/>
      <c r="BV238" s="9">
        <f>BT238-'Gov Fd BS'!AA241</f>
        <v>0</v>
      </c>
    </row>
    <row r="239" spans="1:76">
      <c r="A239" s="13" t="s">
        <v>429</v>
      </c>
      <c r="B239" s="13"/>
      <c r="C239" s="13" t="s">
        <v>428</v>
      </c>
      <c r="D239" s="13"/>
      <c r="E239" s="32">
        <v>45245</v>
      </c>
      <c r="G239" s="8">
        <v>9057715</v>
      </c>
      <c r="I239" s="8">
        <v>2304761</v>
      </c>
      <c r="K239" s="8">
        <v>380557</v>
      </c>
      <c r="M239" s="8">
        <v>79513</v>
      </c>
      <c r="O239" s="8">
        <v>1001474</v>
      </c>
      <c r="Q239" s="8">
        <v>529793</v>
      </c>
      <c r="S239" s="8">
        <v>210508</v>
      </c>
      <c r="U239" s="8">
        <v>1394876</v>
      </c>
      <c r="W239" s="8">
        <v>532955</v>
      </c>
      <c r="Y239" s="8">
        <v>0</v>
      </c>
      <c r="AA239" s="8">
        <v>1331748</v>
      </c>
      <c r="AC239" s="8">
        <v>1602794</v>
      </c>
      <c r="AE239" s="8">
        <v>314180</v>
      </c>
      <c r="AG239" s="8">
        <v>906091</v>
      </c>
      <c r="AI239" s="8">
        <v>44885</v>
      </c>
      <c r="AJ239" s="13" t="s">
        <v>429</v>
      </c>
      <c r="AK239" s="13"/>
      <c r="AL239" s="13" t="s">
        <v>428</v>
      </c>
      <c r="AN239" s="8">
        <v>350195</v>
      </c>
      <c r="AP239" s="8">
        <v>868493</v>
      </c>
      <c r="AR239" s="8">
        <v>0</v>
      </c>
      <c r="AT239" s="8">
        <v>41084</v>
      </c>
      <c r="AV239" s="8">
        <v>1510</v>
      </c>
      <c r="AX239" s="8">
        <v>0</v>
      </c>
      <c r="AZ239" s="9">
        <f t="shared" si="16"/>
        <v>20953132</v>
      </c>
      <c r="BB239" s="8">
        <v>0</v>
      </c>
      <c r="BH239" s="8">
        <v>0</v>
      </c>
      <c r="BJ239" s="9">
        <f t="shared" si="17"/>
        <v>20953132</v>
      </c>
      <c r="BL239" s="9">
        <f>'Gov Fd Rv'!AQ239-'Gov Fnd Exp'!BJ239</f>
        <v>-1474632</v>
      </c>
      <c r="BN239" s="8">
        <v>4821960</v>
      </c>
      <c r="BP239" s="8">
        <v>-6771</v>
      </c>
      <c r="BT239" s="9">
        <f t="shared" si="18"/>
        <v>3340557</v>
      </c>
      <c r="BU239" s="9"/>
      <c r="BV239" s="9">
        <f>BT239-'Gov Fd BS'!AA242</f>
        <v>0</v>
      </c>
    </row>
    <row r="240" spans="1:76">
      <c r="A240" s="13" t="s">
        <v>473</v>
      </c>
      <c r="B240" s="13"/>
      <c r="C240" s="13" t="s">
        <v>42</v>
      </c>
      <c r="D240" s="13"/>
      <c r="E240" s="32">
        <v>44115</v>
      </c>
      <c r="G240" s="8">
        <v>9099786</v>
      </c>
      <c r="I240" s="8">
        <v>0</v>
      </c>
      <c r="K240" s="8">
        <v>0</v>
      </c>
      <c r="M240" s="8">
        <v>0</v>
      </c>
      <c r="O240" s="8">
        <v>843298</v>
      </c>
      <c r="Q240" s="8">
        <v>325836</v>
      </c>
      <c r="S240" s="8">
        <v>12061</v>
      </c>
      <c r="U240" s="8">
        <v>1273230</v>
      </c>
      <c r="W240" s="8">
        <v>504825</v>
      </c>
      <c r="Y240" s="8">
        <v>41636</v>
      </c>
      <c r="AA240" s="8">
        <v>1259472</v>
      </c>
      <c r="AC240" s="8">
        <v>513898</v>
      </c>
      <c r="AE240" s="8">
        <v>232781</v>
      </c>
      <c r="AG240" s="8">
        <v>553902</v>
      </c>
      <c r="AI240" s="8">
        <v>5125</v>
      </c>
      <c r="AJ240" s="13" t="s">
        <v>473</v>
      </c>
      <c r="AK240" s="13"/>
      <c r="AL240" s="13" t="s">
        <v>42</v>
      </c>
      <c r="AN240" s="8">
        <v>591722</v>
      </c>
      <c r="AP240" s="8">
        <v>354520</v>
      </c>
      <c r="AR240" s="8">
        <v>0</v>
      </c>
      <c r="AT240" s="8">
        <v>791884</v>
      </c>
      <c r="AV240" s="8">
        <v>587690</v>
      </c>
      <c r="AX240" s="8">
        <v>0</v>
      </c>
      <c r="AZ240" s="9">
        <f t="shared" si="16"/>
        <v>16991666</v>
      </c>
      <c r="BB240" s="8">
        <v>20000</v>
      </c>
      <c r="BH240" s="8">
        <v>0</v>
      </c>
      <c r="BJ240" s="9">
        <f t="shared" si="17"/>
        <v>17011666</v>
      </c>
      <c r="BL240" s="9">
        <f>'Gov Fd Rv'!AQ240-'Gov Fnd Exp'!BJ240</f>
        <v>1279036</v>
      </c>
      <c r="BN240" s="8">
        <v>3786633</v>
      </c>
      <c r="BP240" s="8">
        <v>182</v>
      </c>
      <c r="BT240" s="9">
        <f t="shared" si="18"/>
        <v>5065851</v>
      </c>
      <c r="BU240" s="9"/>
      <c r="BV240" s="9">
        <f>BT240-'Gov Fd BS'!AA243</f>
        <v>0</v>
      </c>
    </row>
    <row r="241" spans="1:76" hidden="1">
      <c r="A241" s="12" t="s">
        <v>945</v>
      </c>
      <c r="B241" s="13"/>
      <c r="C241" s="13" t="s">
        <v>22</v>
      </c>
      <c r="D241" s="13"/>
      <c r="E241" s="32">
        <v>45419</v>
      </c>
      <c r="G241" s="8">
        <v>3953309</v>
      </c>
      <c r="I241" s="8">
        <v>983678</v>
      </c>
      <c r="K241" s="8">
        <v>186856</v>
      </c>
      <c r="M241" s="8">
        <v>5207</v>
      </c>
      <c r="O241" s="8">
        <v>455401</v>
      </c>
      <c r="Q241" s="8">
        <v>397662</v>
      </c>
      <c r="S241" s="8">
        <v>33386</v>
      </c>
      <c r="U241" s="8">
        <v>750936</v>
      </c>
      <c r="W241" s="8">
        <v>258658</v>
      </c>
      <c r="AA241" s="8">
        <v>821971</v>
      </c>
      <c r="AC241" s="8">
        <v>370899</v>
      </c>
      <c r="AE241" s="8">
        <v>32499</v>
      </c>
      <c r="AI241" s="8">
        <v>364453</v>
      </c>
      <c r="AJ241" s="13" t="s">
        <v>332</v>
      </c>
      <c r="AK241" s="13"/>
      <c r="AL241" s="13" t="s">
        <v>22</v>
      </c>
      <c r="AN241" s="8">
        <v>571922</v>
      </c>
      <c r="AP241" s="8">
        <v>7642479</v>
      </c>
      <c r="AT241" s="8">
        <v>212159</v>
      </c>
      <c r="AV241" s="8">
        <v>425971</v>
      </c>
      <c r="AZ241" s="9">
        <f t="shared" si="16"/>
        <v>17467446</v>
      </c>
      <c r="BH241" s="8">
        <f>-113128-6180+4696-2</f>
        <v>-114614</v>
      </c>
      <c r="BJ241" s="9">
        <f t="shared" si="17"/>
        <v>17352832</v>
      </c>
      <c r="BL241" s="9">
        <f>'Gov Fd Rv'!AQ241-'Gov Fnd Exp'!BJ241</f>
        <v>-5961897</v>
      </c>
      <c r="BN241" s="8">
        <v>12169148</v>
      </c>
      <c r="BT241" s="9">
        <f t="shared" si="18"/>
        <v>6207251</v>
      </c>
      <c r="BU241" s="9"/>
      <c r="BV241" s="9">
        <f>BT241-'Gov Fd BS'!AA244</f>
        <v>0</v>
      </c>
    </row>
    <row r="242" spans="1:76">
      <c r="A242" s="13" t="s">
        <v>528</v>
      </c>
      <c r="B242" s="13"/>
      <c r="C242" s="13" t="s">
        <v>47</v>
      </c>
      <c r="D242" s="13"/>
      <c r="E242" s="32">
        <v>48496</v>
      </c>
      <c r="G242" s="8">
        <v>11907554</v>
      </c>
      <c r="I242" s="8">
        <v>2825726</v>
      </c>
      <c r="K242" s="8">
        <v>293248</v>
      </c>
      <c r="M242" s="8">
        <v>265997</v>
      </c>
      <c r="O242" s="8">
        <v>1516857</v>
      </c>
      <c r="Q242" s="8">
        <v>1612960</v>
      </c>
      <c r="S242" s="8">
        <v>33633</v>
      </c>
      <c r="U242" s="8">
        <v>2185130</v>
      </c>
      <c r="W242" s="8">
        <v>567240</v>
      </c>
      <c r="Y242" s="8">
        <v>50472</v>
      </c>
      <c r="AA242" s="8">
        <v>3049780</v>
      </c>
      <c r="AC242" s="8">
        <v>1573226</v>
      </c>
      <c r="AE242" s="8">
        <v>211344</v>
      </c>
      <c r="AG242" s="8">
        <v>1042087</v>
      </c>
      <c r="AI242" s="8">
        <v>168472</v>
      </c>
      <c r="AJ242" s="13" t="s">
        <v>528</v>
      </c>
      <c r="AK242" s="13"/>
      <c r="AL242" s="13" t="s">
        <v>47</v>
      </c>
      <c r="AN242" s="8">
        <v>1039040</v>
      </c>
      <c r="AP242" s="8">
        <v>548996</v>
      </c>
      <c r="AR242" s="8">
        <v>0</v>
      </c>
      <c r="AT242" s="8">
        <v>1549562</v>
      </c>
      <c r="AV242" s="8">
        <v>1465869</v>
      </c>
      <c r="AX242" s="8">
        <v>0</v>
      </c>
      <c r="AZ242" s="9">
        <f t="shared" si="16"/>
        <v>31907193</v>
      </c>
      <c r="BB242" s="8">
        <v>13100</v>
      </c>
      <c r="BH242" s="8">
        <v>0</v>
      </c>
      <c r="BJ242" s="9">
        <f t="shared" si="17"/>
        <v>31920293</v>
      </c>
      <c r="BL242" s="9">
        <f>'Gov Fd Rv'!AQ242-'Gov Fnd Exp'!BJ242</f>
        <v>-204389</v>
      </c>
      <c r="BN242" s="8">
        <v>12396730</v>
      </c>
      <c r="BP242" s="8">
        <v>0</v>
      </c>
      <c r="BT242" s="9">
        <f t="shared" si="18"/>
        <v>12192341</v>
      </c>
      <c r="BU242" s="9"/>
      <c r="BV242" s="9">
        <f>BT242-'Gov Fd BS'!AA245</f>
        <v>0</v>
      </c>
    </row>
    <row r="243" spans="1:76">
      <c r="A243" s="13" t="s">
        <v>528</v>
      </c>
      <c r="B243" s="13"/>
      <c r="C243" s="13" t="s">
        <v>78</v>
      </c>
      <c r="D243" s="13"/>
      <c r="E243" s="32">
        <v>48801</v>
      </c>
      <c r="G243" s="8">
        <v>6603817</v>
      </c>
      <c r="I243" s="8">
        <v>2106647</v>
      </c>
      <c r="K243" s="8">
        <v>139818</v>
      </c>
      <c r="M243" s="8">
        <v>0</v>
      </c>
      <c r="O243" s="8">
        <v>1079899</v>
      </c>
      <c r="Q243" s="8">
        <v>956291</v>
      </c>
      <c r="S243" s="8">
        <v>210506</v>
      </c>
      <c r="U243" s="8">
        <v>1206181</v>
      </c>
      <c r="W243" s="8">
        <v>379004</v>
      </c>
      <c r="Y243" s="8">
        <v>0</v>
      </c>
      <c r="AA243" s="8">
        <v>1297552</v>
      </c>
      <c r="AC243" s="8">
        <v>1300866</v>
      </c>
      <c r="AE243" s="8">
        <v>7224</v>
      </c>
      <c r="AG243" s="8">
        <v>0</v>
      </c>
      <c r="AI243" s="8">
        <v>693595</v>
      </c>
      <c r="AJ243" s="13" t="s">
        <v>528</v>
      </c>
      <c r="AK243" s="13"/>
      <c r="AL243" s="13" t="s">
        <v>78</v>
      </c>
      <c r="AN243" s="8">
        <v>292190</v>
      </c>
      <c r="AP243" s="8">
        <v>2823523</v>
      </c>
      <c r="AR243" s="8">
        <v>0</v>
      </c>
      <c r="AT243" s="8">
        <v>1844559</v>
      </c>
      <c r="AV243" s="8">
        <f>613965+200073</f>
        <v>814038</v>
      </c>
      <c r="AX243" s="8">
        <v>0</v>
      </c>
      <c r="AZ243" s="9">
        <f t="shared" si="16"/>
        <v>21755710</v>
      </c>
      <c r="BB243" s="8">
        <v>0</v>
      </c>
      <c r="BH243" s="8">
        <f>231497+15000000</f>
        <v>15231497</v>
      </c>
      <c r="BJ243" s="9">
        <f t="shared" si="17"/>
        <v>36987207</v>
      </c>
      <c r="BL243" s="9">
        <f>'Gov Fd Rv'!AQ243-'Gov Fnd Exp'!BJ243</f>
        <v>18162866</v>
      </c>
      <c r="BN243" s="8">
        <v>7184797</v>
      </c>
      <c r="BP243" s="8">
        <v>0</v>
      </c>
      <c r="BT243" s="9">
        <f t="shared" si="18"/>
        <v>25347663</v>
      </c>
      <c r="BU243" s="9"/>
      <c r="BV243" s="9">
        <f>BT243-'Gov Fd BS'!AA246</f>
        <v>0</v>
      </c>
    </row>
    <row r="244" spans="1:76">
      <c r="A244" s="13" t="s">
        <v>360</v>
      </c>
      <c r="B244" s="13"/>
      <c r="C244" s="13" t="s">
        <v>27</v>
      </c>
      <c r="D244" s="13"/>
      <c r="E244" s="32">
        <v>47019</v>
      </c>
      <c r="G244" s="8">
        <v>82763446</v>
      </c>
      <c r="I244" s="8">
        <v>16921131</v>
      </c>
      <c r="K244" s="8">
        <v>1029274</v>
      </c>
      <c r="M244" s="8">
        <v>0</v>
      </c>
      <c r="O244" s="8">
        <v>9632199</v>
      </c>
      <c r="Q244" s="8">
        <v>9215489</v>
      </c>
      <c r="S244" s="8">
        <v>296409</v>
      </c>
      <c r="U244" s="8">
        <v>9739605</v>
      </c>
      <c r="W244" s="8">
        <v>3735261</v>
      </c>
      <c r="Y244" s="8">
        <v>911239</v>
      </c>
      <c r="AA244" s="8">
        <v>12919323</v>
      </c>
      <c r="AC244" s="8">
        <v>7608970</v>
      </c>
      <c r="AE244" s="8">
        <v>609952</v>
      </c>
      <c r="AG244" s="8">
        <v>4729538</v>
      </c>
      <c r="AI244" s="8">
        <v>2472220</v>
      </c>
      <c r="AJ244" s="13" t="s">
        <v>360</v>
      </c>
      <c r="AK244" s="13"/>
      <c r="AL244" s="13" t="s">
        <v>27</v>
      </c>
      <c r="AN244" s="8">
        <v>3946561</v>
      </c>
      <c r="AP244" s="8">
        <f>346854+25221690+1373070</f>
        <v>26941614</v>
      </c>
      <c r="AR244" s="8">
        <v>0</v>
      </c>
      <c r="AT244" s="8">
        <v>10643522</v>
      </c>
      <c r="AV244" s="8">
        <v>6299309</v>
      </c>
      <c r="AX244" s="8">
        <v>105061</v>
      </c>
      <c r="AZ244" s="9">
        <f t="shared" si="16"/>
        <v>210520123</v>
      </c>
      <c r="BB244" s="8">
        <v>659993</v>
      </c>
      <c r="BH244" s="8">
        <v>0</v>
      </c>
      <c r="BJ244" s="9">
        <f t="shared" si="17"/>
        <v>211180116</v>
      </c>
      <c r="BL244" s="9">
        <f>'Gov Fd Rv'!AQ244-'Gov Fnd Exp'!BJ244</f>
        <v>-11055500</v>
      </c>
      <c r="BN244" s="8">
        <v>62600013</v>
      </c>
      <c r="BP244" s="8">
        <v>0</v>
      </c>
      <c r="BT244" s="9">
        <f t="shared" si="18"/>
        <v>51544513</v>
      </c>
      <c r="BU244" s="9"/>
      <c r="BV244" s="9">
        <f>BT244-'Gov Fd BS'!AA247</f>
        <v>0</v>
      </c>
    </row>
    <row r="245" spans="1:76">
      <c r="A245" s="13" t="s">
        <v>438</v>
      </c>
      <c r="B245" s="13"/>
      <c r="C245" s="13" t="s">
        <v>435</v>
      </c>
      <c r="D245" s="13"/>
      <c r="E245" s="32">
        <v>44123</v>
      </c>
      <c r="G245" s="8">
        <v>9581967</v>
      </c>
      <c r="I245" s="8">
        <v>1667302</v>
      </c>
      <c r="K245" s="8">
        <v>801029</v>
      </c>
      <c r="M245" s="8">
        <v>2252247</v>
      </c>
      <c r="O245" s="8">
        <v>869245</v>
      </c>
      <c r="Q245" s="8">
        <v>1800657</v>
      </c>
      <c r="S245" s="8">
        <v>38905</v>
      </c>
      <c r="U245" s="8">
        <v>2293404</v>
      </c>
      <c r="W245" s="8">
        <v>664333</v>
      </c>
      <c r="Y245" s="8">
        <v>1440</v>
      </c>
      <c r="AA245" s="8">
        <v>1670636</v>
      </c>
      <c r="AC245" s="8">
        <v>1506965</v>
      </c>
      <c r="AE245" s="8">
        <v>114753</v>
      </c>
      <c r="AG245" s="8">
        <v>0</v>
      </c>
      <c r="AI245" s="8">
        <v>1167161</v>
      </c>
      <c r="AJ245" s="13" t="s">
        <v>438</v>
      </c>
      <c r="AK245" s="13"/>
      <c r="AL245" s="13" t="s">
        <v>435</v>
      </c>
      <c r="AN245" s="8">
        <v>490736</v>
      </c>
      <c r="AP245" s="8">
        <v>18546480</v>
      </c>
      <c r="AR245" s="8">
        <v>0</v>
      </c>
      <c r="AT245" s="8">
        <v>442420</v>
      </c>
      <c r="AV245" s="8">
        <v>590380</v>
      </c>
      <c r="AX245" s="8">
        <v>0</v>
      </c>
      <c r="AZ245" s="9">
        <f t="shared" si="16"/>
        <v>44500060</v>
      </c>
      <c r="BB245" s="8">
        <v>255567</v>
      </c>
      <c r="BH245" s="8">
        <v>0</v>
      </c>
      <c r="BJ245" s="9">
        <f t="shared" si="17"/>
        <v>44755627</v>
      </c>
      <c r="BL245" s="9">
        <f>'Gov Fd Rv'!AQ245-'Gov Fnd Exp'!BJ245</f>
        <v>-8252701</v>
      </c>
      <c r="BN245" s="8">
        <v>18347673</v>
      </c>
      <c r="BP245" s="8">
        <v>0</v>
      </c>
      <c r="BT245" s="9">
        <f t="shared" si="18"/>
        <v>10094972</v>
      </c>
      <c r="BU245" s="9"/>
      <c r="BV245" s="9">
        <f>BT245-'Gov Fd BS'!AA248</f>
        <v>0</v>
      </c>
    </row>
    <row r="246" spans="1:76">
      <c r="A246" s="13" t="s">
        <v>214</v>
      </c>
      <c r="B246" s="13"/>
      <c r="C246" s="13" t="s">
        <v>11</v>
      </c>
      <c r="D246" s="13"/>
      <c r="E246" s="32">
        <v>45823</v>
      </c>
      <c r="G246" s="8">
        <v>4370614</v>
      </c>
      <c r="I246" s="8">
        <v>722842</v>
      </c>
      <c r="K246" s="8">
        <v>369514</v>
      </c>
      <c r="M246" s="8">
        <v>237716</v>
      </c>
      <c r="O246" s="8">
        <v>551104</v>
      </c>
      <c r="Q246" s="8">
        <v>296849</v>
      </c>
      <c r="S246" s="8">
        <v>32208</v>
      </c>
      <c r="U246" s="8">
        <v>814525</v>
      </c>
      <c r="W246" s="8">
        <v>347451</v>
      </c>
      <c r="Y246" s="8">
        <v>0</v>
      </c>
      <c r="AA246" s="8">
        <v>656616</v>
      </c>
      <c r="AC246" s="8">
        <v>654112</v>
      </c>
      <c r="AE246" s="8">
        <v>9000</v>
      </c>
      <c r="AG246" s="8">
        <v>360955</v>
      </c>
      <c r="AI246" s="8">
        <v>782</v>
      </c>
      <c r="AJ246" s="13" t="s">
        <v>214</v>
      </c>
      <c r="AK246" s="13"/>
      <c r="AL246" s="13" t="s">
        <v>11</v>
      </c>
      <c r="AN246" s="8">
        <v>411921</v>
      </c>
      <c r="AP246" s="8">
        <v>101779</v>
      </c>
      <c r="AR246" s="8">
        <v>0</v>
      </c>
      <c r="AT246" s="8">
        <v>22500</v>
      </c>
      <c r="AV246" s="8">
        <v>8666</v>
      </c>
      <c r="AX246" s="8">
        <v>0</v>
      </c>
      <c r="AZ246" s="9">
        <f t="shared" si="16"/>
        <v>9969154</v>
      </c>
      <c r="BB246" s="8">
        <v>31166</v>
      </c>
      <c r="BH246" s="8">
        <v>0</v>
      </c>
      <c r="BJ246" s="9">
        <f t="shared" si="17"/>
        <v>10000320</v>
      </c>
      <c r="BL246" s="9">
        <f>'Gov Fd Rv'!AQ246-'Gov Fnd Exp'!BJ246</f>
        <v>942097</v>
      </c>
      <c r="BN246" s="8">
        <v>869558</v>
      </c>
      <c r="BP246" s="8">
        <v>0</v>
      </c>
      <c r="BT246" s="9">
        <f t="shared" si="18"/>
        <v>1811655</v>
      </c>
      <c r="BU246" s="9"/>
      <c r="BV246" s="9">
        <f>BT246-'Gov Fd BS'!AA249</f>
        <v>0</v>
      </c>
    </row>
    <row r="247" spans="1:76">
      <c r="A247" s="13" t="s">
        <v>430</v>
      </c>
      <c r="B247" s="13"/>
      <c r="C247" s="13" t="s">
        <v>34</v>
      </c>
      <c r="D247" s="13"/>
      <c r="E247" s="32">
        <v>47571</v>
      </c>
      <c r="G247" s="8">
        <v>2420963</v>
      </c>
      <c r="I247" s="8">
        <v>485902</v>
      </c>
      <c r="K247" s="8">
        <v>113548</v>
      </c>
      <c r="M247" s="8">
        <v>0</v>
      </c>
      <c r="O247" s="8">
        <v>247086</v>
      </c>
      <c r="Q247" s="8">
        <v>156982</v>
      </c>
      <c r="S247" s="8">
        <v>18312</v>
      </c>
      <c r="U247" s="8">
        <v>535798</v>
      </c>
      <c r="W247" s="8">
        <v>155309</v>
      </c>
      <c r="Y247" s="8">
        <v>8151</v>
      </c>
      <c r="AA247" s="8">
        <v>375575</v>
      </c>
      <c r="AC247" s="8">
        <v>148521</v>
      </c>
      <c r="AE247" s="8">
        <v>78016</v>
      </c>
      <c r="AG247" s="8">
        <v>0</v>
      </c>
      <c r="AI247" s="8">
        <v>207760</v>
      </c>
      <c r="AJ247" s="13" t="s">
        <v>430</v>
      </c>
      <c r="AK247" s="13"/>
      <c r="AL247" s="13" t="s">
        <v>34</v>
      </c>
      <c r="AN247" s="8">
        <v>269179</v>
      </c>
      <c r="AP247" s="8">
        <v>127018</v>
      </c>
      <c r="AR247" s="8">
        <v>0</v>
      </c>
      <c r="AT247" s="8">
        <v>114018</v>
      </c>
      <c r="AV247" s="8">
        <v>227540</v>
      </c>
      <c r="AX247" s="8">
        <v>0</v>
      </c>
      <c r="AZ247" s="9">
        <f t="shared" si="16"/>
        <v>5689678</v>
      </c>
      <c r="BB247" s="8">
        <v>415</v>
      </c>
      <c r="BH247" s="8">
        <v>0</v>
      </c>
      <c r="BJ247" s="9">
        <f t="shared" si="17"/>
        <v>5690093</v>
      </c>
      <c r="BL247" s="9">
        <f>'Gov Fd Rv'!AQ247-'Gov Fnd Exp'!BJ247</f>
        <v>42953</v>
      </c>
      <c r="BN247" s="8">
        <v>2836462</v>
      </c>
      <c r="BP247" s="8">
        <v>0</v>
      </c>
      <c r="BT247" s="9">
        <f t="shared" si="18"/>
        <v>2879415</v>
      </c>
      <c r="BU247" s="9"/>
      <c r="BV247" s="9">
        <f>BT247-'Gov Fd BS'!AA250</f>
        <v>0</v>
      </c>
    </row>
    <row r="248" spans="1:76">
      <c r="A248" s="13" t="s">
        <v>680</v>
      </c>
      <c r="B248" s="13"/>
      <c r="C248" s="13" t="s">
        <v>64</v>
      </c>
      <c r="D248" s="13"/>
      <c r="E248" s="13">
        <v>50161</v>
      </c>
      <c r="G248" s="8">
        <v>13716841</v>
      </c>
      <c r="I248" s="8">
        <v>3503111</v>
      </c>
      <c r="K248" s="8">
        <v>613789</v>
      </c>
      <c r="M248" s="8">
        <v>1326290</v>
      </c>
      <c r="O248" s="8">
        <v>1793870</v>
      </c>
      <c r="Q248" s="8">
        <v>1121568</v>
      </c>
      <c r="S248" s="8">
        <v>298178</v>
      </c>
      <c r="U248" s="8">
        <v>2496060</v>
      </c>
      <c r="W248" s="8">
        <v>707883</v>
      </c>
      <c r="Y248" s="8">
        <v>93423</v>
      </c>
      <c r="AA248" s="8">
        <v>3043865</v>
      </c>
      <c r="AC248" s="8">
        <v>1903920</v>
      </c>
      <c r="AE248" s="8">
        <v>18883</v>
      </c>
      <c r="AG248" s="8">
        <v>882718</v>
      </c>
      <c r="AI248" s="8">
        <v>178587</v>
      </c>
      <c r="AJ248" s="13" t="s">
        <v>680</v>
      </c>
      <c r="AK248" s="13"/>
      <c r="AL248" s="13" t="s">
        <v>64</v>
      </c>
      <c r="AN248" s="8">
        <v>692635</v>
      </c>
      <c r="AP248" s="8">
        <v>440842</v>
      </c>
      <c r="AR248" s="8">
        <v>0</v>
      </c>
      <c r="AT248" s="8">
        <v>56500</v>
      </c>
      <c r="AV248" s="8">
        <v>6077</v>
      </c>
      <c r="AX248" s="8">
        <v>0</v>
      </c>
      <c r="AZ248" s="9">
        <f t="shared" si="16"/>
        <v>32895040</v>
      </c>
      <c r="BB248" s="8">
        <v>0</v>
      </c>
      <c r="BH248" s="8">
        <v>0</v>
      </c>
      <c r="BJ248" s="9">
        <f t="shared" si="17"/>
        <v>32895040</v>
      </c>
      <c r="BL248" s="9">
        <f>'Gov Fd Rv'!AQ248-'Gov Fnd Exp'!BJ248</f>
        <v>-256290</v>
      </c>
      <c r="BN248" s="8">
        <v>-1118386</v>
      </c>
      <c r="BP248" s="8">
        <v>0</v>
      </c>
      <c r="BT248" s="9">
        <f t="shared" si="18"/>
        <v>-1374676</v>
      </c>
      <c r="BU248" s="9"/>
      <c r="BV248" s="9">
        <f>BT248-'Gov Fd BS'!AA251</f>
        <v>0</v>
      </c>
    </row>
    <row r="249" spans="1:76">
      <c r="A249" s="13" t="s">
        <v>681</v>
      </c>
      <c r="B249" s="13"/>
      <c r="C249" s="13" t="s">
        <v>64</v>
      </c>
      <c r="D249" s="13"/>
      <c r="E249" s="32">
        <v>45427</v>
      </c>
      <c r="G249" s="8">
        <v>8561527</v>
      </c>
      <c r="I249" s="8">
        <v>2015726</v>
      </c>
      <c r="K249" s="8">
        <v>333759</v>
      </c>
      <c r="M249" s="8">
        <v>490197</v>
      </c>
      <c r="O249" s="8">
        <v>1013024</v>
      </c>
      <c r="Q249" s="8">
        <v>740297</v>
      </c>
      <c r="S249" s="8">
        <v>18436</v>
      </c>
      <c r="U249" s="8">
        <v>1573600</v>
      </c>
      <c r="W249" s="8">
        <v>544737</v>
      </c>
      <c r="Y249" s="8">
        <v>43995</v>
      </c>
      <c r="AA249" s="8">
        <v>1998594</v>
      </c>
      <c r="AC249" s="8">
        <v>1043415</v>
      </c>
      <c r="AE249" s="8">
        <v>291006</v>
      </c>
      <c r="AG249" s="8">
        <v>930318</v>
      </c>
      <c r="AI249" s="8">
        <v>422921</v>
      </c>
      <c r="AJ249" s="13" t="s">
        <v>681</v>
      </c>
      <c r="AK249" s="13"/>
      <c r="AL249" s="13" t="s">
        <v>64</v>
      </c>
      <c r="AN249" s="8">
        <v>575306</v>
      </c>
      <c r="AP249" s="8">
        <v>4841053</v>
      </c>
      <c r="AR249" s="8">
        <v>0</v>
      </c>
      <c r="AT249" s="8">
        <v>913367</v>
      </c>
      <c r="AV249" s="8">
        <v>851200</v>
      </c>
      <c r="AX249" s="8">
        <v>0</v>
      </c>
      <c r="AZ249" s="9">
        <f t="shared" si="16"/>
        <v>27202478</v>
      </c>
      <c r="BB249" s="8">
        <v>369805</v>
      </c>
      <c r="BH249" s="8">
        <v>0</v>
      </c>
      <c r="BJ249" s="9">
        <f t="shared" si="17"/>
        <v>27572283</v>
      </c>
      <c r="BL249" s="9">
        <f>'Gov Fd Rv'!AQ249-'Gov Fnd Exp'!BJ249</f>
        <v>4780250</v>
      </c>
      <c r="BN249" s="8">
        <v>31015627</v>
      </c>
      <c r="BP249" s="8">
        <v>0</v>
      </c>
      <c r="BT249" s="9">
        <f t="shared" si="18"/>
        <v>35795877</v>
      </c>
      <c r="BU249" s="9"/>
      <c r="BV249" s="9">
        <f>BT249-'Gov Fd BS'!AA252</f>
        <v>0</v>
      </c>
    </row>
    <row r="250" spans="1:76">
      <c r="A250" s="13" t="s">
        <v>547</v>
      </c>
      <c r="B250" s="13"/>
      <c r="C250" s="13" t="s">
        <v>50</v>
      </c>
      <c r="D250" s="13"/>
      <c r="E250" s="32">
        <v>48751</v>
      </c>
      <c r="G250" s="8">
        <v>42093928</v>
      </c>
      <c r="I250" s="8">
        <v>0</v>
      </c>
      <c r="K250" s="8">
        <v>0</v>
      </c>
      <c r="M250" s="8">
        <v>0</v>
      </c>
      <c r="O250" s="8">
        <v>2655742</v>
      </c>
      <c r="Q250" s="8">
        <v>4418759</v>
      </c>
      <c r="S250" s="8">
        <v>29076</v>
      </c>
      <c r="U250" s="8">
        <v>4100904</v>
      </c>
      <c r="W250" s="8">
        <v>1098864</v>
      </c>
      <c r="Y250" s="8">
        <v>593551</v>
      </c>
      <c r="AA250" s="8">
        <v>5035840</v>
      </c>
      <c r="AC250" s="8">
        <v>2966611</v>
      </c>
      <c r="AE250" s="8">
        <v>597764</v>
      </c>
      <c r="AG250" s="8">
        <v>2352563</v>
      </c>
      <c r="AI250" s="8">
        <v>641154</v>
      </c>
      <c r="AJ250" s="13" t="s">
        <v>547</v>
      </c>
      <c r="AK250" s="13"/>
      <c r="AL250" s="13" t="s">
        <v>50</v>
      </c>
      <c r="AN250" s="8">
        <v>1010834</v>
      </c>
      <c r="AP250" s="8">
        <v>3810972</v>
      </c>
      <c r="AR250" s="8">
        <v>0</v>
      </c>
      <c r="AT250" s="8">
        <v>270789</v>
      </c>
      <c r="AV250" s="8">
        <v>773239</v>
      </c>
      <c r="AX250" s="8">
        <v>0</v>
      </c>
      <c r="AZ250" s="9">
        <f t="shared" si="16"/>
        <v>72450590</v>
      </c>
      <c r="BB250" s="8">
        <v>731000</v>
      </c>
      <c r="BH250" s="8">
        <v>115</v>
      </c>
      <c r="BJ250" s="9">
        <f t="shared" si="17"/>
        <v>73181705</v>
      </c>
      <c r="BL250" s="9">
        <f>'Gov Fd Rv'!AQ250-'Gov Fnd Exp'!BJ250</f>
        <v>4919730</v>
      </c>
      <c r="BN250" s="8">
        <v>23778993</v>
      </c>
      <c r="BP250" s="8">
        <v>-22553</v>
      </c>
      <c r="BT250" s="9">
        <f t="shared" si="18"/>
        <v>28676170</v>
      </c>
      <c r="BU250" s="9"/>
      <c r="BV250" s="9">
        <f>BT250-'Gov Fd BS'!AA253</f>
        <v>0</v>
      </c>
      <c r="BX250" s="8" t="s">
        <v>912</v>
      </c>
    </row>
    <row r="251" spans="1:76">
      <c r="A251" s="13" t="s">
        <v>666</v>
      </c>
      <c r="B251" s="13"/>
      <c r="C251" s="13" t="s">
        <v>63</v>
      </c>
      <c r="D251" s="13"/>
      <c r="E251" s="32">
        <v>50021</v>
      </c>
      <c r="G251" s="8">
        <v>29257245</v>
      </c>
      <c r="I251" s="8">
        <v>6295345</v>
      </c>
      <c r="K251" s="8">
        <v>378932</v>
      </c>
      <c r="M251" s="8">
        <v>961250</v>
      </c>
      <c r="O251" s="8">
        <v>4600883</v>
      </c>
      <c r="Q251" s="8">
        <v>4767246</v>
      </c>
      <c r="S251" s="8">
        <v>43359</v>
      </c>
      <c r="U251" s="8">
        <v>4240788</v>
      </c>
      <c r="W251" s="8">
        <v>1786706</v>
      </c>
      <c r="Y251" s="8">
        <v>565160</v>
      </c>
      <c r="AA251" s="8">
        <v>5077949</v>
      </c>
      <c r="AC251" s="8">
        <v>3240860</v>
      </c>
      <c r="AE251" s="8">
        <v>439754</v>
      </c>
      <c r="AG251" s="8">
        <v>1736090</v>
      </c>
      <c r="AI251" s="8">
        <v>44541</v>
      </c>
      <c r="AJ251" s="13" t="s">
        <v>666</v>
      </c>
      <c r="AK251" s="13"/>
      <c r="AL251" s="13" t="s">
        <v>63</v>
      </c>
      <c r="AN251" s="8">
        <v>1272230</v>
      </c>
      <c r="AP251" s="8">
        <v>1356136</v>
      </c>
      <c r="AR251" s="8">
        <v>0</v>
      </c>
      <c r="AT251" s="8">
        <v>2390000</v>
      </c>
      <c r="AV251" s="8">
        <v>1265545</v>
      </c>
      <c r="AX251" s="8">
        <v>0</v>
      </c>
      <c r="AZ251" s="9">
        <f t="shared" si="16"/>
        <v>69720019</v>
      </c>
      <c r="BB251" s="8">
        <v>35000</v>
      </c>
      <c r="BH251" s="8">
        <v>0</v>
      </c>
      <c r="BJ251" s="9">
        <f t="shared" si="17"/>
        <v>69755019</v>
      </c>
      <c r="BL251" s="9">
        <f>'Gov Fd Rv'!AQ251-'Gov Fnd Exp'!BJ251</f>
        <v>765489</v>
      </c>
      <c r="BN251" s="8">
        <v>16207209</v>
      </c>
      <c r="BP251" s="8">
        <v>0</v>
      </c>
      <c r="BT251" s="9">
        <f t="shared" si="18"/>
        <v>16972698</v>
      </c>
      <c r="BU251" s="9"/>
      <c r="BV251" s="9">
        <f>BT251-'Gov Fd BS'!AA254</f>
        <v>0</v>
      </c>
    </row>
    <row r="252" spans="1:76">
      <c r="A252" s="13" t="s">
        <v>618</v>
      </c>
      <c r="B252" s="13"/>
      <c r="C252" s="13" t="s">
        <v>58</v>
      </c>
      <c r="D252" s="13"/>
      <c r="E252" s="13">
        <v>49502</v>
      </c>
      <c r="G252" s="8">
        <v>6122090</v>
      </c>
      <c r="I252" s="8">
        <v>1538936</v>
      </c>
      <c r="K252" s="8">
        <v>0</v>
      </c>
      <c r="M252" s="8">
        <v>159954</v>
      </c>
      <c r="O252" s="8">
        <v>301469</v>
      </c>
      <c r="Q252" s="8">
        <v>129008</v>
      </c>
      <c r="S252" s="8">
        <v>30278</v>
      </c>
      <c r="U252" s="8">
        <v>800199</v>
      </c>
      <c r="W252" s="8">
        <v>540180</v>
      </c>
      <c r="Y252" s="8">
        <v>0</v>
      </c>
      <c r="AA252" s="8">
        <v>1134128</v>
      </c>
      <c r="AC252" s="8">
        <v>816562</v>
      </c>
      <c r="AE252" s="8">
        <v>0</v>
      </c>
      <c r="AG252" s="8">
        <v>500974</v>
      </c>
      <c r="AI252" s="8">
        <v>0</v>
      </c>
      <c r="AJ252" s="13" t="s">
        <v>618</v>
      </c>
      <c r="AK252" s="13"/>
      <c r="AL252" s="13" t="s">
        <v>58</v>
      </c>
      <c r="AN252" s="8">
        <v>262499</v>
      </c>
      <c r="AP252" s="8">
        <v>517</v>
      </c>
      <c r="AR252" s="8">
        <v>0</v>
      </c>
      <c r="AT252" s="8">
        <v>84111</v>
      </c>
      <c r="AV252" s="8">
        <v>47330</v>
      </c>
      <c r="AX252" s="8">
        <v>0</v>
      </c>
      <c r="AZ252" s="9">
        <f t="shared" si="16"/>
        <v>12468235</v>
      </c>
      <c r="BB252" s="8">
        <v>8590</v>
      </c>
      <c r="BH252" s="8">
        <v>0</v>
      </c>
      <c r="BJ252" s="9">
        <f t="shared" si="17"/>
        <v>12476825</v>
      </c>
      <c r="BL252" s="9">
        <f>'Gov Fd Rv'!AQ252-'Gov Fnd Exp'!BJ252</f>
        <v>-96961</v>
      </c>
      <c r="BN252" s="8">
        <v>5049565</v>
      </c>
      <c r="BP252" s="8">
        <v>0</v>
      </c>
      <c r="BT252" s="9">
        <f t="shared" si="18"/>
        <v>4952604</v>
      </c>
      <c r="BU252" s="9"/>
      <c r="BV252" s="9">
        <f>BT252-'Gov Fd BS'!AA255</f>
        <v>0</v>
      </c>
    </row>
    <row r="253" spans="1:76">
      <c r="A253" s="13" t="s">
        <v>337</v>
      </c>
      <c r="B253" s="13"/>
      <c r="C253" s="13" t="s">
        <v>24</v>
      </c>
      <c r="D253" s="13"/>
      <c r="E253" s="32">
        <v>44131</v>
      </c>
      <c r="G253" s="8">
        <v>6637091</v>
      </c>
      <c r="I253" s="8">
        <v>1875920</v>
      </c>
      <c r="K253" s="8">
        <v>0</v>
      </c>
      <c r="M253" s="8">
        <v>62936</v>
      </c>
      <c r="O253" s="8">
        <v>491436</v>
      </c>
      <c r="Q253" s="8">
        <v>680976</v>
      </c>
      <c r="S253" s="8">
        <v>32663</v>
      </c>
      <c r="U253" s="8">
        <v>1482263</v>
      </c>
      <c r="W253" s="8">
        <v>528785</v>
      </c>
      <c r="Y253" s="8">
        <v>95</v>
      </c>
      <c r="AA253" s="8">
        <v>3363278</v>
      </c>
      <c r="AC253" s="8">
        <v>808495</v>
      </c>
      <c r="AE253" s="8">
        <v>1416</v>
      </c>
      <c r="AG253" s="8">
        <v>661277</v>
      </c>
      <c r="AI253" s="8">
        <v>257714</v>
      </c>
      <c r="AJ253" s="13" t="s">
        <v>337</v>
      </c>
      <c r="AK253" s="13"/>
      <c r="AL253" s="13" t="s">
        <v>24</v>
      </c>
      <c r="AN253" s="8">
        <v>493533</v>
      </c>
      <c r="AP253" s="8">
        <v>0</v>
      </c>
      <c r="AR253" s="8">
        <v>118257</v>
      </c>
      <c r="AT253" s="8">
        <v>491721</v>
      </c>
      <c r="AV253" s="8">
        <v>335331</v>
      </c>
      <c r="AX253" s="8">
        <v>73500</v>
      </c>
      <c r="AZ253" s="9">
        <f t="shared" si="16"/>
        <v>18396687</v>
      </c>
      <c r="BB253" s="8">
        <v>22304</v>
      </c>
      <c r="BH253" s="8">
        <v>0</v>
      </c>
      <c r="BJ253" s="9">
        <f t="shared" si="17"/>
        <v>18418991</v>
      </c>
      <c r="BL253" s="9">
        <f>'Gov Fd Rv'!AQ253-'Gov Fnd Exp'!BJ253</f>
        <v>1691141</v>
      </c>
      <c r="BN253" s="8">
        <v>5551055</v>
      </c>
      <c r="BP253" s="8">
        <v>0</v>
      </c>
      <c r="BT253" s="9">
        <f t="shared" si="18"/>
        <v>7242196</v>
      </c>
      <c r="BU253" s="9"/>
      <c r="BV253" s="9">
        <f>BT253-'Gov Fd BS'!AA256</f>
        <v>0</v>
      </c>
    </row>
    <row r="254" spans="1:76">
      <c r="A254" s="13" t="s">
        <v>309</v>
      </c>
      <c r="B254" s="13"/>
      <c r="C254" s="13" t="s">
        <v>20</v>
      </c>
      <c r="D254" s="13"/>
      <c r="E254" s="32">
        <v>46565</v>
      </c>
      <c r="G254" s="8">
        <v>7460514</v>
      </c>
      <c r="I254" s="8">
        <v>278360</v>
      </c>
      <c r="K254" s="8">
        <v>129480</v>
      </c>
      <c r="M254" s="8">
        <v>2759</v>
      </c>
      <c r="O254" s="8">
        <v>732536</v>
      </c>
      <c r="Q254" s="8">
        <v>2040515</v>
      </c>
      <c r="S254" s="8">
        <v>224299</v>
      </c>
      <c r="U254" s="8">
        <v>1011669</v>
      </c>
      <c r="W254" s="8">
        <v>533830</v>
      </c>
      <c r="Y254" s="8">
        <v>213844</v>
      </c>
      <c r="AA254" s="8">
        <v>2355723</v>
      </c>
      <c r="AC254" s="8">
        <v>840022</v>
      </c>
      <c r="AE254" s="8">
        <v>5000</v>
      </c>
      <c r="AG254" s="8">
        <v>325479</v>
      </c>
      <c r="AI254" s="8">
        <v>239873</v>
      </c>
      <c r="AJ254" s="13" t="s">
        <v>309</v>
      </c>
      <c r="AK254" s="13"/>
      <c r="AL254" s="13" t="s">
        <v>20</v>
      </c>
      <c r="AN254" s="8">
        <v>545956</v>
      </c>
      <c r="AP254" s="8">
        <v>5840</v>
      </c>
      <c r="AR254" s="8">
        <v>0</v>
      </c>
      <c r="AT254" s="8">
        <v>944000</v>
      </c>
      <c r="AV254" s="8">
        <v>704837</v>
      </c>
      <c r="AX254" s="8">
        <v>0</v>
      </c>
      <c r="AZ254" s="9">
        <f t="shared" si="16"/>
        <v>18594536</v>
      </c>
      <c r="BB254" s="8">
        <v>604104</v>
      </c>
      <c r="BH254" s="8">
        <v>0</v>
      </c>
      <c r="BJ254" s="9">
        <f t="shared" si="17"/>
        <v>19198640</v>
      </c>
      <c r="BL254" s="9">
        <f>'Gov Fd Rv'!AQ254-'Gov Fnd Exp'!BJ254</f>
        <v>341341</v>
      </c>
      <c r="BN254" s="8">
        <v>1862090</v>
      </c>
      <c r="BP254" s="8">
        <v>0</v>
      </c>
      <c r="BT254" s="9">
        <f t="shared" si="18"/>
        <v>2203431</v>
      </c>
      <c r="BU254" s="9"/>
      <c r="BV254" s="9">
        <f>BT254-'Gov Fd BS'!AA257</f>
        <v>0</v>
      </c>
    </row>
    <row r="255" spans="1:76">
      <c r="A255" s="13" t="s">
        <v>451</v>
      </c>
      <c r="B255" s="13"/>
      <c r="C255" s="13" t="s">
        <v>39</v>
      </c>
      <c r="D255" s="13"/>
      <c r="E255" s="32">
        <v>47803</v>
      </c>
      <c r="G255" s="8">
        <v>10073304</v>
      </c>
      <c r="I255" s="8">
        <v>2698465</v>
      </c>
      <c r="K255" s="8">
        <v>280823</v>
      </c>
      <c r="M255" s="8">
        <f>4214+343445</f>
        <v>347659</v>
      </c>
      <c r="O255" s="8">
        <v>859690</v>
      </c>
      <c r="Q255" s="8">
        <v>937310</v>
      </c>
      <c r="S255" s="8">
        <v>18306</v>
      </c>
      <c r="U255" s="8">
        <v>1569768</v>
      </c>
      <c r="W255" s="8">
        <v>422904</v>
      </c>
      <c r="Y255" s="8">
        <v>0</v>
      </c>
      <c r="AA255" s="8">
        <v>2274415</v>
      </c>
      <c r="AC255" s="8">
        <v>1162323</v>
      </c>
      <c r="AE255" s="8">
        <v>95788</v>
      </c>
      <c r="AG255" s="8">
        <v>837656</v>
      </c>
      <c r="AI255" s="8">
        <v>251792</v>
      </c>
      <c r="AJ255" s="13" t="s">
        <v>451</v>
      </c>
      <c r="AK255" s="13"/>
      <c r="AL255" s="13" t="s">
        <v>39</v>
      </c>
      <c r="AN255" s="8">
        <v>391942</v>
      </c>
      <c r="AP255" s="8">
        <v>889959</v>
      </c>
      <c r="AR255" s="8">
        <v>0</v>
      </c>
      <c r="AT255" s="8">
        <v>177358</v>
      </c>
      <c r="AV255" s="8">
        <f>202154+176300</f>
        <v>378454</v>
      </c>
      <c r="AX255" s="8">
        <v>0</v>
      </c>
      <c r="AZ255" s="9">
        <f t="shared" si="16"/>
        <v>23667916</v>
      </c>
      <c r="BB255" s="8">
        <v>10924009</v>
      </c>
      <c r="BH255" s="8">
        <v>194800</v>
      </c>
      <c r="BJ255" s="9">
        <f t="shared" si="17"/>
        <v>34786725</v>
      </c>
      <c r="BL255" s="9">
        <f>'Gov Fd Rv'!AQ255-'Gov Fnd Exp'!BJ255</f>
        <v>10867297</v>
      </c>
      <c r="BN255" s="8">
        <v>577332</v>
      </c>
      <c r="BP255" s="8">
        <v>0</v>
      </c>
      <c r="BT255" s="9">
        <f t="shared" si="18"/>
        <v>11444629</v>
      </c>
      <c r="BU255" s="9"/>
      <c r="BV255" s="9">
        <f>BT255-'Gov Fd BS'!AA258</f>
        <v>0</v>
      </c>
    </row>
    <row r="256" spans="1:76">
      <c r="A256" s="13" t="s">
        <v>395</v>
      </c>
      <c r="B256" s="13"/>
      <c r="C256" s="13" t="s">
        <v>32</v>
      </c>
      <c r="D256" s="13"/>
      <c r="E256" s="32">
        <v>45435</v>
      </c>
      <c r="G256" s="8">
        <v>13676061</v>
      </c>
      <c r="I256" s="8">
        <v>2177464</v>
      </c>
      <c r="K256" s="8">
        <v>100760</v>
      </c>
      <c r="M256" s="8">
        <v>1406662</v>
      </c>
      <c r="O256" s="8">
        <v>2162826</v>
      </c>
      <c r="Q256" s="8">
        <v>1810770</v>
      </c>
      <c r="S256" s="8">
        <v>23653</v>
      </c>
      <c r="U256" s="8">
        <v>2235975</v>
      </c>
      <c r="W256" s="8">
        <v>753264</v>
      </c>
      <c r="Y256" s="8">
        <v>59196</v>
      </c>
      <c r="AA256" s="8">
        <v>3308629</v>
      </c>
      <c r="AC256" s="8">
        <v>1526589</v>
      </c>
      <c r="AE256" s="8">
        <v>62314</v>
      </c>
      <c r="AG256" s="8">
        <v>708448</v>
      </c>
      <c r="AI256" s="8">
        <v>1223857</v>
      </c>
      <c r="AJ256" s="13" t="s">
        <v>395</v>
      </c>
      <c r="AK256" s="13"/>
      <c r="AL256" s="13" t="s">
        <v>32</v>
      </c>
      <c r="AN256" s="8">
        <v>835209</v>
      </c>
      <c r="AP256" s="8">
        <f>103948+178462</f>
        <v>282410</v>
      </c>
      <c r="AR256" s="8">
        <v>0</v>
      </c>
      <c r="AT256" s="8">
        <v>2190000</v>
      </c>
      <c r="AV256" s="8">
        <v>1714776</v>
      </c>
      <c r="AX256" s="8">
        <v>0</v>
      </c>
      <c r="AZ256" s="9">
        <f t="shared" si="16"/>
        <v>36258863</v>
      </c>
      <c r="BB256" s="8">
        <v>0</v>
      </c>
      <c r="BH256" s="8">
        <v>0</v>
      </c>
      <c r="BJ256" s="9">
        <f t="shared" si="17"/>
        <v>36258863</v>
      </c>
      <c r="BL256" s="9">
        <f>'Gov Fd Rv'!AQ256-'Gov Fnd Exp'!BJ256</f>
        <v>4160289</v>
      </c>
      <c r="BN256" s="8">
        <v>28903197</v>
      </c>
      <c r="BP256" s="8">
        <v>0</v>
      </c>
      <c r="BT256" s="9">
        <f t="shared" si="18"/>
        <v>33063486</v>
      </c>
      <c r="BU256" s="9"/>
      <c r="BV256" s="9">
        <f>BT256-'Gov Fd BS'!AA259</f>
        <v>0</v>
      </c>
    </row>
    <row r="257" spans="1:76" hidden="1">
      <c r="A257" s="12" t="s">
        <v>947</v>
      </c>
      <c r="B257" s="12"/>
      <c r="C257" s="12" t="s">
        <v>43</v>
      </c>
      <c r="D257" s="13"/>
      <c r="E257" s="32"/>
      <c r="G257" s="8">
        <v>7384346</v>
      </c>
      <c r="I257" s="8">
        <v>1925715</v>
      </c>
      <c r="K257" s="8">
        <v>321753</v>
      </c>
      <c r="M257" s="8">
        <v>1249917</v>
      </c>
      <c r="O257" s="8">
        <v>590366</v>
      </c>
      <c r="Q257" s="8">
        <v>1000591</v>
      </c>
      <c r="S257" s="8">
        <v>28064</v>
      </c>
      <c r="U257" s="8">
        <v>1433529</v>
      </c>
      <c r="W257" s="8">
        <v>520453</v>
      </c>
      <c r="AA257" s="8">
        <v>1413831</v>
      </c>
      <c r="AC257" s="8">
        <v>1043043</v>
      </c>
      <c r="AE257" s="8">
        <v>340063</v>
      </c>
      <c r="AG257" s="8">
        <v>797628</v>
      </c>
      <c r="AI257" s="8">
        <v>34932</v>
      </c>
      <c r="AJ257" s="12" t="s">
        <v>947</v>
      </c>
      <c r="AK257" s="12"/>
      <c r="AL257" s="12" t="s">
        <v>43</v>
      </c>
      <c r="AN257" s="8">
        <v>635166</v>
      </c>
      <c r="AP257" s="8">
        <v>11999153</v>
      </c>
      <c r="AT257" s="8">
        <v>4265000</v>
      </c>
      <c r="AV257" s="8">
        <f>1213946+108442</f>
        <v>1322388</v>
      </c>
      <c r="AZ257" s="9">
        <f t="shared" si="16"/>
        <v>36305938</v>
      </c>
      <c r="BH257" s="8">
        <f>-3124999-151705</f>
        <v>-3276704</v>
      </c>
      <c r="BJ257" s="9">
        <f t="shared" si="17"/>
        <v>33029234</v>
      </c>
      <c r="BL257" s="9">
        <f>'Gov Fd Rv'!AQ257-'Gov Fnd Exp'!BJ257</f>
        <v>-11655819</v>
      </c>
      <c r="BN257" s="8">
        <v>24783685</v>
      </c>
      <c r="BT257" s="9">
        <f t="shared" si="18"/>
        <v>13127866</v>
      </c>
      <c r="BU257" s="9"/>
      <c r="BV257" s="9">
        <f>BT257-'Gov Fd BS'!AA260</f>
        <v>0</v>
      </c>
    </row>
    <row r="258" spans="1:76">
      <c r="A258" s="13" t="s">
        <v>697</v>
      </c>
      <c r="B258" s="13"/>
      <c r="C258" s="13" t="s">
        <v>65</v>
      </c>
      <c r="D258" s="13"/>
      <c r="E258" s="32">
        <v>50286</v>
      </c>
      <c r="G258" s="8">
        <v>5898731</v>
      </c>
      <c r="I258" s="8">
        <v>1660762</v>
      </c>
      <c r="K258" s="8">
        <v>192134</v>
      </c>
      <c r="M258" s="8">
        <f>204982+1371114</f>
        <v>1576096</v>
      </c>
      <c r="O258" s="8">
        <v>542903</v>
      </c>
      <c r="Q258" s="8">
        <v>513916</v>
      </c>
      <c r="S258" s="8">
        <v>42931</v>
      </c>
      <c r="U258" s="8">
        <v>1177394</v>
      </c>
      <c r="W258" s="8">
        <v>386346</v>
      </c>
      <c r="Y258" s="8">
        <v>119926</v>
      </c>
      <c r="AA258" s="8">
        <v>2069098</v>
      </c>
      <c r="AC258" s="8">
        <v>1127506</v>
      </c>
      <c r="AE258" s="8">
        <v>26377</v>
      </c>
      <c r="AG258" s="8">
        <v>794280</v>
      </c>
      <c r="AI258" s="8">
        <v>11500</v>
      </c>
      <c r="AJ258" s="13" t="s">
        <v>697</v>
      </c>
      <c r="AK258" s="13"/>
      <c r="AL258" s="13" t="s">
        <v>65</v>
      </c>
      <c r="AN258" s="8">
        <v>493388</v>
      </c>
      <c r="AP258" s="8">
        <v>855417</v>
      </c>
      <c r="AR258" s="8">
        <v>0</v>
      </c>
      <c r="AT258" s="8">
        <v>729867</v>
      </c>
      <c r="AV258" s="8">
        <v>445184</v>
      </c>
      <c r="AX258" s="8">
        <v>0</v>
      </c>
      <c r="AZ258" s="9">
        <f t="shared" si="16"/>
        <v>18663756</v>
      </c>
      <c r="BB258" s="8">
        <v>0</v>
      </c>
      <c r="BH258" s="8">
        <v>0</v>
      </c>
      <c r="BJ258" s="9">
        <f t="shared" si="17"/>
        <v>18663756</v>
      </c>
      <c r="BL258" s="9">
        <f>'Gov Fd Rv'!AQ258-'Gov Fnd Exp'!BJ258</f>
        <v>-395295</v>
      </c>
      <c r="BN258" s="8">
        <v>2564265</v>
      </c>
      <c r="BP258" s="8">
        <v>0</v>
      </c>
      <c r="BT258" s="9">
        <f t="shared" si="18"/>
        <v>2168970</v>
      </c>
      <c r="BU258" s="9"/>
      <c r="BV258" s="9">
        <f>BT258-'Gov Fd BS'!AA261</f>
        <v>0</v>
      </c>
    </row>
    <row r="259" spans="1:76">
      <c r="A259" s="13" t="s">
        <v>469</v>
      </c>
      <c r="B259" s="13"/>
      <c r="C259" s="13" t="s">
        <v>466</v>
      </c>
      <c r="D259" s="13"/>
      <c r="E259" s="32">
        <v>44149</v>
      </c>
      <c r="G259" s="8">
        <v>6642787</v>
      </c>
      <c r="I259" s="8">
        <v>2185925</v>
      </c>
      <c r="K259" s="8">
        <v>183325</v>
      </c>
      <c r="M259" s="8">
        <v>33321</v>
      </c>
      <c r="O259" s="8">
        <v>836086</v>
      </c>
      <c r="Q259" s="8">
        <v>498051</v>
      </c>
      <c r="S259" s="8">
        <v>195941</v>
      </c>
      <c r="U259" s="8">
        <v>1283842</v>
      </c>
      <c r="W259" s="8">
        <v>515167</v>
      </c>
      <c r="Y259" s="8">
        <v>0</v>
      </c>
      <c r="AA259" s="8">
        <v>1783257</v>
      </c>
      <c r="AC259" s="8">
        <v>507908</v>
      </c>
      <c r="AE259" s="8">
        <v>115693</v>
      </c>
      <c r="AG259" s="8">
        <v>770643</v>
      </c>
      <c r="AI259" s="8">
        <v>152067</v>
      </c>
      <c r="AJ259" s="13" t="s">
        <v>469</v>
      </c>
      <c r="AK259" s="13"/>
      <c r="AL259" s="13" t="s">
        <v>466</v>
      </c>
      <c r="AN259" s="8">
        <v>592207</v>
      </c>
      <c r="AP259" s="8">
        <v>25414029</v>
      </c>
      <c r="AR259" s="8">
        <v>0</v>
      </c>
      <c r="AT259" s="8">
        <v>242571</v>
      </c>
      <c r="AV259" s="8">
        <v>833893</v>
      </c>
      <c r="AX259" s="8">
        <v>0</v>
      </c>
      <c r="AZ259" s="9">
        <f t="shared" si="16"/>
        <v>42786713</v>
      </c>
      <c r="BB259" s="8">
        <v>122091</v>
      </c>
      <c r="BH259" s="8">
        <v>0</v>
      </c>
      <c r="BJ259" s="9">
        <f t="shared" si="17"/>
        <v>42908804</v>
      </c>
      <c r="BL259" s="9">
        <f>'Gov Fd Rv'!AQ259-'Gov Fnd Exp'!BJ259</f>
        <v>-17337201</v>
      </c>
      <c r="BN259" s="8">
        <v>27585075</v>
      </c>
      <c r="BP259" s="8">
        <v>0</v>
      </c>
      <c r="BT259" s="9">
        <f t="shared" si="18"/>
        <v>10247874</v>
      </c>
      <c r="BU259" s="9"/>
      <c r="BV259" s="9">
        <f>BT259-'Gov Fd BS'!AA262</f>
        <v>0</v>
      </c>
    </row>
    <row r="260" spans="1:76" hidden="1">
      <c r="A260" s="12" t="s">
        <v>948</v>
      </c>
      <c r="B260" s="13"/>
      <c r="C260" s="13" t="s">
        <v>61</v>
      </c>
      <c r="D260" s="13"/>
      <c r="E260" s="32">
        <v>49809</v>
      </c>
      <c r="G260" s="8">
        <v>2373277</v>
      </c>
      <c r="I260" s="8">
        <v>515668</v>
      </c>
      <c r="K260" s="8">
        <v>4981</v>
      </c>
      <c r="O260" s="8">
        <v>248519</v>
      </c>
      <c r="Q260" s="8">
        <v>174916</v>
      </c>
      <c r="S260" s="8">
        <v>12342</v>
      </c>
      <c r="U260" s="8">
        <v>403723</v>
      </c>
      <c r="W260" s="8">
        <v>241107</v>
      </c>
      <c r="AA260" s="8">
        <v>553638</v>
      </c>
      <c r="AC260" s="8">
        <v>259301</v>
      </c>
      <c r="AE260" s="8">
        <v>500</v>
      </c>
      <c r="AG260" s="8">
        <v>210586</v>
      </c>
      <c r="AJ260" s="12" t="s">
        <v>892</v>
      </c>
      <c r="AK260" s="13"/>
      <c r="AL260" s="13" t="s">
        <v>61</v>
      </c>
      <c r="AN260" s="8">
        <v>180288</v>
      </c>
      <c r="AP260" s="8">
        <v>6911</v>
      </c>
      <c r="AT260" s="8">
        <v>153000</v>
      </c>
      <c r="AV260" s="8">
        <v>188869</v>
      </c>
      <c r="AZ260" s="9">
        <f t="shared" si="16"/>
        <v>5527626</v>
      </c>
      <c r="BJ260" s="9">
        <f t="shared" si="17"/>
        <v>5527626</v>
      </c>
      <c r="BL260" s="9">
        <f>'Gov Fd Rv'!AQ260-'Gov Fnd Exp'!BJ260</f>
        <v>-98236</v>
      </c>
      <c r="BN260" s="8">
        <v>1013752</v>
      </c>
      <c r="BT260" s="9">
        <f t="shared" si="18"/>
        <v>915516</v>
      </c>
      <c r="BU260" s="9"/>
      <c r="BV260" s="9">
        <f>BT260-'Gov Fd BS'!AA263</f>
        <v>0</v>
      </c>
    </row>
    <row r="261" spans="1:76" hidden="1">
      <c r="A261" s="12" t="s">
        <v>982</v>
      </c>
      <c r="B261" s="13"/>
      <c r="C261" s="13" t="s">
        <v>38</v>
      </c>
      <c r="D261" s="13"/>
      <c r="E261" s="32"/>
      <c r="G261" s="8">
        <v>10722938</v>
      </c>
      <c r="I261" s="8">
        <v>3800185</v>
      </c>
      <c r="K261" s="8">
        <v>138027</v>
      </c>
      <c r="M261" s="8">
        <v>181659</v>
      </c>
      <c r="O261" s="8">
        <v>533077</v>
      </c>
      <c r="Q261" s="8">
        <v>1053307</v>
      </c>
      <c r="S261" s="8">
        <v>173320</v>
      </c>
      <c r="U261" s="8">
        <v>1876756</v>
      </c>
      <c r="W261" s="8">
        <v>693056</v>
      </c>
      <c r="Y261" s="8">
        <v>33207</v>
      </c>
      <c r="AA261" s="8">
        <v>2840612</v>
      </c>
      <c r="AC261" s="8">
        <v>1433903</v>
      </c>
      <c r="AE261" s="8">
        <v>14135</v>
      </c>
      <c r="AG261" s="8">
        <v>1294164</v>
      </c>
      <c r="AI261" s="8">
        <v>8250</v>
      </c>
      <c r="AJ261" s="12" t="s">
        <v>893</v>
      </c>
      <c r="AK261" s="13"/>
      <c r="AL261" s="13" t="s">
        <v>38</v>
      </c>
      <c r="AN261" s="8">
        <v>768477</v>
      </c>
      <c r="AP261" s="8">
        <v>371798</v>
      </c>
      <c r="AT261" s="8">
        <v>1465683</v>
      </c>
      <c r="AV261" s="8">
        <v>633918</v>
      </c>
      <c r="AZ261" s="9">
        <f t="shared" si="16"/>
        <v>28036472</v>
      </c>
      <c r="BH261" s="8">
        <f>-6916-51359-60001</f>
        <v>-118276</v>
      </c>
      <c r="BJ261" s="9">
        <f t="shared" si="17"/>
        <v>27918196</v>
      </c>
      <c r="BL261" s="9">
        <f>'Gov Fd Rv'!AQ261-'Gov Fnd Exp'!BJ261</f>
        <v>-1129213</v>
      </c>
      <c r="BN261" s="8">
        <v>13414459</v>
      </c>
      <c r="BT261" s="9">
        <f t="shared" si="18"/>
        <v>12285246</v>
      </c>
      <c r="BU261" s="9"/>
      <c r="BV261" s="9">
        <f>BT261-'Gov Fd BS'!AA264</f>
        <v>0</v>
      </c>
      <c r="BX261" s="8" t="s">
        <v>956</v>
      </c>
    </row>
    <row r="262" spans="1:76">
      <c r="A262" s="13" t="s">
        <v>652</v>
      </c>
      <c r="B262" s="13"/>
      <c r="C262" s="13" t="s">
        <v>62</v>
      </c>
      <c r="D262" s="13"/>
      <c r="E262" s="32">
        <v>49858</v>
      </c>
      <c r="G262" s="8">
        <v>21636140</v>
      </c>
      <c r="I262" s="8">
        <v>3337431</v>
      </c>
      <c r="K262" s="8">
        <v>507096</v>
      </c>
      <c r="M262" s="8">
        <f>52118+1155537</f>
        <v>1207655</v>
      </c>
      <c r="O262" s="8">
        <v>2641731</v>
      </c>
      <c r="Q262" s="8">
        <v>2804167</v>
      </c>
      <c r="S262" s="8">
        <v>17397</v>
      </c>
      <c r="U262" s="8">
        <v>3186891</v>
      </c>
      <c r="W262" s="8">
        <v>1062884</v>
      </c>
      <c r="Y262" s="8">
        <v>326492</v>
      </c>
      <c r="AA262" s="8">
        <v>5418496</v>
      </c>
      <c r="AC262" s="8">
        <v>2580471</v>
      </c>
      <c r="AE262" s="8">
        <v>1198706</v>
      </c>
      <c r="AG262" s="8">
        <v>1525793</v>
      </c>
      <c r="AI262" s="8">
        <v>12334</v>
      </c>
      <c r="AJ262" s="13" t="s">
        <v>652</v>
      </c>
      <c r="AK262" s="13"/>
      <c r="AL262" s="13" t="s">
        <v>62</v>
      </c>
      <c r="AN262" s="8">
        <v>1749177</v>
      </c>
      <c r="AP262" s="8">
        <v>1005002</v>
      </c>
      <c r="AR262" s="8">
        <v>0</v>
      </c>
      <c r="AT262" s="8">
        <v>4052627</v>
      </c>
      <c r="AV262" s="8">
        <v>2816107</v>
      </c>
      <c r="AX262" s="8">
        <v>0</v>
      </c>
      <c r="AZ262" s="9">
        <f t="shared" si="16"/>
        <v>57086597</v>
      </c>
      <c r="BB262" s="8">
        <v>11401</v>
      </c>
      <c r="BH262" s="8">
        <v>0</v>
      </c>
      <c r="BJ262" s="9">
        <f t="shared" si="17"/>
        <v>57097998</v>
      </c>
      <c r="BL262" s="9">
        <f>'Gov Fd Rv'!AQ262-'Gov Fnd Exp'!BJ262</f>
        <v>2385889</v>
      </c>
      <c r="BN262" s="8">
        <v>9638027</v>
      </c>
      <c r="BP262" s="8">
        <v>16481</v>
      </c>
      <c r="BT262" s="9">
        <f t="shared" si="18"/>
        <v>12040397</v>
      </c>
      <c r="BU262" s="9"/>
      <c r="BV262" s="9">
        <f>BT262-'Gov Fd BS'!AA265</f>
        <v>0</v>
      </c>
    </row>
    <row r="263" spans="1:76">
      <c r="A263" s="13" t="s">
        <v>512</v>
      </c>
      <c r="B263" s="13"/>
      <c r="C263" s="13" t="s">
        <v>45</v>
      </c>
      <c r="D263" s="13"/>
      <c r="E263" s="32">
        <v>48322</v>
      </c>
      <c r="G263" s="8">
        <v>4368714</v>
      </c>
      <c r="I263" s="8">
        <v>1158195</v>
      </c>
      <c r="K263" s="8">
        <v>87650</v>
      </c>
      <c r="M263" s="8">
        <v>16463</v>
      </c>
      <c r="O263" s="8">
        <v>202127</v>
      </c>
      <c r="Q263" s="8">
        <v>172529</v>
      </c>
      <c r="S263" s="8">
        <v>80823</v>
      </c>
      <c r="U263" s="8">
        <v>538085</v>
      </c>
      <c r="W263" s="8">
        <v>435727</v>
      </c>
      <c r="Y263" s="8">
        <v>0</v>
      </c>
      <c r="AA263" s="8">
        <v>696302</v>
      </c>
      <c r="AC263" s="8">
        <v>652623</v>
      </c>
      <c r="AE263" s="8">
        <v>0</v>
      </c>
      <c r="AG263" s="8">
        <v>277513</v>
      </c>
      <c r="AI263" s="8">
        <v>2604</v>
      </c>
      <c r="AJ263" s="13" t="s">
        <v>512</v>
      </c>
      <c r="AK263" s="13"/>
      <c r="AL263" s="13" t="s">
        <v>45</v>
      </c>
      <c r="AN263" s="8">
        <v>380663</v>
      </c>
      <c r="AP263" s="8">
        <v>11427154</v>
      </c>
      <c r="AR263" s="8">
        <v>0</v>
      </c>
      <c r="AT263" s="8">
        <v>225000</v>
      </c>
      <c r="AV263" s="8">
        <v>675744</v>
      </c>
      <c r="AX263" s="8">
        <v>0</v>
      </c>
      <c r="AZ263" s="9">
        <f t="shared" si="16"/>
        <v>21397916</v>
      </c>
      <c r="BB263" s="8">
        <v>65608</v>
      </c>
      <c r="BH263" s="8">
        <v>0</v>
      </c>
      <c r="BJ263" s="9">
        <f t="shared" si="17"/>
        <v>21463524</v>
      </c>
      <c r="BL263" s="9">
        <f>'Gov Fd Rv'!AQ263-'Gov Fnd Exp'!BJ263</f>
        <v>-10336286</v>
      </c>
      <c r="BN263" s="8">
        <v>15223252</v>
      </c>
      <c r="BP263" s="8">
        <v>0</v>
      </c>
      <c r="BT263" s="9">
        <f t="shared" si="18"/>
        <v>4886966</v>
      </c>
      <c r="BU263" s="9"/>
      <c r="BV263" s="9">
        <f>BT263-'Gov Fd BS'!AA266</f>
        <v>0</v>
      </c>
    </row>
    <row r="264" spans="1:76">
      <c r="A264" s="13" t="s">
        <v>591</v>
      </c>
      <c r="B264" s="13"/>
      <c r="C264" s="13" t="s">
        <v>56</v>
      </c>
      <c r="D264" s="13"/>
      <c r="E264" s="32">
        <v>49205</v>
      </c>
      <c r="G264" s="8">
        <v>5983901</v>
      </c>
      <c r="I264" s="8">
        <v>1296459</v>
      </c>
      <c r="K264" s="8">
        <v>0</v>
      </c>
      <c r="M264" s="8">
        <v>928</v>
      </c>
      <c r="O264" s="8">
        <v>554796</v>
      </c>
      <c r="Q264" s="8">
        <v>464613</v>
      </c>
      <c r="S264" s="8">
        <v>33083</v>
      </c>
      <c r="U264" s="8">
        <v>968056</v>
      </c>
      <c r="W264" s="8">
        <v>272650</v>
      </c>
      <c r="Y264" s="8">
        <v>0</v>
      </c>
      <c r="AA264" s="8">
        <v>1335442</v>
      </c>
      <c r="AC264" s="8">
        <v>825695</v>
      </c>
      <c r="AE264" s="8">
        <v>148988</v>
      </c>
      <c r="AG264" s="8">
        <v>569044</v>
      </c>
      <c r="AI264" s="8">
        <v>9023</v>
      </c>
      <c r="AJ264" s="13" t="s">
        <v>591</v>
      </c>
      <c r="AK264" s="13"/>
      <c r="AL264" s="13" t="s">
        <v>56</v>
      </c>
      <c r="AN264" s="8">
        <v>515056</v>
      </c>
      <c r="AP264" s="8">
        <v>0</v>
      </c>
      <c r="AR264" s="8">
        <v>0</v>
      </c>
      <c r="AT264" s="8">
        <v>292350</v>
      </c>
      <c r="AV264" s="8">
        <v>211742</v>
      </c>
      <c r="AX264" s="8">
        <v>0</v>
      </c>
      <c r="AZ264" s="9">
        <f t="shared" si="16"/>
        <v>13481826</v>
      </c>
      <c r="BB264" s="8">
        <v>423</v>
      </c>
      <c r="BH264" s="8">
        <v>0</v>
      </c>
      <c r="BJ264" s="9">
        <f t="shared" si="17"/>
        <v>13482249</v>
      </c>
      <c r="BL264" s="9">
        <f>'Gov Fd Rv'!AQ264-'Gov Fnd Exp'!BJ264</f>
        <v>660762</v>
      </c>
      <c r="BN264" s="8">
        <v>1135821</v>
      </c>
      <c r="BP264" s="8">
        <v>0</v>
      </c>
      <c r="BT264" s="9">
        <f t="shared" si="18"/>
        <v>1796583</v>
      </c>
      <c r="BU264" s="9"/>
      <c r="BV264" s="9">
        <f>BT264-'Gov Fd BS'!AA267</f>
        <v>0</v>
      </c>
    </row>
    <row r="265" spans="1:76">
      <c r="A265" s="12" t="s">
        <v>984</v>
      </c>
      <c r="B265" s="13"/>
      <c r="C265" s="13" t="s">
        <v>12</v>
      </c>
      <c r="D265" s="13"/>
      <c r="E265" s="32">
        <v>45872</v>
      </c>
      <c r="G265" s="8">
        <v>8295664</v>
      </c>
      <c r="I265" s="8">
        <v>1503973</v>
      </c>
      <c r="K265" s="8">
        <v>154317</v>
      </c>
      <c r="M265" s="8">
        <v>0</v>
      </c>
      <c r="O265" s="8">
        <v>2058017</v>
      </c>
      <c r="Q265" s="8">
        <v>137052</v>
      </c>
      <c r="S265" s="8">
        <v>22094</v>
      </c>
      <c r="U265" s="8">
        <v>1023686</v>
      </c>
      <c r="W265" s="8">
        <v>608376</v>
      </c>
      <c r="Y265" s="8">
        <v>10526</v>
      </c>
      <c r="AA265" s="8">
        <v>1637776</v>
      </c>
      <c r="AC265" s="8">
        <v>1388939</v>
      </c>
      <c r="AE265" s="8">
        <v>80713</v>
      </c>
      <c r="AG265" s="8">
        <v>759510</v>
      </c>
      <c r="AI265" s="8">
        <v>96163</v>
      </c>
      <c r="AJ265" s="13" t="s">
        <v>221</v>
      </c>
      <c r="AK265" s="13"/>
      <c r="AL265" s="13" t="s">
        <v>12</v>
      </c>
      <c r="AN265" s="8">
        <v>430229</v>
      </c>
      <c r="AP265" s="8">
        <v>16673567</v>
      </c>
      <c r="AR265" s="8">
        <v>0</v>
      </c>
      <c r="AT265" s="8">
        <v>495272</v>
      </c>
      <c r="AV265" s="8">
        <v>909105</v>
      </c>
      <c r="AX265" s="8">
        <v>0</v>
      </c>
      <c r="AZ265" s="9">
        <f t="shared" si="16"/>
        <v>36284979</v>
      </c>
      <c r="BB265" s="8">
        <v>89296</v>
      </c>
      <c r="BH265" s="8">
        <v>0</v>
      </c>
      <c r="BJ265" s="9">
        <f t="shared" si="17"/>
        <v>36374275</v>
      </c>
      <c r="BL265" s="9">
        <f>'Gov Fd Rv'!AQ265-'Gov Fnd Exp'!BJ265</f>
        <v>-11204001</v>
      </c>
      <c r="BN265" s="8">
        <v>31473353</v>
      </c>
      <c r="BP265" s="8">
        <v>0</v>
      </c>
      <c r="BT265" s="9">
        <f t="shared" si="18"/>
        <v>20269352</v>
      </c>
      <c r="BU265" s="9"/>
      <c r="BV265" s="9">
        <f>BT265-'Gov Fd BS'!AA268</f>
        <v>0</v>
      </c>
      <c r="BX265" s="8" t="s">
        <v>956</v>
      </c>
    </row>
    <row r="266" spans="1:76">
      <c r="A266" s="12"/>
      <c r="B266" s="13"/>
      <c r="C266" s="13"/>
      <c r="D266" s="13"/>
      <c r="E266" s="32"/>
      <c r="AJ266" s="13"/>
      <c r="AK266" s="13"/>
      <c r="AL266" s="13"/>
      <c r="AZ266" s="9"/>
      <c r="BJ266" s="9"/>
      <c r="BL266" s="9"/>
      <c r="BT266" s="9"/>
      <c r="BU266" s="9"/>
      <c r="BV266" s="9"/>
    </row>
    <row r="267" spans="1:76">
      <c r="A267" s="12"/>
      <c r="B267" s="13"/>
      <c r="C267" s="13"/>
      <c r="D267" s="13"/>
      <c r="E267" s="32"/>
      <c r="AI267" s="8" t="s">
        <v>805</v>
      </c>
      <c r="AJ267" s="13"/>
      <c r="AK267" s="13"/>
      <c r="AL267" s="13"/>
      <c r="AZ267" s="9"/>
      <c r="BJ267" s="9"/>
      <c r="BL267" s="9"/>
      <c r="BT267" s="8" t="s">
        <v>805</v>
      </c>
      <c r="BU267" s="9"/>
      <c r="BV267" s="9"/>
    </row>
    <row r="268" spans="1:76">
      <c r="A268" s="12"/>
      <c r="B268" s="13"/>
      <c r="C268" s="13"/>
      <c r="D268" s="13"/>
      <c r="E268" s="32"/>
      <c r="AJ268" s="13"/>
      <c r="AK268" s="13"/>
      <c r="AL268" s="13"/>
      <c r="AZ268" s="9"/>
      <c r="BJ268" s="9"/>
      <c r="BL268" s="9"/>
      <c r="BT268" s="9"/>
      <c r="BU268" s="9"/>
      <c r="BV268" s="9"/>
    </row>
    <row r="269" spans="1:76">
      <c r="A269" s="13" t="s">
        <v>504</v>
      </c>
      <c r="B269" s="13"/>
      <c r="C269" s="13" t="s">
        <v>505</v>
      </c>
      <c r="D269" s="13"/>
      <c r="E269" s="32">
        <v>48256</v>
      </c>
      <c r="G269" s="35">
        <v>4779071</v>
      </c>
      <c r="H269" s="35"/>
      <c r="I269" s="35">
        <v>1577237</v>
      </c>
      <c r="J269" s="35"/>
      <c r="K269" s="35">
        <v>25295</v>
      </c>
      <c r="L269" s="35"/>
      <c r="M269" s="35">
        <v>0</v>
      </c>
      <c r="N269" s="35"/>
      <c r="O269" s="35">
        <v>478677</v>
      </c>
      <c r="P269" s="35"/>
      <c r="Q269" s="35">
        <v>542719</v>
      </c>
      <c r="R269" s="35"/>
      <c r="S269" s="35">
        <v>70508</v>
      </c>
      <c r="T269" s="35"/>
      <c r="U269" s="35">
        <v>769644</v>
      </c>
      <c r="V269" s="35"/>
      <c r="W269" s="35">
        <v>408354</v>
      </c>
      <c r="X269" s="35"/>
      <c r="Y269" s="35">
        <v>58222</v>
      </c>
      <c r="Z269" s="35"/>
      <c r="AA269" s="35">
        <v>1398102</v>
      </c>
      <c r="AB269" s="35"/>
      <c r="AC269" s="35">
        <v>489621</v>
      </c>
      <c r="AD269" s="35"/>
      <c r="AE269" s="35">
        <v>277243</v>
      </c>
      <c r="AF269" s="35"/>
      <c r="AG269" s="35">
        <v>586009</v>
      </c>
      <c r="AH269" s="35"/>
      <c r="AI269" s="35">
        <v>0</v>
      </c>
      <c r="AJ269" s="13" t="s">
        <v>504</v>
      </c>
      <c r="AK269" s="13"/>
      <c r="AL269" s="13" t="s">
        <v>505</v>
      </c>
      <c r="AN269" s="35">
        <v>563907</v>
      </c>
      <c r="AO269" s="35"/>
      <c r="AP269" s="35">
        <v>264727</v>
      </c>
      <c r="AQ269" s="35"/>
      <c r="AR269" s="35">
        <v>0</v>
      </c>
      <c r="AS269" s="35"/>
      <c r="AT269" s="35">
        <v>1890623</v>
      </c>
      <c r="AU269" s="35"/>
      <c r="AV269" s="35">
        <v>645525</v>
      </c>
      <c r="AW269" s="35"/>
      <c r="AX269" s="35">
        <v>0</v>
      </c>
      <c r="AY269" s="35"/>
      <c r="AZ269" s="44">
        <f t="shared" si="16"/>
        <v>14825484</v>
      </c>
      <c r="BA269" s="35"/>
      <c r="BB269" s="35">
        <v>752595</v>
      </c>
      <c r="BC269" s="35"/>
      <c r="BD269" s="35"/>
      <c r="BE269" s="35"/>
      <c r="BF269" s="35"/>
      <c r="BG269" s="35"/>
      <c r="BH269" s="35">
        <v>0</v>
      </c>
      <c r="BI269" s="35"/>
      <c r="BJ269" s="44">
        <f t="shared" si="17"/>
        <v>15578079</v>
      </c>
      <c r="BK269" s="35"/>
      <c r="BL269" s="44">
        <f>'Gov Fd Rv'!AQ269-'Gov Fnd Exp'!BJ269</f>
        <v>-717747</v>
      </c>
      <c r="BM269" s="35"/>
      <c r="BN269" s="35">
        <v>9894534</v>
      </c>
      <c r="BO269" s="35"/>
      <c r="BP269" s="35">
        <v>0</v>
      </c>
      <c r="BQ269" s="35"/>
      <c r="BR269" s="35"/>
      <c r="BS269" s="35"/>
      <c r="BT269" s="44">
        <f t="shared" si="18"/>
        <v>9176787</v>
      </c>
      <c r="BU269" s="9"/>
      <c r="BV269" s="9">
        <f>BT269-'Gov Fd BS'!AA269</f>
        <v>0</v>
      </c>
    </row>
    <row r="270" spans="1:76">
      <c r="A270" s="12" t="s">
        <v>985</v>
      </c>
      <c r="B270" s="13"/>
      <c r="C270" s="13" t="s">
        <v>50</v>
      </c>
      <c r="D270" s="13"/>
      <c r="E270" s="32">
        <v>48686</v>
      </c>
      <c r="G270" s="8">
        <v>1931991</v>
      </c>
      <c r="I270" s="8">
        <v>1797823</v>
      </c>
      <c r="K270" s="8">
        <v>0</v>
      </c>
      <c r="M270" s="8">
        <v>1800922</v>
      </c>
      <c r="O270" s="8">
        <v>207002</v>
      </c>
      <c r="Q270" s="8">
        <v>214605</v>
      </c>
      <c r="S270" s="8">
        <v>19230</v>
      </c>
      <c r="U270" s="8">
        <v>679577</v>
      </c>
      <c r="W270" s="8">
        <v>223962</v>
      </c>
      <c r="Y270" s="8">
        <v>297</v>
      </c>
      <c r="AA270" s="8">
        <v>687729</v>
      </c>
      <c r="AC270" s="8">
        <v>419434</v>
      </c>
      <c r="AE270" s="8">
        <v>38857</v>
      </c>
      <c r="AG270" s="8">
        <v>389332</v>
      </c>
      <c r="AI270" s="8">
        <v>16475</v>
      </c>
      <c r="AJ270" s="13" t="s">
        <v>548</v>
      </c>
      <c r="AK270" s="13"/>
      <c r="AL270" s="13" t="s">
        <v>50</v>
      </c>
      <c r="AN270" s="8">
        <v>153357</v>
      </c>
      <c r="AP270" s="8">
        <v>0</v>
      </c>
      <c r="AR270" s="8">
        <v>0</v>
      </c>
      <c r="AT270" s="8">
        <v>69087</v>
      </c>
      <c r="AV270" s="8">
        <v>91637</v>
      </c>
      <c r="AX270" s="8">
        <v>0</v>
      </c>
      <c r="AZ270" s="9">
        <f t="shared" si="16"/>
        <v>8741317</v>
      </c>
      <c r="BB270" s="8">
        <v>32092</v>
      </c>
      <c r="BH270" s="8">
        <v>0</v>
      </c>
      <c r="BJ270" s="9">
        <f t="shared" si="17"/>
        <v>8773409</v>
      </c>
      <c r="BL270" s="9">
        <f>'Gov Fd Rv'!AQ270-'Gov Fnd Exp'!BJ270</f>
        <v>2330226</v>
      </c>
      <c r="BN270" s="8">
        <v>-891266</v>
      </c>
      <c r="BP270" s="8">
        <v>0</v>
      </c>
      <c r="BT270" s="9">
        <f t="shared" si="18"/>
        <v>1438960</v>
      </c>
      <c r="BU270" s="9"/>
      <c r="BV270" s="9">
        <f>BT270-'Gov Fd BS'!AA270</f>
        <v>0</v>
      </c>
      <c r="BX270" s="8" t="s">
        <v>956</v>
      </c>
    </row>
    <row r="271" spans="1:76" hidden="1">
      <c r="A271" s="12" t="s">
        <v>949</v>
      </c>
      <c r="B271" s="12"/>
      <c r="C271" s="12" t="s">
        <v>603</v>
      </c>
      <c r="D271" s="13"/>
      <c r="E271" s="32"/>
      <c r="G271" s="8">
        <v>1935017</v>
      </c>
      <c r="I271" s="8">
        <v>213025</v>
      </c>
      <c r="K271" s="8">
        <v>51049</v>
      </c>
      <c r="M271" s="8">
        <v>850</v>
      </c>
      <c r="O271" s="8">
        <v>80517</v>
      </c>
      <c r="Q271" s="8">
        <v>100801</v>
      </c>
      <c r="S271" s="8">
        <v>21235</v>
      </c>
      <c r="U271" s="8">
        <v>394864</v>
      </c>
      <c r="W271" s="8">
        <v>133652</v>
      </c>
      <c r="AA271" s="8">
        <v>432065</v>
      </c>
      <c r="AC271" s="8">
        <v>151423</v>
      </c>
      <c r="AE271" s="8">
        <v>10857</v>
      </c>
      <c r="AG271" s="8">
        <v>140677</v>
      </c>
      <c r="AJ271" s="12" t="s">
        <v>949</v>
      </c>
      <c r="AK271" s="12"/>
      <c r="AL271" s="12" t="s">
        <v>603</v>
      </c>
      <c r="AN271" s="8">
        <v>214441</v>
      </c>
      <c r="AP271" s="8">
        <v>13978</v>
      </c>
      <c r="AT271" s="8">
        <v>195000</v>
      </c>
      <c r="AV271" s="8">
        <v>76548</v>
      </c>
      <c r="AZ271" s="9">
        <f t="shared" si="16"/>
        <v>4165999</v>
      </c>
      <c r="BH271" s="8">
        <f>-700-84+150-2</f>
        <v>-636</v>
      </c>
      <c r="BJ271" s="9">
        <f t="shared" si="17"/>
        <v>4165363</v>
      </c>
      <c r="BL271" s="9">
        <f>'Gov Fd Rv'!AQ271-'Gov Fnd Exp'!BJ271</f>
        <v>48724</v>
      </c>
      <c r="BN271" s="8">
        <v>714171</v>
      </c>
      <c r="BT271" s="9">
        <f t="shared" si="18"/>
        <v>762895</v>
      </c>
      <c r="BU271" s="9"/>
      <c r="BV271" s="9">
        <f>BT271-'Gov Fd BS'!AA271</f>
        <v>0</v>
      </c>
    </row>
    <row r="272" spans="1:76">
      <c r="A272" s="13" t="s">
        <v>474</v>
      </c>
      <c r="B272" s="13"/>
      <c r="C272" s="13" t="s">
        <v>42</v>
      </c>
      <c r="D272" s="13"/>
      <c r="E272" s="32">
        <v>47985</v>
      </c>
      <c r="G272" s="8">
        <v>6108388</v>
      </c>
      <c r="I272" s="8">
        <v>1237157</v>
      </c>
      <c r="K272" s="8">
        <v>176736</v>
      </c>
      <c r="M272" s="8">
        <v>200357</v>
      </c>
      <c r="O272" s="8">
        <v>468114</v>
      </c>
      <c r="Q272" s="8">
        <v>512032</v>
      </c>
      <c r="S272" s="8">
        <v>66022</v>
      </c>
      <c r="U272" s="8">
        <v>977530</v>
      </c>
      <c r="W272" s="8">
        <v>289121</v>
      </c>
      <c r="Y272" s="8">
        <v>0</v>
      </c>
      <c r="AA272" s="8">
        <v>1240875</v>
      </c>
      <c r="AC272" s="8">
        <v>773136</v>
      </c>
      <c r="AE272" s="8">
        <v>52110</v>
      </c>
      <c r="AG272" s="8">
        <v>405503</v>
      </c>
      <c r="AI272" s="8">
        <v>55487</v>
      </c>
      <c r="AJ272" s="13" t="s">
        <v>474</v>
      </c>
      <c r="AK272" s="13"/>
      <c r="AL272" s="13" t="s">
        <v>42</v>
      </c>
      <c r="AN272" s="8">
        <v>453190</v>
      </c>
      <c r="AP272" s="8">
        <v>0</v>
      </c>
      <c r="AR272" s="8">
        <v>0</v>
      </c>
      <c r="AT272" s="8">
        <v>132682</v>
      </c>
      <c r="AV272" s="8">
        <v>26951</v>
      </c>
      <c r="AX272" s="8">
        <v>0</v>
      </c>
      <c r="AZ272" s="9">
        <f t="shared" si="16"/>
        <v>13175391</v>
      </c>
      <c r="BB272" s="8">
        <v>124161</v>
      </c>
      <c r="BH272" s="8">
        <v>0</v>
      </c>
      <c r="BJ272" s="9">
        <f t="shared" si="17"/>
        <v>13299552</v>
      </c>
      <c r="BL272" s="9">
        <f>'Gov Fd Rv'!AQ272-'Gov Fnd Exp'!BJ272</f>
        <v>302282</v>
      </c>
      <c r="BN272" s="8">
        <v>3899649</v>
      </c>
      <c r="BP272" s="8">
        <v>0</v>
      </c>
      <c r="BT272" s="9">
        <f t="shared" si="18"/>
        <v>4201931</v>
      </c>
      <c r="BU272" s="9"/>
      <c r="BV272" s="9">
        <f>BT272-'Gov Fd BS'!AA272</f>
        <v>0</v>
      </c>
    </row>
    <row r="273" spans="1:76">
      <c r="A273" s="13" t="s">
        <v>506</v>
      </c>
      <c r="B273" s="13"/>
      <c r="C273" s="13" t="s">
        <v>505</v>
      </c>
      <c r="D273" s="13"/>
      <c r="E273" s="32">
        <v>48264</v>
      </c>
      <c r="G273" s="8">
        <v>7678288</v>
      </c>
      <c r="I273" s="8">
        <v>1466959</v>
      </c>
      <c r="K273" s="8">
        <v>134873</v>
      </c>
      <c r="M273" s="8">
        <v>22601</v>
      </c>
      <c r="O273" s="8">
        <v>1088907</v>
      </c>
      <c r="Q273" s="8">
        <v>807003</v>
      </c>
      <c r="S273" s="8">
        <v>135241</v>
      </c>
      <c r="U273" s="8">
        <v>1466857</v>
      </c>
      <c r="W273" s="8">
        <v>523110</v>
      </c>
      <c r="Y273" s="8">
        <v>7780</v>
      </c>
      <c r="AA273" s="8">
        <v>1575120</v>
      </c>
      <c r="AC273" s="8">
        <v>1065814</v>
      </c>
      <c r="AE273" s="8">
        <v>0</v>
      </c>
      <c r="AG273" s="8">
        <v>649408</v>
      </c>
      <c r="AI273" s="8">
        <v>0</v>
      </c>
      <c r="AJ273" s="13" t="s">
        <v>506</v>
      </c>
      <c r="AK273" s="13"/>
      <c r="AL273" s="13" t="s">
        <v>505</v>
      </c>
      <c r="AN273" s="8">
        <v>580308</v>
      </c>
      <c r="AP273" s="8">
        <v>549686</v>
      </c>
      <c r="AR273" s="8">
        <v>0</v>
      </c>
      <c r="AT273" s="8">
        <v>707632</v>
      </c>
      <c r="AV273" s="8">
        <v>946763</v>
      </c>
      <c r="AX273" s="8">
        <v>0</v>
      </c>
      <c r="AZ273" s="9">
        <f t="shared" si="16"/>
        <v>19406350</v>
      </c>
      <c r="BB273" s="8">
        <v>640559</v>
      </c>
      <c r="BH273" s="8">
        <v>0</v>
      </c>
      <c r="BJ273" s="9">
        <f t="shared" si="17"/>
        <v>20046909</v>
      </c>
      <c r="BL273" s="9">
        <f>'Gov Fd Rv'!AQ273-'Gov Fnd Exp'!BJ273</f>
        <v>2855497</v>
      </c>
      <c r="BN273" s="8">
        <v>4977074</v>
      </c>
      <c r="BP273" s="8">
        <v>0</v>
      </c>
      <c r="BT273" s="9">
        <f t="shared" si="18"/>
        <v>7832571</v>
      </c>
      <c r="BU273" s="9"/>
      <c r="BV273" s="9">
        <f>BT273-'Gov Fd BS'!AA273</f>
        <v>0</v>
      </c>
    </row>
    <row r="274" spans="1:76">
      <c r="A274" s="13" t="s">
        <v>682</v>
      </c>
      <c r="B274" s="13"/>
      <c r="C274" s="13" t="s">
        <v>64</v>
      </c>
      <c r="D274" s="13"/>
      <c r="E274" s="32">
        <v>50179</v>
      </c>
      <c r="G274" s="8">
        <v>3920084</v>
      </c>
      <c r="I274" s="8">
        <v>637916</v>
      </c>
      <c r="K274" s="8">
        <v>111213</v>
      </c>
      <c r="M274" s="8">
        <v>38816</v>
      </c>
      <c r="O274" s="8">
        <v>363878</v>
      </c>
      <c r="Q274" s="8">
        <v>136674</v>
      </c>
      <c r="S274" s="8">
        <v>52064</v>
      </c>
      <c r="U274" s="8">
        <v>681536</v>
      </c>
      <c r="W274" s="8">
        <v>323957</v>
      </c>
      <c r="Y274" s="8">
        <v>0</v>
      </c>
      <c r="AA274" s="8">
        <v>722279</v>
      </c>
      <c r="AC274" s="8">
        <v>704927</v>
      </c>
      <c r="AE274" s="8">
        <v>135252</v>
      </c>
      <c r="AG274" s="8">
        <v>0</v>
      </c>
      <c r="AI274" s="8">
        <v>452488</v>
      </c>
      <c r="AJ274" s="13" t="s">
        <v>682</v>
      </c>
      <c r="AK274" s="13"/>
      <c r="AL274" s="13" t="s">
        <v>64</v>
      </c>
      <c r="AN274" s="8">
        <v>220279</v>
      </c>
      <c r="AP274" s="8">
        <v>700955</v>
      </c>
      <c r="AR274" s="8">
        <v>0</v>
      </c>
      <c r="AT274" s="8">
        <v>308939</v>
      </c>
      <c r="AV274" s="8">
        <v>330345</v>
      </c>
      <c r="AX274" s="8">
        <v>0</v>
      </c>
      <c r="AZ274" s="9">
        <f t="shared" si="16"/>
        <v>9841602</v>
      </c>
      <c r="BB274" s="8">
        <v>5378</v>
      </c>
      <c r="BH274" s="8">
        <v>0</v>
      </c>
      <c r="BJ274" s="9">
        <f t="shared" si="17"/>
        <v>9846980</v>
      </c>
      <c r="BL274" s="9">
        <f>'Gov Fd Rv'!AQ274-'Gov Fnd Exp'!BJ274</f>
        <v>-541211</v>
      </c>
      <c r="BN274" s="8">
        <v>2745633</v>
      </c>
      <c r="BP274" s="8">
        <v>0</v>
      </c>
      <c r="BT274" s="9">
        <f t="shared" si="18"/>
        <v>2204422</v>
      </c>
      <c r="BU274" s="9"/>
      <c r="BV274" s="9">
        <f>BT274-'Gov Fd BS'!AA274</f>
        <v>0</v>
      </c>
    </row>
    <row r="275" spans="1:76">
      <c r="A275" s="13" t="s">
        <v>338</v>
      </c>
      <c r="B275" s="13"/>
      <c r="C275" s="13" t="s">
        <v>24</v>
      </c>
      <c r="D275" s="13"/>
      <c r="E275" s="32">
        <v>46797</v>
      </c>
      <c r="G275" s="8">
        <v>468461</v>
      </c>
      <c r="I275" s="8">
        <v>37916</v>
      </c>
      <c r="K275" s="8">
        <v>0</v>
      </c>
      <c r="M275" s="8">
        <v>0</v>
      </c>
      <c r="O275" s="8">
        <v>39026</v>
      </c>
      <c r="Q275" s="8">
        <v>92334</v>
      </c>
      <c r="S275" s="8">
        <v>27672</v>
      </c>
      <c r="U275" s="8">
        <v>94262</v>
      </c>
      <c r="W275" s="8">
        <v>38227</v>
      </c>
      <c r="Y275" s="8">
        <v>0</v>
      </c>
      <c r="AA275" s="8">
        <v>146997</v>
      </c>
      <c r="AC275" s="8">
        <v>0</v>
      </c>
      <c r="AE275" s="8">
        <v>0</v>
      </c>
      <c r="AG275" s="8">
        <v>0</v>
      </c>
      <c r="AI275" s="8">
        <v>0</v>
      </c>
      <c r="AJ275" s="13" t="s">
        <v>338</v>
      </c>
      <c r="AK275" s="13"/>
      <c r="AL275" s="13" t="s">
        <v>24</v>
      </c>
      <c r="AN275" s="8">
        <v>3102</v>
      </c>
      <c r="AP275" s="8">
        <v>86119</v>
      </c>
      <c r="AR275" s="8">
        <v>0</v>
      </c>
      <c r="AT275" s="8">
        <v>120000</v>
      </c>
      <c r="AV275" s="8">
        <v>2850</v>
      </c>
      <c r="AX275" s="8">
        <v>0</v>
      </c>
      <c r="AZ275" s="9">
        <f t="shared" si="16"/>
        <v>1156966</v>
      </c>
      <c r="BB275" s="8">
        <v>0</v>
      </c>
      <c r="BH275" s="8">
        <v>0</v>
      </c>
      <c r="BJ275" s="9">
        <f t="shared" si="17"/>
        <v>1156966</v>
      </c>
      <c r="BL275" s="9">
        <f>'Gov Fd Rv'!AQ275-'Gov Fnd Exp'!BJ275</f>
        <v>83566</v>
      </c>
      <c r="BN275" s="8">
        <v>441342</v>
      </c>
      <c r="BP275" s="8">
        <v>0</v>
      </c>
      <c r="BT275" s="9">
        <f t="shared" si="18"/>
        <v>524908</v>
      </c>
      <c r="BU275" s="9"/>
      <c r="BV275" s="9">
        <f>BT275-'Gov Fd BS'!AA275</f>
        <v>0</v>
      </c>
    </row>
    <row r="276" spans="1:76">
      <c r="A276" s="13" t="s">
        <v>380</v>
      </c>
      <c r="B276" s="13"/>
      <c r="C276" s="13" t="s">
        <v>30</v>
      </c>
      <c r="D276" s="13"/>
      <c r="E276" s="32">
        <v>47191</v>
      </c>
      <c r="G276" s="8">
        <v>14519913</v>
      </c>
      <c r="I276" s="8">
        <v>3927815</v>
      </c>
      <c r="K276" s="8">
        <v>140538</v>
      </c>
      <c r="M276" s="8">
        <v>674978</v>
      </c>
      <c r="O276" s="8">
        <v>2384355</v>
      </c>
      <c r="Q276" s="8">
        <v>1091575</v>
      </c>
      <c r="S276" s="8">
        <v>50224</v>
      </c>
      <c r="U276" s="8">
        <v>2958075</v>
      </c>
      <c r="W276" s="8">
        <v>1039231</v>
      </c>
      <c r="Y276" s="8">
        <v>46372</v>
      </c>
      <c r="AA276" s="8">
        <v>3697411</v>
      </c>
      <c r="AC276" s="8">
        <v>2483913</v>
      </c>
      <c r="AE276" s="8">
        <v>7066</v>
      </c>
      <c r="AG276" s="8">
        <v>0</v>
      </c>
      <c r="AI276" s="8">
        <f>142526+15544</f>
        <v>158070</v>
      </c>
      <c r="AJ276" s="13" t="s">
        <v>380</v>
      </c>
      <c r="AK276" s="13"/>
      <c r="AL276" s="13" t="s">
        <v>30</v>
      </c>
      <c r="AN276" s="8">
        <v>1377028</v>
      </c>
      <c r="AP276" s="8">
        <v>675558</v>
      </c>
      <c r="AR276" s="8">
        <v>0</v>
      </c>
      <c r="AT276" s="8">
        <v>1353500</v>
      </c>
      <c r="AV276" s="8">
        <v>2111108</v>
      </c>
      <c r="AX276" s="8">
        <v>0</v>
      </c>
      <c r="AZ276" s="9">
        <f t="shared" si="16"/>
        <v>38696730</v>
      </c>
      <c r="BB276" s="8">
        <v>116585</v>
      </c>
      <c r="BH276" s="8">
        <v>0</v>
      </c>
      <c r="BJ276" s="9">
        <f t="shared" si="17"/>
        <v>38813315</v>
      </c>
      <c r="BL276" s="9">
        <f>'Gov Fd Rv'!AQ276-'Gov Fnd Exp'!BJ276</f>
        <v>950754</v>
      </c>
      <c r="BN276" s="8">
        <v>13658370</v>
      </c>
      <c r="BP276" s="8">
        <v>0</v>
      </c>
      <c r="BT276" s="9">
        <f t="shared" si="18"/>
        <v>14609124</v>
      </c>
      <c r="BU276" s="9"/>
      <c r="BV276" s="9">
        <f>BT276-'Gov Fd BS'!AA276</f>
        <v>0</v>
      </c>
    </row>
    <row r="277" spans="1:76">
      <c r="A277" s="13" t="s">
        <v>592</v>
      </c>
      <c r="B277" s="13"/>
      <c r="C277" s="13" t="s">
        <v>56</v>
      </c>
      <c r="D277" s="13"/>
      <c r="E277" s="32">
        <v>44164</v>
      </c>
      <c r="G277" s="8">
        <v>17766437</v>
      </c>
      <c r="I277" s="8">
        <v>4661500</v>
      </c>
      <c r="K277" s="8">
        <v>2091981</v>
      </c>
      <c r="M277" s="8">
        <f>91881+605928+800829</f>
        <v>1498638</v>
      </c>
      <c r="O277" s="8">
        <v>2419046</v>
      </c>
      <c r="Q277" s="8">
        <v>2847151</v>
      </c>
      <c r="S277" s="8">
        <v>189960</v>
      </c>
      <c r="U277" s="8">
        <v>3171398</v>
      </c>
      <c r="W277" s="8">
        <v>962217</v>
      </c>
      <c r="Y277" s="8">
        <v>330832</v>
      </c>
      <c r="AA277" s="8">
        <v>3283907</v>
      </c>
      <c r="AC277" s="8">
        <v>1408781</v>
      </c>
      <c r="AE277" s="8">
        <v>355929</v>
      </c>
      <c r="AG277" s="8">
        <v>1308466</v>
      </c>
      <c r="AI277" s="8">
        <v>492126</v>
      </c>
      <c r="AJ277" s="13" t="s">
        <v>592</v>
      </c>
      <c r="AK277" s="13"/>
      <c r="AL277" s="13" t="s">
        <v>56</v>
      </c>
      <c r="AN277" s="8">
        <v>1181348</v>
      </c>
      <c r="AP277" s="8">
        <v>634947</v>
      </c>
      <c r="AR277" s="8">
        <v>6948</v>
      </c>
      <c r="AT277" s="8">
        <v>1712133</v>
      </c>
      <c r="AV277" s="8">
        <v>1188854</v>
      </c>
      <c r="AX277" s="8">
        <v>0</v>
      </c>
      <c r="AZ277" s="9">
        <f t="shared" si="16"/>
        <v>47512599</v>
      </c>
      <c r="BB277" s="8">
        <v>605320</v>
      </c>
      <c r="BH277" s="8">
        <v>0</v>
      </c>
      <c r="BJ277" s="9">
        <f t="shared" si="17"/>
        <v>48117919</v>
      </c>
      <c r="BL277" s="9">
        <f>'Gov Fd Rv'!AQ277-'Gov Fnd Exp'!BJ277</f>
        <v>2922773</v>
      </c>
      <c r="BN277" s="8">
        <v>12077961</v>
      </c>
      <c r="BP277" s="8">
        <v>0</v>
      </c>
      <c r="BT277" s="9">
        <f t="shared" si="18"/>
        <v>15000734</v>
      </c>
      <c r="BU277" s="9"/>
      <c r="BV277" s="9">
        <f>BT277-'Gov Fd BS'!AA277</f>
        <v>0</v>
      </c>
    </row>
    <row r="278" spans="1:76">
      <c r="A278" s="13" t="s">
        <v>423</v>
      </c>
      <c r="B278" s="13"/>
      <c r="C278" s="13" t="s">
        <v>421</v>
      </c>
      <c r="D278" s="13"/>
      <c r="E278" s="32">
        <v>44172</v>
      </c>
      <c r="G278" s="8">
        <v>9324612</v>
      </c>
      <c r="I278" s="8">
        <v>2500405</v>
      </c>
      <c r="K278" s="8">
        <v>220738</v>
      </c>
      <c r="M278" s="8">
        <v>0</v>
      </c>
      <c r="O278" s="8">
        <v>558195</v>
      </c>
      <c r="Q278" s="8">
        <v>1136883</v>
      </c>
      <c r="S278" s="8">
        <v>38467</v>
      </c>
      <c r="U278" s="8">
        <v>1692890</v>
      </c>
      <c r="W278" s="8">
        <v>444427</v>
      </c>
      <c r="Y278" s="8">
        <v>0</v>
      </c>
      <c r="AA278" s="8">
        <v>1620259</v>
      </c>
      <c r="AC278" s="8">
        <v>706128</v>
      </c>
      <c r="AE278" s="8">
        <v>42556</v>
      </c>
      <c r="AG278" s="8">
        <v>0</v>
      </c>
      <c r="AI278" s="8">
        <v>848924</v>
      </c>
      <c r="AJ278" s="13" t="s">
        <v>423</v>
      </c>
      <c r="AK278" s="13"/>
      <c r="AL278" s="13" t="s">
        <v>421</v>
      </c>
      <c r="AN278" s="8">
        <v>226061</v>
      </c>
      <c r="AP278" s="8">
        <v>0</v>
      </c>
      <c r="AR278" s="8">
        <v>0</v>
      </c>
      <c r="AT278" s="8">
        <v>0</v>
      </c>
      <c r="AV278" s="8">
        <v>0</v>
      </c>
      <c r="AX278" s="8">
        <v>0</v>
      </c>
      <c r="AZ278" s="9">
        <f t="shared" si="16"/>
        <v>19360545</v>
      </c>
      <c r="BB278" s="8">
        <v>0</v>
      </c>
      <c r="BH278" s="8">
        <v>0</v>
      </c>
      <c r="BJ278" s="9">
        <f t="shared" si="17"/>
        <v>19360545</v>
      </c>
      <c r="BL278" s="9">
        <f>'Gov Fd Rv'!AQ278-'Gov Fnd Exp'!BJ278</f>
        <v>-615786</v>
      </c>
      <c r="BN278" s="8">
        <v>3264393</v>
      </c>
      <c r="BP278" s="8">
        <v>0</v>
      </c>
      <c r="BT278" s="9">
        <f t="shared" si="18"/>
        <v>2648607</v>
      </c>
      <c r="BU278" s="9"/>
      <c r="BV278" s="9">
        <f>BT278-'Gov Fd BS'!AA278</f>
        <v>0</v>
      </c>
    </row>
    <row r="279" spans="1:76">
      <c r="A279" s="13" t="s">
        <v>549</v>
      </c>
      <c r="B279" s="13"/>
      <c r="C279" s="13" t="s">
        <v>50</v>
      </c>
      <c r="D279" s="13"/>
      <c r="E279" s="32">
        <v>44180</v>
      </c>
      <c r="G279" s="8">
        <v>33672384</v>
      </c>
      <c r="I279" s="8">
        <v>8147614</v>
      </c>
      <c r="K279" s="8">
        <v>2091786</v>
      </c>
      <c r="M279" s="8">
        <f>41716+2706076</f>
        <v>2747792</v>
      </c>
      <c r="O279" s="8">
        <v>7655385</v>
      </c>
      <c r="Q279" s="8">
        <v>4638447</v>
      </c>
      <c r="S279" s="8">
        <v>73370</v>
      </c>
      <c r="U279" s="8">
        <v>6680120</v>
      </c>
      <c r="W279" s="8">
        <v>1900061</v>
      </c>
      <c r="Y279" s="8">
        <v>571214</v>
      </c>
      <c r="AA279" s="8">
        <v>8323159</v>
      </c>
      <c r="AC279" s="8">
        <v>3505177</v>
      </c>
      <c r="AE279" s="8">
        <v>1689751</v>
      </c>
      <c r="AG279" s="8">
        <v>0</v>
      </c>
      <c r="AI279" s="8">
        <v>4625262</v>
      </c>
      <c r="AJ279" s="13" t="s">
        <v>549</v>
      </c>
      <c r="AK279" s="13"/>
      <c r="AL279" s="13" t="s">
        <v>50</v>
      </c>
      <c r="AN279" s="8">
        <v>1724190</v>
      </c>
      <c r="AP279" s="8">
        <v>34781</v>
      </c>
      <c r="AR279" s="8">
        <v>0</v>
      </c>
      <c r="AT279" s="8">
        <v>3228503</v>
      </c>
      <c r="AV279" s="8">
        <v>4466790</v>
      </c>
      <c r="AX279" s="8">
        <v>0</v>
      </c>
      <c r="AZ279" s="9">
        <f t="shared" si="16"/>
        <v>95775786</v>
      </c>
      <c r="BB279" s="8">
        <v>0</v>
      </c>
      <c r="BH279" s="8">
        <v>0</v>
      </c>
      <c r="BJ279" s="9">
        <f t="shared" si="17"/>
        <v>95775786</v>
      </c>
      <c r="BL279" s="9">
        <f>'Gov Fd Rv'!AQ279-'Gov Fnd Exp'!BJ279</f>
        <v>228196</v>
      </c>
      <c r="BN279" s="8">
        <v>13817595</v>
      </c>
      <c r="BP279" s="8">
        <v>28954</v>
      </c>
      <c r="BT279" s="9">
        <f t="shared" si="18"/>
        <v>14074745</v>
      </c>
      <c r="BU279" s="9"/>
      <c r="BV279" s="9">
        <f>BT279-'Gov Fd BS'!AA279</f>
        <v>0</v>
      </c>
    </row>
    <row r="280" spans="1:76">
      <c r="A280" s="13" t="s">
        <v>489</v>
      </c>
      <c r="B280" s="13"/>
      <c r="C280" s="13" t="s">
        <v>44</v>
      </c>
      <c r="D280" s="13"/>
      <c r="E280" s="32">
        <v>48165</v>
      </c>
      <c r="G280" s="8">
        <v>6935336</v>
      </c>
      <c r="I280" s="8">
        <v>1416148</v>
      </c>
      <c r="K280" s="8">
        <v>102032</v>
      </c>
      <c r="M280" s="8">
        <v>89025</v>
      </c>
      <c r="O280" s="8">
        <v>805837</v>
      </c>
      <c r="Q280" s="8">
        <v>439700</v>
      </c>
      <c r="S280" s="8">
        <v>42208</v>
      </c>
      <c r="U280" s="8">
        <v>1134662</v>
      </c>
      <c r="W280" s="8">
        <v>413401</v>
      </c>
      <c r="Y280" s="8">
        <v>0</v>
      </c>
      <c r="AA280" s="8">
        <v>1307832</v>
      </c>
      <c r="AC280" s="8">
        <v>933691</v>
      </c>
      <c r="AE280" s="8">
        <v>462887</v>
      </c>
      <c r="AG280" s="8">
        <v>480562</v>
      </c>
      <c r="AI280" s="8">
        <f>59162+80774</f>
        <v>139936</v>
      </c>
      <c r="AJ280" s="13" t="s">
        <v>489</v>
      </c>
      <c r="AK280" s="13"/>
      <c r="AL280" s="13" t="s">
        <v>44</v>
      </c>
      <c r="AN280" s="8">
        <v>363707</v>
      </c>
      <c r="AP280" s="8">
        <v>1721517</v>
      </c>
      <c r="AR280" s="8">
        <v>0</v>
      </c>
      <c r="AT280" s="8">
        <v>645000</v>
      </c>
      <c r="AV280" s="8">
        <v>754830</v>
      </c>
      <c r="AX280" s="8">
        <v>0</v>
      </c>
      <c r="AZ280" s="9">
        <f t="shared" si="16"/>
        <v>18188311</v>
      </c>
      <c r="BB280" s="8">
        <v>28937</v>
      </c>
      <c r="BH280" s="8">
        <v>0</v>
      </c>
      <c r="BJ280" s="9">
        <f t="shared" si="17"/>
        <v>18217248</v>
      </c>
      <c r="BL280" s="9">
        <f>'Gov Fd Rv'!AQ280-'Gov Fnd Exp'!BJ280</f>
        <v>390531</v>
      </c>
      <c r="BN280" s="8">
        <v>6820292</v>
      </c>
      <c r="BP280" s="8">
        <v>0</v>
      </c>
      <c r="BT280" s="9">
        <f t="shared" si="18"/>
        <v>7210823</v>
      </c>
      <c r="BU280" s="9"/>
      <c r="BV280" s="9">
        <f>BT280-'Gov Fd BS'!AA280</f>
        <v>0</v>
      </c>
    </row>
    <row r="281" spans="1:76">
      <c r="A281" s="13" t="s">
        <v>710</v>
      </c>
      <c r="B281" s="13"/>
      <c r="C281" s="13" t="s">
        <v>69</v>
      </c>
      <c r="D281" s="13"/>
      <c r="E281" s="32">
        <v>50435</v>
      </c>
      <c r="G281" s="8">
        <v>18742503</v>
      </c>
      <c r="I281" s="8">
        <v>4170879</v>
      </c>
      <c r="K281" s="8">
        <v>0</v>
      </c>
      <c r="M281" s="8">
        <v>664870</v>
      </c>
      <c r="O281" s="8">
        <v>1786354</v>
      </c>
      <c r="Q281" s="8">
        <v>1330786</v>
      </c>
      <c r="S281" s="8">
        <v>81060</v>
      </c>
      <c r="U281" s="8">
        <v>3466705</v>
      </c>
      <c r="W281" s="8">
        <v>515129</v>
      </c>
      <c r="Y281" s="8">
        <v>237074</v>
      </c>
      <c r="AA281" s="8">
        <v>3834783</v>
      </c>
      <c r="AC281" s="8">
        <v>2866851</v>
      </c>
      <c r="AE281" s="8">
        <v>250868</v>
      </c>
      <c r="AG281" s="8">
        <v>0</v>
      </c>
      <c r="AI281" s="8">
        <v>497159</v>
      </c>
      <c r="AJ281" s="13" t="s">
        <v>710</v>
      </c>
      <c r="AK281" s="13"/>
      <c r="AL281" s="13" t="s">
        <v>69</v>
      </c>
      <c r="AN281" s="8">
        <v>1240225</v>
      </c>
      <c r="AP281" s="8">
        <v>11384185</v>
      </c>
      <c r="AR281" s="8">
        <v>0</v>
      </c>
      <c r="AT281" s="8">
        <v>3657366</v>
      </c>
      <c r="AV281" s="8">
        <v>3380780</v>
      </c>
      <c r="AX281" s="8">
        <v>0</v>
      </c>
      <c r="AZ281" s="9">
        <f t="shared" si="16"/>
        <v>58107577</v>
      </c>
      <c r="BB281" s="8">
        <v>0</v>
      </c>
      <c r="BH281" s="8">
        <v>0</v>
      </c>
      <c r="BJ281" s="9">
        <f t="shared" si="17"/>
        <v>58107577</v>
      </c>
      <c r="BL281" s="9">
        <f>'Gov Fd Rv'!AQ281-'Gov Fnd Exp'!BJ281</f>
        <v>-12508245</v>
      </c>
      <c r="BN281" s="8">
        <v>31929445</v>
      </c>
      <c r="BP281" s="8">
        <v>0</v>
      </c>
      <c r="BT281" s="9">
        <f t="shared" si="18"/>
        <v>19421200</v>
      </c>
      <c r="BU281" s="9"/>
      <c r="BV281" s="9">
        <f>BT281-'Gov Fd BS'!AA281</f>
        <v>0</v>
      </c>
    </row>
    <row r="282" spans="1:76" hidden="1">
      <c r="A282" s="12" t="s">
        <v>1021</v>
      </c>
      <c r="B282" s="13"/>
      <c r="C282" s="13" t="s">
        <v>41</v>
      </c>
      <c r="D282" s="13"/>
      <c r="E282" s="32">
        <v>47878</v>
      </c>
      <c r="G282" s="8">
        <v>5706629</v>
      </c>
      <c r="I282" s="8">
        <v>1154296</v>
      </c>
      <c r="K282" s="8">
        <v>49111</v>
      </c>
      <c r="M282" s="8">
        <v>111771</v>
      </c>
      <c r="O282" s="8">
        <v>735871</v>
      </c>
      <c r="Q282" s="8">
        <v>532461</v>
      </c>
      <c r="S282" s="8">
        <v>153316</v>
      </c>
      <c r="U282" s="8">
        <v>982323</v>
      </c>
      <c r="W282" s="8">
        <v>479536</v>
      </c>
      <c r="Y282" s="8">
        <v>26315</v>
      </c>
      <c r="AA282" s="8">
        <v>1336519</v>
      </c>
      <c r="AC282" s="8">
        <v>969004</v>
      </c>
      <c r="AE282" s="8">
        <v>149227</v>
      </c>
      <c r="AG282" s="8">
        <v>233591</v>
      </c>
      <c r="AI282" s="8">
        <v>154570</v>
      </c>
      <c r="AJ282" s="13" t="s">
        <v>459</v>
      </c>
      <c r="AK282" s="13"/>
      <c r="AL282" s="13" t="s">
        <v>41</v>
      </c>
      <c r="AN282" s="8">
        <v>753499</v>
      </c>
      <c r="AP282" s="8">
        <v>9276053</v>
      </c>
      <c r="AT282" s="8">
        <v>640000</v>
      </c>
      <c r="AV282" s="8">
        <v>682838</v>
      </c>
      <c r="AZ282" s="9">
        <f t="shared" si="16"/>
        <v>24126930</v>
      </c>
      <c r="BH282" s="8">
        <v>-50000</v>
      </c>
      <c r="BJ282" s="9">
        <f t="shared" si="17"/>
        <v>24076930</v>
      </c>
      <c r="BL282" s="9">
        <f>'Gov Fd Rv'!AQ282-'Gov Fnd Exp'!BJ282</f>
        <v>-8314556</v>
      </c>
      <c r="BN282" s="8">
        <v>19912014</v>
      </c>
      <c r="BT282" s="9">
        <f t="shared" si="18"/>
        <v>11597458</v>
      </c>
      <c r="BU282" s="9"/>
      <c r="BV282" s="9">
        <f>BT282-'Gov Fd BS'!AA282</f>
        <v>0</v>
      </c>
      <c r="BX282" s="15"/>
    </row>
    <row r="283" spans="1:76">
      <c r="A283" s="13" t="s">
        <v>683</v>
      </c>
      <c r="B283" s="13"/>
      <c r="C283" s="13" t="s">
        <v>64</v>
      </c>
      <c r="D283" s="13"/>
      <c r="E283" s="32">
        <v>50245</v>
      </c>
      <c r="G283" s="8">
        <v>6526502</v>
      </c>
      <c r="I283" s="8">
        <v>1546591</v>
      </c>
      <c r="K283" s="8">
        <v>88461</v>
      </c>
      <c r="M283" s="8">
        <v>522240</v>
      </c>
      <c r="O283" s="8">
        <v>637525</v>
      </c>
      <c r="Q283" s="8">
        <v>261705</v>
      </c>
      <c r="S283" s="8">
        <v>64490</v>
      </c>
      <c r="U283" s="8">
        <v>1183641</v>
      </c>
      <c r="W283" s="8">
        <v>296031</v>
      </c>
      <c r="Y283" s="8">
        <v>0</v>
      </c>
      <c r="AA283" s="8">
        <v>1722563</v>
      </c>
      <c r="AC283" s="8">
        <v>564101</v>
      </c>
      <c r="AE283" s="8">
        <v>113449</v>
      </c>
      <c r="AG283" s="8">
        <v>688995</v>
      </c>
      <c r="AI283" s="8">
        <v>6719</v>
      </c>
      <c r="AJ283" s="13" t="s">
        <v>683</v>
      </c>
      <c r="AK283" s="13"/>
      <c r="AL283" s="13" t="s">
        <v>64</v>
      </c>
      <c r="AN283" s="8">
        <v>361016</v>
      </c>
      <c r="AP283" s="8">
        <v>137262</v>
      </c>
      <c r="AR283" s="8">
        <v>0</v>
      </c>
      <c r="AT283" s="8">
        <v>496750</v>
      </c>
      <c r="AV283" s="8">
        <v>421172</v>
      </c>
      <c r="AX283" s="8">
        <v>0</v>
      </c>
      <c r="AZ283" s="9">
        <f t="shared" si="16"/>
        <v>15639213</v>
      </c>
      <c r="BB283" s="8">
        <v>0</v>
      </c>
      <c r="BH283" s="8">
        <v>0</v>
      </c>
      <c r="BJ283" s="9">
        <f t="shared" si="17"/>
        <v>15639213</v>
      </c>
      <c r="BL283" s="9">
        <f>'Gov Fd Rv'!AQ283-'Gov Fnd Exp'!BJ283</f>
        <v>-671507</v>
      </c>
      <c r="BN283" s="8">
        <v>5468735</v>
      </c>
      <c r="BP283" s="8">
        <v>-4555</v>
      </c>
      <c r="BT283" s="9">
        <f t="shared" si="18"/>
        <v>4792673</v>
      </c>
      <c r="BU283" s="9"/>
      <c r="BV283" s="9">
        <f>BT283-'Gov Fd BS'!AA283</f>
        <v>0</v>
      </c>
    </row>
    <row r="284" spans="1:76">
      <c r="A284" s="13" t="s">
        <v>653</v>
      </c>
      <c r="B284" s="13"/>
      <c r="C284" s="13" t="s">
        <v>62</v>
      </c>
      <c r="D284" s="13"/>
      <c r="E284" s="32">
        <v>49866</v>
      </c>
      <c r="G284" s="8">
        <v>13878260</v>
      </c>
      <c r="I284" s="8">
        <v>3112569</v>
      </c>
      <c r="K284" s="8">
        <v>454303</v>
      </c>
      <c r="M284" s="8">
        <f>301805+881020</f>
        <v>1182825</v>
      </c>
      <c r="O284" s="8">
        <v>949431</v>
      </c>
      <c r="Q284" s="8">
        <v>1503807</v>
      </c>
      <c r="S284" s="8">
        <v>26288</v>
      </c>
      <c r="U284" s="8">
        <v>2677863</v>
      </c>
      <c r="W284" s="8">
        <v>622670</v>
      </c>
      <c r="Y284" s="8">
        <v>72969</v>
      </c>
      <c r="AA284" s="8">
        <v>3272079</v>
      </c>
      <c r="AC284" s="8">
        <v>2022818</v>
      </c>
      <c r="AE284" s="8">
        <v>159175</v>
      </c>
      <c r="AG284" s="8">
        <v>0</v>
      </c>
      <c r="AI284" s="8">
        <v>488042</v>
      </c>
      <c r="AJ284" s="13" t="s">
        <v>653</v>
      </c>
      <c r="AK284" s="13"/>
      <c r="AL284" s="13" t="s">
        <v>62</v>
      </c>
      <c r="AN284" s="8">
        <v>851851</v>
      </c>
      <c r="AP284" s="8">
        <v>81928</v>
      </c>
      <c r="AR284" s="8">
        <v>0</v>
      </c>
      <c r="AT284" s="8">
        <v>485402</v>
      </c>
      <c r="AV284" s="8">
        <v>1609496</v>
      </c>
      <c r="AX284" s="8">
        <v>0</v>
      </c>
      <c r="AZ284" s="9">
        <f t="shared" si="16"/>
        <v>33451776</v>
      </c>
      <c r="BB284" s="8">
        <v>100443</v>
      </c>
      <c r="BH284" s="8">
        <v>0</v>
      </c>
      <c r="BJ284" s="9">
        <f t="shared" si="17"/>
        <v>33552219</v>
      </c>
      <c r="BL284" s="9">
        <f>'Gov Fd Rv'!AQ284-'Gov Fnd Exp'!BJ284</f>
        <v>880921</v>
      </c>
      <c r="BN284" s="8">
        <v>5117584</v>
      </c>
      <c r="BP284" s="8">
        <v>0</v>
      </c>
      <c r="BT284" s="9">
        <f t="shared" si="18"/>
        <v>5998505</v>
      </c>
      <c r="BU284" s="9"/>
      <c r="BV284" s="9">
        <f>BT284-'Gov Fd BS'!AA284</f>
        <v>0</v>
      </c>
    </row>
    <row r="285" spans="1:76">
      <c r="A285" s="13" t="s">
        <v>653</v>
      </c>
      <c r="B285" s="13"/>
      <c r="C285" s="13" t="s">
        <v>72</v>
      </c>
      <c r="D285" s="13"/>
      <c r="E285" s="32">
        <v>50690</v>
      </c>
      <c r="G285" s="8">
        <v>7041886</v>
      </c>
      <c r="I285" s="8">
        <v>1732889</v>
      </c>
      <c r="K285" s="8">
        <v>172722</v>
      </c>
      <c r="M285" s="8">
        <v>0</v>
      </c>
      <c r="O285" s="8">
        <v>617556</v>
      </c>
      <c r="Q285" s="8">
        <v>643698</v>
      </c>
      <c r="S285" s="8">
        <v>89885</v>
      </c>
      <c r="U285" s="8">
        <v>1064971</v>
      </c>
      <c r="W285" s="8">
        <v>473956</v>
      </c>
      <c r="Y285" s="8">
        <v>0</v>
      </c>
      <c r="AA285" s="8">
        <v>1584561</v>
      </c>
      <c r="AC285" s="8">
        <v>777074</v>
      </c>
      <c r="AE285" s="8">
        <v>127002</v>
      </c>
      <c r="AG285" s="8">
        <v>507140</v>
      </c>
      <c r="AI285" s="8">
        <v>88210</v>
      </c>
      <c r="AJ285" s="13" t="s">
        <v>653</v>
      </c>
      <c r="AK285" s="13"/>
      <c r="AL285" s="13" t="s">
        <v>72</v>
      </c>
      <c r="AN285" s="8">
        <v>674150</v>
      </c>
      <c r="AP285" s="8">
        <v>522793</v>
      </c>
      <c r="AR285" s="8">
        <v>0</v>
      </c>
      <c r="AT285" s="8">
        <v>1000259</v>
      </c>
      <c r="AV285" s="8">
        <v>474609</v>
      </c>
      <c r="AX285" s="8">
        <v>0</v>
      </c>
      <c r="AZ285" s="9">
        <f t="shared" si="16"/>
        <v>17593361</v>
      </c>
      <c r="BB285" s="8">
        <v>114747</v>
      </c>
      <c r="BH285" s="8">
        <v>0</v>
      </c>
      <c r="BJ285" s="9">
        <f t="shared" si="17"/>
        <v>17708108</v>
      </c>
      <c r="BL285" s="9">
        <f>'Gov Fd Rv'!AQ285-'Gov Fnd Exp'!BJ285</f>
        <v>-701839</v>
      </c>
      <c r="BN285" s="8">
        <v>4857075</v>
      </c>
      <c r="BP285" s="8">
        <v>0</v>
      </c>
      <c r="BT285" s="9">
        <f t="shared" si="18"/>
        <v>4155236</v>
      </c>
      <c r="BU285" s="9"/>
      <c r="BV285" s="9">
        <f>BT285-'Gov Fd BS'!AA285</f>
        <v>0</v>
      </c>
    </row>
    <row r="286" spans="1:76">
      <c r="A286" s="13" t="s">
        <v>684</v>
      </c>
      <c r="B286" s="13"/>
      <c r="C286" s="13" t="s">
        <v>64</v>
      </c>
      <c r="D286" s="13"/>
      <c r="E286" s="32">
        <v>50187</v>
      </c>
      <c r="G286" s="8">
        <v>7112237</v>
      </c>
      <c r="I286" s="8">
        <v>2690229</v>
      </c>
      <c r="K286" s="8">
        <v>1431</v>
      </c>
      <c r="M286" s="8">
        <v>0</v>
      </c>
      <c r="O286" s="8">
        <v>907141</v>
      </c>
      <c r="Q286" s="8">
        <v>818643</v>
      </c>
      <c r="S286" s="8">
        <v>43615</v>
      </c>
      <c r="U286" s="8">
        <v>1255518</v>
      </c>
      <c r="W286" s="8">
        <v>428149</v>
      </c>
      <c r="Y286" s="8">
        <v>0</v>
      </c>
      <c r="AA286" s="8">
        <v>1501768</v>
      </c>
      <c r="AC286" s="8">
        <v>650509</v>
      </c>
      <c r="AE286" s="8">
        <v>0</v>
      </c>
      <c r="AG286" s="8">
        <v>575446</v>
      </c>
      <c r="AI286" s="8">
        <v>7601</v>
      </c>
      <c r="AJ286" s="13" t="s">
        <v>684</v>
      </c>
      <c r="AK286" s="13"/>
      <c r="AL286" s="13" t="s">
        <v>64</v>
      </c>
      <c r="AN286" s="8">
        <v>478125</v>
      </c>
      <c r="AP286" s="8">
        <v>66623</v>
      </c>
      <c r="AR286" s="8">
        <v>0</v>
      </c>
      <c r="AT286" s="8">
        <v>328436</v>
      </c>
      <c r="AV286" s="8">
        <v>502125</v>
      </c>
      <c r="AX286" s="8">
        <v>0</v>
      </c>
      <c r="AZ286" s="9">
        <f t="shared" si="16"/>
        <v>17367596</v>
      </c>
      <c r="BB286" s="8">
        <v>430</v>
      </c>
      <c r="BH286" s="8">
        <v>0</v>
      </c>
      <c r="BJ286" s="9">
        <f t="shared" si="17"/>
        <v>17368026</v>
      </c>
      <c r="BL286" s="9">
        <f>'Gov Fd Rv'!AQ286-'Gov Fnd Exp'!BJ286</f>
        <v>943029</v>
      </c>
      <c r="BN286" s="8">
        <v>-1508243</v>
      </c>
      <c r="BP286" s="8">
        <v>0</v>
      </c>
      <c r="BT286" s="9">
        <f t="shared" si="18"/>
        <v>-565214</v>
      </c>
      <c r="BU286" s="9"/>
      <c r="BV286" s="9">
        <f>BT286-'Gov Fd BS'!AA286</f>
        <v>0</v>
      </c>
    </row>
    <row r="287" spans="1:76">
      <c r="A287" s="13" t="s">
        <v>310</v>
      </c>
      <c r="B287" s="13"/>
      <c r="C287" s="13" t="s">
        <v>20</v>
      </c>
      <c r="D287" s="13"/>
      <c r="E287" s="32">
        <v>44198</v>
      </c>
      <c r="G287" s="8">
        <v>27386351</v>
      </c>
      <c r="I287" s="8">
        <v>12299011</v>
      </c>
      <c r="K287" s="8">
        <v>3389136</v>
      </c>
      <c r="M287" s="8">
        <f>260049+2965907</f>
        <v>3225956</v>
      </c>
      <c r="O287" s="8">
        <f>5074295</f>
        <v>5074295</v>
      </c>
      <c r="Q287" s="8">
        <v>4849198</v>
      </c>
      <c r="S287" s="8">
        <v>179159</v>
      </c>
      <c r="U287" s="8">
        <v>3266052</v>
      </c>
      <c r="W287" s="8">
        <v>1726754</v>
      </c>
      <c r="Y287" s="8">
        <v>1021610</v>
      </c>
      <c r="AA287" s="8">
        <v>8397962</v>
      </c>
      <c r="AC287" s="8">
        <v>78546</v>
      </c>
      <c r="AE287" s="8">
        <v>537199</v>
      </c>
      <c r="AG287" s="8">
        <v>0</v>
      </c>
      <c r="AI287" s="8">
        <v>2826545</v>
      </c>
      <c r="AJ287" s="13" t="s">
        <v>310</v>
      </c>
      <c r="AK287" s="13"/>
      <c r="AL287" s="13" t="s">
        <v>20</v>
      </c>
      <c r="AN287" s="8">
        <v>1241736</v>
      </c>
      <c r="AP287" s="8">
        <v>24910014</v>
      </c>
      <c r="AR287" s="8">
        <v>0</v>
      </c>
      <c r="AT287" s="8">
        <v>3506838</v>
      </c>
      <c r="AV287" s="8">
        <v>5566033</v>
      </c>
      <c r="AX287" s="8">
        <v>0</v>
      </c>
      <c r="AZ287" s="9">
        <f t="shared" si="16"/>
        <v>109482395</v>
      </c>
      <c r="BB287" s="8">
        <v>45000</v>
      </c>
      <c r="BH287" s="8">
        <v>0</v>
      </c>
      <c r="BJ287" s="9">
        <f t="shared" si="17"/>
        <v>109527395</v>
      </c>
      <c r="BL287" s="9">
        <f>'Gov Fd Rv'!AQ287-'Gov Fnd Exp'!BJ287</f>
        <v>-26499013</v>
      </c>
      <c r="BN287" s="8">
        <v>53357740</v>
      </c>
      <c r="BP287" s="8">
        <v>0</v>
      </c>
      <c r="BR287" s="8">
        <v>0</v>
      </c>
      <c r="BT287" s="9">
        <f t="shared" si="18"/>
        <v>26858727</v>
      </c>
      <c r="BU287" s="9"/>
      <c r="BV287" s="9">
        <f>BT287-'Gov Fd BS'!AA287</f>
        <v>0</v>
      </c>
    </row>
    <row r="288" spans="1:76">
      <c r="A288" s="13" t="s">
        <v>863</v>
      </c>
      <c r="B288" s="13"/>
      <c r="C288" s="13" t="s">
        <v>42</v>
      </c>
      <c r="D288" s="13"/>
      <c r="E288" s="32">
        <v>47993</v>
      </c>
      <c r="G288" s="8">
        <v>12064984</v>
      </c>
      <c r="I288" s="8">
        <v>0</v>
      </c>
      <c r="K288" s="8">
        <v>0</v>
      </c>
      <c r="M288" s="8">
        <v>0</v>
      </c>
      <c r="O288" s="8">
        <v>1311184</v>
      </c>
      <c r="Q288" s="8">
        <v>364416</v>
      </c>
      <c r="S288" s="8">
        <v>50581</v>
      </c>
      <c r="U288" s="8">
        <v>1652690</v>
      </c>
      <c r="W288" s="8">
        <v>631868</v>
      </c>
      <c r="Y288" s="8">
        <v>17638</v>
      </c>
      <c r="AA288" s="8">
        <v>1594021</v>
      </c>
      <c r="AC288" s="8">
        <v>1470345</v>
      </c>
      <c r="AE288" s="8">
        <v>323475</v>
      </c>
      <c r="AG288" s="8">
        <v>0</v>
      </c>
      <c r="AI288" s="8">
        <v>11119</v>
      </c>
      <c r="AJ288" s="13" t="s">
        <v>475</v>
      </c>
      <c r="AK288" s="13"/>
      <c r="AL288" s="13" t="s">
        <v>42</v>
      </c>
      <c r="AN288" s="8">
        <v>406712</v>
      </c>
      <c r="AP288" s="8">
        <v>0</v>
      </c>
      <c r="AR288" s="8">
        <v>0</v>
      </c>
      <c r="AT288" s="8">
        <v>689350</v>
      </c>
      <c r="AV288" s="8">
        <v>554214</v>
      </c>
      <c r="AX288" s="8">
        <v>0</v>
      </c>
      <c r="AZ288" s="9">
        <f t="shared" si="16"/>
        <v>21142597</v>
      </c>
      <c r="BB288" s="8">
        <v>0</v>
      </c>
      <c r="BH288" s="8">
        <v>0</v>
      </c>
      <c r="BJ288" s="9">
        <f t="shared" si="17"/>
        <v>21142597</v>
      </c>
      <c r="BL288" s="9">
        <f>'Gov Fd Rv'!AQ288-'Gov Fnd Exp'!BJ288</f>
        <v>189623</v>
      </c>
      <c r="BN288" s="8">
        <v>5734607</v>
      </c>
      <c r="BP288" s="8">
        <v>-7498</v>
      </c>
      <c r="BT288" s="9">
        <f t="shared" si="18"/>
        <v>5916732</v>
      </c>
      <c r="BU288" s="9"/>
      <c r="BV288" s="9">
        <f>BT288-'Gov Fd BS'!AA288</f>
        <v>0</v>
      </c>
      <c r="BX288" s="8" t="s">
        <v>912</v>
      </c>
    </row>
    <row r="289" spans="1:76">
      <c r="A289" s="13" t="s">
        <v>245</v>
      </c>
      <c r="B289" s="13"/>
      <c r="C289" s="13" t="s">
        <v>242</v>
      </c>
      <c r="D289" s="13"/>
      <c r="E289" s="32">
        <v>46110</v>
      </c>
      <c r="G289" s="8">
        <v>70110539</v>
      </c>
      <c r="I289" s="8">
        <v>13119471</v>
      </c>
      <c r="K289" s="8">
        <v>335</v>
      </c>
      <c r="M289" s="8">
        <v>2860997</v>
      </c>
      <c r="O289" s="8">
        <v>12002967</v>
      </c>
      <c r="Q289" s="8">
        <v>11767805</v>
      </c>
      <c r="S289" s="8">
        <v>99449</v>
      </c>
      <c r="U289" s="8">
        <v>16520191</v>
      </c>
      <c r="W289" s="8">
        <v>1350862</v>
      </c>
      <c r="Y289" s="8">
        <v>319840</v>
      </c>
      <c r="AA289" s="8">
        <v>15416204</v>
      </c>
      <c r="AC289" s="8">
        <v>15456434</v>
      </c>
      <c r="AE289" s="8">
        <v>3922128</v>
      </c>
      <c r="AG289" s="8">
        <v>0</v>
      </c>
      <c r="AI289" s="8">
        <v>710274</v>
      </c>
      <c r="AJ289" s="13" t="s">
        <v>245</v>
      </c>
      <c r="AK289" s="13"/>
      <c r="AL289" s="13" t="s">
        <v>242</v>
      </c>
      <c r="AN289" s="8">
        <f>3461532-399545</f>
        <v>3061987</v>
      </c>
      <c r="AP289" s="8">
        <v>14644749</v>
      </c>
      <c r="AR289" s="8">
        <v>0</v>
      </c>
      <c r="AT289" s="8">
        <v>6279450</v>
      </c>
      <c r="AV289" s="8">
        <f>7698465+222100</f>
        <v>7920565</v>
      </c>
      <c r="AX289" s="8">
        <v>0</v>
      </c>
      <c r="AZ289" s="9">
        <f t="shared" si="16"/>
        <v>195564247</v>
      </c>
      <c r="BB289" s="8">
        <v>1996206</v>
      </c>
      <c r="BH289" s="8">
        <v>17479951</v>
      </c>
      <c r="BJ289" s="9">
        <f t="shared" si="17"/>
        <v>215040404</v>
      </c>
      <c r="BL289" s="9">
        <f>'Gov Fd Rv'!AQ289-'Gov Fnd Exp'!BJ289</f>
        <v>-15594326</v>
      </c>
      <c r="BN289" s="8">
        <v>57363887</v>
      </c>
      <c r="BP289" s="8">
        <v>0</v>
      </c>
      <c r="BT289" s="9">
        <f t="shared" si="18"/>
        <v>41769561</v>
      </c>
      <c r="BU289" s="9"/>
      <c r="BV289" s="9">
        <f>BT289-'Gov Fd BS'!AA289</f>
        <v>0</v>
      </c>
    </row>
    <row r="290" spans="1:76">
      <c r="A290" s="12" t="s">
        <v>986</v>
      </c>
      <c r="B290" s="13"/>
      <c r="C290" s="13" t="s">
        <v>79</v>
      </c>
      <c r="D290" s="13"/>
      <c r="E290" s="32">
        <v>49569</v>
      </c>
      <c r="G290" s="8">
        <v>4968070</v>
      </c>
      <c r="I290" s="8">
        <v>1555480</v>
      </c>
      <c r="K290" s="8">
        <v>6234</v>
      </c>
      <c r="M290" s="8">
        <v>30839</v>
      </c>
      <c r="O290" s="8">
        <v>635114</v>
      </c>
      <c r="Q290" s="8">
        <v>367870</v>
      </c>
      <c r="S290" s="8">
        <v>25067</v>
      </c>
      <c r="U290" s="8">
        <v>867793</v>
      </c>
      <c r="W290" s="8">
        <v>246069</v>
      </c>
      <c r="Y290" s="8">
        <v>193087</v>
      </c>
      <c r="AA290" s="8">
        <v>873172</v>
      </c>
      <c r="AC290" s="8">
        <v>679238</v>
      </c>
      <c r="AE290" s="8">
        <v>58450</v>
      </c>
      <c r="AG290" s="8">
        <v>489124</v>
      </c>
      <c r="AI290" s="8">
        <v>0</v>
      </c>
      <c r="AJ290" s="13" t="s">
        <v>245</v>
      </c>
      <c r="AK290" s="13"/>
      <c r="AL290" s="13" t="s">
        <v>79</v>
      </c>
      <c r="AN290" s="8">
        <v>315570</v>
      </c>
      <c r="AP290" s="8">
        <v>1485605</v>
      </c>
      <c r="AR290" s="8">
        <v>0</v>
      </c>
      <c r="AT290" s="8">
        <v>195910</v>
      </c>
      <c r="AV290" s="8">
        <v>590660</v>
      </c>
      <c r="AX290" s="8">
        <v>0</v>
      </c>
      <c r="AZ290" s="9">
        <f t="shared" si="16"/>
        <v>13583352</v>
      </c>
      <c r="BB290" s="8">
        <v>120000</v>
      </c>
      <c r="BH290" s="8">
        <v>0</v>
      </c>
      <c r="BJ290" s="9">
        <f t="shared" si="17"/>
        <v>13703352</v>
      </c>
      <c r="BL290" s="9">
        <f>'Gov Fd Rv'!AQ290-'Gov Fnd Exp'!BJ290</f>
        <v>4414914</v>
      </c>
      <c r="BN290" s="8">
        <v>20719308</v>
      </c>
      <c r="BP290" s="8">
        <v>0</v>
      </c>
      <c r="BT290" s="9">
        <f t="shared" si="18"/>
        <v>25134222</v>
      </c>
      <c r="BU290" s="9"/>
      <c r="BV290" s="9">
        <f>BT290-'Gov Fd BS'!AA293</f>
        <v>0</v>
      </c>
      <c r="BX290" s="8" t="s">
        <v>956</v>
      </c>
    </row>
    <row r="291" spans="1:76">
      <c r="A291" s="13" t="s">
        <v>347</v>
      </c>
      <c r="B291" s="13"/>
      <c r="C291" s="13" t="s">
        <v>25</v>
      </c>
      <c r="D291" s="13"/>
      <c r="E291" s="32">
        <v>44206</v>
      </c>
      <c r="G291" s="8">
        <v>25878642</v>
      </c>
      <c r="I291" s="8">
        <v>7054730</v>
      </c>
      <c r="K291" s="8">
        <v>1889406</v>
      </c>
      <c r="M291" s="8">
        <v>195280</v>
      </c>
      <c r="O291" s="8">
        <v>2874685</v>
      </c>
      <c r="Q291" s="8">
        <v>3384896</v>
      </c>
      <c r="S291" s="8">
        <v>126111</v>
      </c>
      <c r="U291" s="8">
        <v>4003138</v>
      </c>
      <c r="W291" s="8">
        <v>1778785</v>
      </c>
      <c r="Y291" s="8">
        <v>955566</v>
      </c>
      <c r="AA291" s="8">
        <v>4784494</v>
      </c>
      <c r="AC291" s="8">
        <v>1654664</v>
      </c>
      <c r="AE291" s="8">
        <v>415395</v>
      </c>
      <c r="AG291" s="8">
        <v>2385640</v>
      </c>
      <c r="AI291" s="8">
        <v>1405157</v>
      </c>
      <c r="AJ291" s="13" t="s">
        <v>347</v>
      </c>
      <c r="AK291" s="13"/>
      <c r="AL291" s="13" t="s">
        <v>25</v>
      </c>
      <c r="AN291" s="8">
        <v>1004894</v>
      </c>
      <c r="AP291" s="8">
        <v>623832</v>
      </c>
      <c r="AR291" s="8">
        <v>0</v>
      </c>
      <c r="AT291" s="8">
        <v>0</v>
      </c>
      <c r="AV291" s="8">
        <v>0</v>
      </c>
      <c r="AX291" s="8">
        <v>-6300</v>
      </c>
      <c r="AZ291" s="9">
        <f t="shared" si="16"/>
        <v>60409015</v>
      </c>
      <c r="BB291" s="8">
        <v>28376</v>
      </c>
      <c r="BH291" s="8">
        <v>0</v>
      </c>
      <c r="BJ291" s="9">
        <f t="shared" si="17"/>
        <v>60437391</v>
      </c>
      <c r="BL291" s="9">
        <f>'Gov Fd Rv'!AQ291-'Gov Fnd Exp'!BJ291</f>
        <v>3109290</v>
      </c>
      <c r="BN291" s="8">
        <v>20361270</v>
      </c>
      <c r="BP291" s="8">
        <v>0</v>
      </c>
      <c r="BT291" s="9">
        <f t="shared" si="18"/>
        <v>23470560</v>
      </c>
      <c r="BU291" s="9"/>
      <c r="BV291" s="9">
        <f>BT291-'Gov Fd BS'!AA294</f>
        <v>0</v>
      </c>
    </row>
    <row r="292" spans="1:76" hidden="1">
      <c r="A292" s="12" t="s">
        <v>831</v>
      </c>
      <c r="B292" s="13"/>
      <c r="C292" s="13" t="s">
        <v>69</v>
      </c>
      <c r="D292" s="13"/>
      <c r="E292" s="32">
        <v>44214</v>
      </c>
      <c r="G292" s="8">
        <v>17892839</v>
      </c>
      <c r="I292" s="8">
        <v>4118691</v>
      </c>
      <c r="K292" s="8">
        <v>45341</v>
      </c>
      <c r="M292" s="8">
        <v>1943637</v>
      </c>
      <c r="O292" s="8">
        <v>2057148</v>
      </c>
      <c r="Q292" s="8">
        <v>2486015</v>
      </c>
      <c r="S292" s="8">
        <v>51842</v>
      </c>
      <c r="U292" s="8">
        <v>2686160</v>
      </c>
      <c r="W292" s="8">
        <v>895188</v>
      </c>
      <c r="Y292" s="8">
        <v>12</v>
      </c>
      <c r="AA292" s="8">
        <v>3650500</v>
      </c>
      <c r="AC292" s="8">
        <v>4949717</v>
      </c>
      <c r="AE292" s="8">
        <v>251708</v>
      </c>
      <c r="AI292" s="8">
        <v>1937873</v>
      </c>
      <c r="AJ292" s="12" t="s">
        <v>831</v>
      </c>
      <c r="AK292" s="13"/>
      <c r="AL292" s="13" t="s">
        <v>69</v>
      </c>
      <c r="AN292" s="8">
        <v>1063883</v>
      </c>
      <c r="AP292" s="8">
        <v>1045891</v>
      </c>
      <c r="AT292" s="8">
        <v>3310000</v>
      </c>
      <c r="AV292" s="8">
        <v>2122394</v>
      </c>
      <c r="AZ292" s="9">
        <f t="shared" si="16"/>
        <v>50508839</v>
      </c>
      <c r="BH292" s="8">
        <f>16553-87881-47211</f>
        <v>-118539</v>
      </c>
      <c r="BJ292" s="9">
        <f t="shared" si="17"/>
        <v>50390300</v>
      </c>
      <c r="BL292" s="9">
        <f>'Gov Fd Rv'!AQ292-'Gov Fnd Exp'!BJ292</f>
        <v>805185</v>
      </c>
      <c r="BN292" s="8">
        <v>11087364</v>
      </c>
      <c r="BT292" s="9">
        <f t="shared" si="18"/>
        <v>11892549</v>
      </c>
      <c r="BU292" s="9"/>
      <c r="BV292" s="9">
        <f>BT292-'Gov Fd BS'!AA295</f>
        <v>0</v>
      </c>
    </row>
    <row r="293" spans="1:76">
      <c r="A293" s="13" t="s">
        <v>381</v>
      </c>
      <c r="B293" s="13"/>
      <c r="C293" s="13" t="s">
        <v>30</v>
      </c>
      <c r="D293" s="13"/>
      <c r="E293" s="13">
        <v>47209</v>
      </c>
      <c r="G293" s="8">
        <v>2855205</v>
      </c>
      <c r="I293" s="8">
        <v>865030</v>
      </c>
      <c r="K293" s="8">
        <v>140848</v>
      </c>
      <c r="M293" s="8">
        <v>0</v>
      </c>
      <c r="O293" s="8">
        <v>106059</v>
      </c>
      <c r="Q293" s="8">
        <v>97994</v>
      </c>
      <c r="S293" s="8">
        <v>18323</v>
      </c>
      <c r="U293" s="8">
        <v>539336</v>
      </c>
      <c r="W293" s="8">
        <v>190535</v>
      </c>
      <c r="Y293" s="8">
        <v>0</v>
      </c>
      <c r="AA293" s="8">
        <v>580117</v>
      </c>
      <c r="AC293" s="8">
        <v>444517</v>
      </c>
      <c r="AE293" s="8">
        <v>17170</v>
      </c>
      <c r="AG293" s="8">
        <v>192510</v>
      </c>
      <c r="AI293" s="8">
        <v>5270</v>
      </c>
      <c r="AJ293" s="13" t="s">
        <v>381</v>
      </c>
      <c r="AK293" s="13"/>
      <c r="AL293" s="13" t="s">
        <v>30</v>
      </c>
      <c r="AN293" s="8">
        <v>129415</v>
      </c>
      <c r="AP293" s="8">
        <v>8500</v>
      </c>
      <c r="AR293" s="8">
        <v>0</v>
      </c>
      <c r="AT293" s="8">
        <v>0</v>
      </c>
      <c r="AV293" s="8">
        <v>0</v>
      </c>
      <c r="AX293" s="8">
        <v>0</v>
      </c>
      <c r="AZ293" s="9">
        <f t="shared" si="16"/>
        <v>6190829</v>
      </c>
      <c r="BB293" s="8">
        <v>0</v>
      </c>
      <c r="BH293" s="8">
        <v>0</v>
      </c>
      <c r="BJ293" s="9">
        <f t="shared" si="17"/>
        <v>6190829</v>
      </c>
      <c r="BL293" s="9">
        <f>'Gov Fd Rv'!AQ293-'Gov Fnd Exp'!BJ293</f>
        <v>-92452</v>
      </c>
      <c r="BN293" s="8">
        <v>571870</v>
      </c>
      <c r="BP293" s="8">
        <v>0</v>
      </c>
      <c r="BT293" s="9">
        <f t="shared" si="18"/>
        <v>479418</v>
      </c>
      <c r="BU293" s="9"/>
      <c r="BV293" s="9">
        <f>BT293-'Gov Fd BS'!AA296</f>
        <v>0</v>
      </c>
    </row>
    <row r="294" spans="1:76" hidden="1">
      <c r="A294" s="12" t="s">
        <v>987</v>
      </c>
      <c r="B294" s="13"/>
      <c r="C294" s="13" t="s">
        <v>603</v>
      </c>
      <c r="D294" s="13"/>
      <c r="E294" s="32">
        <v>49353</v>
      </c>
      <c r="G294" s="8">
        <v>2647490</v>
      </c>
      <c r="I294" s="8">
        <v>850559</v>
      </c>
      <c r="K294" s="8">
        <v>296008</v>
      </c>
      <c r="O294" s="8">
        <v>73421</v>
      </c>
      <c r="Q294" s="8">
        <v>257889</v>
      </c>
      <c r="S294" s="8">
        <v>28376</v>
      </c>
      <c r="U294" s="8">
        <v>514595</v>
      </c>
      <c r="W294" s="8">
        <v>227861</v>
      </c>
      <c r="AA294" s="8">
        <v>511450</v>
      </c>
      <c r="AC294" s="8">
        <v>337308</v>
      </c>
      <c r="AI294" s="8">
        <v>110030</v>
      </c>
      <c r="AJ294" s="12" t="s">
        <v>987</v>
      </c>
      <c r="AK294" s="13"/>
      <c r="AL294" s="13" t="s">
        <v>603</v>
      </c>
      <c r="AN294" s="8">
        <v>309708</v>
      </c>
      <c r="AP294" s="8">
        <v>379815</v>
      </c>
      <c r="AT294" s="8">
        <v>196808</v>
      </c>
      <c r="AV294" s="8">
        <v>257678</v>
      </c>
      <c r="AZ294" s="9">
        <f t="shared" ref="AZ294:AZ364" si="20">SUM(G294:AX294)</f>
        <v>6998996</v>
      </c>
      <c r="BH294" s="8">
        <f>-2039000-1000</f>
        <v>-2040000</v>
      </c>
      <c r="BJ294" s="9">
        <f t="shared" ref="BJ294:BJ364" si="21">AZ294+BB294+BH294</f>
        <v>4958996</v>
      </c>
      <c r="BL294" s="9">
        <f>'Gov Fd Rv'!AQ294-'Gov Fnd Exp'!BJ294</f>
        <v>2833959</v>
      </c>
      <c r="BN294" s="8">
        <v>5349884</v>
      </c>
      <c r="BT294" s="9">
        <f t="shared" si="18"/>
        <v>8183843</v>
      </c>
      <c r="BU294" s="9"/>
      <c r="BV294" s="9">
        <f>BT294-'Gov Fd BS'!AA297</f>
        <v>0</v>
      </c>
    </row>
    <row r="295" spans="1:76">
      <c r="A295" s="13" t="s">
        <v>610</v>
      </c>
      <c r="B295" s="13"/>
      <c r="C295" s="13" t="s">
        <v>112</v>
      </c>
      <c r="D295" s="13"/>
      <c r="E295" s="32">
        <v>49437</v>
      </c>
      <c r="G295" s="8">
        <v>9844767</v>
      </c>
      <c r="I295" s="8">
        <v>2162779</v>
      </c>
      <c r="K295" s="8">
        <v>824624</v>
      </c>
      <c r="M295" s="8">
        <v>0</v>
      </c>
      <c r="O295" s="8">
        <v>809423</v>
      </c>
      <c r="Q295" s="8">
        <v>1810353</v>
      </c>
      <c r="S295" s="8">
        <v>42228</v>
      </c>
      <c r="U295" s="8">
        <v>1819495</v>
      </c>
      <c r="W295" s="8">
        <v>533355</v>
      </c>
      <c r="Y295" s="8">
        <v>8014</v>
      </c>
      <c r="AA295" s="8">
        <v>2822089</v>
      </c>
      <c r="AC295" s="8">
        <v>1358782</v>
      </c>
      <c r="AE295" s="8">
        <v>248709</v>
      </c>
      <c r="AG295" s="8">
        <v>956984</v>
      </c>
      <c r="AI295" s="8">
        <v>16805</v>
      </c>
      <c r="AJ295" s="13" t="s">
        <v>610</v>
      </c>
      <c r="AK295" s="13"/>
      <c r="AL295" s="13" t="s">
        <v>112</v>
      </c>
      <c r="AN295" s="8">
        <v>1157553</v>
      </c>
      <c r="AP295" s="8">
        <v>2951</v>
      </c>
      <c r="AR295" s="8">
        <v>0</v>
      </c>
      <c r="AT295" s="8">
        <v>180588</v>
      </c>
      <c r="AV295" s="8">
        <v>30133</v>
      </c>
      <c r="AX295" s="8">
        <v>0</v>
      </c>
      <c r="AZ295" s="9">
        <f t="shared" si="20"/>
        <v>24629632</v>
      </c>
      <c r="BB295" s="8">
        <v>0</v>
      </c>
      <c r="BH295" s="8">
        <v>0</v>
      </c>
      <c r="BJ295" s="9">
        <f t="shared" si="21"/>
        <v>24629632</v>
      </c>
      <c r="BL295" s="9">
        <f>'Gov Fd Rv'!AQ295-'Gov Fnd Exp'!BJ295</f>
        <v>-1570157</v>
      </c>
      <c r="BN295" s="8">
        <v>3626490</v>
      </c>
      <c r="BP295" s="8">
        <v>9346</v>
      </c>
      <c r="BT295" s="9">
        <f t="shared" si="18"/>
        <v>2065679</v>
      </c>
      <c r="BU295" s="9"/>
      <c r="BV295" s="9">
        <f>BT295-'Gov Fd BS'!AA298</f>
        <v>0</v>
      </c>
    </row>
    <row r="296" spans="1:76">
      <c r="A296" s="13" t="s">
        <v>431</v>
      </c>
      <c r="B296" s="13"/>
      <c r="C296" s="13" t="s">
        <v>34</v>
      </c>
      <c r="D296" s="13"/>
      <c r="E296" s="32">
        <v>47589</v>
      </c>
      <c r="G296" s="8">
        <v>4224547</v>
      </c>
      <c r="I296" s="8">
        <v>2182120</v>
      </c>
      <c r="K296" s="8">
        <v>229238</v>
      </c>
      <c r="M296" s="8">
        <f>58124+332986</f>
        <v>391110</v>
      </c>
      <c r="O296" s="8">
        <v>671154</v>
      </c>
      <c r="Q296" s="8">
        <v>419902</v>
      </c>
      <c r="S296" s="8">
        <v>54805</v>
      </c>
      <c r="U296" s="8">
        <v>809773</v>
      </c>
      <c r="W296" s="8">
        <v>349035</v>
      </c>
      <c r="Y296" s="8">
        <v>0</v>
      </c>
      <c r="AA296" s="8">
        <v>859321</v>
      </c>
      <c r="AC296" s="8">
        <v>543349</v>
      </c>
      <c r="AE296" s="8">
        <v>235854</v>
      </c>
      <c r="AG296" s="8">
        <v>0</v>
      </c>
      <c r="AI296" s="8">
        <v>481903</v>
      </c>
      <c r="AJ296" s="13" t="s">
        <v>431</v>
      </c>
      <c r="AK296" s="13"/>
      <c r="AL296" s="13" t="s">
        <v>34</v>
      </c>
      <c r="AN296" s="8">
        <v>538549</v>
      </c>
      <c r="AP296" s="8">
        <v>118579</v>
      </c>
      <c r="AR296" s="8">
        <v>0</v>
      </c>
      <c r="AT296" s="8">
        <v>235000</v>
      </c>
      <c r="AV296" s="8">
        <v>68128</v>
      </c>
      <c r="AX296" s="8">
        <v>0</v>
      </c>
      <c r="AZ296" s="9">
        <f t="shared" si="20"/>
        <v>12412367</v>
      </c>
      <c r="BB296" s="8">
        <v>0</v>
      </c>
      <c r="BH296" s="8">
        <v>0</v>
      </c>
      <c r="BJ296" s="9">
        <f t="shared" si="21"/>
        <v>12412367</v>
      </c>
      <c r="BL296" s="9">
        <f>'Gov Fd Rv'!AQ296-'Gov Fnd Exp'!BJ296</f>
        <v>950966</v>
      </c>
      <c r="BN296" s="8">
        <v>3343215</v>
      </c>
      <c r="BP296" s="8">
        <v>0</v>
      </c>
      <c r="BT296" s="9">
        <f t="shared" ref="BT296:BT366" si="22">BL296+BN296+BP296+BR296</f>
        <v>4294181</v>
      </c>
      <c r="BU296" s="9"/>
      <c r="BV296" s="9">
        <f>BT296-'Gov Fd BS'!AA299</f>
        <v>0</v>
      </c>
    </row>
    <row r="297" spans="1:76">
      <c r="A297" s="12" t="s">
        <v>988</v>
      </c>
      <c r="B297" s="13"/>
      <c r="C297" s="13" t="s">
        <v>64</v>
      </c>
      <c r="D297" s="13"/>
      <c r="E297" s="32">
        <v>50195</v>
      </c>
      <c r="G297" s="8">
        <v>9039144</v>
      </c>
      <c r="I297" s="8">
        <v>1085298</v>
      </c>
      <c r="K297" s="8">
        <v>75854</v>
      </c>
      <c r="M297" s="8">
        <f>1624+61530</f>
        <v>63154</v>
      </c>
      <c r="O297" s="8">
        <v>517464</v>
      </c>
      <c r="Q297" s="8">
        <v>814466</v>
      </c>
      <c r="S297" s="8">
        <v>11094</v>
      </c>
      <c r="U297" s="8">
        <v>2236905</v>
      </c>
      <c r="W297" s="8">
        <v>565538</v>
      </c>
      <c r="Y297" s="8">
        <v>11662</v>
      </c>
      <c r="AA297" s="8">
        <v>1680186</v>
      </c>
      <c r="AC297" s="8">
        <v>942770</v>
      </c>
      <c r="AE297" s="8">
        <v>45839</v>
      </c>
      <c r="AG297" s="8">
        <v>788975</v>
      </c>
      <c r="AI297" s="8">
        <v>59191</v>
      </c>
      <c r="AJ297" s="13" t="s">
        <v>685</v>
      </c>
      <c r="AK297" s="13"/>
      <c r="AL297" s="13" t="s">
        <v>64</v>
      </c>
      <c r="AN297" s="8">
        <v>481041</v>
      </c>
      <c r="AP297" s="8">
        <v>0</v>
      </c>
      <c r="AR297" s="8">
        <v>0</v>
      </c>
      <c r="AT297" s="8">
        <v>635000</v>
      </c>
      <c r="AV297" s="8">
        <v>269829</v>
      </c>
      <c r="AX297" s="8">
        <v>0</v>
      </c>
      <c r="AZ297" s="9">
        <f t="shared" si="20"/>
        <v>19323410</v>
      </c>
      <c r="BB297" s="8">
        <v>60815</v>
      </c>
      <c r="BH297" s="8">
        <v>0</v>
      </c>
      <c r="BJ297" s="9">
        <f t="shared" si="21"/>
        <v>19384225</v>
      </c>
      <c r="BL297" s="9">
        <f>'Gov Fd Rv'!AQ297-'Gov Fnd Exp'!BJ297</f>
        <v>-468647</v>
      </c>
      <c r="BN297" s="8">
        <v>-1172531</v>
      </c>
      <c r="BP297" s="8">
        <v>13368</v>
      </c>
      <c r="BT297" s="9">
        <f t="shared" si="22"/>
        <v>-1627810</v>
      </c>
      <c r="BU297" s="9"/>
      <c r="BV297" s="9">
        <f>BT297-'Gov Fd BS'!AA300</f>
        <v>0</v>
      </c>
    </row>
    <row r="298" spans="1:76">
      <c r="A298" s="13" t="s">
        <v>869</v>
      </c>
      <c r="B298" s="13"/>
      <c r="C298" s="13" t="s">
        <v>25</v>
      </c>
      <c r="D298" s="13"/>
      <c r="E298" s="32">
        <v>46888</v>
      </c>
      <c r="G298" s="8">
        <v>5263698</v>
      </c>
      <c r="I298" s="8">
        <v>1542149</v>
      </c>
      <c r="K298" s="8">
        <v>396778</v>
      </c>
      <c r="M298" s="8">
        <v>87545</v>
      </c>
      <c r="O298" s="8">
        <v>652788</v>
      </c>
      <c r="Q298" s="8">
        <v>595850</v>
      </c>
      <c r="S298" s="8">
        <v>117817</v>
      </c>
      <c r="U298" s="8">
        <v>1004357</v>
      </c>
      <c r="W298" s="8">
        <v>462772</v>
      </c>
      <c r="Y298" s="8">
        <v>0</v>
      </c>
      <c r="AA298" s="8">
        <v>1364385</v>
      </c>
      <c r="AC298" s="8">
        <v>729957</v>
      </c>
      <c r="AE298" s="8">
        <v>0</v>
      </c>
      <c r="AG298" s="8">
        <v>0</v>
      </c>
      <c r="AI298" s="8">
        <v>438760</v>
      </c>
      <c r="AJ298" s="13" t="s">
        <v>348</v>
      </c>
      <c r="AK298" s="13"/>
      <c r="AL298" s="13" t="s">
        <v>25</v>
      </c>
      <c r="AN298" s="8">
        <v>597967</v>
      </c>
      <c r="AP298" s="8">
        <v>949418</v>
      </c>
      <c r="AR298" s="8">
        <v>0</v>
      </c>
      <c r="AT298" s="8">
        <v>6487188</v>
      </c>
      <c r="AV298" s="8">
        <f>531555+93598</f>
        <v>625153</v>
      </c>
      <c r="AX298" s="8">
        <v>0</v>
      </c>
      <c r="AZ298" s="9">
        <f t="shared" si="20"/>
        <v>21316582</v>
      </c>
      <c r="BB298" s="8">
        <v>0</v>
      </c>
      <c r="BH298" s="8">
        <v>0</v>
      </c>
      <c r="BJ298" s="9">
        <f t="shared" si="21"/>
        <v>21316582</v>
      </c>
      <c r="BL298" s="9">
        <f>'Gov Fd Rv'!AQ298-'Gov Fnd Exp'!BJ298</f>
        <v>6566365</v>
      </c>
      <c r="BN298" s="8">
        <v>12936011</v>
      </c>
      <c r="BP298" s="8">
        <v>0</v>
      </c>
      <c r="BT298" s="9">
        <f t="shared" si="22"/>
        <v>19502376</v>
      </c>
      <c r="BU298" s="9"/>
      <c r="BV298" s="9">
        <f>BT298-'Gov Fd BS'!AA301</f>
        <v>0</v>
      </c>
    </row>
    <row r="299" spans="1:76">
      <c r="A299" s="13" t="s">
        <v>417</v>
      </c>
      <c r="B299" s="13"/>
      <c r="C299" s="13" t="s">
        <v>33</v>
      </c>
      <c r="D299" s="13"/>
      <c r="E299" s="32">
        <v>47449</v>
      </c>
      <c r="G299" s="8">
        <v>6204915</v>
      </c>
      <c r="I299" s="8">
        <v>1308130</v>
      </c>
      <c r="K299" s="8">
        <v>324843</v>
      </c>
      <c r="M299" s="8">
        <v>0</v>
      </c>
      <c r="O299" s="8">
        <v>1001496</v>
      </c>
      <c r="Q299" s="8">
        <v>648652</v>
      </c>
      <c r="S299" s="8">
        <v>14557</v>
      </c>
      <c r="U299" s="8">
        <v>942589</v>
      </c>
      <c r="W299" s="8">
        <v>311901</v>
      </c>
      <c r="Y299" s="8">
        <v>1812</v>
      </c>
      <c r="AA299" s="8">
        <v>1171627</v>
      </c>
      <c r="AC299" s="8">
        <v>604295</v>
      </c>
      <c r="AE299" s="8">
        <v>132710</v>
      </c>
      <c r="AG299" s="8">
        <v>0</v>
      </c>
      <c r="AI299" s="8">
        <v>456740</v>
      </c>
      <c r="AJ299" s="13" t="s">
        <v>417</v>
      </c>
      <c r="AK299" s="13"/>
      <c r="AL299" s="13" t="s">
        <v>33</v>
      </c>
      <c r="AN299" s="8">
        <v>436584</v>
      </c>
      <c r="AP299" s="8">
        <v>561696</v>
      </c>
      <c r="AR299" s="8">
        <v>0</v>
      </c>
      <c r="AT299" s="8">
        <v>545000</v>
      </c>
      <c r="AV299" s="8">
        <v>91013</v>
      </c>
      <c r="AX299" s="8">
        <v>0</v>
      </c>
      <c r="AZ299" s="9">
        <f t="shared" si="20"/>
        <v>14758560</v>
      </c>
      <c r="BB299" s="8">
        <v>381364</v>
      </c>
      <c r="BH299" s="8">
        <v>0</v>
      </c>
      <c r="BJ299" s="9">
        <f t="shared" si="21"/>
        <v>15139924</v>
      </c>
      <c r="BL299" s="9">
        <f>'Gov Fd Rv'!AQ299-'Gov Fnd Exp'!BJ299</f>
        <v>-1450105</v>
      </c>
      <c r="BN299" s="8">
        <v>6007077</v>
      </c>
      <c r="BP299" s="8">
        <v>0</v>
      </c>
      <c r="BT299" s="9">
        <f t="shared" si="22"/>
        <v>4556972</v>
      </c>
      <c r="BU299" s="9"/>
      <c r="BV299" s="9">
        <f>BT299-'Gov Fd BS'!AA302</f>
        <v>0</v>
      </c>
    </row>
    <row r="300" spans="1:76">
      <c r="A300" s="13" t="s">
        <v>476</v>
      </c>
      <c r="B300" s="13"/>
      <c r="C300" s="13" t="s">
        <v>42</v>
      </c>
      <c r="D300" s="13"/>
      <c r="E300" s="32">
        <v>48009</v>
      </c>
      <c r="G300" s="8">
        <v>11757254</v>
      </c>
      <c r="I300" s="8">
        <v>2892860</v>
      </c>
      <c r="K300" s="8">
        <v>289699</v>
      </c>
      <c r="M300" s="8">
        <v>273274</v>
      </c>
      <c r="O300" s="8">
        <v>1080244</v>
      </c>
      <c r="Q300" s="8">
        <v>1141002</v>
      </c>
      <c r="S300" s="8">
        <v>134291</v>
      </c>
      <c r="U300" s="8">
        <v>2078179</v>
      </c>
      <c r="W300" s="8">
        <v>597854</v>
      </c>
      <c r="Y300" s="8">
        <v>0</v>
      </c>
      <c r="AA300" s="8">
        <v>2936554</v>
      </c>
      <c r="AC300" s="8">
        <v>1975485</v>
      </c>
      <c r="AE300" s="8">
        <v>207776</v>
      </c>
      <c r="AG300" s="8">
        <v>1144016</v>
      </c>
      <c r="AI300" s="8">
        <v>0</v>
      </c>
      <c r="AJ300" s="13" t="s">
        <v>476</v>
      </c>
      <c r="AK300" s="13"/>
      <c r="AL300" s="13" t="s">
        <v>42</v>
      </c>
      <c r="AN300" s="8">
        <v>526587</v>
      </c>
      <c r="AP300" s="8">
        <v>488378</v>
      </c>
      <c r="AR300" s="8">
        <v>0</v>
      </c>
      <c r="AT300" s="8">
        <v>1668185</v>
      </c>
      <c r="AV300" s="8">
        <v>2638859</v>
      </c>
      <c r="AX300" s="8">
        <v>0</v>
      </c>
      <c r="AZ300" s="9">
        <f t="shared" si="20"/>
        <v>31830497</v>
      </c>
      <c r="BB300" s="8">
        <v>633</v>
      </c>
      <c r="BH300" s="8">
        <v>0</v>
      </c>
      <c r="BJ300" s="9">
        <f t="shared" si="21"/>
        <v>31831130</v>
      </c>
      <c r="BL300" s="9">
        <f>'Gov Fd Rv'!AQ300-'Gov Fnd Exp'!BJ300</f>
        <v>866897</v>
      </c>
      <c r="BN300" s="8">
        <v>8515884</v>
      </c>
      <c r="BP300" s="8">
        <v>0</v>
      </c>
      <c r="BT300" s="9">
        <f t="shared" si="22"/>
        <v>9382781</v>
      </c>
      <c r="BU300" s="9"/>
      <c r="BV300" s="9">
        <f>BT300-'Gov Fd BS'!AA303</f>
        <v>0</v>
      </c>
    </row>
    <row r="301" spans="1:76">
      <c r="A301" s="13" t="s">
        <v>477</v>
      </c>
      <c r="B301" s="13"/>
      <c r="C301" s="13" t="s">
        <v>42</v>
      </c>
      <c r="D301" s="13"/>
      <c r="E301" s="32">
        <v>48017</v>
      </c>
      <c r="G301" s="8">
        <v>6761461</v>
      </c>
      <c r="I301" s="8">
        <v>1725735</v>
      </c>
      <c r="K301" s="8">
        <v>273743</v>
      </c>
      <c r="M301" s="8">
        <v>90893</v>
      </c>
      <c r="O301" s="8">
        <v>534200</v>
      </c>
      <c r="Q301" s="8">
        <v>854284</v>
      </c>
      <c r="S301" s="8">
        <v>65929</v>
      </c>
      <c r="U301" s="8">
        <v>1705945</v>
      </c>
      <c r="W301" s="8">
        <v>418158</v>
      </c>
      <c r="Y301" s="8">
        <v>172649</v>
      </c>
      <c r="AA301" s="8">
        <v>1602393</v>
      </c>
      <c r="AC301" s="8">
        <v>1283016</v>
      </c>
      <c r="AE301" s="8">
        <v>141389</v>
      </c>
      <c r="AG301" s="8">
        <v>0</v>
      </c>
      <c r="AI301" s="8">
        <v>918938</v>
      </c>
      <c r="AJ301" s="13" t="s">
        <v>477</v>
      </c>
      <c r="AK301" s="13"/>
      <c r="AL301" s="13" t="s">
        <v>42</v>
      </c>
      <c r="AN301" s="8">
        <v>522574</v>
      </c>
      <c r="AP301" s="8">
        <v>319138</v>
      </c>
      <c r="AR301" s="8">
        <v>0</v>
      </c>
      <c r="AT301" s="8">
        <v>775044</v>
      </c>
      <c r="AV301" s="8">
        <v>594166</v>
      </c>
      <c r="AX301" s="8">
        <v>0</v>
      </c>
      <c r="AZ301" s="9">
        <f t="shared" si="20"/>
        <v>18759655</v>
      </c>
      <c r="BB301" s="8">
        <v>88529</v>
      </c>
      <c r="BH301" s="8">
        <v>0</v>
      </c>
      <c r="BJ301" s="9">
        <f>AZ301+BB301+BH301</f>
        <v>18848184</v>
      </c>
      <c r="BL301" s="9">
        <f>'Gov Fd Rv'!AQ301-'Gov Fnd Exp'!BJ301</f>
        <v>757175</v>
      </c>
      <c r="BN301" s="8">
        <v>4704616</v>
      </c>
      <c r="BP301" s="8">
        <v>0</v>
      </c>
      <c r="BT301" s="9">
        <f t="shared" si="22"/>
        <v>5461791</v>
      </c>
      <c r="BU301" s="9"/>
      <c r="BV301" s="9">
        <f>BT301-'Gov Fd BS'!AA304</f>
        <v>0</v>
      </c>
    </row>
    <row r="302" spans="1:76" hidden="1">
      <c r="A302" s="13" t="s">
        <v>989</v>
      </c>
      <c r="B302" s="13"/>
      <c r="C302" s="13" t="s">
        <v>10</v>
      </c>
      <c r="D302" s="13"/>
      <c r="E302" s="32"/>
      <c r="G302" s="8">
        <v>16897149</v>
      </c>
      <c r="I302" s="8">
        <v>5690939</v>
      </c>
      <c r="K302" s="8">
        <v>1979177</v>
      </c>
      <c r="M302" s="8">
        <f>219861+7523648</f>
        <v>7743509</v>
      </c>
      <c r="O302" s="8">
        <v>3593538</v>
      </c>
      <c r="Q302" s="8">
        <v>3066033</v>
      </c>
      <c r="S302" s="8">
        <v>147384</v>
      </c>
      <c r="U302" s="8">
        <v>4356082</v>
      </c>
      <c r="W302" s="8">
        <v>976074</v>
      </c>
      <c r="Y302" s="8">
        <v>186773</v>
      </c>
      <c r="AA302" s="8">
        <v>5233083</v>
      </c>
      <c r="AC302" s="8">
        <v>716229</v>
      </c>
      <c r="AE302" s="8">
        <v>624178</v>
      </c>
      <c r="AI302" s="8">
        <v>3291501</v>
      </c>
      <c r="AJ302" s="13" t="s">
        <v>989</v>
      </c>
      <c r="AK302" s="13"/>
      <c r="AL302" s="13" t="s">
        <v>10</v>
      </c>
      <c r="AN302" s="8">
        <v>576580</v>
      </c>
      <c r="AP302" s="8">
        <v>84928</v>
      </c>
      <c r="AT302" s="8">
        <v>1120000</v>
      </c>
      <c r="AV302" s="8">
        <v>693878</v>
      </c>
      <c r="AZ302" s="9">
        <f t="shared" si="20"/>
        <v>56977035</v>
      </c>
      <c r="BH302" s="8">
        <f>-30842-24420</f>
        <v>-55262</v>
      </c>
      <c r="BJ302" s="9">
        <f t="shared" ref="BJ302:BJ305" si="23">AZ302+BB302+BH302</f>
        <v>56921773</v>
      </c>
      <c r="BL302" s="9">
        <f>'Gov Fd Rv'!AQ302-'Gov Fnd Exp'!BJ302</f>
        <v>1621245</v>
      </c>
      <c r="BN302" s="8">
        <v>10461695</v>
      </c>
      <c r="BT302" s="9">
        <f t="shared" si="22"/>
        <v>12082940</v>
      </c>
      <c r="BU302" s="9"/>
      <c r="BV302" s="9">
        <f>BT302-'Gov Fd BS'!AA305</f>
        <v>0</v>
      </c>
    </row>
    <row r="303" spans="1:76">
      <c r="A303" s="13" t="s">
        <v>705</v>
      </c>
      <c r="B303" s="13"/>
      <c r="C303" s="13" t="s">
        <v>67</v>
      </c>
      <c r="D303" s="13"/>
      <c r="E303" s="32">
        <v>50369</v>
      </c>
      <c r="G303" s="8">
        <v>3360056</v>
      </c>
      <c r="I303" s="8">
        <v>1426448</v>
      </c>
      <c r="K303" s="8">
        <v>163502</v>
      </c>
      <c r="M303" s="8">
        <v>657890</v>
      </c>
      <c r="O303" s="8">
        <v>166962</v>
      </c>
      <c r="Q303" s="8">
        <v>302975</v>
      </c>
      <c r="S303" s="8">
        <v>28464</v>
      </c>
      <c r="U303" s="8">
        <v>881108</v>
      </c>
      <c r="W303" s="8">
        <v>285233</v>
      </c>
      <c r="Y303" s="8">
        <v>0</v>
      </c>
      <c r="AA303" s="8">
        <v>528463</v>
      </c>
      <c r="AC303" s="8">
        <v>484323</v>
      </c>
      <c r="AE303" s="8">
        <v>15228</v>
      </c>
      <c r="AG303" s="8">
        <v>324415</v>
      </c>
      <c r="AI303" s="8">
        <v>13856</v>
      </c>
      <c r="AJ303" s="13" t="s">
        <v>705</v>
      </c>
      <c r="AK303" s="13"/>
      <c r="AL303" s="13" t="s">
        <v>67</v>
      </c>
      <c r="AN303" s="8">
        <v>212853</v>
      </c>
      <c r="AP303" s="8">
        <v>4972094</v>
      </c>
      <c r="AR303" s="8">
        <v>0</v>
      </c>
      <c r="AT303" s="8">
        <v>345000</v>
      </c>
      <c r="AV303" s="8">
        <v>525553</v>
      </c>
      <c r="AX303" s="8">
        <v>0</v>
      </c>
      <c r="AZ303" s="9">
        <f t="shared" si="20"/>
        <v>14694423</v>
      </c>
      <c r="BB303" s="8">
        <v>683767</v>
      </c>
      <c r="BH303" s="8">
        <v>0</v>
      </c>
      <c r="BJ303" s="9">
        <f t="shared" si="23"/>
        <v>15378190</v>
      </c>
      <c r="BL303" s="9">
        <f>'Gov Fd Rv'!AQ303-'Gov Fnd Exp'!BJ303</f>
        <v>-3493456</v>
      </c>
      <c r="BN303" s="8">
        <v>13549167</v>
      </c>
      <c r="BP303" s="8">
        <v>0</v>
      </c>
      <c r="BT303" s="9">
        <f t="shared" si="22"/>
        <v>10055711</v>
      </c>
      <c r="BU303" s="9"/>
      <c r="BV303" s="9">
        <f>BT303-'Gov Fd BS'!AA306</f>
        <v>21888</v>
      </c>
    </row>
    <row r="304" spans="1:76">
      <c r="A304" s="13" t="s">
        <v>283</v>
      </c>
      <c r="B304" s="13"/>
      <c r="C304" s="13" t="s">
        <v>114</v>
      </c>
      <c r="D304" s="13"/>
      <c r="E304" s="32">
        <v>45450</v>
      </c>
      <c r="G304" s="8">
        <v>3883784</v>
      </c>
      <c r="I304" s="8">
        <v>1461077</v>
      </c>
      <c r="K304" s="8">
        <v>77977</v>
      </c>
      <c r="M304" s="8">
        <v>384098</v>
      </c>
      <c r="O304" s="8">
        <v>481481</v>
      </c>
      <c r="Q304" s="8">
        <v>265732</v>
      </c>
      <c r="S304" s="8">
        <v>32608</v>
      </c>
      <c r="U304" s="8">
        <v>767392</v>
      </c>
      <c r="W304" s="8">
        <v>250450</v>
      </c>
      <c r="Y304" s="8">
        <v>0</v>
      </c>
      <c r="AA304" s="8">
        <v>766801</v>
      </c>
      <c r="AC304" s="8">
        <v>394197</v>
      </c>
      <c r="AE304" s="8">
        <v>45345</v>
      </c>
      <c r="AG304" s="8">
        <v>463996</v>
      </c>
      <c r="AI304" s="8">
        <v>0</v>
      </c>
      <c r="AJ304" s="13" t="s">
        <v>283</v>
      </c>
      <c r="AK304" s="13"/>
      <c r="AL304" s="13" t="s">
        <v>114</v>
      </c>
      <c r="AN304" s="8">
        <v>209733</v>
      </c>
      <c r="AP304" s="8">
        <v>1304973</v>
      </c>
      <c r="AR304" s="8">
        <v>0</v>
      </c>
      <c r="AT304" s="8">
        <v>225000</v>
      </c>
      <c r="AV304" s="8">
        <v>286003</v>
      </c>
      <c r="AX304" s="8">
        <v>0</v>
      </c>
      <c r="AZ304" s="9">
        <f t="shared" si="20"/>
        <v>11300647</v>
      </c>
      <c r="BB304" s="8">
        <v>0</v>
      </c>
      <c r="BH304" s="8">
        <v>0</v>
      </c>
      <c r="BJ304" s="9">
        <f t="shared" si="23"/>
        <v>11300647</v>
      </c>
      <c r="BL304" s="9">
        <f>'Gov Fd Rv'!AQ304-'Gov Fnd Exp'!BJ304</f>
        <v>-542476</v>
      </c>
      <c r="BN304" s="8">
        <v>4022254</v>
      </c>
      <c r="BP304" s="8">
        <v>0</v>
      </c>
      <c r="BT304" s="9">
        <f t="shared" si="22"/>
        <v>3479778</v>
      </c>
      <c r="BU304" s="9"/>
      <c r="BV304" s="9">
        <f>BT304-'Gov Fd BS'!AA307</f>
        <v>0</v>
      </c>
    </row>
    <row r="305" spans="1:76">
      <c r="A305" s="13" t="s">
        <v>711</v>
      </c>
      <c r="B305" s="13"/>
      <c r="C305" s="13" t="s">
        <v>69</v>
      </c>
      <c r="D305" s="13"/>
      <c r="E305" s="32">
        <v>50443</v>
      </c>
      <c r="G305" s="8">
        <v>15508213</v>
      </c>
      <c r="I305" s="8">
        <v>3813960</v>
      </c>
      <c r="K305" s="8">
        <v>0</v>
      </c>
      <c r="M305" s="8">
        <v>944444</v>
      </c>
      <c r="O305" s="8">
        <v>1366975</v>
      </c>
      <c r="Q305" s="8">
        <v>1519276</v>
      </c>
      <c r="S305" s="8">
        <v>38425</v>
      </c>
      <c r="U305" s="8">
        <v>2650965</v>
      </c>
      <c r="W305" s="8">
        <v>785252</v>
      </c>
      <c r="Y305" s="8">
        <v>259827</v>
      </c>
      <c r="AA305" s="8">
        <v>2917789</v>
      </c>
      <c r="AC305" s="8">
        <v>3009144</v>
      </c>
      <c r="AE305" s="8">
        <v>1103576</v>
      </c>
      <c r="AG305" s="8">
        <v>0</v>
      </c>
      <c r="AI305" s="8">
        <v>1453829</v>
      </c>
      <c r="AJ305" s="13" t="s">
        <v>711</v>
      </c>
      <c r="AK305" s="13"/>
      <c r="AL305" s="13" t="s">
        <v>69</v>
      </c>
      <c r="AN305" s="8">
        <v>957444</v>
      </c>
      <c r="AP305" s="8">
        <v>24625993</v>
      </c>
      <c r="AR305" s="8">
        <v>0</v>
      </c>
      <c r="AT305" s="8">
        <v>2683282</v>
      </c>
      <c r="AV305" s="8">
        <v>2784500</v>
      </c>
      <c r="AX305" s="8">
        <v>0</v>
      </c>
      <c r="AZ305" s="9">
        <f t="shared" si="20"/>
        <v>66422894</v>
      </c>
      <c r="BB305" s="8">
        <v>908009</v>
      </c>
      <c r="BH305" s="8">
        <v>0</v>
      </c>
      <c r="BJ305" s="9">
        <f t="shared" si="23"/>
        <v>67330903</v>
      </c>
      <c r="BL305" s="9">
        <f>'Gov Fd Rv'!AQ305-'Gov Fnd Exp'!BJ305</f>
        <v>-25592680</v>
      </c>
      <c r="BN305" s="8">
        <v>25469425</v>
      </c>
      <c r="BP305" s="8">
        <v>0</v>
      </c>
      <c r="BT305" s="9">
        <f t="shared" si="22"/>
        <v>-123255</v>
      </c>
      <c r="BU305" s="9"/>
      <c r="BV305" s="9">
        <f>BT305-'Gov Fd BS'!AA308</f>
        <v>0</v>
      </c>
    </row>
    <row r="306" spans="1:76" hidden="1">
      <c r="A306" s="77" t="s">
        <v>995</v>
      </c>
      <c r="B306" s="13"/>
      <c r="C306" s="13" t="s">
        <v>32</v>
      </c>
      <c r="D306" s="13"/>
      <c r="E306" s="32">
        <v>44230</v>
      </c>
      <c r="G306" s="8">
        <v>3646353</v>
      </c>
      <c r="I306" s="8">
        <v>697541</v>
      </c>
      <c r="K306" s="8">
        <v>37430</v>
      </c>
      <c r="M306" s="8">
        <v>23486</v>
      </c>
      <c r="O306" s="8">
        <v>387729</v>
      </c>
      <c r="Q306" s="8">
        <v>640425</v>
      </c>
      <c r="S306" s="8">
        <v>106878</v>
      </c>
      <c r="U306" s="8">
        <v>869710</v>
      </c>
      <c r="W306" s="8">
        <v>287819</v>
      </c>
      <c r="Y306" s="8">
        <v>5124</v>
      </c>
      <c r="AA306" s="8">
        <v>1012009</v>
      </c>
      <c r="AC306" s="8">
        <v>14762</v>
      </c>
      <c r="AE306" s="8">
        <v>135839</v>
      </c>
      <c r="AG306" s="8">
        <v>198918</v>
      </c>
      <c r="AI306" s="8">
        <v>136625</v>
      </c>
      <c r="AJ306" s="13" t="s">
        <v>396</v>
      </c>
      <c r="AK306" s="13"/>
      <c r="AL306" s="13" t="s">
        <v>32</v>
      </c>
      <c r="AN306" s="8">
        <v>271875</v>
      </c>
      <c r="AP306" s="8">
        <v>466538</v>
      </c>
      <c r="AT306" s="8">
        <v>370000</v>
      </c>
      <c r="AV306" s="8">
        <v>75835</v>
      </c>
      <c r="AZ306" s="9">
        <f t="shared" si="20"/>
        <v>9384896</v>
      </c>
      <c r="BJ306" s="9">
        <f t="shared" si="21"/>
        <v>9384896</v>
      </c>
      <c r="BL306" s="9">
        <f>'Gov Fd Rv'!AQ306-'Gov Fnd Exp'!BJ306</f>
        <v>-639562</v>
      </c>
      <c r="BN306" s="8">
        <v>5005965</v>
      </c>
      <c r="BT306" s="9">
        <f t="shared" si="22"/>
        <v>4366403</v>
      </c>
      <c r="BU306" s="9"/>
      <c r="BV306" s="9">
        <f>BT306-'Gov Fd BS'!AA309</f>
        <v>0</v>
      </c>
      <c r="BX306" s="15" t="s">
        <v>905</v>
      </c>
    </row>
    <row r="307" spans="1:76">
      <c r="A307" s="13" t="s">
        <v>582</v>
      </c>
      <c r="B307" s="13"/>
      <c r="C307" s="13" t="s">
        <v>54</v>
      </c>
      <c r="D307" s="13"/>
      <c r="E307" s="32">
        <v>49080</v>
      </c>
      <c r="G307" s="8">
        <v>9728867</v>
      </c>
      <c r="I307" s="8">
        <v>2069857</v>
      </c>
      <c r="K307" s="8">
        <v>15858</v>
      </c>
      <c r="M307" s="8">
        <v>126069</v>
      </c>
      <c r="O307" s="8">
        <v>908522</v>
      </c>
      <c r="Q307" s="8">
        <v>1137680</v>
      </c>
      <c r="S307" s="8">
        <v>108077</v>
      </c>
      <c r="U307" s="8">
        <v>1538971</v>
      </c>
      <c r="W307" s="8">
        <v>479442</v>
      </c>
      <c r="Y307" s="8">
        <v>360</v>
      </c>
      <c r="AA307" s="8">
        <v>2004458</v>
      </c>
      <c r="AC307" s="8">
        <v>1907589</v>
      </c>
      <c r="AE307" s="8">
        <v>240270</v>
      </c>
      <c r="AG307" s="8">
        <v>859379</v>
      </c>
      <c r="AI307" s="8">
        <v>516421</v>
      </c>
      <c r="AJ307" s="13" t="s">
        <v>582</v>
      </c>
      <c r="AK307" s="13"/>
      <c r="AL307" s="13" t="s">
        <v>54</v>
      </c>
      <c r="AN307" s="8">
        <v>0</v>
      </c>
      <c r="AP307" s="8">
        <v>0</v>
      </c>
      <c r="AR307" s="8">
        <v>0</v>
      </c>
      <c r="AT307" s="8">
        <v>0</v>
      </c>
      <c r="AV307" s="8">
        <v>0</v>
      </c>
      <c r="AX307" s="8">
        <v>0</v>
      </c>
      <c r="AZ307" s="9">
        <f t="shared" si="20"/>
        <v>21641820</v>
      </c>
      <c r="BB307" s="8">
        <v>0</v>
      </c>
      <c r="BH307" s="8">
        <v>0</v>
      </c>
      <c r="BJ307" s="9">
        <f t="shared" si="21"/>
        <v>21641820</v>
      </c>
      <c r="BL307" s="9">
        <f>'Gov Fd Rv'!AQ307-'Gov Fnd Exp'!BJ307</f>
        <v>722968</v>
      </c>
      <c r="BN307" s="8">
        <v>5956980</v>
      </c>
      <c r="BP307" s="8">
        <v>0</v>
      </c>
      <c r="BT307" s="9">
        <f t="shared" si="22"/>
        <v>6679948</v>
      </c>
      <c r="BU307" s="9"/>
      <c r="BV307" s="9">
        <f>BT307-'Gov Fd BS'!AA310</f>
        <v>0</v>
      </c>
    </row>
    <row r="308" spans="1:76">
      <c r="A308" s="13" t="s">
        <v>440</v>
      </c>
      <c r="B308" s="13"/>
      <c r="C308" s="13" t="s">
        <v>35</v>
      </c>
      <c r="D308" s="13"/>
      <c r="E308" s="32">
        <v>44248</v>
      </c>
      <c r="G308" s="8">
        <v>14702848</v>
      </c>
      <c r="I308" s="8">
        <v>4906278</v>
      </c>
      <c r="K308" s="8">
        <v>638612</v>
      </c>
      <c r="M308" s="8">
        <v>180912</v>
      </c>
      <c r="O308" s="8">
        <v>2647658</v>
      </c>
      <c r="Q308" s="8">
        <v>2881116</v>
      </c>
      <c r="S308" s="8">
        <v>132451</v>
      </c>
      <c r="U308" s="8">
        <v>2715650</v>
      </c>
      <c r="W308" s="8">
        <v>1094011</v>
      </c>
      <c r="Y308" s="8">
        <v>0</v>
      </c>
      <c r="AA308" s="8">
        <v>3410547</v>
      </c>
      <c r="AC308" s="8">
        <v>2851380</v>
      </c>
      <c r="AE308" s="8">
        <v>30480</v>
      </c>
      <c r="AG308" s="8">
        <v>0</v>
      </c>
      <c r="AI308" s="8">
        <v>139434</v>
      </c>
      <c r="AJ308" s="13" t="s">
        <v>440</v>
      </c>
      <c r="AK308" s="13"/>
      <c r="AL308" s="13" t="s">
        <v>35</v>
      </c>
      <c r="AN308" s="8">
        <v>888701</v>
      </c>
      <c r="AP308" s="8">
        <v>30443950</v>
      </c>
      <c r="AR308" s="8">
        <v>0</v>
      </c>
      <c r="AT308" s="8">
        <v>878475</v>
      </c>
      <c r="AV308" s="8">
        <v>2319266</v>
      </c>
      <c r="AX308" s="8">
        <v>0</v>
      </c>
      <c r="AZ308" s="9">
        <f t="shared" si="20"/>
        <v>70861769</v>
      </c>
      <c r="BB308" s="8">
        <v>823360</v>
      </c>
      <c r="BH308" s="8">
        <v>0</v>
      </c>
      <c r="BJ308" s="9">
        <f t="shared" si="21"/>
        <v>71685129</v>
      </c>
      <c r="BL308" s="9">
        <f>'Gov Fd Rv'!AQ308-'Gov Fnd Exp'!BJ308</f>
        <v>-11984335</v>
      </c>
      <c r="BN308" s="8">
        <v>32771251</v>
      </c>
      <c r="BP308" s="8">
        <v>-879</v>
      </c>
      <c r="BT308" s="9">
        <f t="shared" si="22"/>
        <v>20786037</v>
      </c>
      <c r="BU308" s="9"/>
      <c r="BV308" s="9">
        <f>BT308-'Gov Fd BS'!AA311</f>
        <v>0</v>
      </c>
    </row>
    <row r="309" spans="1:76">
      <c r="A309" s="13" t="s">
        <v>507</v>
      </c>
      <c r="B309" s="13"/>
      <c r="C309" s="13" t="s">
        <v>505</v>
      </c>
      <c r="D309" s="13"/>
      <c r="E309" s="32">
        <v>44255</v>
      </c>
      <c r="G309" s="8">
        <v>9874736</v>
      </c>
      <c r="I309" s="8">
        <v>3642048</v>
      </c>
      <c r="K309" s="8">
        <v>340326</v>
      </c>
      <c r="M309" s="8">
        <v>37718</v>
      </c>
      <c r="O309" s="8">
        <v>739924</v>
      </c>
      <c r="Q309" s="8">
        <v>1175994</v>
      </c>
      <c r="S309" s="8">
        <v>99197</v>
      </c>
      <c r="U309" s="8">
        <v>1810884</v>
      </c>
      <c r="W309" s="8">
        <v>599230</v>
      </c>
      <c r="Y309" s="8">
        <v>0</v>
      </c>
      <c r="AA309" s="8">
        <v>2410278</v>
      </c>
      <c r="AC309" s="8">
        <v>988639</v>
      </c>
      <c r="AE309" s="8">
        <v>163761</v>
      </c>
      <c r="AG309" s="8">
        <v>738358</v>
      </c>
      <c r="AI309" s="8">
        <v>113745</v>
      </c>
      <c r="AJ309" s="13" t="s">
        <v>507</v>
      </c>
      <c r="AK309" s="13"/>
      <c r="AL309" s="13" t="s">
        <v>505</v>
      </c>
      <c r="AN309" s="8">
        <v>677786</v>
      </c>
      <c r="AP309" s="8">
        <v>706061</v>
      </c>
      <c r="AR309" s="8">
        <v>0</v>
      </c>
      <c r="AT309" s="8">
        <v>1534183</v>
      </c>
      <c r="AV309" s="8">
        <v>1001355</v>
      </c>
      <c r="AX309" s="8">
        <v>0</v>
      </c>
      <c r="AZ309" s="9">
        <f t="shared" si="20"/>
        <v>26654223</v>
      </c>
      <c r="BB309" s="8">
        <v>304696</v>
      </c>
      <c r="BH309" s="8">
        <v>0</v>
      </c>
      <c r="BJ309" s="9">
        <f t="shared" si="21"/>
        <v>26958919</v>
      </c>
      <c r="BL309" s="9">
        <f>'Gov Fd Rv'!AQ309-'Gov Fnd Exp'!BJ309</f>
        <v>318174</v>
      </c>
      <c r="BN309" s="8">
        <v>3834720</v>
      </c>
      <c r="BP309" s="8">
        <v>0</v>
      </c>
      <c r="BT309" s="9">
        <f t="shared" si="22"/>
        <v>4152894</v>
      </c>
      <c r="BU309" s="9"/>
      <c r="BV309" s="9">
        <f>BT309-'Gov Fd BS'!AA312</f>
        <v>0</v>
      </c>
    </row>
    <row r="310" spans="1:76" s="35" customFormat="1">
      <c r="A310" s="34" t="s">
        <v>490</v>
      </c>
      <c r="B310" s="34"/>
      <c r="C310" s="34" t="s">
        <v>44</v>
      </c>
      <c r="D310" s="34"/>
      <c r="E310" s="34">
        <v>44263</v>
      </c>
      <c r="G310" s="8">
        <v>35418633</v>
      </c>
      <c r="H310" s="8"/>
      <c r="I310" s="8">
        <v>8092209</v>
      </c>
      <c r="J310" s="8"/>
      <c r="K310" s="8">
        <v>2515310</v>
      </c>
      <c r="L310" s="8"/>
      <c r="M310" s="8">
        <f>57939+1290404+15409968</f>
        <v>16758311</v>
      </c>
      <c r="N310" s="8"/>
      <c r="O310" s="8">
        <v>4828590</v>
      </c>
      <c r="P310" s="8"/>
      <c r="Q310" s="8">
        <v>5830055</v>
      </c>
      <c r="R310" s="8"/>
      <c r="S310" s="8">
        <v>451047</v>
      </c>
      <c r="T310" s="8"/>
      <c r="U310" s="8">
        <v>7358891</v>
      </c>
      <c r="V310" s="8"/>
      <c r="W310" s="8">
        <v>2045080</v>
      </c>
      <c r="X310" s="8"/>
      <c r="Y310" s="8">
        <v>499368</v>
      </c>
      <c r="Z310" s="8"/>
      <c r="AA310" s="8">
        <v>8771936</v>
      </c>
      <c r="AB310" s="8"/>
      <c r="AC310" s="8">
        <v>2404321</v>
      </c>
      <c r="AD310" s="8"/>
      <c r="AE310" s="8">
        <v>1043545</v>
      </c>
      <c r="AF310" s="8"/>
      <c r="AG310" s="8">
        <v>4007728</v>
      </c>
      <c r="AH310" s="8"/>
      <c r="AI310" s="8">
        <v>1802817</v>
      </c>
      <c r="AJ310" s="34" t="s">
        <v>490</v>
      </c>
      <c r="AK310" s="34"/>
      <c r="AL310" s="34" t="s">
        <v>44</v>
      </c>
      <c r="AN310" s="8">
        <v>1771680</v>
      </c>
      <c r="AO310" s="8"/>
      <c r="AP310" s="8">
        <v>3961391</v>
      </c>
      <c r="AQ310" s="8"/>
      <c r="AR310" s="8">
        <v>0</v>
      </c>
      <c r="AS310" s="8"/>
      <c r="AT310" s="8">
        <v>2220000</v>
      </c>
      <c r="AU310" s="8"/>
      <c r="AV310" s="8">
        <v>1681740</v>
      </c>
      <c r="AW310" s="8"/>
      <c r="AX310" s="8">
        <v>0</v>
      </c>
      <c r="AY310" s="8"/>
      <c r="AZ310" s="9">
        <f t="shared" si="20"/>
        <v>111462652</v>
      </c>
      <c r="BA310" s="8"/>
      <c r="BB310" s="8">
        <v>466979</v>
      </c>
      <c r="BC310" s="8"/>
      <c r="BD310" s="8"/>
      <c r="BE310" s="8"/>
      <c r="BF310" s="8"/>
      <c r="BG310" s="8"/>
      <c r="BH310" s="8">
        <v>0</v>
      </c>
      <c r="BI310" s="8"/>
      <c r="BJ310" s="9">
        <f t="shared" si="21"/>
        <v>111929631</v>
      </c>
      <c r="BK310" s="8"/>
      <c r="BL310" s="9">
        <f>'Gov Fd Rv'!AQ310-'Gov Fnd Exp'!BJ310</f>
        <v>8347218</v>
      </c>
      <c r="BM310" s="8"/>
      <c r="BN310" s="8">
        <v>51820897</v>
      </c>
      <c r="BO310" s="8"/>
      <c r="BP310" s="8">
        <v>0</v>
      </c>
      <c r="BQ310" s="8"/>
      <c r="BR310" s="8"/>
      <c r="BS310" s="8"/>
      <c r="BT310" s="9">
        <f t="shared" si="22"/>
        <v>60168115</v>
      </c>
      <c r="BU310" s="9"/>
      <c r="BV310" s="9">
        <f>BT310-'Gov Fd BS'!AA313</f>
        <v>0</v>
      </c>
    </row>
    <row r="311" spans="1:76">
      <c r="A311" s="13" t="s">
        <v>686</v>
      </c>
      <c r="B311" s="13"/>
      <c r="C311" s="13" t="s">
        <v>64</v>
      </c>
      <c r="D311" s="13"/>
      <c r="E311" s="13">
        <v>50203</v>
      </c>
      <c r="G311" s="8">
        <v>3320121</v>
      </c>
      <c r="I311" s="8">
        <v>667867</v>
      </c>
      <c r="K311" s="8">
        <v>37601</v>
      </c>
      <c r="M311" s="8">
        <v>214051</v>
      </c>
      <c r="O311" s="8">
        <v>168194</v>
      </c>
      <c r="Q311" s="8">
        <v>141237</v>
      </c>
      <c r="S311" s="8">
        <v>114032</v>
      </c>
      <c r="U311" s="8">
        <v>527219</v>
      </c>
      <c r="W311" s="8">
        <v>346173</v>
      </c>
      <c r="Y311" s="8">
        <v>4961</v>
      </c>
      <c r="AA311" s="8">
        <v>2917000</v>
      </c>
      <c r="AC311" s="8">
        <v>264077</v>
      </c>
      <c r="AE311" s="8">
        <v>34863</v>
      </c>
      <c r="AG311" s="8">
        <v>166828</v>
      </c>
      <c r="AI311" s="8">
        <f>3637+8000</f>
        <v>11637</v>
      </c>
      <c r="AJ311" s="13" t="s">
        <v>686</v>
      </c>
      <c r="AK311" s="13"/>
      <c r="AL311" s="13" t="s">
        <v>64</v>
      </c>
      <c r="AN311" s="8">
        <v>241531</v>
      </c>
      <c r="AP311" s="8">
        <v>50680</v>
      </c>
      <c r="AR311" s="8">
        <v>0</v>
      </c>
      <c r="AT311" s="8">
        <v>452758</v>
      </c>
      <c r="AV311" s="8">
        <v>128178</v>
      </c>
      <c r="AX311" s="8">
        <v>0</v>
      </c>
      <c r="AZ311" s="9">
        <f t="shared" si="20"/>
        <v>9809008</v>
      </c>
      <c r="BB311" s="8">
        <v>26236</v>
      </c>
      <c r="BH311" s="8">
        <v>0</v>
      </c>
      <c r="BJ311" s="9">
        <f t="shared" si="21"/>
        <v>9835244</v>
      </c>
      <c r="BL311" s="9">
        <f>'Gov Fd Rv'!AQ311-'Gov Fnd Exp'!BJ311</f>
        <v>-2027289</v>
      </c>
      <c r="BN311" s="8">
        <v>4249678</v>
      </c>
      <c r="BP311" s="8">
        <v>0</v>
      </c>
      <c r="BT311" s="9">
        <f t="shared" si="22"/>
        <v>2222389</v>
      </c>
      <c r="BU311" s="9"/>
      <c r="BV311" s="9">
        <f>BT311-'Gov Fd BS'!AA314</f>
        <v>0</v>
      </c>
    </row>
    <row r="312" spans="1:76">
      <c r="A312" s="12" t="s">
        <v>991</v>
      </c>
      <c r="B312" s="13"/>
      <c r="C312" s="13" t="s">
        <v>11</v>
      </c>
      <c r="D312" s="13"/>
      <c r="E312" s="32">
        <v>45468</v>
      </c>
      <c r="G312" s="8">
        <v>5385590</v>
      </c>
      <c r="I312" s="8">
        <v>1155959</v>
      </c>
      <c r="K312" s="8">
        <v>318837</v>
      </c>
      <c r="M312" s="8">
        <v>828647</v>
      </c>
      <c r="O312" s="8">
        <v>739074</v>
      </c>
      <c r="Q312" s="8">
        <v>730901</v>
      </c>
      <c r="S312" s="8">
        <v>27443</v>
      </c>
      <c r="U312" s="8">
        <v>979259</v>
      </c>
      <c r="W312" s="8">
        <v>430315</v>
      </c>
      <c r="Y312" s="8">
        <v>11390</v>
      </c>
      <c r="AA312" s="8">
        <v>1053201</v>
      </c>
      <c r="AC312" s="8">
        <v>828651</v>
      </c>
      <c r="AE312" s="8">
        <v>94408</v>
      </c>
      <c r="AG312" s="8">
        <v>505806</v>
      </c>
      <c r="AI312" s="8">
        <v>52720</v>
      </c>
      <c r="AJ312" s="13" t="s">
        <v>215</v>
      </c>
      <c r="AK312" s="13"/>
      <c r="AL312" s="13" t="s">
        <v>11</v>
      </c>
      <c r="AN312" s="8">
        <v>412540</v>
      </c>
      <c r="AP312" s="8">
        <v>1093469</v>
      </c>
      <c r="AR312" s="8">
        <v>0</v>
      </c>
      <c r="AT312" s="8">
        <v>12134</v>
      </c>
      <c r="AV312" s="8">
        <v>35324</v>
      </c>
      <c r="AX312" s="8">
        <v>0</v>
      </c>
      <c r="AZ312" s="9">
        <f t="shared" si="20"/>
        <v>14695668</v>
      </c>
      <c r="BB312" s="8">
        <v>40000</v>
      </c>
      <c r="BH312" s="8">
        <v>0</v>
      </c>
      <c r="BJ312" s="9">
        <f t="shared" si="21"/>
        <v>14735668</v>
      </c>
      <c r="BL312" s="9">
        <f>'Gov Fd Rv'!AQ312-'Gov Fnd Exp'!BJ312</f>
        <v>237211</v>
      </c>
      <c r="BN312" s="8">
        <v>3590657</v>
      </c>
      <c r="BP312" s="8">
        <v>0</v>
      </c>
      <c r="BT312" s="9">
        <f t="shared" si="22"/>
        <v>3827868</v>
      </c>
      <c r="BU312" s="9"/>
      <c r="BV312" s="9">
        <f>BT312-'Gov Fd BS'!AA315</f>
        <v>0</v>
      </c>
      <c r="BX312" s="8" t="s">
        <v>956</v>
      </c>
    </row>
    <row r="313" spans="1:76">
      <c r="A313" s="13" t="s">
        <v>654</v>
      </c>
      <c r="B313" s="13"/>
      <c r="C313" s="13" t="s">
        <v>62</v>
      </c>
      <c r="D313" s="13"/>
      <c r="E313" s="32">
        <v>49874</v>
      </c>
      <c r="G313" s="8">
        <v>11756076</v>
      </c>
      <c r="I313" s="8">
        <v>3186599</v>
      </c>
      <c r="K313" s="8">
        <v>476096</v>
      </c>
      <c r="M313" s="8">
        <v>794966</v>
      </c>
      <c r="O313" s="8">
        <v>1208410</v>
      </c>
      <c r="Q313" s="8">
        <v>752525</v>
      </c>
      <c r="S313" s="8">
        <v>55000</v>
      </c>
      <c r="U313" s="8">
        <v>1850192</v>
      </c>
      <c r="W313" s="8">
        <v>466144</v>
      </c>
      <c r="Y313" s="8">
        <v>99831</v>
      </c>
      <c r="AA313" s="8">
        <v>2329346</v>
      </c>
      <c r="AC313" s="8">
        <v>1171847</v>
      </c>
      <c r="AE313" s="8">
        <v>2402</v>
      </c>
      <c r="AG313" s="8">
        <v>0</v>
      </c>
      <c r="AI313" s="8">
        <v>1719574</v>
      </c>
      <c r="AJ313" s="13" t="s">
        <v>654</v>
      </c>
      <c r="AK313" s="13"/>
      <c r="AL313" s="13" t="s">
        <v>62</v>
      </c>
      <c r="AN313" s="8">
        <v>855402</v>
      </c>
      <c r="AP313" s="8">
        <v>1272387</v>
      </c>
      <c r="AR313" s="8">
        <v>0</v>
      </c>
      <c r="AT313" s="8">
        <v>269464</v>
      </c>
      <c r="AV313" s="8">
        <v>1133930</v>
      </c>
      <c r="AX313" s="8">
        <v>0</v>
      </c>
      <c r="AZ313" s="9">
        <f t="shared" si="20"/>
        <v>29400191</v>
      </c>
      <c r="BB313" s="8">
        <v>59600</v>
      </c>
      <c r="BH313" s="8">
        <v>0</v>
      </c>
      <c r="BJ313" s="9">
        <f t="shared" si="21"/>
        <v>29459791</v>
      </c>
      <c r="BL313" s="9">
        <f>'Gov Fd Rv'!AQ313-'Gov Fnd Exp'!BJ313</f>
        <v>11630220</v>
      </c>
      <c r="BN313" s="8">
        <v>4101724</v>
      </c>
      <c r="BP313" s="8">
        <v>0</v>
      </c>
      <c r="BT313" s="9">
        <f t="shared" si="22"/>
        <v>15731944</v>
      </c>
      <c r="BU313" s="9"/>
      <c r="BV313" s="9">
        <f>BT313-'Gov Fd BS'!AA316</f>
        <v>0</v>
      </c>
    </row>
    <row r="314" spans="1:76">
      <c r="A314" s="13" t="s">
        <v>397</v>
      </c>
      <c r="B314" s="13"/>
      <c r="C314" s="13" t="s">
        <v>32</v>
      </c>
      <c r="D314" s="13"/>
      <c r="E314" s="32">
        <v>44271</v>
      </c>
      <c r="G314" s="8">
        <v>18678362</v>
      </c>
      <c r="I314" s="8">
        <v>5314129</v>
      </c>
      <c r="K314" s="8">
        <v>162856</v>
      </c>
      <c r="M314" s="8">
        <v>556269</v>
      </c>
      <c r="O314" s="8">
        <v>2357944</v>
      </c>
      <c r="Q314" s="8">
        <v>1179607</v>
      </c>
      <c r="S314" s="8">
        <v>69759</v>
      </c>
      <c r="U314" s="8">
        <v>2986148</v>
      </c>
      <c r="W314" s="8">
        <v>1101893</v>
      </c>
      <c r="Y314" s="8">
        <v>223211</v>
      </c>
      <c r="AA314" s="8">
        <v>3481058</v>
      </c>
      <c r="AC314" s="8">
        <v>4014924</v>
      </c>
      <c r="AE314" s="8">
        <v>819244</v>
      </c>
      <c r="AG314" s="8">
        <v>0</v>
      </c>
      <c r="AI314" s="8">
        <v>2056020</v>
      </c>
      <c r="AJ314" s="13" t="s">
        <v>397</v>
      </c>
      <c r="AK314" s="13"/>
      <c r="AL314" s="13" t="s">
        <v>32</v>
      </c>
      <c r="AN314" s="8">
        <v>1093458</v>
      </c>
      <c r="AP314" s="8">
        <v>370178</v>
      </c>
      <c r="AR314" s="8">
        <v>0</v>
      </c>
      <c r="AT314" s="8">
        <v>3577248</v>
      </c>
      <c r="AV314" s="8">
        <v>1915265</v>
      </c>
      <c r="AX314" s="8">
        <v>0</v>
      </c>
      <c r="AZ314" s="9">
        <f t="shared" si="20"/>
        <v>49957573</v>
      </c>
      <c r="BB314" s="8">
        <v>27464</v>
      </c>
      <c r="BH314" s="8">
        <v>0</v>
      </c>
      <c r="BJ314" s="9">
        <f t="shared" si="21"/>
        <v>49985037</v>
      </c>
      <c r="BL314" s="9">
        <f>'Gov Fd Rv'!AQ314-'Gov Fnd Exp'!BJ314</f>
        <v>-1532740</v>
      </c>
      <c r="BN314" s="8">
        <v>7885973</v>
      </c>
      <c r="BP314" s="8">
        <v>0</v>
      </c>
      <c r="BT314" s="9">
        <f t="shared" si="22"/>
        <v>6353233</v>
      </c>
      <c r="BU314" s="9"/>
      <c r="BV314" s="9">
        <f>BT314-'Gov Fd BS'!AA317</f>
        <v>0</v>
      </c>
    </row>
    <row r="315" spans="1:76">
      <c r="A315" s="13" t="s">
        <v>513</v>
      </c>
      <c r="B315" s="13"/>
      <c r="C315" s="13" t="s">
        <v>45</v>
      </c>
      <c r="D315" s="13"/>
      <c r="E315" s="32">
        <v>48330</v>
      </c>
      <c r="G315" s="8">
        <v>2482169</v>
      </c>
      <c r="I315" s="8">
        <v>244626</v>
      </c>
      <c r="K315" s="8">
        <v>29417</v>
      </c>
      <c r="M315" s="8">
        <v>11172</v>
      </c>
      <c r="O315" s="8">
        <v>360719</v>
      </c>
      <c r="Q315" s="8">
        <v>126736</v>
      </c>
      <c r="S315" s="8">
        <v>22343</v>
      </c>
      <c r="U315" s="8">
        <v>365548</v>
      </c>
      <c r="W315" s="8">
        <v>134198</v>
      </c>
      <c r="Y315" s="8">
        <v>0</v>
      </c>
      <c r="AA315" s="8">
        <v>543987</v>
      </c>
      <c r="AC315" s="8">
        <v>135843</v>
      </c>
      <c r="AE315" s="8">
        <v>54949</v>
      </c>
      <c r="AG315" s="8">
        <v>198376</v>
      </c>
      <c r="AI315" s="8">
        <v>0</v>
      </c>
      <c r="AJ315" s="13" t="s">
        <v>513</v>
      </c>
      <c r="AK315" s="13"/>
      <c r="AL315" s="13" t="s">
        <v>45</v>
      </c>
      <c r="AN315" s="8">
        <v>300074</v>
      </c>
      <c r="AP315" s="8">
        <v>0</v>
      </c>
      <c r="AR315" s="8">
        <v>0</v>
      </c>
      <c r="AT315" s="8">
        <v>65000</v>
      </c>
      <c r="AV315" s="8">
        <v>96160</v>
      </c>
      <c r="AX315" s="8">
        <v>0</v>
      </c>
      <c r="AZ315" s="9">
        <f t="shared" si="20"/>
        <v>5171317</v>
      </c>
      <c r="BB315" s="8">
        <v>195407</v>
      </c>
      <c r="BH315" s="8">
        <v>0</v>
      </c>
      <c r="BJ315" s="9">
        <f t="shared" si="21"/>
        <v>5366724</v>
      </c>
      <c r="BL315" s="9">
        <f>'Gov Fd Rv'!AQ315-'Gov Fnd Exp'!BJ315</f>
        <v>154695</v>
      </c>
      <c r="BN315" s="8">
        <v>2750640</v>
      </c>
      <c r="BP315" s="8">
        <v>0</v>
      </c>
      <c r="BT315" s="9">
        <f t="shared" si="22"/>
        <v>2905335</v>
      </c>
      <c r="BU315" s="9"/>
      <c r="BV315" s="9">
        <f>BT315-'Gov Fd BS'!AA318</f>
        <v>0</v>
      </c>
    </row>
    <row r="316" spans="1:76">
      <c r="A316" s="13" t="s">
        <v>611</v>
      </c>
      <c r="B316" s="13"/>
      <c r="C316" s="13" t="s">
        <v>112</v>
      </c>
      <c r="D316" s="13"/>
      <c r="E316" s="32">
        <v>49445</v>
      </c>
      <c r="G316" s="8">
        <v>2129722</v>
      </c>
      <c r="I316" s="8">
        <v>420935</v>
      </c>
      <c r="K316" s="8">
        <v>3003</v>
      </c>
      <c r="M316" s="8">
        <v>480089</v>
      </c>
      <c r="O316" s="8">
        <v>63279</v>
      </c>
      <c r="Q316" s="8">
        <v>177835</v>
      </c>
      <c r="S316" s="8">
        <v>18098</v>
      </c>
      <c r="U316" s="8">
        <v>526926</v>
      </c>
      <c r="W316" s="8">
        <v>232663</v>
      </c>
      <c r="Y316" s="8">
        <v>0</v>
      </c>
      <c r="AA316" s="8">
        <v>421684</v>
      </c>
      <c r="AC316" s="8">
        <v>374608</v>
      </c>
      <c r="AE316" s="8">
        <v>58487</v>
      </c>
      <c r="AG316" s="8">
        <v>296084</v>
      </c>
      <c r="AI316" s="8">
        <v>1318</v>
      </c>
      <c r="AJ316" s="13" t="s">
        <v>611</v>
      </c>
      <c r="AK316" s="13"/>
      <c r="AL316" s="13" t="s">
        <v>112</v>
      </c>
      <c r="AN316" s="8">
        <v>66683</v>
      </c>
      <c r="AP316" s="8">
        <v>0</v>
      </c>
      <c r="AR316" s="8">
        <v>0</v>
      </c>
      <c r="AT316" s="8">
        <v>0</v>
      </c>
      <c r="AV316" s="8">
        <v>0</v>
      </c>
      <c r="AX316" s="8">
        <v>0</v>
      </c>
      <c r="AZ316" s="9">
        <f t="shared" si="20"/>
        <v>5271414</v>
      </c>
      <c r="BB316" s="8">
        <v>0</v>
      </c>
      <c r="BH316" s="8">
        <v>0</v>
      </c>
      <c r="BJ316" s="9">
        <f t="shared" si="21"/>
        <v>5271414</v>
      </c>
      <c r="BL316" s="9">
        <f>'Gov Fd Rv'!AQ316-'Gov Fnd Exp'!BJ316</f>
        <v>556297</v>
      </c>
      <c r="BN316" s="8">
        <v>2528311</v>
      </c>
      <c r="BP316" s="8">
        <v>0</v>
      </c>
      <c r="BT316" s="9">
        <f t="shared" si="22"/>
        <v>3084608</v>
      </c>
      <c r="BU316" s="9"/>
      <c r="BV316" s="9">
        <f>BT316-'Gov Fd BS'!AA319</f>
        <v>0</v>
      </c>
    </row>
    <row r="317" spans="1:76">
      <c r="A317" s="13" t="s">
        <v>439</v>
      </c>
      <c r="B317" s="13"/>
      <c r="C317" s="13" t="s">
        <v>435</v>
      </c>
      <c r="D317" s="13"/>
      <c r="E317" s="32">
        <v>47639</v>
      </c>
      <c r="G317" s="8">
        <v>5432530</v>
      </c>
      <c r="I317" s="8">
        <v>1165104</v>
      </c>
      <c r="K317" s="8">
        <v>194040</v>
      </c>
      <c r="M317" s="8">
        <v>58725</v>
      </c>
      <c r="O317" s="8">
        <v>406030</v>
      </c>
      <c r="Q317" s="8">
        <v>537676</v>
      </c>
      <c r="S317" s="8">
        <v>42626</v>
      </c>
      <c r="U317" s="8">
        <v>1036064</v>
      </c>
      <c r="W317" s="8">
        <v>296775</v>
      </c>
      <c r="Y317" s="8">
        <v>38180</v>
      </c>
      <c r="AA317" s="8">
        <v>1193530</v>
      </c>
      <c r="AC317" s="8">
        <v>930488</v>
      </c>
      <c r="AE317" s="8">
        <v>10000</v>
      </c>
      <c r="AG317" s="8">
        <v>532845</v>
      </c>
      <c r="AI317" s="8">
        <v>1079</v>
      </c>
      <c r="AJ317" s="13" t="s">
        <v>439</v>
      </c>
      <c r="AK317" s="13"/>
      <c r="AL317" s="13" t="s">
        <v>435</v>
      </c>
      <c r="AN317" s="8">
        <v>176950</v>
      </c>
      <c r="AP317" s="8">
        <v>0</v>
      </c>
      <c r="AR317" s="8">
        <v>0</v>
      </c>
      <c r="AT317" s="8">
        <v>90565</v>
      </c>
      <c r="AV317" s="8">
        <f>81147+22774</f>
        <v>103921</v>
      </c>
      <c r="AX317" s="8">
        <v>0</v>
      </c>
      <c r="AZ317" s="9">
        <f t="shared" si="20"/>
        <v>12247128</v>
      </c>
      <c r="BB317" s="8">
        <v>0</v>
      </c>
      <c r="BH317" s="8">
        <v>991674</v>
      </c>
      <c r="BJ317" s="9">
        <f t="shared" si="21"/>
        <v>13238802</v>
      </c>
      <c r="BL317" s="9">
        <f>'Gov Fd Rv'!AQ317-'Gov Fnd Exp'!BJ317</f>
        <v>289960</v>
      </c>
      <c r="BN317" s="8">
        <v>7595131</v>
      </c>
      <c r="BP317" s="8">
        <v>0</v>
      </c>
      <c r="BT317" s="9">
        <f t="shared" si="22"/>
        <v>7885091</v>
      </c>
      <c r="BU317" s="9"/>
      <c r="BV317" s="9">
        <f>BT317-'Gov Fd BS'!AA320</f>
        <v>0</v>
      </c>
    </row>
    <row r="318" spans="1:76">
      <c r="A318" s="13" t="s">
        <v>1055</v>
      </c>
      <c r="B318" s="13"/>
      <c r="C318" s="13" t="s">
        <v>50</v>
      </c>
      <c r="D318" s="13"/>
      <c r="E318" s="32">
        <v>48702</v>
      </c>
      <c r="G318" s="8">
        <v>15486848</v>
      </c>
      <c r="I318" s="8">
        <v>4534872</v>
      </c>
      <c r="K318" s="8">
        <v>1614044</v>
      </c>
      <c r="M318" s="8">
        <v>1689072</v>
      </c>
      <c r="O318" s="8">
        <v>2281848</v>
      </c>
      <c r="Q318" s="8">
        <v>2319973</v>
      </c>
      <c r="S318" s="8">
        <v>76072</v>
      </c>
      <c r="U318" s="8">
        <v>3004804</v>
      </c>
      <c r="W318" s="8">
        <v>495380</v>
      </c>
      <c r="Y318" s="8">
        <v>31096</v>
      </c>
      <c r="AA318" s="8">
        <v>3974727</v>
      </c>
      <c r="AC318" s="8">
        <v>1428293</v>
      </c>
      <c r="AE318" s="8">
        <v>278521</v>
      </c>
      <c r="AG318" s="8">
        <v>0</v>
      </c>
      <c r="AI318" s="8">
        <v>2344453</v>
      </c>
      <c r="AJ318" s="13" t="s">
        <v>550</v>
      </c>
      <c r="AK318" s="13"/>
      <c r="AL318" s="13" t="s">
        <v>50</v>
      </c>
      <c r="AN318" s="8">
        <v>611573</v>
      </c>
      <c r="AP318" s="8">
        <v>182554</v>
      </c>
      <c r="AR318" s="8">
        <v>0</v>
      </c>
      <c r="AT318" s="8">
        <v>856000</v>
      </c>
      <c r="AV318" s="8">
        <v>693458</v>
      </c>
      <c r="AX318" s="8">
        <v>0</v>
      </c>
      <c r="AZ318" s="9">
        <f t="shared" si="20"/>
        <v>41903588</v>
      </c>
      <c r="BB318" s="8">
        <v>6000</v>
      </c>
      <c r="BH318" s="8">
        <v>0</v>
      </c>
      <c r="BJ318" s="9">
        <f t="shared" si="21"/>
        <v>41909588</v>
      </c>
      <c r="BL318" s="9">
        <f>'Gov Fd Rv'!AQ318-'Gov Fnd Exp'!BJ318</f>
        <v>-165547</v>
      </c>
      <c r="BN318" s="8">
        <v>16801185</v>
      </c>
      <c r="BP318" s="8">
        <v>0</v>
      </c>
      <c r="BT318" s="9">
        <f t="shared" si="22"/>
        <v>16635638</v>
      </c>
      <c r="BU318" s="9"/>
      <c r="BV318" s="9">
        <f>BT318-'Gov Fd BS'!AA321</f>
        <v>0</v>
      </c>
      <c r="BX318" s="15" t="s">
        <v>905</v>
      </c>
    </row>
    <row r="319" spans="1:76">
      <c r="A319" s="13" t="s">
        <v>398</v>
      </c>
      <c r="B319" s="13"/>
      <c r="C319" s="13" t="s">
        <v>32</v>
      </c>
      <c r="D319" s="13"/>
      <c r="E319" s="32">
        <v>44289</v>
      </c>
      <c r="G319" s="8">
        <v>7268548</v>
      </c>
      <c r="I319" s="8">
        <v>2057844</v>
      </c>
      <c r="K319" s="8">
        <v>3722</v>
      </c>
      <c r="M319" s="8">
        <v>76905</v>
      </c>
      <c r="O319" s="8">
        <v>1090936</v>
      </c>
      <c r="Q319" s="8">
        <v>360905</v>
      </c>
      <c r="S319" s="8">
        <v>35660</v>
      </c>
      <c r="U319" s="8">
        <v>969561</v>
      </c>
      <c r="W319" s="8">
        <v>490917</v>
      </c>
      <c r="Y319" s="8">
        <v>50641</v>
      </c>
      <c r="AA319" s="8">
        <v>1636127</v>
      </c>
      <c r="AC319" s="8">
        <v>739993</v>
      </c>
      <c r="AE319" s="8">
        <v>358407</v>
      </c>
      <c r="AG319" s="8">
        <v>0</v>
      </c>
      <c r="AI319" s="8">
        <v>926858</v>
      </c>
      <c r="AJ319" s="13" t="s">
        <v>398</v>
      </c>
      <c r="AK319" s="13"/>
      <c r="AL319" s="13" t="s">
        <v>32</v>
      </c>
      <c r="AN319" s="8">
        <v>584302</v>
      </c>
      <c r="AP319" s="8">
        <v>314090</v>
      </c>
      <c r="AR319" s="8">
        <v>0</v>
      </c>
      <c r="AT319" s="8">
        <v>1110621</v>
      </c>
      <c r="AV319" s="8">
        <v>1197020</v>
      </c>
      <c r="AX319" s="8">
        <v>0</v>
      </c>
      <c r="AZ319" s="9">
        <f t="shared" si="20"/>
        <v>19273057</v>
      </c>
      <c r="BB319" s="8">
        <v>2500</v>
      </c>
      <c r="BH319" s="8">
        <v>0</v>
      </c>
      <c r="BJ319" s="9">
        <f t="shared" si="21"/>
        <v>19275557</v>
      </c>
      <c r="BL319" s="9">
        <f>'Gov Fd Rv'!AQ319-'Gov Fnd Exp'!BJ319</f>
        <v>1101566</v>
      </c>
      <c r="BN319" s="8">
        <v>8806458</v>
      </c>
      <c r="BP319" s="8">
        <v>0</v>
      </c>
      <c r="BT319" s="9">
        <f t="shared" si="22"/>
        <v>9908024</v>
      </c>
      <c r="BU319" s="9"/>
      <c r="BV319" s="9">
        <f>BT319-'Gov Fd BS'!AA322</f>
        <v>0</v>
      </c>
    </row>
    <row r="320" spans="1:76">
      <c r="A320" s="13" t="s">
        <v>246</v>
      </c>
      <c r="B320" s="13"/>
      <c r="C320" s="13" t="s">
        <v>242</v>
      </c>
      <c r="D320" s="13"/>
      <c r="E320" s="32">
        <v>46128</v>
      </c>
      <c r="G320" s="8">
        <v>5803957</v>
      </c>
      <c r="I320" s="8">
        <v>954000</v>
      </c>
      <c r="K320" s="8">
        <v>0</v>
      </c>
      <c r="M320" s="8">
        <v>419026</v>
      </c>
      <c r="O320" s="8">
        <v>716471</v>
      </c>
      <c r="Q320" s="8">
        <v>750448</v>
      </c>
      <c r="S320" s="8">
        <v>115608</v>
      </c>
      <c r="U320" s="8">
        <v>1192440</v>
      </c>
      <c r="W320" s="8">
        <v>359784</v>
      </c>
      <c r="Y320" s="8">
        <v>1267</v>
      </c>
      <c r="AA320" s="8">
        <v>1416975</v>
      </c>
      <c r="AC320" s="8">
        <v>1070769</v>
      </c>
      <c r="AE320" s="8">
        <v>348879</v>
      </c>
      <c r="AG320" s="8">
        <v>652432</v>
      </c>
      <c r="AI320" s="8">
        <v>44179</v>
      </c>
      <c r="AJ320" s="13" t="s">
        <v>246</v>
      </c>
      <c r="AK320" s="13"/>
      <c r="AL320" s="13" t="s">
        <v>242</v>
      </c>
      <c r="AN320" s="8">
        <v>400685</v>
      </c>
      <c r="AP320" s="8">
        <v>2648294</v>
      </c>
      <c r="AR320" s="8">
        <v>0</v>
      </c>
      <c r="AT320" s="8">
        <v>623598</v>
      </c>
      <c r="AV320" s="8">
        <v>596063</v>
      </c>
      <c r="AX320" s="8">
        <v>0</v>
      </c>
      <c r="AZ320" s="9">
        <f t="shared" si="20"/>
        <v>18114875</v>
      </c>
      <c r="BB320" s="8">
        <v>2593</v>
      </c>
      <c r="BH320" s="8">
        <v>0</v>
      </c>
      <c r="BJ320" s="9">
        <f t="shared" si="21"/>
        <v>18117468</v>
      </c>
      <c r="BL320" s="9">
        <f>'Gov Fd Rv'!AQ320-'Gov Fnd Exp'!BJ320</f>
        <v>5456246</v>
      </c>
      <c r="BN320" s="8">
        <v>6575795</v>
      </c>
      <c r="BP320" s="8">
        <v>788</v>
      </c>
      <c r="BT320" s="9">
        <f t="shared" si="22"/>
        <v>12032829</v>
      </c>
      <c r="BU320" s="9"/>
      <c r="BV320" s="9">
        <f>BT320-'Gov Fd BS'!AA323</f>
        <v>0</v>
      </c>
    </row>
    <row r="321" spans="1:76" hidden="1">
      <c r="A321" s="12" t="s">
        <v>993</v>
      </c>
      <c r="B321" s="12"/>
      <c r="C321" s="12" t="s">
        <v>41</v>
      </c>
      <c r="D321" s="13"/>
      <c r="E321" s="32"/>
      <c r="G321" s="8">
        <v>14005628</v>
      </c>
      <c r="I321" s="8">
        <v>3865434</v>
      </c>
      <c r="K321" s="8">
        <v>213859</v>
      </c>
      <c r="M321" s="8">
        <f>25753+188264</f>
        <v>214017</v>
      </c>
      <c r="O321" s="8">
        <v>1901850</v>
      </c>
      <c r="Q321" s="8">
        <v>458658</v>
      </c>
      <c r="S321" s="8">
        <v>359332</v>
      </c>
      <c r="U321" s="8">
        <v>2467403</v>
      </c>
      <c r="W321" s="8">
        <v>591720</v>
      </c>
      <c r="Y321" s="8">
        <v>896407</v>
      </c>
      <c r="AA321" s="8">
        <v>2057903</v>
      </c>
      <c r="AC321" s="8">
        <v>1783130</v>
      </c>
      <c r="AE321" s="8">
        <v>903643</v>
      </c>
      <c r="AI321" s="8">
        <v>3257</v>
      </c>
      <c r="AJ321" s="12" t="s">
        <v>993</v>
      </c>
      <c r="AK321" s="12"/>
      <c r="AL321" s="12" t="s">
        <v>41</v>
      </c>
      <c r="AN321" s="8">
        <v>772813</v>
      </c>
      <c r="AT321" s="8">
        <v>685000</v>
      </c>
      <c r="AV321" s="8">
        <v>304780</v>
      </c>
      <c r="AZ321" s="9">
        <f t="shared" si="20"/>
        <v>31484834</v>
      </c>
      <c r="BB321" s="8">
        <f>254236-124236</f>
        <v>130000</v>
      </c>
      <c r="BH321" s="8">
        <f>6412-7848-1273</f>
        <v>-2709</v>
      </c>
      <c r="BJ321" s="9">
        <f t="shared" si="21"/>
        <v>31612125</v>
      </c>
      <c r="BL321" s="9">
        <f>'Gov Fd Rv'!AQ321-'Gov Fnd Exp'!BJ321</f>
        <v>-946541</v>
      </c>
      <c r="BN321" s="8">
        <v>5613885</v>
      </c>
      <c r="BT321" s="9">
        <f t="shared" si="22"/>
        <v>4667344</v>
      </c>
      <c r="BU321" s="9"/>
      <c r="BV321" s="9">
        <f>BT321-'Gov Fd BS'!AA324</f>
        <v>0</v>
      </c>
    </row>
    <row r="322" spans="1:76">
      <c r="A322" s="13" t="s">
        <v>246</v>
      </c>
      <c r="B322" s="13"/>
      <c r="C322" s="13" t="s">
        <v>112</v>
      </c>
      <c r="D322" s="13"/>
      <c r="E322" s="32">
        <v>49452</v>
      </c>
      <c r="G322" s="8">
        <v>12176703</v>
      </c>
      <c r="I322" s="8">
        <v>3286246</v>
      </c>
      <c r="K322" s="8">
        <v>3016996</v>
      </c>
      <c r="M322" s="8">
        <f>23181+2001481</f>
        <v>2024662</v>
      </c>
      <c r="O322" s="8">
        <v>1333983</v>
      </c>
      <c r="Q322" s="8">
        <v>1915312</v>
      </c>
      <c r="S322" s="8">
        <v>40403</v>
      </c>
      <c r="U322" s="8">
        <v>2287073</v>
      </c>
      <c r="W322" s="8">
        <v>528782</v>
      </c>
      <c r="Y322" s="8">
        <v>68110</v>
      </c>
      <c r="AA322" s="8">
        <v>3085619</v>
      </c>
      <c r="AC322" s="8">
        <v>1329643</v>
      </c>
      <c r="AE322" s="8">
        <v>296853</v>
      </c>
      <c r="AG322" s="8">
        <v>1145701</v>
      </c>
      <c r="AI322" s="8">
        <v>1070335</v>
      </c>
      <c r="AJ322" s="13" t="s">
        <v>246</v>
      </c>
      <c r="AK322" s="13"/>
      <c r="AL322" s="13" t="s">
        <v>112</v>
      </c>
      <c r="AN322" s="8">
        <v>581740</v>
      </c>
      <c r="AP322" s="8">
        <v>227643</v>
      </c>
      <c r="AR322" s="8">
        <v>0</v>
      </c>
      <c r="AT322" s="8">
        <v>170000</v>
      </c>
      <c r="AV322" s="8">
        <v>13998</v>
      </c>
      <c r="AX322" s="8">
        <v>0</v>
      </c>
      <c r="AZ322" s="9">
        <f t="shared" si="20"/>
        <v>34599802</v>
      </c>
      <c r="BB322" s="8">
        <v>208998</v>
      </c>
      <c r="BH322" s="8">
        <v>0</v>
      </c>
      <c r="BJ322" s="9">
        <f t="shared" si="21"/>
        <v>34808800</v>
      </c>
      <c r="BL322" s="9">
        <f>'Gov Fd Rv'!AQ322-'Gov Fnd Exp'!BJ322</f>
        <v>-849415</v>
      </c>
      <c r="BN322" s="8">
        <v>9358290</v>
      </c>
      <c r="BP322" s="8">
        <v>-10318</v>
      </c>
      <c r="BT322" s="9">
        <f t="shared" si="22"/>
        <v>8498557</v>
      </c>
      <c r="BU322" s="9"/>
      <c r="BV322" s="9">
        <f>BT322-'Gov Fd BS'!AA325</f>
        <v>0</v>
      </c>
    </row>
    <row r="323" spans="1:76">
      <c r="A323" s="12" t="s">
        <v>1023</v>
      </c>
      <c r="B323" s="12"/>
      <c r="C323" s="12" t="s">
        <v>505</v>
      </c>
      <c r="D323" s="13"/>
      <c r="E323" s="32"/>
      <c r="G323" s="8">
        <v>6616057</v>
      </c>
      <c r="I323" s="8">
        <v>751412</v>
      </c>
      <c r="K323" s="8">
        <v>456908</v>
      </c>
      <c r="M323" s="8">
        <v>0</v>
      </c>
      <c r="O323" s="8">
        <v>408705</v>
      </c>
      <c r="Q323" s="8">
        <v>537927</v>
      </c>
      <c r="S323" s="8">
        <v>69939</v>
      </c>
      <c r="U323" s="8">
        <v>1372473</v>
      </c>
      <c r="W323" s="8">
        <v>496675</v>
      </c>
      <c r="Y323" s="8">
        <v>0</v>
      </c>
      <c r="AA323" s="8">
        <v>977523</v>
      </c>
      <c r="AC323" s="8">
        <v>1244165</v>
      </c>
      <c r="AE323" s="8">
        <v>281004</v>
      </c>
      <c r="AG323" s="8">
        <v>659314</v>
      </c>
      <c r="AI323" s="8">
        <v>0</v>
      </c>
      <c r="AJ323" s="12" t="s">
        <v>1023</v>
      </c>
      <c r="AK323" s="12"/>
      <c r="AL323" s="12" t="s">
        <v>505</v>
      </c>
      <c r="AN323" s="8">
        <v>418893</v>
      </c>
      <c r="AP323" s="8">
        <v>303858</v>
      </c>
      <c r="AR323" s="8">
        <v>0</v>
      </c>
      <c r="AT323" s="8">
        <v>39478</v>
      </c>
      <c r="AV323" s="8">
        <v>9652</v>
      </c>
      <c r="AX323" s="8">
        <v>0</v>
      </c>
      <c r="AZ323" s="9">
        <f t="shared" si="20"/>
        <v>14643983</v>
      </c>
      <c r="BB323" s="8">
        <v>40000</v>
      </c>
      <c r="BH323" s="8">
        <v>0</v>
      </c>
      <c r="BJ323" s="9">
        <f t="shared" si="21"/>
        <v>14683983</v>
      </c>
      <c r="BL323" s="9">
        <f>'Gov Fd Rv'!AQ323-'Gov Fnd Exp'!BJ323</f>
        <v>1231267</v>
      </c>
      <c r="BN323" s="8">
        <v>7026474</v>
      </c>
      <c r="BP323" s="8">
        <v>0</v>
      </c>
      <c r="BT323" s="9">
        <f t="shared" si="22"/>
        <v>8257741</v>
      </c>
      <c r="BU323" s="9"/>
      <c r="BV323" s="9">
        <f>BT323-'Gov Fd BS'!AA326</f>
        <v>0</v>
      </c>
    </row>
    <row r="324" spans="1:76">
      <c r="A324" s="13" t="s">
        <v>819</v>
      </c>
      <c r="B324" s="13"/>
      <c r="C324" s="13" t="s">
        <v>208</v>
      </c>
      <c r="D324" s="13"/>
      <c r="E324" s="32"/>
      <c r="G324" s="8">
        <v>4136572</v>
      </c>
      <c r="I324" s="8">
        <v>1747831</v>
      </c>
      <c r="K324" s="8">
        <v>1033392</v>
      </c>
      <c r="M324" s="8">
        <v>92777</v>
      </c>
      <c r="O324" s="8">
        <v>442938</v>
      </c>
      <c r="Q324" s="8">
        <v>517052</v>
      </c>
      <c r="S324" s="8">
        <v>87209</v>
      </c>
      <c r="U324" s="8">
        <v>775511</v>
      </c>
      <c r="W324" s="8">
        <v>432625</v>
      </c>
      <c r="Y324" s="8">
        <v>0</v>
      </c>
      <c r="AA324" s="8">
        <v>1010450</v>
      </c>
      <c r="AC324" s="8">
        <v>595877</v>
      </c>
      <c r="AE324" s="8">
        <v>0</v>
      </c>
      <c r="AG324" s="8">
        <v>535047</v>
      </c>
      <c r="AI324" s="8">
        <v>0</v>
      </c>
      <c r="AJ324" s="13" t="s">
        <v>819</v>
      </c>
      <c r="AK324" s="13"/>
      <c r="AL324" s="13" t="s">
        <v>208</v>
      </c>
      <c r="AN324" s="8">
        <v>293421</v>
      </c>
      <c r="AP324" s="8">
        <v>1242947</v>
      </c>
      <c r="AR324" s="8">
        <v>0</v>
      </c>
      <c r="AT324" s="8">
        <v>2869062</v>
      </c>
      <c r="AV324" s="8">
        <v>1158732</v>
      </c>
      <c r="AX324" s="8">
        <v>0</v>
      </c>
      <c r="AZ324" s="9">
        <f t="shared" si="20"/>
        <v>16971443</v>
      </c>
      <c r="BB324" s="8">
        <v>2750948</v>
      </c>
      <c r="BH324" s="8">
        <v>0</v>
      </c>
      <c r="BJ324" s="9">
        <f t="shared" si="21"/>
        <v>19722391</v>
      </c>
      <c r="BL324" s="9">
        <f>'Gov Fd Rv'!AQ324-'Gov Fnd Exp'!BJ324</f>
        <v>-526791</v>
      </c>
      <c r="BN324" s="8">
        <v>5501843</v>
      </c>
      <c r="BP324" s="8">
        <v>0</v>
      </c>
      <c r="BT324" s="9">
        <f t="shared" si="22"/>
        <v>4975052</v>
      </c>
      <c r="BU324" s="9"/>
      <c r="BV324" s="9">
        <f>BT324-'Gov Fd BS'!AA327</f>
        <v>0</v>
      </c>
    </row>
    <row r="325" spans="1:76">
      <c r="A325" s="13" t="s">
        <v>612</v>
      </c>
      <c r="B325" s="13"/>
      <c r="C325" s="13" t="s">
        <v>112</v>
      </c>
      <c r="D325" s="13"/>
      <c r="E325" s="32">
        <v>44297</v>
      </c>
      <c r="G325" s="8">
        <v>18843742</v>
      </c>
      <c r="I325" s="8">
        <v>7283746</v>
      </c>
      <c r="K325" s="8">
        <v>1544632</v>
      </c>
      <c r="M325" s="8">
        <f>273010+11303065</f>
        <v>11576075</v>
      </c>
      <c r="O325" s="8">
        <v>3443362</v>
      </c>
      <c r="Q325" s="8">
        <v>2865935</v>
      </c>
      <c r="S325" s="8">
        <v>26558</v>
      </c>
      <c r="U325" s="8">
        <v>3952766</v>
      </c>
      <c r="W325" s="8">
        <v>1129321</v>
      </c>
      <c r="Y325" s="8">
        <v>1544304</v>
      </c>
      <c r="AA325" s="8">
        <v>6003517</v>
      </c>
      <c r="AC325" s="8">
        <v>1909023</v>
      </c>
      <c r="AE325" s="8">
        <v>1944535</v>
      </c>
      <c r="AG325" s="8">
        <v>2172780</v>
      </c>
      <c r="AI325" s="8">
        <v>1944697</v>
      </c>
      <c r="AJ325" s="13" t="s">
        <v>612</v>
      </c>
      <c r="AK325" s="13"/>
      <c r="AL325" s="13" t="s">
        <v>112</v>
      </c>
      <c r="AN325" s="8">
        <v>786506</v>
      </c>
      <c r="AP325" s="8">
        <v>251955</v>
      </c>
      <c r="AR325" s="8">
        <v>0</v>
      </c>
      <c r="AT325" s="8">
        <v>1275000</v>
      </c>
      <c r="AV325" s="8">
        <v>625770</v>
      </c>
      <c r="AX325" s="8">
        <v>0</v>
      </c>
      <c r="AZ325" s="9">
        <f t="shared" si="20"/>
        <v>69124224</v>
      </c>
      <c r="BB325" s="8">
        <v>0</v>
      </c>
      <c r="BH325" s="8">
        <v>0</v>
      </c>
      <c r="BJ325" s="9">
        <f t="shared" si="21"/>
        <v>69124224</v>
      </c>
      <c r="BL325" s="9">
        <f>'Gov Fd Rv'!AQ325-'Gov Fnd Exp'!BJ325</f>
        <v>-701320</v>
      </c>
      <c r="BN325" s="8">
        <v>18457061</v>
      </c>
      <c r="BP325" s="8">
        <v>0</v>
      </c>
      <c r="BT325" s="9">
        <f t="shared" si="22"/>
        <v>17755741</v>
      </c>
      <c r="BU325" s="9"/>
      <c r="BV325" s="9">
        <f>BT325-'Gov Fd BS'!AA328</f>
        <v>0</v>
      </c>
    </row>
    <row r="326" spans="1:76">
      <c r="A326" s="12" t="s">
        <v>311</v>
      </c>
      <c r="B326" s="13"/>
      <c r="C326" s="13" t="s">
        <v>20</v>
      </c>
      <c r="D326" s="13"/>
      <c r="E326" s="32">
        <v>44305</v>
      </c>
      <c r="G326" s="8">
        <v>19562658</v>
      </c>
      <c r="I326" s="8">
        <v>4211422</v>
      </c>
      <c r="K326" s="8">
        <v>1382680</v>
      </c>
      <c r="M326" s="8">
        <f>2205+134996</f>
        <v>137201</v>
      </c>
      <c r="O326" s="8">
        <v>1884732</v>
      </c>
      <c r="Q326" s="8">
        <v>1966097</v>
      </c>
      <c r="S326" s="8">
        <v>58603</v>
      </c>
      <c r="U326" s="8">
        <v>3673971</v>
      </c>
      <c r="W326" s="8">
        <v>1653139</v>
      </c>
      <c r="Y326" s="8">
        <v>646285</v>
      </c>
      <c r="AA326" s="8">
        <v>6726262</v>
      </c>
      <c r="AC326" s="8">
        <v>1811908</v>
      </c>
      <c r="AE326" s="8">
        <v>24169</v>
      </c>
      <c r="AG326" s="8">
        <v>1838065</v>
      </c>
      <c r="AI326" s="8">
        <v>252064</v>
      </c>
      <c r="AJ326" s="13" t="s">
        <v>311</v>
      </c>
      <c r="AK326" s="13"/>
      <c r="AL326" s="13" t="s">
        <v>20</v>
      </c>
      <c r="AN326" s="8">
        <v>875204</v>
      </c>
      <c r="AP326" s="8">
        <v>3276068</v>
      </c>
      <c r="AR326" s="8">
        <v>0</v>
      </c>
      <c r="AT326" s="8">
        <v>312299</v>
      </c>
      <c r="AV326" s="8">
        <v>236829</v>
      </c>
      <c r="AX326" s="8">
        <v>0</v>
      </c>
      <c r="AZ326" s="9">
        <f t="shared" si="20"/>
        <v>50529656</v>
      </c>
      <c r="BB326" s="8">
        <v>0</v>
      </c>
      <c r="BH326" s="8">
        <v>0</v>
      </c>
      <c r="BJ326" s="9">
        <f t="shared" si="21"/>
        <v>50529656</v>
      </c>
      <c r="BL326" s="9">
        <f>'Gov Fd Rv'!AQ326-'Gov Fnd Exp'!BJ326</f>
        <v>58768267</v>
      </c>
      <c r="BN326" s="8">
        <v>4257628</v>
      </c>
      <c r="BP326" s="8">
        <v>0</v>
      </c>
      <c r="BT326" s="9">
        <f t="shared" si="22"/>
        <v>63025895</v>
      </c>
      <c r="BU326" s="9"/>
      <c r="BV326" s="9">
        <f>BT326-'Gov Fd BS'!AA329</f>
        <v>0</v>
      </c>
      <c r="BX326" s="15" t="s">
        <v>905</v>
      </c>
    </row>
    <row r="327" spans="1:76">
      <c r="A327" s="13" t="s">
        <v>216</v>
      </c>
      <c r="B327" s="13"/>
      <c r="C327" s="13" t="s">
        <v>11</v>
      </c>
      <c r="D327" s="13"/>
      <c r="E327" s="32">
        <v>45831</v>
      </c>
      <c r="G327" s="8">
        <v>3401239</v>
      </c>
      <c r="I327" s="8">
        <v>824834</v>
      </c>
      <c r="K327" s="8">
        <v>184472</v>
      </c>
      <c r="M327" s="8">
        <v>713366</v>
      </c>
      <c r="O327" s="8">
        <v>278170</v>
      </c>
      <c r="Q327" s="8">
        <v>420144</v>
      </c>
      <c r="S327" s="8">
        <v>36570</v>
      </c>
      <c r="U327" s="8">
        <v>633968</v>
      </c>
      <c r="W327" s="8">
        <v>305879</v>
      </c>
      <c r="Y327" s="8">
        <v>0</v>
      </c>
      <c r="AA327" s="8">
        <v>800833</v>
      </c>
      <c r="AC327" s="8">
        <v>506271</v>
      </c>
      <c r="AE327" s="8">
        <v>59328</v>
      </c>
      <c r="AG327" s="8">
        <v>351439</v>
      </c>
      <c r="AI327" s="8">
        <v>0</v>
      </c>
      <c r="AJ327" s="13" t="s">
        <v>216</v>
      </c>
      <c r="AK327" s="13"/>
      <c r="AL327" s="13" t="s">
        <v>11</v>
      </c>
      <c r="AN327" s="8">
        <v>280571</v>
      </c>
      <c r="AP327" s="8">
        <v>47312</v>
      </c>
      <c r="AR327" s="8">
        <v>0</v>
      </c>
      <c r="AT327" s="8">
        <v>183656</v>
      </c>
      <c r="AV327" s="8">
        <v>166524</v>
      </c>
      <c r="AX327" s="8">
        <v>0</v>
      </c>
      <c r="AZ327" s="9">
        <f t="shared" si="20"/>
        <v>9194576</v>
      </c>
      <c r="BB327" s="8">
        <v>0</v>
      </c>
      <c r="BH327" s="8">
        <v>0</v>
      </c>
      <c r="BJ327" s="9">
        <f t="shared" si="21"/>
        <v>9194576</v>
      </c>
      <c r="BL327" s="9">
        <f>'Gov Fd Rv'!AQ327-'Gov Fnd Exp'!BJ327</f>
        <v>616029</v>
      </c>
      <c r="BN327" s="8">
        <v>2100407</v>
      </c>
      <c r="BP327" s="8">
        <v>0</v>
      </c>
      <c r="BT327" s="9">
        <f t="shared" si="22"/>
        <v>2716436</v>
      </c>
      <c r="BU327" s="9"/>
      <c r="BV327" s="9">
        <f>BT327-'Gov Fd BS'!AA330</f>
        <v>0</v>
      </c>
    </row>
    <row r="328" spans="1:76">
      <c r="A328" s="13" t="s">
        <v>687</v>
      </c>
      <c r="B328" s="13"/>
      <c r="C328" s="13" t="s">
        <v>64</v>
      </c>
      <c r="D328" s="13"/>
      <c r="E328" s="32">
        <v>50211</v>
      </c>
      <c r="G328" s="8">
        <v>4175958</v>
      </c>
      <c r="I328" s="8">
        <v>656455</v>
      </c>
      <c r="K328" s="8">
        <v>36657</v>
      </c>
      <c r="M328" s="8">
        <v>17722</v>
      </c>
      <c r="O328" s="8">
        <v>438273</v>
      </c>
      <c r="Q328" s="8">
        <v>154076</v>
      </c>
      <c r="S328" s="8">
        <v>30918</v>
      </c>
      <c r="U328" s="8">
        <v>738345</v>
      </c>
      <c r="W328" s="8">
        <v>280706</v>
      </c>
      <c r="Y328" s="8">
        <v>59058</v>
      </c>
      <c r="AA328" s="8">
        <v>869850</v>
      </c>
      <c r="AC328" s="8">
        <v>548452</v>
      </c>
      <c r="AE328" s="8">
        <v>48475</v>
      </c>
      <c r="AG328" s="8">
        <v>345881</v>
      </c>
      <c r="AI328" s="8">
        <v>0</v>
      </c>
      <c r="AJ328" s="13" t="s">
        <v>687</v>
      </c>
      <c r="AK328" s="13"/>
      <c r="AL328" s="13" t="s">
        <v>64</v>
      </c>
      <c r="AN328" s="8">
        <v>254504</v>
      </c>
      <c r="AP328" s="8">
        <v>2620</v>
      </c>
      <c r="AR328" s="8">
        <v>0</v>
      </c>
      <c r="AT328" s="8">
        <v>125000</v>
      </c>
      <c r="AV328" s="8">
        <v>250888</v>
      </c>
      <c r="AX328" s="8">
        <v>0</v>
      </c>
      <c r="AZ328" s="9">
        <f t="shared" si="20"/>
        <v>9033838</v>
      </c>
      <c r="BB328" s="8">
        <v>0</v>
      </c>
      <c r="BH328" s="8">
        <v>0</v>
      </c>
      <c r="BJ328" s="9">
        <f t="shared" si="21"/>
        <v>9033838</v>
      </c>
      <c r="BL328" s="9">
        <f>'Gov Fd Rv'!AQ328-'Gov Fnd Exp'!BJ328</f>
        <v>934649</v>
      </c>
      <c r="BN328" s="8">
        <v>1286528</v>
      </c>
      <c r="BP328" s="8">
        <v>0</v>
      </c>
      <c r="BT328" s="9">
        <f t="shared" si="22"/>
        <v>2221177</v>
      </c>
      <c r="BU328" s="9"/>
      <c r="BV328" s="9">
        <f>BT328-'Gov Fd BS'!AA331</f>
        <v>0</v>
      </c>
    </row>
    <row r="329" spans="1:76">
      <c r="A329" s="13" t="s">
        <v>339</v>
      </c>
      <c r="B329" s="13"/>
      <c r="C329" s="13" t="s">
        <v>24</v>
      </c>
      <c r="D329" s="13"/>
      <c r="E329" s="32">
        <v>46805</v>
      </c>
      <c r="G329" s="8">
        <v>5125035</v>
      </c>
      <c r="I329" s="8">
        <v>1423649</v>
      </c>
      <c r="K329" s="8">
        <v>344297</v>
      </c>
      <c r="M329" s="8">
        <v>7438</v>
      </c>
      <c r="O329" s="8">
        <v>714972</v>
      </c>
      <c r="Q329" s="8">
        <v>686735</v>
      </c>
      <c r="S329" s="8">
        <v>167593</v>
      </c>
      <c r="U329" s="8">
        <v>1028441</v>
      </c>
      <c r="W329" s="8">
        <v>427872</v>
      </c>
      <c r="Y329" s="8">
        <v>0</v>
      </c>
      <c r="AA329" s="8">
        <v>1423450</v>
      </c>
      <c r="AC329" s="8">
        <v>993883</v>
      </c>
      <c r="AE329" s="8">
        <v>64420</v>
      </c>
      <c r="AG329" s="8">
        <v>540960</v>
      </c>
      <c r="AI329" s="8">
        <v>227718</v>
      </c>
      <c r="AJ329" s="13" t="s">
        <v>339</v>
      </c>
      <c r="AK329" s="13"/>
      <c r="AL329" s="13" t="s">
        <v>24</v>
      </c>
      <c r="AN329" s="8">
        <v>507612</v>
      </c>
      <c r="AP329" s="8">
        <v>2369570</v>
      </c>
      <c r="AR329" s="8">
        <v>0</v>
      </c>
      <c r="AT329" s="8">
        <v>0</v>
      </c>
      <c r="AV329" s="8">
        <v>112647</v>
      </c>
      <c r="AX329" s="8">
        <v>0</v>
      </c>
      <c r="AZ329" s="9">
        <f t="shared" si="20"/>
        <v>16166292</v>
      </c>
      <c r="BB329" s="8">
        <v>155486</v>
      </c>
      <c r="BH329" s="8">
        <v>0</v>
      </c>
      <c r="BJ329" s="9">
        <f t="shared" si="21"/>
        <v>16321778</v>
      </c>
      <c r="BL329" s="9">
        <f>'Gov Fd Rv'!AQ329-'Gov Fnd Exp'!BJ329</f>
        <v>-2723572</v>
      </c>
      <c r="BN329" s="8">
        <v>2809752</v>
      </c>
      <c r="BP329" s="8">
        <v>-1181</v>
      </c>
      <c r="BT329" s="9">
        <f t="shared" si="22"/>
        <v>84999</v>
      </c>
      <c r="BU329" s="9"/>
      <c r="BV329" s="9">
        <f>BT329-'Gov Fd BS'!AA332</f>
        <v>0</v>
      </c>
    </row>
    <row r="330" spans="1:76">
      <c r="A330" s="13" t="s">
        <v>399</v>
      </c>
      <c r="B330" s="13"/>
      <c r="C330" s="13" t="s">
        <v>32</v>
      </c>
      <c r="D330" s="13"/>
      <c r="E330" s="32">
        <v>44313</v>
      </c>
      <c r="G330" s="8">
        <v>9966824</v>
      </c>
      <c r="I330" s="8">
        <v>2150726</v>
      </c>
      <c r="K330" s="8">
        <v>0</v>
      </c>
      <c r="M330" s="8">
        <f>4302+124500</f>
        <v>128802</v>
      </c>
      <c r="O330" s="8">
        <v>1522822</v>
      </c>
      <c r="Q330" s="8">
        <v>1152026</v>
      </c>
      <c r="S330" s="8">
        <v>12302</v>
      </c>
      <c r="U330" s="8">
        <v>1761689</v>
      </c>
      <c r="W330" s="8">
        <v>515728</v>
      </c>
      <c r="Y330" s="8">
        <v>52152</v>
      </c>
      <c r="AA330" s="8">
        <v>1946055</v>
      </c>
      <c r="AC330" s="8">
        <v>673667</v>
      </c>
      <c r="AE330" s="8">
        <v>92834</v>
      </c>
      <c r="AG330" s="8">
        <v>0</v>
      </c>
      <c r="AI330" s="8">
        <v>289796</v>
      </c>
      <c r="AJ330" s="13" t="s">
        <v>399</v>
      </c>
      <c r="AK330" s="13"/>
      <c r="AL330" s="13" t="s">
        <v>32</v>
      </c>
      <c r="AN330" s="8">
        <v>675666</v>
      </c>
      <c r="AP330" s="8">
        <v>154469</v>
      </c>
      <c r="AR330" s="8">
        <v>0</v>
      </c>
      <c r="AT330" s="8">
        <v>539123</v>
      </c>
      <c r="AV330" s="8">
        <v>346383</v>
      </c>
      <c r="AX330" s="8">
        <v>0</v>
      </c>
      <c r="AZ330" s="9">
        <f t="shared" si="20"/>
        <v>21981064</v>
      </c>
      <c r="BB330" s="8">
        <v>53000</v>
      </c>
      <c r="BH330" s="8">
        <v>0</v>
      </c>
      <c r="BJ330" s="9">
        <f t="shared" si="21"/>
        <v>22034064</v>
      </c>
      <c r="BL330" s="9">
        <f>'Gov Fd Rv'!AQ330-'Gov Fnd Exp'!BJ330</f>
        <v>229552</v>
      </c>
      <c r="BN330" s="8">
        <v>9091477</v>
      </c>
      <c r="BP330" s="8">
        <v>0</v>
      </c>
      <c r="BT330" s="9">
        <f t="shared" si="22"/>
        <v>9321029</v>
      </c>
      <c r="BU330" s="9"/>
      <c r="BV330" s="9">
        <f>BT330-'Gov Fd BS'!AA333</f>
        <v>0</v>
      </c>
    </row>
    <row r="331" spans="1:76" hidden="1">
      <c r="A331" s="12" t="s">
        <v>832</v>
      </c>
      <c r="B331" s="13"/>
      <c r="C331" s="13" t="s">
        <v>70</v>
      </c>
      <c r="D331" s="13"/>
      <c r="E331" s="32">
        <v>44321</v>
      </c>
      <c r="G331" s="8">
        <v>11331928</v>
      </c>
      <c r="I331" s="8">
        <v>3124266</v>
      </c>
      <c r="K331" s="8">
        <v>61902</v>
      </c>
      <c r="M331" s="8">
        <f>51651+99837</f>
        <v>151488</v>
      </c>
      <c r="O331" s="8">
        <v>1146169</v>
      </c>
      <c r="Q331" s="8">
        <v>1657547</v>
      </c>
      <c r="S331" s="8">
        <v>86044</v>
      </c>
      <c r="U331" s="8">
        <v>2039691</v>
      </c>
      <c r="W331" s="8">
        <v>494436</v>
      </c>
      <c r="Y331" s="8">
        <v>267969</v>
      </c>
      <c r="AA331" s="8">
        <v>2480426</v>
      </c>
      <c r="AC331" s="8">
        <v>1157495</v>
      </c>
      <c r="AE331" s="8">
        <v>171321</v>
      </c>
      <c r="AI331" s="8">
        <v>1180607</v>
      </c>
      <c r="AJ331" s="13" t="s">
        <v>718</v>
      </c>
      <c r="AK331" s="13"/>
      <c r="AL331" s="13" t="s">
        <v>70</v>
      </c>
      <c r="AN331" s="8">
        <v>463165</v>
      </c>
      <c r="AT331" s="8">
        <v>162000</v>
      </c>
      <c r="AV331" s="8">
        <v>30659</v>
      </c>
      <c r="AZ331" s="9">
        <f t="shared" si="20"/>
        <v>26007113</v>
      </c>
      <c r="BD331" s="8">
        <f>349978-199978</f>
        <v>150000</v>
      </c>
      <c r="BH331" s="8">
        <v>-1500</v>
      </c>
      <c r="BJ331" s="9">
        <f>AZ331+BB331+BH331+BD331</f>
        <v>26155613</v>
      </c>
      <c r="BL331" s="9">
        <f>'Gov Fd Rv'!AQ331-'Gov Fnd Exp'!BJ331</f>
        <v>445203</v>
      </c>
      <c r="BN331" s="8">
        <v>4369797</v>
      </c>
      <c r="BT331" s="9">
        <f t="shared" si="22"/>
        <v>4815000</v>
      </c>
      <c r="BU331" s="9"/>
      <c r="BV331" s="9">
        <f>BT331-'Gov Fd BS'!AA334</f>
        <v>0</v>
      </c>
      <c r="BX331" s="8" t="s">
        <v>956</v>
      </c>
    </row>
    <row r="332" spans="1:76">
      <c r="A332" s="13" t="s">
        <v>521</v>
      </c>
      <c r="B332" s="13"/>
      <c r="C332" s="13" t="s">
        <v>46</v>
      </c>
      <c r="D332" s="13"/>
      <c r="E332" s="32">
        <v>44339</v>
      </c>
      <c r="G332" s="8">
        <v>24170183</v>
      </c>
      <c r="I332" s="8">
        <v>6959268</v>
      </c>
      <c r="K332" s="8">
        <v>518490</v>
      </c>
      <c r="M332" s="8">
        <v>76163</v>
      </c>
      <c r="O332" s="8">
        <v>2331335</v>
      </c>
      <c r="Q332" s="8">
        <v>4448898</v>
      </c>
      <c r="S332" s="8">
        <v>37437</v>
      </c>
      <c r="U332" s="8">
        <v>3291508</v>
      </c>
      <c r="W332" s="8">
        <v>680054</v>
      </c>
      <c r="Y332" s="8">
        <v>407970</v>
      </c>
      <c r="AA332" s="8">
        <v>4135427</v>
      </c>
      <c r="AC332" s="8">
        <v>961840</v>
      </c>
      <c r="AE332" s="8">
        <v>6070</v>
      </c>
      <c r="AG332" s="8">
        <v>0</v>
      </c>
      <c r="AI332" s="8">
        <v>1326103</v>
      </c>
      <c r="AJ332" s="13" t="s">
        <v>521</v>
      </c>
      <c r="AK332" s="13"/>
      <c r="AL332" s="13" t="s">
        <v>46</v>
      </c>
      <c r="AN332" s="8">
        <v>767538</v>
      </c>
      <c r="AP332" s="8">
        <v>28200</v>
      </c>
      <c r="AR332" s="8">
        <v>0</v>
      </c>
      <c r="AT332" s="8">
        <v>672196</v>
      </c>
      <c r="AV332" s="8">
        <v>569106</v>
      </c>
      <c r="AX332" s="8">
        <v>0</v>
      </c>
      <c r="AZ332" s="9">
        <f t="shared" si="20"/>
        <v>51387786</v>
      </c>
      <c r="BB332" s="8">
        <v>80177</v>
      </c>
      <c r="BH332" s="8">
        <v>0</v>
      </c>
      <c r="BJ332" s="9">
        <f t="shared" si="21"/>
        <v>51467963</v>
      </c>
      <c r="BL332" s="9">
        <f>'Gov Fd Rv'!AQ332-'Gov Fnd Exp'!BJ332</f>
        <v>1999938</v>
      </c>
      <c r="BN332" s="8">
        <v>13224585</v>
      </c>
      <c r="BP332" s="8">
        <v>0</v>
      </c>
      <c r="BT332" s="9">
        <f t="shared" si="22"/>
        <v>15224523</v>
      </c>
      <c r="BU332" s="9"/>
      <c r="BV332" s="9">
        <f>BT332-'Gov Fd BS'!AA335</f>
        <v>0</v>
      </c>
    </row>
    <row r="333" spans="1:76" hidden="1">
      <c r="A333" s="12" t="s">
        <v>998</v>
      </c>
      <c r="B333" s="12"/>
      <c r="C333" s="12" t="s">
        <v>534</v>
      </c>
      <c r="D333" s="13"/>
      <c r="E333" s="32"/>
      <c r="G333" s="8">
        <v>4030942</v>
      </c>
      <c r="I333" s="8">
        <v>881676</v>
      </c>
      <c r="K333" s="8">
        <v>108226</v>
      </c>
      <c r="M333" s="8">
        <v>10247</v>
      </c>
      <c r="O333" s="8">
        <v>206604</v>
      </c>
      <c r="Q333" s="8">
        <v>252398</v>
      </c>
      <c r="S333" s="8">
        <v>30528</v>
      </c>
      <c r="U333" s="8">
        <v>610968</v>
      </c>
      <c r="W333" s="8">
        <v>240848</v>
      </c>
      <c r="Y333" s="8">
        <v>4184</v>
      </c>
      <c r="AA333" s="8">
        <v>651533</v>
      </c>
      <c r="AC333" s="8">
        <v>320891</v>
      </c>
      <c r="AE333" s="8">
        <v>5732</v>
      </c>
      <c r="AG333" s="8">
        <v>319149</v>
      </c>
      <c r="AI333" s="8">
        <v>48076</v>
      </c>
      <c r="AJ333" s="12" t="s">
        <v>998</v>
      </c>
      <c r="AK333" s="12"/>
      <c r="AL333" s="12" t="s">
        <v>534</v>
      </c>
      <c r="AN333" s="8">
        <v>384447</v>
      </c>
      <c r="AP333" s="8">
        <v>140197</v>
      </c>
      <c r="AT333" s="8">
        <v>230994</v>
      </c>
      <c r="AV333" s="8">
        <v>91069</v>
      </c>
      <c r="AZ333" s="9">
        <f t="shared" si="20"/>
        <v>8568709</v>
      </c>
      <c r="BH333" s="8">
        <f>-398830-19500-20000</f>
        <v>-438330</v>
      </c>
      <c r="BJ333" s="9">
        <f t="shared" si="21"/>
        <v>8130379</v>
      </c>
      <c r="BL333" s="9">
        <f>'Gov Fd Rv'!AQ333-'Gov Fnd Exp'!BJ333</f>
        <v>278274</v>
      </c>
      <c r="BN333" s="8">
        <v>2606059</v>
      </c>
      <c r="BT333" s="9">
        <f t="shared" si="22"/>
        <v>2884333</v>
      </c>
      <c r="BU333" s="9"/>
      <c r="BV333" s="9">
        <f>BT333-'Gov Fd BS'!AA336</f>
        <v>0</v>
      </c>
    </row>
    <row r="334" spans="1:76">
      <c r="A334" s="13" t="s">
        <v>655</v>
      </c>
      <c r="B334" s="13"/>
      <c r="C334" s="13" t="s">
        <v>62</v>
      </c>
      <c r="D334" s="13"/>
      <c r="E334" s="32">
        <v>49882</v>
      </c>
      <c r="G334" s="8">
        <v>8237686</v>
      </c>
      <c r="I334" s="8">
        <v>2932265</v>
      </c>
      <c r="K334" s="8">
        <v>886419</v>
      </c>
      <c r="M334" s="8">
        <v>996253</v>
      </c>
      <c r="O334" s="8">
        <v>768434</v>
      </c>
      <c r="Q334" s="8">
        <v>882128</v>
      </c>
      <c r="S334" s="8">
        <v>22009</v>
      </c>
      <c r="U334" s="8">
        <v>1696780</v>
      </c>
      <c r="W334" s="8">
        <v>532070</v>
      </c>
      <c r="Y334" s="8">
        <v>275697</v>
      </c>
      <c r="AA334" s="8">
        <v>2030551</v>
      </c>
      <c r="AC334" s="8">
        <v>1117617</v>
      </c>
      <c r="AE334" s="8">
        <v>69599</v>
      </c>
      <c r="AG334" s="8">
        <v>987679</v>
      </c>
      <c r="AI334" s="8">
        <v>655</v>
      </c>
      <c r="AJ334" s="13" t="s">
        <v>655</v>
      </c>
      <c r="AK334" s="13"/>
      <c r="AL334" s="13" t="s">
        <v>62</v>
      </c>
      <c r="AN334" s="8">
        <v>845337</v>
      </c>
      <c r="AP334" s="8">
        <v>0</v>
      </c>
      <c r="AR334" s="8">
        <v>0</v>
      </c>
      <c r="AT334" s="8">
        <v>110705</v>
      </c>
      <c r="AV334" s="8">
        <v>43313</v>
      </c>
      <c r="AX334" s="8">
        <v>0</v>
      </c>
      <c r="AZ334" s="9">
        <f t="shared" si="20"/>
        <v>22435197</v>
      </c>
      <c r="BB334" s="8">
        <v>10460</v>
      </c>
      <c r="BH334" s="8">
        <v>0</v>
      </c>
      <c r="BJ334" s="9">
        <f t="shared" si="21"/>
        <v>22445657</v>
      </c>
      <c r="BL334" s="9">
        <f>'Gov Fd Rv'!AQ334-'Gov Fnd Exp'!BJ334</f>
        <v>1778562</v>
      </c>
      <c r="BN334" s="8">
        <v>3821550</v>
      </c>
      <c r="BP334" s="8">
        <v>14827</v>
      </c>
      <c r="BT334" s="9">
        <f t="shared" si="22"/>
        <v>5614939</v>
      </c>
      <c r="BU334" s="9"/>
      <c r="BV334" s="9">
        <f>BT334-'Gov Fd BS'!AA337</f>
        <v>0</v>
      </c>
    </row>
    <row r="335" spans="1:76">
      <c r="A335" s="13" t="s">
        <v>233</v>
      </c>
      <c r="B335" s="13"/>
      <c r="C335" s="13" t="s">
        <v>15</v>
      </c>
      <c r="D335" s="13"/>
      <c r="E335" s="32">
        <v>44347</v>
      </c>
      <c r="G335" s="8">
        <v>6211992</v>
      </c>
      <c r="I335" s="8">
        <v>1912122</v>
      </c>
      <c r="K335" s="8">
        <v>301231</v>
      </c>
      <c r="M335" s="8">
        <f>216+137492</f>
        <v>137708</v>
      </c>
      <c r="O335" s="8">
        <v>614471</v>
      </c>
      <c r="Q335" s="8">
        <v>756008</v>
      </c>
      <c r="S335" s="8">
        <v>55831</v>
      </c>
      <c r="U335" s="8">
        <v>1125148</v>
      </c>
      <c r="W335" s="8">
        <v>330633</v>
      </c>
      <c r="Y335" s="8">
        <v>0</v>
      </c>
      <c r="AA335" s="8">
        <v>1311294</v>
      </c>
      <c r="AC335" s="8">
        <v>638105</v>
      </c>
      <c r="AE335" s="8">
        <v>77603</v>
      </c>
      <c r="AG335" s="8">
        <v>745769</v>
      </c>
      <c r="AI335" s="8">
        <v>100738</v>
      </c>
      <c r="AJ335" s="13" t="s">
        <v>233</v>
      </c>
      <c r="AK335" s="13"/>
      <c r="AL335" s="13" t="s">
        <v>15</v>
      </c>
      <c r="AN335" s="8">
        <v>326765</v>
      </c>
      <c r="AP335" s="8">
        <v>2053857</v>
      </c>
      <c r="AR335" s="8">
        <v>306860</v>
      </c>
      <c r="AT335" s="8">
        <v>326295</v>
      </c>
      <c r="AV335" s="8">
        <v>674007</v>
      </c>
      <c r="AX335" s="8">
        <v>0</v>
      </c>
      <c r="AZ335" s="9">
        <f t="shared" si="20"/>
        <v>18006437</v>
      </c>
      <c r="BB335" s="8">
        <v>0</v>
      </c>
      <c r="BH335" s="8">
        <v>0</v>
      </c>
      <c r="BJ335" s="9">
        <f t="shared" si="21"/>
        <v>18006437</v>
      </c>
      <c r="BL335" s="9">
        <f>'Gov Fd Rv'!AQ335-'Gov Fnd Exp'!BJ335</f>
        <v>-2128249</v>
      </c>
      <c r="BN335" s="8">
        <v>1225911</v>
      </c>
      <c r="BP335" s="8">
        <v>0</v>
      </c>
      <c r="BT335" s="9">
        <f t="shared" si="22"/>
        <v>-902338</v>
      </c>
      <c r="BU335" s="9"/>
      <c r="BV335" s="9">
        <f>BT335-'Gov Fd BS'!AA338</f>
        <v>0</v>
      </c>
    </row>
    <row r="336" spans="1:76">
      <c r="A336" s="13" t="s">
        <v>703</v>
      </c>
      <c r="B336" s="13"/>
      <c r="C336" s="13" t="s">
        <v>66</v>
      </c>
      <c r="D336" s="13"/>
      <c r="E336" s="32">
        <v>45476</v>
      </c>
      <c r="G336" s="8">
        <v>27620040</v>
      </c>
      <c r="I336" s="8">
        <v>0</v>
      </c>
      <c r="K336" s="8">
        <v>0</v>
      </c>
      <c r="M336" s="8">
        <v>0</v>
      </c>
      <c r="O336" s="8">
        <v>2869930</v>
      </c>
      <c r="Q336" s="8">
        <v>4349151</v>
      </c>
      <c r="S336" s="8">
        <v>24986</v>
      </c>
      <c r="U336" s="8">
        <v>2962621</v>
      </c>
      <c r="W336" s="8">
        <v>1231541</v>
      </c>
      <c r="Y336" s="8">
        <v>815780</v>
      </c>
      <c r="AA336" s="8">
        <v>4543289</v>
      </c>
      <c r="AC336" s="8">
        <v>1960879</v>
      </c>
      <c r="AE336" s="8">
        <v>704945</v>
      </c>
      <c r="AG336" s="8">
        <v>0</v>
      </c>
      <c r="AI336" s="8">
        <v>155004</v>
      </c>
      <c r="AJ336" s="13" t="s">
        <v>703</v>
      </c>
      <c r="AK336" s="13"/>
      <c r="AL336" s="13" t="s">
        <v>66</v>
      </c>
      <c r="AN336" s="8">
        <v>1074761</v>
      </c>
      <c r="AP336" s="8">
        <v>8490139</v>
      </c>
      <c r="AR336" s="8">
        <v>0</v>
      </c>
      <c r="AT336" s="8">
        <v>4060000</v>
      </c>
      <c r="AV336" s="8">
        <v>4371773</v>
      </c>
      <c r="AX336" s="8">
        <v>0</v>
      </c>
      <c r="AZ336" s="9">
        <f t="shared" si="20"/>
        <v>65234839</v>
      </c>
      <c r="BB336" s="8">
        <v>71359</v>
      </c>
      <c r="BH336" s="8">
        <v>0</v>
      </c>
      <c r="BJ336" s="9">
        <f t="shared" si="21"/>
        <v>65306198</v>
      </c>
      <c r="BL336" s="9">
        <f>'Gov Fd Rv'!AQ336-'Gov Fnd Exp'!BJ336</f>
        <v>-5894704</v>
      </c>
      <c r="BN336" s="8">
        <v>12212113</v>
      </c>
      <c r="BP336" s="8">
        <v>0</v>
      </c>
      <c r="BT336" s="9">
        <f t="shared" si="22"/>
        <v>6317409</v>
      </c>
      <c r="BU336" s="9"/>
      <c r="BV336" s="9">
        <f>BT336-'Gov Fd BS'!AA339</f>
        <v>0</v>
      </c>
      <c r="BX336" s="8" t="s">
        <v>912</v>
      </c>
    </row>
    <row r="337" spans="1:76">
      <c r="A337" s="13" t="s">
        <v>712</v>
      </c>
      <c r="B337" s="13"/>
      <c r="C337" s="13" t="s">
        <v>69</v>
      </c>
      <c r="D337" s="13"/>
      <c r="E337" s="32">
        <v>50450</v>
      </c>
      <c r="G337" s="8">
        <v>42274484</v>
      </c>
      <c r="I337" s="8">
        <v>11514445</v>
      </c>
      <c r="K337" s="8">
        <v>9254</v>
      </c>
      <c r="M337" s="8">
        <v>670625</v>
      </c>
      <c r="O337" s="8">
        <v>6463212</v>
      </c>
      <c r="Q337" s="8">
        <v>7120586</v>
      </c>
      <c r="S337" s="8">
        <v>38910</v>
      </c>
      <c r="U337" s="8">
        <v>5474364</v>
      </c>
      <c r="W337" s="8">
        <v>2103592</v>
      </c>
      <c r="Y337" s="8">
        <v>396948</v>
      </c>
      <c r="AA337" s="8">
        <v>12464888</v>
      </c>
      <c r="AC337" s="8">
        <v>6434424</v>
      </c>
      <c r="AE337" s="8">
        <v>3886588</v>
      </c>
      <c r="AG337" s="8">
        <v>0</v>
      </c>
      <c r="AI337" s="8">
        <v>5857504</v>
      </c>
      <c r="AJ337" s="13" t="s">
        <v>712</v>
      </c>
      <c r="AK337" s="13"/>
      <c r="AL337" s="13" t="s">
        <v>69</v>
      </c>
      <c r="AN337" s="8">
        <v>2750507</v>
      </c>
      <c r="AP337" s="8">
        <v>26864428</v>
      </c>
      <c r="AR337" s="8">
        <v>0</v>
      </c>
      <c r="AT337" s="8">
        <v>6415000</v>
      </c>
      <c r="AV337" s="8">
        <v>7272726</v>
      </c>
      <c r="AX337" s="8">
        <v>0</v>
      </c>
      <c r="AZ337" s="9">
        <f t="shared" si="20"/>
        <v>148012485</v>
      </c>
      <c r="BB337" s="8">
        <v>19460344</v>
      </c>
      <c r="BH337" s="8">
        <v>0</v>
      </c>
      <c r="BJ337" s="9">
        <f t="shared" si="21"/>
        <v>167472829</v>
      </c>
      <c r="BL337" s="9">
        <f>'Gov Fd Rv'!AQ337-'Gov Fnd Exp'!BJ337</f>
        <v>-10536095</v>
      </c>
      <c r="BN337" s="8">
        <v>71756324</v>
      </c>
      <c r="BP337" s="8">
        <v>0</v>
      </c>
      <c r="BT337" s="9">
        <f t="shared" si="22"/>
        <v>61220229</v>
      </c>
      <c r="BU337" s="9"/>
      <c r="BV337" s="9">
        <f>BT337-'Gov Fd BS'!AA340</f>
        <v>0</v>
      </c>
    </row>
    <row r="338" spans="1:76">
      <c r="A338" s="13" t="s">
        <v>656</v>
      </c>
      <c r="B338" s="13"/>
      <c r="C338" s="13" t="s">
        <v>62</v>
      </c>
      <c r="D338" s="13"/>
      <c r="E338" s="32">
        <v>44354</v>
      </c>
      <c r="G338" s="8">
        <v>18447691</v>
      </c>
      <c r="I338" s="8">
        <v>4912690</v>
      </c>
      <c r="K338" s="8">
        <v>1826772</v>
      </c>
      <c r="M338" s="8">
        <f>36520+478419+847697</f>
        <v>1362636</v>
      </c>
      <c r="O338" s="8">
        <v>3006890</v>
      </c>
      <c r="Q338" s="8">
        <v>1678766</v>
      </c>
      <c r="S338" s="8">
        <v>215952</v>
      </c>
      <c r="U338" s="8">
        <v>3175027</v>
      </c>
      <c r="W338" s="8">
        <v>1047715</v>
      </c>
      <c r="Y338" s="8">
        <v>17994</v>
      </c>
      <c r="AA338" s="8">
        <v>5085711</v>
      </c>
      <c r="AC338" s="8">
        <v>1474651</v>
      </c>
      <c r="AE338" s="8">
        <v>786412</v>
      </c>
      <c r="AG338" s="8">
        <v>1669034</v>
      </c>
      <c r="AI338" s="8">
        <v>369892</v>
      </c>
      <c r="AJ338" s="13" t="s">
        <v>656</v>
      </c>
      <c r="AK338" s="13"/>
      <c r="AL338" s="13" t="s">
        <v>62</v>
      </c>
      <c r="AN338" s="8">
        <v>1557792</v>
      </c>
      <c r="AP338" s="8">
        <v>291054</v>
      </c>
      <c r="AR338" s="8">
        <v>0</v>
      </c>
      <c r="AT338" s="8">
        <v>2540759</v>
      </c>
      <c r="AV338" s="8">
        <v>2158809</v>
      </c>
      <c r="AX338" s="8">
        <v>0</v>
      </c>
      <c r="AZ338" s="9">
        <f t="shared" si="20"/>
        <v>51626247</v>
      </c>
      <c r="BB338" s="8">
        <v>0</v>
      </c>
      <c r="BH338" s="8">
        <v>0</v>
      </c>
      <c r="BJ338" s="9">
        <f t="shared" si="21"/>
        <v>51626247</v>
      </c>
      <c r="BL338" s="9">
        <f>'Gov Fd Rv'!AQ338-'Gov Fnd Exp'!BJ338</f>
        <v>97468</v>
      </c>
      <c r="BN338" s="8">
        <v>12131874</v>
      </c>
      <c r="BP338" s="8">
        <v>0</v>
      </c>
      <c r="BT338" s="9">
        <f t="shared" si="22"/>
        <v>12229342</v>
      </c>
      <c r="BU338" s="9"/>
      <c r="BV338" s="9">
        <f>BT338-'Gov Fd BS'!AA341</f>
        <v>0</v>
      </c>
    </row>
    <row r="339" spans="1:76">
      <c r="A339" s="13" t="s">
        <v>688</v>
      </c>
      <c r="B339" s="13"/>
      <c r="C339" s="13" t="s">
        <v>64</v>
      </c>
      <c r="D339" s="13"/>
      <c r="E339" s="32">
        <v>50153</v>
      </c>
      <c r="G339" s="8">
        <v>4365065</v>
      </c>
      <c r="I339" s="8">
        <v>885425</v>
      </c>
      <c r="K339" s="8">
        <v>74989</v>
      </c>
      <c r="M339" s="8">
        <v>116360</v>
      </c>
      <c r="O339" s="8">
        <v>498167</v>
      </c>
      <c r="Q339" s="8">
        <v>228264</v>
      </c>
      <c r="S339" s="8">
        <v>54850</v>
      </c>
      <c r="U339" s="8">
        <v>775268</v>
      </c>
      <c r="W339" s="8">
        <v>349643</v>
      </c>
      <c r="Y339" s="8">
        <v>0</v>
      </c>
      <c r="AA339" s="8">
        <v>978143</v>
      </c>
      <c r="AC339" s="8">
        <v>585484</v>
      </c>
      <c r="AE339" s="8">
        <v>92398</v>
      </c>
      <c r="AG339" s="8">
        <v>331888</v>
      </c>
      <c r="AI339" s="8">
        <v>10965</v>
      </c>
      <c r="AJ339" s="13" t="s">
        <v>688</v>
      </c>
      <c r="AK339" s="13"/>
      <c r="AL339" s="13" t="s">
        <v>64</v>
      </c>
      <c r="AN339" s="8">
        <v>218028</v>
      </c>
      <c r="AP339" s="8">
        <v>0</v>
      </c>
      <c r="AR339" s="8">
        <v>0</v>
      </c>
      <c r="AT339" s="8">
        <v>12961</v>
      </c>
      <c r="AV339" s="8">
        <v>0</v>
      </c>
      <c r="AX339" s="8">
        <v>0</v>
      </c>
      <c r="AZ339" s="9">
        <f t="shared" si="20"/>
        <v>9577898</v>
      </c>
      <c r="BB339" s="8">
        <v>399281</v>
      </c>
      <c r="BH339" s="8">
        <v>0</v>
      </c>
      <c r="BJ339" s="9">
        <f t="shared" si="21"/>
        <v>9977179</v>
      </c>
      <c r="BL339" s="9">
        <f>'Gov Fd Rv'!AQ339-'Gov Fnd Exp'!BJ339</f>
        <v>-237102</v>
      </c>
      <c r="BN339" s="8">
        <v>1089576</v>
      </c>
      <c r="BP339" s="8">
        <v>0</v>
      </c>
      <c r="BT339" s="9">
        <f t="shared" si="22"/>
        <v>852474</v>
      </c>
      <c r="BU339" s="9"/>
      <c r="BV339" s="9">
        <f>BT339-'Gov Fd BS'!AA342</f>
        <v>0</v>
      </c>
    </row>
    <row r="340" spans="1:76">
      <c r="A340" s="13" t="s">
        <v>497</v>
      </c>
      <c r="B340" s="13"/>
      <c r="C340" s="13" t="s">
        <v>117</v>
      </c>
      <c r="D340" s="13"/>
      <c r="E340" s="32">
        <v>44362</v>
      </c>
      <c r="G340" s="8">
        <v>14458401</v>
      </c>
      <c r="I340" s="8">
        <v>3095269</v>
      </c>
      <c r="K340" s="8">
        <v>332584</v>
      </c>
      <c r="M340" s="8">
        <f>19331+470732</f>
        <v>490063</v>
      </c>
      <c r="O340" s="8">
        <v>1429403</v>
      </c>
      <c r="Q340" s="8">
        <v>875936</v>
      </c>
      <c r="S340" s="8">
        <v>36255</v>
      </c>
      <c r="U340" s="8">
        <v>2512821</v>
      </c>
      <c r="W340" s="8">
        <v>685044</v>
      </c>
      <c r="Y340" s="8">
        <v>236978</v>
      </c>
      <c r="AA340" s="8">
        <v>3585808</v>
      </c>
      <c r="AC340" s="8">
        <v>1029571</v>
      </c>
      <c r="AE340" s="8">
        <v>224493</v>
      </c>
      <c r="AG340" s="8">
        <v>889462</v>
      </c>
      <c r="AI340" s="8">
        <v>595299</v>
      </c>
      <c r="AJ340" s="13" t="s">
        <v>497</v>
      </c>
      <c r="AK340" s="13"/>
      <c r="AL340" s="13" t="s">
        <v>117</v>
      </c>
      <c r="AN340" s="8">
        <v>1042355</v>
      </c>
      <c r="AP340" s="8">
        <v>303571</v>
      </c>
      <c r="AR340" s="8">
        <v>0</v>
      </c>
      <c r="AT340" s="8">
        <v>1400000</v>
      </c>
      <c r="AV340" s="8">
        <v>1736640</v>
      </c>
      <c r="AX340" s="8">
        <v>0</v>
      </c>
      <c r="AZ340" s="9">
        <f t="shared" si="20"/>
        <v>34959953</v>
      </c>
      <c r="BB340" s="8">
        <v>63000</v>
      </c>
      <c r="BH340" s="8">
        <v>0</v>
      </c>
      <c r="BJ340" s="9">
        <f t="shared" si="21"/>
        <v>35022953</v>
      </c>
      <c r="BL340" s="9">
        <f>'Gov Fd Rv'!AQ340-'Gov Fnd Exp'!BJ340</f>
        <v>-2118337</v>
      </c>
      <c r="BN340" s="8">
        <v>2901446</v>
      </c>
      <c r="BP340" s="8">
        <v>-6855</v>
      </c>
      <c r="BT340" s="9">
        <f t="shared" si="22"/>
        <v>776254</v>
      </c>
      <c r="BU340" s="9"/>
      <c r="BV340" s="9">
        <f>BT340-'Gov Fd BS'!AA343</f>
        <v>0</v>
      </c>
    </row>
    <row r="341" spans="1:76">
      <c r="A341" s="12" t="s">
        <v>1056</v>
      </c>
      <c r="B341" s="13"/>
      <c r="C341" s="13" t="s">
        <v>20</v>
      </c>
      <c r="D341" s="13"/>
      <c r="E341" s="32">
        <v>44370</v>
      </c>
      <c r="G341" s="8">
        <v>22491182</v>
      </c>
      <c r="I341" s="8">
        <v>11697696</v>
      </c>
      <c r="K341" s="8">
        <f>919490+6210075</f>
        <v>7129565</v>
      </c>
      <c r="M341" s="8">
        <f>74266+183832</f>
        <v>258098</v>
      </c>
      <c r="O341" s="8">
        <v>4968776</v>
      </c>
      <c r="Q341" s="8">
        <v>5320482</v>
      </c>
      <c r="S341" s="8">
        <v>97061</v>
      </c>
      <c r="U341" s="8">
        <v>3515943</v>
      </c>
      <c r="W341" s="8">
        <v>1781043</v>
      </c>
      <c r="Y341" s="8">
        <v>265317</v>
      </c>
      <c r="AA341" s="8">
        <v>6328188</v>
      </c>
      <c r="AC341" s="8">
        <v>4362802</v>
      </c>
      <c r="AE341" s="8">
        <v>672544</v>
      </c>
      <c r="AG341" s="8">
        <v>1287195</v>
      </c>
      <c r="AI341" s="8">
        <v>1144140</v>
      </c>
      <c r="AJ341" s="13" t="s">
        <v>312</v>
      </c>
      <c r="AK341" s="13"/>
      <c r="AL341" s="13" t="s">
        <v>20</v>
      </c>
      <c r="AN341" s="8">
        <v>1385866</v>
      </c>
      <c r="AP341" s="8">
        <v>10269003</v>
      </c>
      <c r="AR341" s="8">
        <v>0</v>
      </c>
      <c r="AT341" s="8">
        <v>758304</v>
      </c>
      <c r="AV341" s="8">
        <v>833450</v>
      </c>
      <c r="AX341" s="8">
        <v>0</v>
      </c>
      <c r="AZ341" s="9">
        <f t="shared" si="20"/>
        <v>84566655</v>
      </c>
      <c r="BB341" s="8">
        <v>1104957</v>
      </c>
      <c r="BH341" s="8">
        <v>0</v>
      </c>
      <c r="BJ341" s="9">
        <f t="shared" si="21"/>
        <v>85671612</v>
      </c>
      <c r="BL341" s="9">
        <f>'Gov Fd Rv'!AQ341-'Gov Fnd Exp'!BJ341</f>
        <v>-2140561</v>
      </c>
      <c r="BN341" s="8">
        <v>28130842</v>
      </c>
      <c r="BP341" s="8">
        <v>0</v>
      </c>
      <c r="BT341" s="9">
        <f t="shared" si="22"/>
        <v>25990281</v>
      </c>
      <c r="BU341" s="9"/>
      <c r="BV341" s="9">
        <f>BT341-'Gov Fd BS'!AA344</f>
        <v>0</v>
      </c>
      <c r="BX341" s="15" t="s">
        <v>905</v>
      </c>
    </row>
    <row r="342" spans="1:76">
      <c r="A342" s="13" t="s">
        <v>565</v>
      </c>
      <c r="B342" s="13"/>
      <c r="C342" s="13" t="s">
        <v>51</v>
      </c>
      <c r="D342" s="13"/>
      <c r="E342" s="32">
        <v>48850</v>
      </c>
      <c r="G342" s="8">
        <v>9065235</v>
      </c>
      <c r="I342" s="8">
        <v>2169810</v>
      </c>
      <c r="K342" s="8">
        <v>117337</v>
      </c>
      <c r="M342" s="8">
        <v>370454</v>
      </c>
      <c r="O342" s="8">
        <v>673724</v>
      </c>
      <c r="Q342" s="8">
        <v>1420866</v>
      </c>
      <c r="S342" s="8">
        <v>63576</v>
      </c>
      <c r="U342" s="8">
        <v>1971026</v>
      </c>
      <c r="W342" s="8">
        <v>410548</v>
      </c>
      <c r="Y342" s="8">
        <v>0</v>
      </c>
      <c r="AA342" s="8">
        <v>2380470</v>
      </c>
      <c r="AC342" s="8">
        <v>978516</v>
      </c>
      <c r="AE342" s="8">
        <v>27080</v>
      </c>
      <c r="AG342" s="8">
        <v>921744</v>
      </c>
      <c r="AI342" s="8">
        <v>17988</v>
      </c>
      <c r="AJ342" s="13" t="s">
        <v>565</v>
      </c>
      <c r="AK342" s="13"/>
      <c r="AL342" s="13" t="s">
        <v>51</v>
      </c>
      <c r="AN342" s="8">
        <v>548730</v>
      </c>
      <c r="AP342" s="8">
        <v>3251719</v>
      </c>
      <c r="AR342" s="8">
        <v>0</v>
      </c>
      <c r="AT342" s="8">
        <v>205995</v>
      </c>
      <c r="AV342" s="8">
        <v>213255</v>
      </c>
      <c r="AX342" s="8">
        <v>0</v>
      </c>
      <c r="AZ342" s="9">
        <f t="shared" si="20"/>
        <v>24808073</v>
      </c>
      <c r="BB342" s="8">
        <v>0</v>
      </c>
      <c r="BH342" s="8">
        <v>0</v>
      </c>
      <c r="BJ342" s="9">
        <f t="shared" si="21"/>
        <v>24808073</v>
      </c>
      <c r="BL342" s="9">
        <f>'Gov Fd Rv'!AQ342-'Gov Fnd Exp'!BJ342</f>
        <v>-1662565</v>
      </c>
      <c r="BN342" s="8">
        <v>5743788</v>
      </c>
      <c r="BP342" s="8">
        <v>0</v>
      </c>
      <c r="BT342" s="9">
        <f t="shared" si="22"/>
        <v>4081223</v>
      </c>
      <c r="BU342" s="9"/>
      <c r="BV342" s="9">
        <f>BT342-'Gov Fd BS'!AA345</f>
        <v>0</v>
      </c>
    </row>
    <row r="343" spans="1:76" hidden="1">
      <c r="A343" s="12" t="s">
        <v>885</v>
      </c>
      <c r="B343" s="13"/>
      <c r="C343" s="13" t="s">
        <v>33</v>
      </c>
      <c r="D343" s="13"/>
      <c r="E343" s="32">
        <v>47456</v>
      </c>
      <c r="G343" s="8">
        <v>3072987</v>
      </c>
      <c r="I343" s="8">
        <v>822071</v>
      </c>
      <c r="K343" s="8">
        <v>280790</v>
      </c>
      <c r="M343" s="8">
        <f>12311+321765</f>
        <v>334076</v>
      </c>
      <c r="O343" s="8">
        <v>280176</v>
      </c>
      <c r="Q343" s="8">
        <v>235796</v>
      </c>
      <c r="S343" s="8">
        <v>11724</v>
      </c>
      <c r="U343" s="8">
        <v>743367</v>
      </c>
      <c r="W343" s="8">
        <v>225049</v>
      </c>
      <c r="AA343" s="8">
        <v>589443</v>
      </c>
      <c r="AC343" s="8">
        <v>390647</v>
      </c>
      <c r="AE343" s="8">
        <v>11994</v>
      </c>
      <c r="AI343" s="8">
        <v>241726</v>
      </c>
      <c r="AJ343" s="13" t="s">
        <v>418</v>
      </c>
      <c r="AK343" s="13"/>
      <c r="AL343" s="13" t="s">
        <v>33</v>
      </c>
      <c r="AN343" s="8">
        <v>310584</v>
      </c>
      <c r="AP343" s="8">
        <v>119522</v>
      </c>
      <c r="AT343" s="8">
        <v>155000</v>
      </c>
      <c r="AV343" s="8">
        <v>83291</v>
      </c>
      <c r="AZ343" s="9">
        <f t="shared" si="20"/>
        <v>7908243</v>
      </c>
      <c r="BD343" s="8">
        <f>10000-12000</f>
        <v>-2000</v>
      </c>
      <c r="BH343" s="8">
        <v>125335</v>
      </c>
      <c r="BJ343" s="9">
        <f>AZ343+BB343+BH343+BD343</f>
        <v>8031578</v>
      </c>
      <c r="BL343" s="9">
        <f>'Gov Fd Rv'!AQ343-'Gov Fnd Exp'!BJ343</f>
        <v>129878</v>
      </c>
      <c r="BN343" s="8">
        <v>2275155</v>
      </c>
      <c r="BT343" s="9">
        <f t="shared" si="22"/>
        <v>2405033</v>
      </c>
      <c r="BU343" s="9"/>
      <c r="BV343" s="9">
        <f>BT343-'Gov Fd BS'!AA346</f>
        <v>0</v>
      </c>
    </row>
    <row r="344" spans="1:76">
      <c r="A344" s="13" t="s">
        <v>882</v>
      </c>
      <c r="B344" s="13"/>
      <c r="C344" s="13" t="s">
        <v>64</v>
      </c>
      <c r="D344" s="13"/>
      <c r="E344" s="32">
        <v>50229</v>
      </c>
      <c r="G344" s="8">
        <v>4106817</v>
      </c>
      <c r="I344" s="8">
        <v>748450</v>
      </c>
      <c r="K344" s="8">
        <v>45879</v>
      </c>
      <c r="M344" s="8">
        <v>0</v>
      </c>
      <c r="O344" s="8">
        <v>252679</v>
      </c>
      <c r="Q344" s="8">
        <v>84934</v>
      </c>
      <c r="S344" s="8">
        <v>53005</v>
      </c>
      <c r="U344" s="8">
        <v>532167</v>
      </c>
      <c r="W344" s="8">
        <v>231241</v>
      </c>
      <c r="Y344" s="8">
        <v>0</v>
      </c>
      <c r="AA344" s="8">
        <v>906722</v>
      </c>
      <c r="AC344" s="8">
        <v>129160</v>
      </c>
      <c r="AE344" s="8">
        <v>16408</v>
      </c>
      <c r="AG344" s="8">
        <v>127222</v>
      </c>
      <c r="AI344" s="8">
        <v>50816</v>
      </c>
      <c r="AJ344" s="13" t="s">
        <v>689</v>
      </c>
      <c r="AK344" s="13"/>
      <c r="AL344" s="13" t="s">
        <v>64</v>
      </c>
      <c r="AN344" s="8">
        <v>291923</v>
      </c>
      <c r="AP344" s="8">
        <v>0</v>
      </c>
      <c r="AR344" s="8">
        <v>0</v>
      </c>
      <c r="AT344" s="8">
        <v>125240</v>
      </c>
      <c r="AV344" s="8">
        <v>105569</v>
      </c>
      <c r="AX344" s="8">
        <v>0</v>
      </c>
      <c r="AZ344" s="9">
        <f t="shared" si="20"/>
        <v>7808232</v>
      </c>
      <c r="BB344" s="8">
        <v>0</v>
      </c>
      <c r="BH344" s="8">
        <v>0</v>
      </c>
      <c r="BJ344" s="9">
        <f t="shared" si="21"/>
        <v>7808232</v>
      </c>
      <c r="BL344" s="9">
        <f>'Gov Fd Rv'!AQ344-'Gov Fnd Exp'!BJ344</f>
        <v>-765047</v>
      </c>
      <c r="BN344" s="8">
        <v>-1706603</v>
      </c>
      <c r="BP344" s="8">
        <v>0</v>
      </c>
      <c r="BT344" s="9">
        <f t="shared" si="22"/>
        <v>-2471650</v>
      </c>
      <c r="BU344" s="9"/>
      <c r="BV344" s="9">
        <f>BT344-'Gov Fd BS'!AA347</f>
        <v>0</v>
      </c>
    </row>
    <row r="345" spans="1:76">
      <c r="A345" s="13" t="s">
        <v>256</v>
      </c>
      <c r="B345" s="13"/>
      <c r="C345" s="13" t="s">
        <v>255</v>
      </c>
      <c r="D345" s="13"/>
      <c r="E345" s="32">
        <v>45484</v>
      </c>
      <c r="G345" s="8">
        <v>3848880</v>
      </c>
      <c r="I345" s="8">
        <v>1290770</v>
      </c>
      <c r="K345" s="8">
        <v>159754</v>
      </c>
      <c r="M345" s="8">
        <v>0</v>
      </c>
      <c r="O345" s="8">
        <v>351195</v>
      </c>
      <c r="Q345" s="8">
        <v>208753</v>
      </c>
      <c r="S345" s="8">
        <v>43174</v>
      </c>
      <c r="U345" s="8">
        <v>724328</v>
      </c>
      <c r="W345" s="8">
        <v>279399</v>
      </c>
      <c r="Y345" s="8">
        <v>0</v>
      </c>
      <c r="AA345" s="8">
        <v>1182858</v>
      </c>
      <c r="AC345" s="8">
        <v>572588</v>
      </c>
      <c r="AE345" s="8">
        <v>101683</v>
      </c>
      <c r="AG345" s="8">
        <v>251092</v>
      </c>
      <c r="AI345" s="8">
        <v>4702</v>
      </c>
      <c r="AJ345" s="13" t="s">
        <v>256</v>
      </c>
      <c r="AK345" s="13"/>
      <c r="AL345" s="13" t="s">
        <v>255</v>
      </c>
      <c r="AN345" s="8">
        <v>344382</v>
      </c>
      <c r="AP345" s="8">
        <v>1104698</v>
      </c>
      <c r="AR345" s="8">
        <v>0</v>
      </c>
      <c r="AT345" s="8">
        <v>241341</v>
      </c>
      <c r="AV345" s="8">
        <v>321162</v>
      </c>
      <c r="AX345" s="8">
        <v>0</v>
      </c>
      <c r="AZ345" s="9">
        <f t="shared" si="20"/>
        <v>11030759</v>
      </c>
      <c r="BB345" s="8">
        <v>39204</v>
      </c>
      <c r="BH345" s="8">
        <v>0</v>
      </c>
      <c r="BJ345" s="9">
        <f t="shared" si="21"/>
        <v>11069963</v>
      </c>
      <c r="BL345" s="9">
        <f>'Gov Fd Rv'!AQ345-'Gov Fnd Exp'!BJ345</f>
        <v>-701867</v>
      </c>
      <c r="BN345" s="8">
        <v>3261454</v>
      </c>
      <c r="BP345" s="8">
        <v>0</v>
      </c>
      <c r="BT345" s="9">
        <f t="shared" si="22"/>
        <v>2559587</v>
      </c>
      <c r="BU345" s="9"/>
      <c r="BV345" s="9">
        <f>BT345-'Gov Fd BS'!AA348</f>
        <v>0</v>
      </c>
    </row>
    <row r="346" spans="1:76">
      <c r="A346" s="13" t="s">
        <v>529</v>
      </c>
      <c r="B346" s="13"/>
      <c r="C346" s="13" t="s">
        <v>47</v>
      </c>
      <c r="D346" s="13"/>
      <c r="E346" s="32">
        <v>44388</v>
      </c>
      <c r="G346" s="8">
        <v>38352050</v>
      </c>
      <c r="I346" s="8">
        <v>9685269</v>
      </c>
      <c r="K346" s="8">
        <v>477130</v>
      </c>
      <c r="M346" s="8">
        <v>258806</v>
      </c>
      <c r="O346" s="8">
        <v>4673382</v>
      </c>
      <c r="Q346" s="8">
        <v>3817629</v>
      </c>
      <c r="S346" s="8">
        <v>145179</v>
      </c>
      <c r="U346" s="8">
        <v>5021242</v>
      </c>
      <c r="W346" s="8">
        <v>1654704</v>
      </c>
      <c r="Y346" s="8">
        <v>573209</v>
      </c>
      <c r="AA346" s="8">
        <v>9135307</v>
      </c>
      <c r="AC346" s="8">
        <v>3261478</v>
      </c>
      <c r="AE346" s="8">
        <v>499968</v>
      </c>
      <c r="AG346" s="8">
        <v>2184081</v>
      </c>
      <c r="AI346" s="8">
        <v>607120</v>
      </c>
      <c r="AJ346" s="13" t="s">
        <v>529</v>
      </c>
      <c r="AK346" s="13"/>
      <c r="AL346" s="13" t="s">
        <v>47</v>
      </c>
      <c r="AN346" s="8">
        <v>2419252</v>
      </c>
      <c r="AP346" s="8">
        <v>18268649</v>
      </c>
      <c r="AR346" s="8">
        <v>0</v>
      </c>
      <c r="AT346" s="8">
        <v>4262433</v>
      </c>
      <c r="AV346" s="8">
        <f>4680967+530475+131525</f>
        <v>5342967</v>
      </c>
      <c r="AX346" s="8">
        <v>0</v>
      </c>
      <c r="AZ346" s="9">
        <f t="shared" si="20"/>
        <v>110639855</v>
      </c>
      <c r="BB346" s="8">
        <v>474442</v>
      </c>
      <c r="BH346" s="8">
        <v>8705075</v>
      </c>
      <c r="BJ346" s="9">
        <f t="shared" si="21"/>
        <v>119819372</v>
      </c>
      <c r="BL346" s="9">
        <f>'Gov Fd Rv'!AQ346-'Gov Fnd Exp'!BJ346</f>
        <v>-19084946</v>
      </c>
      <c r="BN346" s="8">
        <v>45984362</v>
      </c>
      <c r="BP346" s="8">
        <v>0</v>
      </c>
      <c r="BT346" s="9">
        <f t="shared" si="22"/>
        <v>26899416</v>
      </c>
      <c r="BU346" s="9"/>
      <c r="BV346" s="9">
        <f>BT346-'Gov Fd BS'!AA349</f>
        <v>0</v>
      </c>
    </row>
    <row r="347" spans="1:76">
      <c r="A347" s="13" t="s">
        <v>532</v>
      </c>
      <c r="B347" s="13"/>
      <c r="C347" s="13" t="s">
        <v>531</v>
      </c>
      <c r="D347" s="13"/>
      <c r="E347" s="32">
        <v>48520</v>
      </c>
      <c r="G347" s="8">
        <v>6944287</v>
      </c>
      <c r="I347" s="8">
        <v>2416929</v>
      </c>
      <c r="K347" s="8">
        <v>1285867</v>
      </c>
      <c r="M347" s="8">
        <f>6500+117098+2097712</f>
        <v>2221310</v>
      </c>
      <c r="O347" s="8">
        <v>664841</v>
      </c>
      <c r="Q347" s="8">
        <v>573836</v>
      </c>
      <c r="S347" s="8">
        <v>46933</v>
      </c>
      <c r="U347" s="8">
        <v>1771767</v>
      </c>
      <c r="W347" s="8">
        <v>465609</v>
      </c>
      <c r="Y347" s="8">
        <v>0</v>
      </c>
      <c r="AA347" s="8">
        <v>1816460</v>
      </c>
      <c r="AC347" s="8">
        <v>1568411</v>
      </c>
      <c r="AE347" s="8">
        <v>54373</v>
      </c>
      <c r="AG347" s="8">
        <v>0</v>
      </c>
      <c r="AI347" s="8">
        <v>1165327</v>
      </c>
      <c r="AJ347" s="13" t="s">
        <v>532</v>
      </c>
      <c r="AK347" s="13"/>
      <c r="AL347" s="13" t="s">
        <v>531</v>
      </c>
      <c r="AN347" s="8">
        <v>282908</v>
      </c>
      <c r="AP347" s="8">
        <v>357586</v>
      </c>
      <c r="AR347" s="8">
        <v>0</v>
      </c>
      <c r="AT347" s="8">
        <v>382503</v>
      </c>
      <c r="AV347" s="8">
        <v>277862</v>
      </c>
      <c r="AX347" s="8">
        <v>0</v>
      </c>
      <c r="AZ347" s="9">
        <f t="shared" si="20"/>
        <v>22296809</v>
      </c>
      <c r="BB347" s="8">
        <v>50000</v>
      </c>
      <c r="BH347" s="8">
        <v>0</v>
      </c>
      <c r="BJ347" s="9">
        <f t="shared" si="21"/>
        <v>22346809</v>
      </c>
      <c r="BL347" s="9">
        <f>'Gov Fd Rv'!AQ347-'Gov Fnd Exp'!BJ347</f>
        <v>-393651</v>
      </c>
      <c r="BN347" s="8">
        <v>394052</v>
      </c>
      <c r="BP347" s="8">
        <v>0</v>
      </c>
      <c r="BT347" s="9">
        <f t="shared" si="22"/>
        <v>401</v>
      </c>
      <c r="BU347" s="9"/>
      <c r="BV347" s="9">
        <f>BT347-'Gov Fd BS'!AA350</f>
        <v>0</v>
      </c>
    </row>
    <row r="348" spans="1:76">
      <c r="A348" s="13" t="s">
        <v>460</v>
      </c>
      <c r="B348" s="13"/>
      <c r="C348" s="13" t="s">
        <v>41</v>
      </c>
      <c r="D348" s="13"/>
      <c r="E348" s="32">
        <v>45492</v>
      </c>
      <c r="G348" s="8">
        <v>46043804</v>
      </c>
      <c r="I348" s="8">
        <v>11860208</v>
      </c>
      <c r="K348" s="8">
        <v>2229173</v>
      </c>
      <c r="M348" s="8">
        <v>785850</v>
      </c>
      <c r="O348" s="8">
        <v>6933129</v>
      </c>
      <c r="Q348" s="8">
        <v>5556065</v>
      </c>
      <c r="S348" s="8">
        <v>485459</v>
      </c>
      <c r="U348" s="8">
        <v>5730195</v>
      </c>
      <c r="W348" s="8">
        <v>2519317</v>
      </c>
      <c r="Y348" s="8">
        <v>538882</v>
      </c>
      <c r="AA348" s="8">
        <v>11883307</v>
      </c>
      <c r="AC348" s="8">
        <v>6035216</v>
      </c>
      <c r="AE348" s="8">
        <v>1648620</v>
      </c>
      <c r="AG348" s="8">
        <v>2648929</v>
      </c>
      <c r="AI348" s="8">
        <v>1574901</v>
      </c>
      <c r="AJ348" s="13" t="s">
        <v>460</v>
      </c>
      <c r="AK348" s="13"/>
      <c r="AL348" s="13" t="s">
        <v>41</v>
      </c>
      <c r="AN348" s="8">
        <v>1909087</v>
      </c>
      <c r="AP348" s="8">
        <v>0</v>
      </c>
      <c r="AR348" s="8">
        <v>0</v>
      </c>
      <c r="AT348" s="8">
        <v>2385531</v>
      </c>
      <c r="AV348" s="8">
        <v>313476</v>
      </c>
      <c r="AX348" s="8">
        <v>0</v>
      </c>
      <c r="AZ348" s="9">
        <f t="shared" si="20"/>
        <v>111081149</v>
      </c>
      <c r="BB348" s="8">
        <v>2756234</v>
      </c>
      <c r="BH348" s="8">
        <v>0</v>
      </c>
      <c r="BJ348" s="9">
        <f t="shared" si="21"/>
        <v>113837383</v>
      </c>
      <c r="BL348" s="9">
        <f>'Gov Fd Rv'!AQ348-'Gov Fnd Exp'!BJ348</f>
        <v>1465218</v>
      </c>
      <c r="BN348" s="8">
        <v>43014391</v>
      </c>
      <c r="BP348" s="8">
        <v>0</v>
      </c>
      <c r="BT348" s="9">
        <f t="shared" si="22"/>
        <v>44479609</v>
      </c>
      <c r="BU348" s="9"/>
      <c r="BV348" s="9">
        <f>BT348-'Gov Fd BS'!AA351</f>
        <v>0</v>
      </c>
    </row>
    <row r="349" spans="1:76">
      <c r="A349" s="13" t="s">
        <v>537</v>
      </c>
      <c r="B349" s="13"/>
      <c r="C349" s="13" t="s">
        <v>48</v>
      </c>
      <c r="D349" s="13"/>
      <c r="E349" s="32">
        <v>48629</v>
      </c>
      <c r="G349" s="8">
        <v>5776780</v>
      </c>
      <c r="I349" s="8">
        <v>983951</v>
      </c>
      <c r="K349" s="8">
        <v>112548</v>
      </c>
      <c r="M349" s="8">
        <v>16874</v>
      </c>
      <c r="O349" s="8">
        <v>569017</v>
      </c>
      <c r="Q349" s="8">
        <v>286214</v>
      </c>
      <c r="S349" s="8">
        <v>77094</v>
      </c>
      <c r="U349" s="8">
        <v>873562</v>
      </c>
      <c r="W349" s="8">
        <v>364821</v>
      </c>
      <c r="Y349" s="8">
        <v>55169</v>
      </c>
      <c r="AA349" s="8">
        <v>1011765</v>
      </c>
      <c r="AC349" s="8">
        <v>928446</v>
      </c>
      <c r="AE349" s="8">
        <v>326552</v>
      </c>
      <c r="AG349" s="8">
        <v>0</v>
      </c>
      <c r="AI349" s="8">
        <v>403053</v>
      </c>
      <c r="AJ349" s="13" t="s">
        <v>537</v>
      </c>
      <c r="AK349" s="13"/>
      <c r="AL349" s="13" t="s">
        <v>48</v>
      </c>
      <c r="AN349" s="8">
        <v>390015</v>
      </c>
      <c r="AP349" s="8">
        <v>386423</v>
      </c>
      <c r="AR349" s="8">
        <v>0</v>
      </c>
      <c r="AT349" s="8">
        <v>470000</v>
      </c>
      <c r="AV349" s="8">
        <f>501819+77954</f>
        <v>579773</v>
      </c>
      <c r="AX349" s="8">
        <v>0</v>
      </c>
      <c r="AZ349" s="9">
        <f t="shared" si="20"/>
        <v>13612057</v>
      </c>
      <c r="BB349" s="8">
        <v>474442</v>
      </c>
      <c r="BH349" s="8">
        <v>0</v>
      </c>
      <c r="BJ349" s="9">
        <f t="shared" si="21"/>
        <v>14086499</v>
      </c>
      <c r="BL349" s="9">
        <f>'Gov Fd Rv'!AQ349-'Gov Fnd Exp'!BJ349</f>
        <v>7852238</v>
      </c>
      <c r="BN349" s="8">
        <v>1377071</v>
      </c>
      <c r="BP349" s="8">
        <v>0</v>
      </c>
      <c r="BT349" s="9">
        <f t="shared" si="22"/>
        <v>9229309</v>
      </c>
      <c r="BU349" s="9"/>
      <c r="BV349" s="9">
        <f>BT349-'Gov Fd BS'!AA352</f>
        <v>0</v>
      </c>
    </row>
    <row r="350" spans="1:76">
      <c r="A350" s="13"/>
      <c r="B350" s="13"/>
      <c r="C350" s="13"/>
      <c r="D350" s="13"/>
      <c r="E350" s="32"/>
      <c r="AJ350" s="13"/>
      <c r="AK350" s="13"/>
      <c r="AL350" s="13"/>
      <c r="AZ350" s="9"/>
      <c r="BJ350" s="9"/>
      <c r="BL350" s="9"/>
      <c r="BT350" s="9"/>
      <c r="BU350" s="9"/>
      <c r="BV350" s="9"/>
    </row>
    <row r="351" spans="1:76">
      <c r="A351" s="13"/>
      <c r="B351" s="13"/>
      <c r="C351" s="13"/>
      <c r="D351" s="13"/>
      <c r="E351" s="32"/>
      <c r="AI351" s="125" t="s">
        <v>805</v>
      </c>
      <c r="AJ351" s="13"/>
      <c r="AK351" s="13"/>
      <c r="AL351" s="13"/>
      <c r="AZ351" s="9"/>
      <c r="BJ351" s="9"/>
      <c r="BL351" s="9"/>
      <c r="BT351" s="125" t="s">
        <v>805</v>
      </c>
      <c r="BU351" s="9"/>
      <c r="BV351" s="9"/>
    </row>
    <row r="352" spans="1:76">
      <c r="A352" s="13"/>
      <c r="B352" s="13"/>
      <c r="C352" s="13"/>
      <c r="D352" s="13"/>
      <c r="E352" s="32"/>
      <c r="AJ352" s="13"/>
      <c r="AK352" s="13"/>
      <c r="AL352" s="13"/>
      <c r="AZ352" s="9"/>
      <c r="BJ352" s="9"/>
      <c r="BL352" s="9"/>
      <c r="BT352" s="9"/>
      <c r="BU352" s="9"/>
      <c r="BV352" s="9"/>
    </row>
    <row r="353" spans="1:76">
      <c r="A353" s="13" t="s">
        <v>350</v>
      </c>
      <c r="B353" s="13"/>
      <c r="C353" s="13" t="s">
        <v>26</v>
      </c>
      <c r="D353" s="13"/>
      <c r="E353" s="32">
        <v>46920</v>
      </c>
      <c r="G353" s="35">
        <v>8812456</v>
      </c>
      <c r="H353" s="35"/>
      <c r="I353" s="35">
        <v>2128056</v>
      </c>
      <c r="J353" s="35"/>
      <c r="K353" s="35">
        <v>550243</v>
      </c>
      <c r="L353" s="35"/>
      <c r="M353" s="35">
        <v>1861026</v>
      </c>
      <c r="N353" s="35"/>
      <c r="O353" s="35">
        <v>1261728</v>
      </c>
      <c r="P353" s="35"/>
      <c r="Q353" s="35">
        <v>1504415</v>
      </c>
      <c r="R353" s="35"/>
      <c r="S353" s="35">
        <v>28105</v>
      </c>
      <c r="T353" s="35"/>
      <c r="U353" s="35">
        <v>2272943</v>
      </c>
      <c r="V353" s="35"/>
      <c r="W353" s="35">
        <v>1031934</v>
      </c>
      <c r="X353" s="35"/>
      <c r="Y353" s="35">
        <v>134414</v>
      </c>
      <c r="Z353" s="35"/>
      <c r="AA353" s="35">
        <v>2021458</v>
      </c>
      <c r="AB353" s="35"/>
      <c r="AC353" s="35">
        <v>2032741</v>
      </c>
      <c r="AD353" s="35"/>
      <c r="AE353" s="35">
        <v>3128594</v>
      </c>
      <c r="AF353" s="35"/>
      <c r="AG353" s="35">
        <v>0</v>
      </c>
      <c r="AH353" s="35"/>
      <c r="AI353" s="35">
        <v>1097566</v>
      </c>
      <c r="AJ353" s="13" t="s">
        <v>350</v>
      </c>
      <c r="AK353" s="13"/>
      <c r="AL353" s="13" t="s">
        <v>26</v>
      </c>
      <c r="AN353" s="35">
        <v>605973</v>
      </c>
      <c r="AO353" s="35"/>
      <c r="AP353" s="35">
        <v>5622881</v>
      </c>
      <c r="AQ353" s="35"/>
      <c r="AR353" s="35">
        <v>0</v>
      </c>
      <c r="AS353" s="35"/>
      <c r="AT353" s="35">
        <v>215000</v>
      </c>
      <c r="AU353" s="35"/>
      <c r="AV353" s="35">
        <v>762767</v>
      </c>
      <c r="AW353" s="35"/>
      <c r="AX353" s="35">
        <v>0</v>
      </c>
      <c r="AY353" s="35"/>
      <c r="AZ353" s="44">
        <f t="shared" si="20"/>
        <v>35072300</v>
      </c>
      <c r="BA353" s="35"/>
      <c r="BB353" s="35">
        <v>1417980</v>
      </c>
      <c r="BC353" s="35"/>
      <c r="BD353" s="35"/>
      <c r="BE353" s="35"/>
      <c r="BF353" s="35"/>
      <c r="BG353" s="35"/>
      <c r="BH353" s="35">
        <v>0</v>
      </c>
      <c r="BI353" s="35"/>
      <c r="BJ353" s="44">
        <f t="shared" si="21"/>
        <v>36490280</v>
      </c>
      <c r="BK353" s="35"/>
      <c r="BL353" s="44">
        <f>'Gov Fd Rv'!AQ353-'Gov Fnd Exp'!BJ353</f>
        <v>17475853</v>
      </c>
      <c r="BM353" s="35"/>
      <c r="BN353" s="35">
        <v>15574623</v>
      </c>
      <c r="BO353" s="35"/>
      <c r="BP353" s="35">
        <v>0</v>
      </c>
      <c r="BQ353" s="35"/>
      <c r="BR353" s="35"/>
      <c r="BS353" s="35"/>
      <c r="BT353" s="44">
        <f t="shared" si="22"/>
        <v>33050476</v>
      </c>
      <c r="BU353" s="9"/>
      <c r="BV353" s="9">
        <f>BT353-'Gov Fd BS'!AA353</f>
        <v>0</v>
      </c>
    </row>
    <row r="354" spans="1:76">
      <c r="A354" s="13" t="s">
        <v>551</v>
      </c>
      <c r="B354" s="13"/>
      <c r="C354" s="13" t="s">
        <v>50</v>
      </c>
      <c r="D354" s="13"/>
      <c r="E354" s="32">
        <v>44396</v>
      </c>
      <c r="G354" s="8">
        <v>24799394</v>
      </c>
      <c r="I354" s="8">
        <v>7943967</v>
      </c>
      <c r="K354" s="8">
        <v>725546</v>
      </c>
      <c r="M354" s="8">
        <v>466046</v>
      </c>
      <c r="O354" s="8">
        <v>4004554</v>
      </c>
      <c r="Q354" s="8">
        <v>1233883</v>
      </c>
      <c r="S354" s="8">
        <v>28076</v>
      </c>
      <c r="U354" s="8">
        <v>3127734</v>
      </c>
      <c r="W354" s="8">
        <v>999673</v>
      </c>
      <c r="Y354" s="8">
        <v>248976</v>
      </c>
      <c r="AA354" s="8">
        <v>4112446</v>
      </c>
      <c r="AC354" s="8">
        <v>2602445</v>
      </c>
      <c r="AE354" s="8">
        <v>734023</v>
      </c>
      <c r="AG354" s="8">
        <v>0</v>
      </c>
      <c r="AI354" s="8">
        <v>3125073</v>
      </c>
      <c r="AJ354" s="13" t="s">
        <v>551</v>
      </c>
      <c r="AK354" s="13"/>
      <c r="AL354" s="13" t="s">
        <v>50</v>
      </c>
      <c r="AN354" s="8">
        <v>783434</v>
      </c>
      <c r="AP354" s="8">
        <v>9137891</v>
      </c>
      <c r="AR354" s="8">
        <v>443778</v>
      </c>
      <c r="AT354" s="8">
        <v>78825000</v>
      </c>
      <c r="AV354" s="8">
        <v>3359916</v>
      </c>
      <c r="AX354" s="8">
        <v>0</v>
      </c>
      <c r="AZ354" s="9">
        <f t="shared" si="20"/>
        <v>146701855</v>
      </c>
      <c r="BB354" s="8">
        <v>172790</v>
      </c>
      <c r="BH354" s="8">
        <v>55730</v>
      </c>
      <c r="BJ354" s="9">
        <f t="shared" si="21"/>
        <v>146930375</v>
      </c>
      <c r="BL354" s="9">
        <f>'Gov Fd Rv'!AQ354-'Gov Fnd Exp'!BJ354</f>
        <v>14956724</v>
      </c>
      <c r="BN354" s="8">
        <v>91000030</v>
      </c>
      <c r="BP354" s="8">
        <v>0</v>
      </c>
      <c r="BT354" s="9">
        <f t="shared" si="22"/>
        <v>105956754</v>
      </c>
      <c r="BU354" s="9"/>
      <c r="BV354" s="9">
        <f>BT354-'Gov Fd BS'!AA354</f>
        <v>0</v>
      </c>
    </row>
    <row r="355" spans="1:76">
      <c r="A355" s="13" t="s">
        <v>247</v>
      </c>
      <c r="B355" s="13"/>
      <c r="C355" s="13" t="s">
        <v>242</v>
      </c>
      <c r="D355" s="13"/>
      <c r="E355" s="32">
        <v>44404</v>
      </c>
      <c r="G355" s="8">
        <v>27149851</v>
      </c>
      <c r="I355" s="8">
        <v>8659716</v>
      </c>
      <c r="K355" s="8">
        <v>38679</v>
      </c>
      <c r="M355" s="8">
        <f>375156+9158309</f>
        <v>9533465</v>
      </c>
      <c r="O355" s="8">
        <v>4454170</v>
      </c>
      <c r="Q355" s="8">
        <v>5809655</v>
      </c>
      <c r="S355" s="8">
        <v>39105</v>
      </c>
      <c r="U355" s="8">
        <v>5702554</v>
      </c>
      <c r="W355" s="8">
        <v>1329362</v>
      </c>
      <c r="Y355" s="8">
        <v>456107</v>
      </c>
      <c r="AA355" s="8">
        <v>8125211</v>
      </c>
      <c r="AC355" s="8">
        <v>3379531</v>
      </c>
      <c r="AE355" s="8">
        <v>2221285</v>
      </c>
      <c r="AG355" s="8">
        <v>3002984</v>
      </c>
      <c r="AI355" s="8">
        <v>753707</v>
      </c>
      <c r="AJ355" s="13" t="s">
        <v>247</v>
      </c>
      <c r="AK355" s="13"/>
      <c r="AL355" s="13" t="s">
        <v>242</v>
      </c>
      <c r="AN355" s="8">
        <v>1014207</v>
      </c>
      <c r="AP355" s="8">
        <f>1206649+478000</f>
        <v>1684649</v>
      </c>
      <c r="AR355" s="8">
        <v>0</v>
      </c>
      <c r="AT355" s="8">
        <v>2229778</v>
      </c>
      <c r="AV355" s="8">
        <v>3167536</v>
      </c>
      <c r="AX355" s="8">
        <v>0</v>
      </c>
      <c r="AZ355" s="9">
        <f t="shared" si="20"/>
        <v>88751552</v>
      </c>
      <c r="BB355" s="8">
        <v>1932</v>
      </c>
      <c r="BH355" s="8">
        <v>0</v>
      </c>
      <c r="BJ355" s="9">
        <f t="shared" si="21"/>
        <v>88753484</v>
      </c>
      <c r="BL355" s="9">
        <f>'Gov Fd Rv'!AQ355-'Gov Fnd Exp'!BJ355</f>
        <v>612718</v>
      </c>
      <c r="BN355" s="8">
        <v>6748002</v>
      </c>
      <c r="BP355" s="8">
        <v>0</v>
      </c>
      <c r="BT355" s="9">
        <f t="shared" si="22"/>
        <v>7360720</v>
      </c>
      <c r="BU355" s="9"/>
      <c r="BV355" s="9">
        <f>BT355-'Gov Fd BS'!AA355</f>
        <v>0</v>
      </c>
    </row>
    <row r="356" spans="1:76">
      <c r="A356" s="13" t="s">
        <v>491</v>
      </c>
      <c r="B356" s="13"/>
      <c r="C356" s="13" t="s">
        <v>44</v>
      </c>
      <c r="D356" s="13"/>
      <c r="E356" s="32">
        <v>48173</v>
      </c>
      <c r="G356" s="8">
        <v>12313619</v>
      </c>
      <c r="I356" s="8">
        <v>2459901</v>
      </c>
      <c r="K356" s="8">
        <v>150099</v>
      </c>
      <c r="M356" s="8">
        <v>50852</v>
      </c>
      <c r="O356" s="8">
        <v>1666331</v>
      </c>
      <c r="Q356" s="8">
        <v>426446</v>
      </c>
      <c r="S356" s="8">
        <v>819152</v>
      </c>
      <c r="U356" s="8">
        <v>2573589</v>
      </c>
      <c r="W356" s="8">
        <v>748179</v>
      </c>
      <c r="Y356" s="8">
        <v>421105</v>
      </c>
      <c r="AA356" s="8">
        <v>2625580</v>
      </c>
      <c r="AC356" s="8">
        <v>1338080</v>
      </c>
      <c r="AE356" s="8">
        <v>0</v>
      </c>
      <c r="AG356" s="8">
        <v>0</v>
      </c>
      <c r="AI356" s="8">
        <v>5687</v>
      </c>
      <c r="AJ356" s="13" t="s">
        <v>491</v>
      </c>
      <c r="AK356" s="13"/>
      <c r="AL356" s="13" t="s">
        <v>44</v>
      </c>
      <c r="AN356" s="8">
        <f>40729+504210+119408</f>
        <v>664347</v>
      </c>
      <c r="AP356" s="8">
        <f>134379+364512+103452</f>
        <v>602343</v>
      </c>
      <c r="AR356" s="8">
        <v>0</v>
      </c>
      <c r="AT356" s="8">
        <v>831059</v>
      </c>
      <c r="AV356" s="8">
        <v>1427910</v>
      </c>
      <c r="AX356" s="8">
        <v>0</v>
      </c>
      <c r="AZ356" s="9">
        <f t="shared" si="20"/>
        <v>29124279</v>
      </c>
      <c r="BB356" s="8">
        <v>502466</v>
      </c>
      <c r="BH356" s="8">
        <v>0</v>
      </c>
      <c r="BJ356" s="9">
        <f t="shared" si="21"/>
        <v>29626745</v>
      </c>
      <c r="BL356" s="9">
        <f>'Gov Fd Rv'!AQ356-'Gov Fnd Exp'!BJ356</f>
        <v>-58507</v>
      </c>
      <c r="BN356" s="8">
        <v>6650874</v>
      </c>
      <c r="BP356" s="8">
        <v>0</v>
      </c>
      <c r="BT356" s="9">
        <f t="shared" si="22"/>
        <v>6592367</v>
      </c>
      <c r="BU356" s="9"/>
      <c r="BV356" s="9">
        <f>BT356-'Gov Fd BS'!AA356</f>
        <v>0</v>
      </c>
      <c r="BX356" s="8" t="s">
        <v>956</v>
      </c>
    </row>
    <row r="357" spans="1:76">
      <c r="A357" s="13" t="s">
        <v>270</v>
      </c>
      <c r="B357" s="13"/>
      <c r="C357" s="13" t="s">
        <v>115</v>
      </c>
      <c r="D357" s="13"/>
      <c r="E357" s="32">
        <v>45500</v>
      </c>
      <c r="G357" s="8">
        <v>25469813</v>
      </c>
      <c r="I357" s="8">
        <v>6250196</v>
      </c>
      <c r="K357" s="8">
        <v>306838</v>
      </c>
      <c r="M357" s="8">
        <v>963787</v>
      </c>
      <c r="O357" s="8">
        <v>2319710</v>
      </c>
      <c r="Q357" s="8">
        <v>2792891</v>
      </c>
      <c r="S357" s="8">
        <v>69286</v>
      </c>
      <c r="U357" s="8">
        <v>2857850</v>
      </c>
      <c r="W357" s="8">
        <v>1313313</v>
      </c>
      <c r="Y357" s="8">
        <v>223373</v>
      </c>
      <c r="AA357" s="8">
        <v>4766600</v>
      </c>
      <c r="AC357" s="8">
        <v>4271913</v>
      </c>
      <c r="AE357" s="8">
        <v>739998</v>
      </c>
      <c r="AG357" s="8">
        <v>0</v>
      </c>
      <c r="AI357" s="8">
        <v>4727892</v>
      </c>
      <c r="AJ357" s="13" t="s">
        <v>270</v>
      </c>
      <c r="AK357" s="13"/>
      <c r="AL357" s="13" t="s">
        <v>115</v>
      </c>
      <c r="AN357" s="8">
        <v>1124502</v>
      </c>
      <c r="AP357" s="8">
        <v>8921081</v>
      </c>
      <c r="AR357" s="8">
        <v>0</v>
      </c>
      <c r="AT357" s="8">
        <v>2485311</v>
      </c>
      <c r="AV357" s="8">
        <v>3050758</v>
      </c>
      <c r="AX357" s="8">
        <v>0</v>
      </c>
      <c r="AZ357" s="9">
        <f t="shared" si="20"/>
        <v>72655112</v>
      </c>
      <c r="BB357" s="8">
        <v>4000000</v>
      </c>
      <c r="BH357" s="8">
        <v>357126</v>
      </c>
      <c r="BJ357" s="9">
        <f t="shared" si="21"/>
        <v>77012238</v>
      </c>
      <c r="BL357" s="9">
        <f>'Gov Fd Rv'!AQ357-'Gov Fnd Exp'!BJ357</f>
        <v>27873052</v>
      </c>
      <c r="BN357" s="8">
        <v>2709430</v>
      </c>
      <c r="BP357" s="8">
        <v>0</v>
      </c>
      <c r="BT357" s="9">
        <f t="shared" si="22"/>
        <v>30582482</v>
      </c>
      <c r="BU357" s="9"/>
      <c r="BV357" s="9">
        <f>BT357-'Gov Fd BS'!AA357</f>
        <v>0</v>
      </c>
    </row>
    <row r="358" spans="1:76" hidden="1">
      <c r="A358" s="12" t="s">
        <v>833</v>
      </c>
      <c r="B358" s="13"/>
      <c r="C358" s="13" t="s">
        <v>727</v>
      </c>
      <c r="D358" s="13"/>
      <c r="E358" s="32">
        <v>50633</v>
      </c>
      <c r="G358" s="8">
        <v>2746636</v>
      </c>
      <c r="I358" s="8">
        <v>862724</v>
      </c>
      <c r="K358" s="8">
        <v>80989</v>
      </c>
      <c r="M358" s="8">
        <f>73636+328403</f>
        <v>402039</v>
      </c>
      <c r="O358" s="8">
        <v>167803</v>
      </c>
      <c r="Q358" s="8">
        <v>198035</v>
      </c>
      <c r="S358" s="8">
        <v>25642</v>
      </c>
      <c r="U358" s="8">
        <v>603909</v>
      </c>
      <c r="W358" s="8">
        <v>130800</v>
      </c>
      <c r="AA358" s="8">
        <v>544334</v>
      </c>
      <c r="AC358" s="8">
        <v>332761</v>
      </c>
      <c r="AE358" s="8">
        <v>61828</v>
      </c>
      <c r="AI358" s="8">
        <v>236240</v>
      </c>
      <c r="AJ358" s="13" t="s">
        <v>730</v>
      </c>
      <c r="AK358" s="13"/>
      <c r="AL358" s="13" t="s">
        <v>727</v>
      </c>
      <c r="AN358" s="8">
        <v>285691</v>
      </c>
      <c r="AP358" s="8">
        <v>12590948</v>
      </c>
      <c r="AT358" s="8">
        <v>210000</v>
      </c>
      <c r="AV358" s="8">
        <v>335431</v>
      </c>
      <c r="AZ358" s="9">
        <f t="shared" si="20"/>
        <v>19815810</v>
      </c>
      <c r="BH358" s="8">
        <f>108+6-60-4546</f>
        <v>-4492</v>
      </c>
      <c r="BJ358" s="9">
        <f t="shared" si="21"/>
        <v>19811318</v>
      </c>
      <c r="BL358" s="9">
        <f>'Gov Fd Rv'!AQ358-'Gov Fnd Exp'!BJ358</f>
        <v>-9536654</v>
      </c>
      <c r="BN358" s="8">
        <v>20028513</v>
      </c>
      <c r="BT358" s="9">
        <f t="shared" si="22"/>
        <v>10491859</v>
      </c>
      <c r="BU358" s="9"/>
      <c r="BV358" s="9">
        <f>BT358-'Gov Fd BS'!AA358</f>
        <v>0</v>
      </c>
    </row>
    <row r="359" spans="1:76" hidden="1">
      <c r="A359" s="13" t="s">
        <v>1001</v>
      </c>
      <c r="B359" s="13"/>
      <c r="C359" s="13" t="s">
        <v>603</v>
      </c>
      <c r="D359" s="13"/>
      <c r="E359" s="32">
        <v>49361</v>
      </c>
      <c r="AJ359" s="13" t="s">
        <v>605</v>
      </c>
      <c r="AK359" s="13"/>
      <c r="AL359" s="13" t="s">
        <v>603</v>
      </c>
      <c r="AZ359" s="9">
        <f t="shared" si="20"/>
        <v>0</v>
      </c>
      <c r="BJ359" s="9">
        <f t="shared" si="21"/>
        <v>0</v>
      </c>
      <c r="BL359" s="9">
        <f>'Gov Fd Rv'!AQ359-'Gov Fnd Exp'!BJ359</f>
        <v>0</v>
      </c>
      <c r="BT359" s="9">
        <f t="shared" si="22"/>
        <v>0</v>
      </c>
      <c r="BU359" s="9"/>
      <c r="BV359" s="9">
        <f>BT359-'Gov Fd BS'!AA359</f>
        <v>0</v>
      </c>
      <c r="BX359" s="8" t="s">
        <v>967</v>
      </c>
    </row>
    <row r="360" spans="1:76">
      <c r="A360" s="13" t="s">
        <v>538</v>
      </c>
      <c r="B360" s="13"/>
      <c r="C360" s="13" t="s">
        <v>48</v>
      </c>
      <c r="D360" s="13"/>
      <c r="E360" s="32">
        <v>45518</v>
      </c>
      <c r="G360" s="8">
        <v>8241285</v>
      </c>
      <c r="I360" s="8">
        <v>0</v>
      </c>
      <c r="K360" s="8">
        <v>0</v>
      </c>
      <c r="M360" s="8">
        <v>0</v>
      </c>
      <c r="O360" s="8">
        <v>833709</v>
      </c>
      <c r="Q360" s="8">
        <v>780004</v>
      </c>
      <c r="S360" s="8">
        <v>72617</v>
      </c>
      <c r="U360" s="8">
        <v>1099390</v>
      </c>
      <c r="W360" s="8">
        <v>410440</v>
      </c>
      <c r="Y360" s="8">
        <v>130779</v>
      </c>
      <c r="AA360" s="8">
        <v>982016</v>
      </c>
      <c r="AC360" s="8">
        <v>772351</v>
      </c>
      <c r="AE360" s="8">
        <v>328213</v>
      </c>
      <c r="AG360" s="8">
        <v>0</v>
      </c>
      <c r="AI360" s="8">
        <v>612827</v>
      </c>
      <c r="AJ360" s="13" t="s">
        <v>538</v>
      </c>
      <c r="AK360" s="13"/>
      <c r="AL360" s="13" t="s">
        <v>48</v>
      </c>
      <c r="AN360" s="8">
        <v>517967</v>
      </c>
      <c r="AP360" s="8">
        <v>1006932</v>
      </c>
      <c r="AR360" s="8">
        <v>0</v>
      </c>
      <c r="AT360" s="8">
        <v>0</v>
      </c>
      <c r="AV360" s="8">
        <v>340297</v>
      </c>
      <c r="AX360" s="8">
        <v>0</v>
      </c>
      <c r="AZ360" s="9">
        <f t="shared" si="20"/>
        <v>16128827</v>
      </c>
      <c r="BB360" s="8">
        <v>1219470</v>
      </c>
      <c r="BH360" s="8">
        <v>5550</v>
      </c>
      <c r="BJ360" s="9">
        <f t="shared" si="21"/>
        <v>17353847</v>
      </c>
      <c r="BL360" s="9">
        <f>'Gov Fd Rv'!AQ360-'Gov Fnd Exp'!BJ360</f>
        <v>16749867</v>
      </c>
      <c r="BN360" s="8">
        <v>4051357</v>
      </c>
      <c r="BP360" s="8">
        <v>-5332</v>
      </c>
      <c r="BT360" s="9">
        <f t="shared" si="22"/>
        <v>20795892</v>
      </c>
      <c r="BU360" s="9"/>
      <c r="BV360" s="9">
        <f>BT360-'Gov Fd BS'!AA360</f>
        <v>0</v>
      </c>
      <c r="BX360" s="8" t="s">
        <v>912</v>
      </c>
    </row>
    <row r="361" spans="1:76">
      <c r="A361" s="13" t="s">
        <v>657</v>
      </c>
      <c r="B361" s="13"/>
      <c r="C361" s="13" t="s">
        <v>62</v>
      </c>
      <c r="D361" s="13"/>
      <c r="E361" s="32">
        <v>49890</v>
      </c>
      <c r="G361" s="8">
        <v>8354886</v>
      </c>
      <c r="I361" s="8">
        <v>2431915</v>
      </c>
      <c r="K361" s="8">
        <v>8502</v>
      </c>
      <c r="M361" s="8">
        <v>4280</v>
      </c>
      <c r="O361" s="8">
        <v>1349411</v>
      </c>
      <c r="Q361" s="8">
        <v>861474</v>
      </c>
      <c r="S361" s="8">
        <v>73669</v>
      </c>
      <c r="U361" s="8">
        <v>1561197</v>
      </c>
      <c r="W361" s="8">
        <v>494653</v>
      </c>
      <c r="Y361" s="8">
        <v>101986</v>
      </c>
      <c r="AA361" s="8">
        <v>1229602</v>
      </c>
      <c r="AC361" s="8">
        <v>968737</v>
      </c>
      <c r="AE361" s="8">
        <v>62543</v>
      </c>
      <c r="AG361" s="8">
        <v>907880</v>
      </c>
      <c r="AI361" s="8">
        <v>51428</v>
      </c>
      <c r="AJ361" s="13" t="s">
        <v>657</v>
      </c>
      <c r="AK361" s="13"/>
      <c r="AL361" s="13" t="s">
        <v>62</v>
      </c>
      <c r="AN361" s="8">
        <v>512094</v>
      </c>
      <c r="AP361" s="8">
        <v>13983992</v>
      </c>
      <c r="AR361" s="8">
        <v>40044</v>
      </c>
      <c r="AT361" s="8">
        <v>392652</v>
      </c>
      <c r="AV361" s="8">
        <v>525953</v>
      </c>
      <c r="AX361" s="8">
        <v>0</v>
      </c>
      <c r="AZ361" s="9">
        <f t="shared" si="20"/>
        <v>33916898</v>
      </c>
      <c r="BB361" s="8">
        <v>0</v>
      </c>
      <c r="BH361" s="8">
        <v>0</v>
      </c>
      <c r="BJ361" s="9">
        <f t="shared" si="21"/>
        <v>33916898</v>
      </c>
      <c r="BL361" s="9">
        <f>'Gov Fd Rv'!AQ361-'Gov Fnd Exp'!BJ361</f>
        <v>-7453967</v>
      </c>
      <c r="BN361" s="8">
        <v>9610825</v>
      </c>
      <c r="BP361" s="8">
        <v>0</v>
      </c>
      <c r="BT361" s="9">
        <f t="shared" si="22"/>
        <v>2156858</v>
      </c>
      <c r="BU361" s="9"/>
      <c r="BV361" s="9">
        <f>BT361-'Gov Fd BS'!AA364</f>
        <v>0</v>
      </c>
    </row>
    <row r="362" spans="1:76">
      <c r="A362" s="13" t="s">
        <v>629</v>
      </c>
      <c r="B362" s="13"/>
      <c r="C362" s="13" t="s">
        <v>59</v>
      </c>
      <c r="D362" s="13"/>
      <c r="E362" s="32">
        <v>49627</v>
      </c>
      <c r="G362" s="8">
        <v>7042198</v>
      </c>
      <c r="I362" s="8">
        <v>1238478</v>
      </c>
      <c r="K362" s="8">
        <v>249932</v>
      </c>
      <c r="M362" s="8">
        <v>46365</v>
      </c>
      <c r="O362" s="8">
        <v>367508</v>
      </c>
      <c r="Q362" s="8">
        <v>755603</v>
      </c>
      <c r="S362" s="8">
        <v>69499</v>
      </c>
      <c r="U362" s="8">
        <v>1591526</v>
      </c>
      <c r="W362" s="8">
        <v>287959</v>
      </c>
      <c r="Y362" s="8">
        <v>0</v>
      </c>
      <c r="AA362" s="8">
        <v>1297135</v>
      </c>
      <c r="AC362" s="8">
        <v>1006448</v>
      </c>
      <c r="AE362" s="8">
        <v>3198</v>
      </c>
      <c r="AG362" s="8">
        <v>0</v>
      </c>
      <c r="AI362" s="8">
        <v>639305</v>
      </c>
      <c r="AJ362" s="13" t="s">
        <v>629</v>
      </c>
      <c r="AK362" s="13"/>
      <c r="AL362" s="13" t="s">
        <v>59</v>
      </c>
      <c r="AN362" s="8">
        <v>429779</v>
      </c>
      <c r="AP362" s="8">
        <v>150007</v>
      </c>
      <c r="AR362" s="8">
        <v>0</v>
      </c>
      <c r="AT362" s="8">
        <v>290416</v>
      </c>
      <c r="AV362" s="8">
        <v>160538</v>
      </c>
      <c r="AX362" s="8">
        <v>0</v>
      </c>
      <c r="AZ362" s="9">
        <f t="shared" si="20"/>
        <v>15625894</v>
      </c>
      <c r="BB362" s="8">
        <v>0</v>
      </c>
      <c r="BH362" s="8">
        <v>0</v>
      </c>
      <c r="BJ362" s="9">
        <f t="shared" si="21"/>
        <v>15625894</v>
      </c>
      <c r="BL362" s="9">
        <f>'Gov Fd Rv'!AQ362-'Gov Fnd Exp'!BJ362</f>
        <v>235359</v>
      </c>
      <c r="BN362" s="8">
        <v>427787</v>
      </c>
      <c r="BP362" s="8">
        <v>0</v>
      </c>
      <c r="BT362" s="9">
        <f t="shared" si="22"/>
        <v>663146</v>
      </c>
      <c r="BU362" s="9"/>
      <c r="BV362" s="9">
        <f>BT362-'Gov Fd BS'!AA365</f>
        <v>0</v>
      </c>
    </row>
    <row r="363" spans="1:76">
      <c r="A363" s="13" t="s">
        <v>226</v>
      </c>
      <c r="B363" s="13"/>
      <c r="C363" s="13" t="s">
        <v>14</v>
      </c>
      <c r="D363" s="13"/>
      <c r="E363" s="32">
        <v>45948</v>
      </c>
      <c r="G363" s="8">
        <v>3999304</v>
      </c>
      <c r="I363" s="8">
        <v>653930</v>
      </c>
      <c r="K363" s="8">
        <v>223558</v>
      </c>
      <c r="M363" s="8">
        <v>0</v>
      </c>
      <c r="O363" s="8">
        <v>384582</v>
      </c>
      <c r="Q363" s="8">
        <v>392771</v>
      </c>
      <c r="S363" s="8">
        <v>30076</v>
      </c>
      <c r="U363" s="8">
        <v>690801</v>
      </c>
      <c r="W363" s="8">
        <v>270593</v>
      </c>
      <c r="Y363" s="8">
        <v>0</v>
      </c>
      <c r="AA363" s="8">
        <v>942480</v>
      </c>
      <c r="AC363" s="8">
        <v>188173</v>
      </c>
      <c r="AE363" s="8">
        <v>61270</v>
      </c>
      <c r="AG363" s="8">
        <v>0</v>
      </c>
      <c r="AI363" s="8">
        <v>377462</v>
      </c>
      <c r="AJ363" s="13" t="s">
        <v>226</v>
      </c>
      <c r="AK363" s="13"/>
      <c r="AL363" s="13" t="s">
        <v>14</v>
      </c>
      <c r="AN363" s="8">
        <v>323380</v>
      </c>
      <c r="AP363" s="8">
        <v>73082</v>
      </c>
      <c r="AR363" s="8">
        <v>0</v>
      </c>
      <c r="AT363" s="8">
        <v>590000</v>
      </c>
      <c r="AV363" s="8">
        <v>456061</v>
      </c>
      <c r="AX363" s="8">
        <v>0</v>
      </c>
      <c r="AZ363" s="9">
        <f t="shared" si="20"/>
        <v>9657523</v>
      </c>
      <c r="BB363" s="8">
        <v>0</v>
      </c>
      <c r="BH363" s="8">
        <v>0</v>
      </c>
      <c r="BJ363" s="9">
        <f t="shared" si="21"/>
        <v>9657523</v>
      </c>
      <c r="BL363" s="9">
        <f>'Gov Fd Rv'!AQ363-'Gov Fnd Exp'!BJ363</f>
        <v>506557</v>
      </c>
      <c r="BN363" s="8">
        <v>796847</v>
      </c>
      <c r="BP363" s="8">
        <v>0</v>
      </c>
      <c r="BT363" s="9">
        <f t="shared" si="22"/>
        <v>1303404</v>
      </c>
      <c r="BU363" s="9"/>
      <c r="BV363" s="9">
        <f>BT363-'Gov Fd BS'!AA366</f>
        <v>0</v>
      </c>
    </row>
    <row r="364" spans="1:76" hidden="1">
      <c r="A364" s="12" t="s">
        <v>884</v>
      </c>
      <c r="B364" s="13"/>
      <c r="C364" s="13" t="s">
        <v>21</v>
      </c>
      <c r="D364" s="13"/>
      <c r="E364" s="32">
        <v>46672</v>
      </c>
      <c r="G364" s="8">
        <v>2380981</v>
      </c>
      <c r="I364" s="8">
        <v>1056023</v>
      </c>
      <c r="K364" s="8">
        <v>108878</v>
      </c>
      <c r="M364" s="8">
        <v>456940</v>
      </c>
      <c r="O364" s="8">
        <v>271447</v>
      </c>
      <c r="Q364" s="8">
        <v>568513</v>
      </c>
      <c r="S364" s="8">
        <v>16850</v>
      </c>
      <c r="U364" s="8">
        <v>572853</v>
      </c>
      <c r="W364" s="8">
        <v>237971</v>
      </c>
      <c r="Y364" s="8">
        <v>1880</v>
      </c>
      <c r="AA364" s="8">
        <v>672721</v>
      </c>
      <c r="AC364" s="8">
        <v>464563</v>
      </c>
      <c r="AE364" s="8">
        <v>32784</v>
      </c>
      <c r="AI364" s="8">
        <v>360731</v>
      </c>
      <c r="AJ364" s="13" t="s">
        <v>328</v>
      </c>
      <c r="AK364" s="13"/>
      <c r="AL364" s="13" t="s">
        <v>21</v>
      </c>
      <c r="AN364" s="8">
        <v>230292</v>
      </c>
      <c r="AT364" s="8">
        <v>95000</v>
      </c>
      <c r="AV364" s="8">
        <v>55065</v>
      </c>
      <c r="AZ364" s="9">
        <f t="shared" si="20"/>
        <v>7583492</v>
      </c>
      <c r="BH364" s="8">
        <f>312-979</f>
        <v>-667</v>
      </c>
      <c r="BJ364" s="9">
        <f t="shared" si="21"/>
        <v>7582825</v>
      </c>
      <c r="BL364" s="9">
        <f>'Gov Fd Rv'!AQ364-'Gov Fnd Exp'!BJ364</f>
        <v>489367</v>
      </c>
      <c r="BN364" s="8">
        <v>2342854</v>
      </c>
      <c r="BT364" s="9">
        <f t="shared" si="22"/>
        <v>2832221</v>
      </c>
      <c r="BU364" s="9"/>
      <c r="BV364" s="9">
        <f>BT364-'Gov Fd BS'!AA367</f>
        <v>0</v>
      </c>
    </row>
    <row r="365" spans="1:76">
      <c r="A365" s="13" t="s">
        <v>667</v>
      </c>
      <c r="B365" s="13"/>
      <c r="C365" s="13" t="s">
        <v>63</v>
      </c>
      <c r="D365" s="13"/>
      <c r="E365" s="32">
        <v>50039</v>
      </c>
      <c r="G365" s="8">
        <v>4215115</v>
      </c>
      <c r="I365" s="8">
        <v>864361</v>
      </c>
      <c r="K365" s="8">
        <v>89906</v>
      </c>
      <c r="M365" s="8">
        <f>287963+115787</f>
        <v>403750</v>
      </c>
      <c r="O365" s="8">
        <v>527955</v>
      </c>
      <c r="Q365" s="8">
        <v>379098</v>
      </c>
      <c r="S365" s="8">
        <v>46635</v>
      </c>
      <c r="U365" s="8">
        <v>785609</v>
      </c>
      <c r="W365" s="8">
        <v>395514</v>
      </c>
      <c r="Y365" s="8">
        <v>364</v>
      </c>
      <c r="AA365" s="8">
        <v>897625</v>
      </c>
      <c r="AC365" s="8">
        <v>389196</v>
      </c>
      <c r="AE365" s="8">
        <v>58992</v>
      </c>
      <c r="AG365" s="8">
        <v>307741</v>
      </c>
      <c r="AI365" s="8">
        <v>0</v>
      </c>
      <c r="AJ365" s="13" t="s">
        <v>667</v>
      </c>
      <c r="AK365" s="13"/>
      <c r="AL365" s="13" t="s">
        <v>63</v>
      </c>
      <c r="AN365" s="8">
        <v>326509</v>
      </c>
      <c r="AP365" s="8">
        <v>281074</v>
      </c>
      <c r="AR365" s="8">
        <v>0</v>
      </c>
      <c r="AT365" s="8">
        <v>369158</v>
      </c>
      <c r="AV365" s="8">
        <v>487207</v>
      </c>
      <c r="AX365" s="8">
        <v>0</v>
      </c>
      <c r="AZ365" s="9">
        <f t="shared" ref="AZ365:AZ418" si="24">SUM(G365:AX365)</f>
        <v>10825809</v>
      </c>
      <c r="BB365" s="8">
        <v>201245</v>
      </c>
      <c r="BH365" s="8">
        <v>0</v>
      </c>
      <c r="BJ365" s="9">
        <f t="shared" ref="BJ365:BJ428" si="25">AZ365+BB365+BH365</f>
        <v>11027054</v>
      </c>
      <c r="BL365" s="9">
        <f>'Gov Fd Rv'!AQ365-'Gov Fnd Exp'!BJ365</f>
        <v>-726245</v>
      </c>
      <c r="BN365" s="8">
        <v>6040219</v>
      </c>
      <c r="BP365" s="8">
        <v>0</v>
      </c>
      <c r="BT365" s="9">
        <f t="shared" si="22"/>
        <v>5313974</v>
      </c>
      <c r="BU365" s="9"/>
      <c r="BV365" s="9">
        <f>BT365-'Gov Fd BS'!AA368</f>
        <v>0</v>
      </c>
    </row>
    <row r="366" spans="1:76" hidden="1">
      <c r="A366" s="12" t="s">
        <v>842</v>
      </c>
      <c r="B366" s="13"/>
      <c r="C366" s="13" t="s">
        <v>740</v>
      </c>
      <c r="D366" s="13"/>
      <c r="E366" s="32">
        <v>50740</v>
      </c>
      <c r="G366" s="8">
        <v>4128806</v>
      </c>
      <c r="I366" s="8">
        <v>1219428</v>
      </c>
      <c r="K366" s="8">
        <v>107699</v>
      </c>
      <c r="M366" s="8">
        <f>908+19100</f>
        <v>20008</v>
      </c>
      <c r="O366" s="8">
        <v>357099</v>
      </c>
      <c r="Q366" s="8">
        <v>396317</v>
      </c>
      <c r="S366" s="8">
        <v>32343</v>
      </c>
      <c r="U366" s="8">
        <v>639080</v>
      </c>
      <c r="W366" s="8">
        <v>297459</v>
      </c>
      <c r="Y366" s="8">
        <v>29880</v>
      </c>
      <c r="AA366" s="8">
        <v>843796</v>
      </c>
      <c r="AC366" s="8">
        <v>503785</v>
      </c>
      <c r="AE366" s="8">
        <v>37605</v>
      </c>
      <c r="AG366" s="8">
        <v>382017</v>
      </c>
      <c r="AI366" s="8">
        <v>110</v>
      </c>
      <c r="AJ366" s="13" t="s">
        <v>741</v>
      </c>
      <c r="AK366" s="13"/>
      <c r="AL366" s="13" t="s">
        <v>740</v>
      </c>
      <c r="AN366" s="8">
        <v>379081</v>
      </c>
      <c r="AP366" s="8">
        <v>158508</v>
      </c>
      <c r="AT366" s="8">
        <v>210000</v>
      </c>
      <c r="AV366" s="8">
        <v>292408</v>
      </c>
      <c r="AZ366" s="9">
        <f t="shared" si="24"/>
        <v>10035429</v>
      </c>
      <c r="BJ366" s="9">
        <f t="shared" si="25"/>
        <v>10035429</v>
      </c>
      <c r="BL366" s="9">
        <f>'Gov Fd Rv'!AQ366-'Gov Fnd Exp'!BJ366</f>
        <v>290278</v>
      </c>
      <c r="BN366" s="8">
        <v>1588421</v>
      </c>
      <c r="BT366" s="9">
        <f t="shared" si="22"/>
        <v>1878699</v>
      </c>
      <c r="BU366" s="9"/>
      <c r="BV366" s="9">
        <f>BT366-'Gov Fd BS'!AA369</f>
        <v>0</v>
      </c>
    </row>
    <row r="367" spans="1:76">
      <c r="A367" s="13" t="s">
        <v>248</v>
      </c>
      <c r="B367" s="13"/>
      <c r="C367" s="13" t="s">
        <v>242</v>
      </c>
      <c r="D367" s="13"/>
      <c r="E367" s="32">
        <v>139303</v>
      </c>
      <c r="G367" s="8">
        <v>9104543</v>
      </c>
      <c r="I367" s="8">
        <v>1242163</v>
      </c>
      <c r="K367" s="8">
        <v>0</v>
      </c>
      <c r="M367" s="8">
        <v>38395</v>
      </c>
      <c r="O367" s="8">
        <v>844239</v>
      </c>
      <c r="Q367" s="8">
        <v>998088</v>
      </c>
      <c r="S367" s="8">
        <v>97662</v>
      </c>
      <c r="U367" s="8">
        <v>1529570</v>
      </c>
      <c r="W367" s="8">
        <v>624619</v>
      </c>
      <c r="Y367" s="8">
        <v>136450</v>
      </c>
      <c r="AA367" s="8">
        <v>2097944</v>
      </c>
      <c r="AC367" s="8">
        <v>1472138</v>
      </c>
      <c r="AE367" s="8">
        <v>453833</v>
      </c>
      <c r="AG367" s="8">
        <v>0</v>
      </c>
      <c r="AI367" s="8">
        <v>939342</v>
      </c>
      <c r="AJ367" s="13" t="s">
        <v>248</v>
      </c>
      <c r="AK367" s="13"/>
      <c r="AL367" s="13" t="s">
        <v>242</v>
      </c>
      <c r="AN367" s="8">
        <v>841670</v>
      </c>
      <c r="AP367" s="8">
        <v>432638</v>
      </c>
      <c r="AR367" s="8">
        <v>0</v>
      </c>
      <c r="AT367" s="8">
        <v>1076315</v>
      </c>
      <c r="AV367" s="8">
        <v>1458866</v>
      </c>
      <c r="AX367" s="8">
        <v>0</v>
      </c>
      <c r="AZ367" s="9">
        <f t="shared" si="24"/>
        <v>23388475</v>
      </c>
      <c r="BB367" s="8">
        <v>639938</v>
      </c>
      <c r="BH367" s="8">
        <v>0</v>
      </c>
      <c r="BJ367" s="9">
        <f t="shared" si="25"/>
        <v>24028413</v>
      </c>
      <c r="BL367" s="9">
        <f>'Gov Fd Rv'!AQ367-'Gov Fnd Exp'!BJ367</f>
        <v>-534878</v>
      </c>
      <c r="BN367" s="8">
        <v>1080469</v>
      </c>
      <c r="BP367" s="8">
        <v>0</v>
      </c>
      <c r="BT367" s="9">
        <f t="shared" ref="BT367:BT430" si="26">BL367+BN367+BP367+BR367</f>
        <v>545591</v>
      </c>
      <c r="BU367" s="9"/>
      <c r="BV367" s="9">
        <f>BT367-'Gov Fd BS'!AA370</f>
        <v>0</v>
      </c>
    </row>
    <row r="368" spans="1:76">
      <c r="A368" s="13" t="s">
        <v>444</v>
      </c>
      <c r="B368" s="13"/>
      <c r="C368" s="13" t="s">
        <v>37</v>
      </c>
      <c r="D368" s="13"/>
      <c r="E368" s="32">
        <v>47712</v>
      </c>
      <c r="G368" s="8">
        <v>2966050</v>
      </c>
      <c r="I368" s="8">
        <v>543164</v>
      </c>
      <c r="K368" s="8">
        <v>250986</v>
      </c>
      <c r="M368" s="8">
        <v>550</v>
      </c>
      <c r="O368" s="8">
        <v>262962</v>
      </c>
      <c r="Q368" s="8">
        <v>395007</v>
      </c>
      <c r="S368" s="8">
        <v>55555</v>
      </c>
      <c r="U368" s="8">
        <v>522632</v>
      </c>
      <c r="W368" s="8">
        <v>246710</v>
      </c>
      <c r="Y368" s="8">
        <v>1737</v>
      </c>
      <c r="AA368" s="8">
        <v>542333</v>
      </c>
      <c r="AC368" s="8">
        <v>281318</v>
      </c>
      <c r="AE368" s="8">
        <v>590</v>
      </c>
      <c r="AG368" s="8">
        <v>270140</v>
      </c>
      <c r="AI368" s="8">
        <v>89244</v>
      </c>
      <c r="AJ368" s="13" t="s">
        <v>444</v>
      </c>
      <c r="AK368" s="13"/>
      <c r="AL368" s="13" t="s">
        <v>37</v>
      </c>
      <c r="AN368" s="8">
        <v>227817</v>
      </c>
      <c r="AP368" s="8">
        <v>335118</v>
      </c>
      <c r="AR368" s="8">
        <v>0</v>
      </c>
      <c r="AT368" s="8">
        <v>96764</v>
      </c>
      <c r="AV368" s="8">
        <v>5677</v>
      </c>
      <c r="AX368" s="8">
        <v>0</v>
      </c>
      <c r="AZ368" s="9">
        <f t="shared" si="24"/>
        <v>7094354</v>
      </c>
      <c r="BB368" s="8">
        <v>120</v>
      </c>
      <c r="BH368" s="8">
        <v>0</v>
      </c>
      <c r="BJ368" s="9">
        <f t="shared" si="25"/>
        <v>7094474</v>
      </c>
      <c r="BL368" s="9">
        <f>'Gov Fd Rv'!AQ368-'Gov Fnd Exp'!BJ368</f>
        <v>-581761</v>
      </c>
      <c r="BN368" s="8">
        <v>1691984</v>
      </c>
      <c r="BP368" s="8">
        <v>0</v>
      </c>
      <c r="BT368" s="9">
        <f t="shared" si="26"/>
        <v>1110223</v>
      </c>
      <c r="BU368" s="9"/>
      <c r="BV368" s="9">
        <f>BT368-'Gov Fd BS'!AA371</f>
        <v>0</v>
      </c>
    </row>
    <row r="369" spans="1:76">
      <c r="A369" s="13" t="s">
        <v>731</v>
      </c>
      <c r="B369" s="13"/>
      <c r="C369" s="13" t="s">
        <v>727</v>
      </c>
      <c r="D369" s="13"/>
      <c r="E369" s="13">
        <v>45526</v>
      </c>
      <c r="G369" s="8">
        <v>4845221</v>
      </c>
      <c r="I369" s="8">
        <v>1124870</v>
      </c>
      <c r="K369" s="8">
        <v>161687</v>
      </c>
      <c r="M369" s="8">
        <f>7416+51523+385756</f>
        <v>444695</v>
      </c>
      <c r="O369" s="8">
        <v>468202</v>
      </c>
      <c r="Q369" s="8">
        <v>439988</v>
      </c>
      <c r="S369" s="8">
        <v>32302</v>
      </c>
      <c r="U369" s="8">
        <v>674047</v>
      </c>
      <c r="W369" s="8">
        <v>240100</v>
      </c>
      <c r="Y369" s="8">
        <v>70</v>
      </c>
      <c r="AA369" s="8">
        <v>1942375</v>
      </c>
      <c r="AC369" s="8">
        <v>361437</v>
      </c>
      <c r="AE369" s="8">
        <v>235795</v>
      </c>
      <c r="AG369" s="8">
        <v>0</v>
      </c>
      <c r="AI369" s="8">
        <v>473755</v>
      </c>
      <c r="AJ369" s="13" t="s">
        <v>731</v>
      </c>
      <c r="AK369" s="13"/>
      <c r="AL369" s="13" t="s">
        <v>727</v>
      </c>
      <c r="AN369" s="8">
        <v>334006</v>
      </c>
      <c r="AP369" s="8">
        <v>123215</v>
      </c>
      <c r="AR369" s="8">
        <v>0</v>
      </c>
      <c r="AT369" s="8">
        <v>215000</v>
      </c>
      <c r="AV369" s="8">
        <v>165656</v>
      </c>
      <c r="AX369" s="8">
        <v>0</v>
      </c>
      <c r="AZ369" s="9">
        <f t="shared" si="24"/>
        <v>12282421</v>
      </c>
      <c r="BB369" s="8">
        <v>751024</v>
      </c>
      <c r="BH369" s="8">
        <v>0</v>
      </c>
      <c r="BJ369" s="9">
        <f t="shared" si="25"/>
        <v>13033445</v>
      </c>
      <c r="BL369" s="9">
        <f>'Gov Fd Rv'!AQ369-'Gov Fnd Exp'!BJ369</f>
        <v>-1460471</v>
      </c>
      <c r="BN369" s="8">
        <v>4131912</v>
      </c>
      <c r="BP369" s="8">
        <v>0</v>
      </c>
      <c r="BT369" s="9">
        <f t="shared" si="26"/>
        <v>2671441</v>
      </c>
      <c r="BU369" s="9"/>
      <c r="BV369" s="9">
        <f>BT369-'Gov Fd BS'!AA372</f>
        <v>0</v>
      </c>
    </row>
    <row r="370" spans="1:76">
      <c r="A370" s="13" t="s">
        <v>558</v>
      </c>
      <c r="B370" s="13"/>
      <c r="C370" s="13" t="s">
        <v>559</v>
      </c>
      <c r="D370" s="13"/>
      <c r="E370" s="32">
        <v>48777</v>
      </c>
      <c r="G370" s="8">
        <v>9453334</v>
      </c>
      <c r="I370" s="8">
        <v>2575176</v>
      </c>
      <c r="K370" s="8">
        <v>979110</v>
      </c>
      <c r="M370" s="8">
        <v>365025</v>
      </c>
      <c r="O370" s="8">
        <v>734840</v>
      </c>
      <c r="Q370" s="8">
        <v>701604</v>
      </c>
      <c r="S370" s="8">
        <v>104187</v>
      </c>
      <c r="U370" s="8">
        <v>1759244</v>
      </c>
      <c r="W370" s="8">
        <v>629187</v>
      </c>
      <c r="Y370" s="8">
        <v>236739</v>
      </c>
      <c r="AA370" s="8">
        <v>1585022</v>
      </c>
      <c r="AC370" s="8">
        <v>1696026</v>
      </c>
      <c r="AE370" s="8">
        <v>196665</v>
      </c>
      <c r="AG370" s="8">
        <v>0</v>
      </c>
      <c r="AI370" s="8">
        <v>1069037</v>
      </c>
      <c r="AJ370" s="13" t="s">
        <v>558</v>
      </c>
      <c r="AK370" s="13"/>
      <c r="AL370" s="13" t="s">
        <v>559</v>
      </c>
      <c r="AN370" s="8">
        <v>246030</v>
      </c>
      <c r="AP370" s="8">
        <v>10664497</v>
      </c>
      <c r="AR370" s="8">
        <v>0</v>
      </c>
      <c r="AT370" s="8">
        <v>646959</v>
      </c>
      <c r="AV370" s="8">
        <v>401735</v>
      </c>
      <c r="AX370" s="8">
        <v>0</v>
      </c>
      <c r="AZ370" s="9">
        <f t="shared" si="24"/>
        <v>34044417</v>
      </c>
      <c r="BB370" s="8">
        <v>29875</v>
      </c>
      <c r="BH370" s="8">
        <v>0</v>
      </c>
      <c r="BJ370" s="9">
        <f t="shared" si="25"/>
        <v>34074292</v>
      </c>
      <c r="BL370" s="9">
        <f>'Gov Fd Rv'!AQ370-'Gov Fnd Exp'!BJ370</f>
        <v>4169362</v>
      </c>
      <c r="BN370" s="8">
        <v>12038327</v>
      </c>
      <c r="BP370" s="8">
        <v>0</v>
      </c>
      <c r="BT370" s="9">
        <f t="shared" si="26"/>
        <v>16207689</v>
      </c>
      <c r="BU370" s="9"/>
      <c r="BV370" s="9">
        <f>BT370-'Gov Fd BS'!AA373</f>
        <v>0</v>
      </c>
    </row>
    <row r="371" spans="1:76">
      <c r="A371" s="13" t="s">
        <v>858</v>
      </c>
      <c r="B371" s="13"/>
      <c r="C371" s="13" t="s">
        <v>78</v>
      </c>
      <c r="D371" s="13"/>
      <c r="E371" s="32">
        <v>45534</v>
      </c>
      <c r="G371" s="8">
        <v>4570603</v>
      </c>
      <c r="I371" s="8">
        <v>1352196</v>
      </c>
      <c r="K371" s="8">
        <v>325750</v>
      </c>
      <c r="M371" s="8">
        <v>1224222</v>
      </c>
      <c r="O371" s="8">
        <v>586817</v>
      </c>
      <c r="Q371" s="8">
        <v>460481</v>
      </c>
      <c r="S371" s="8">
        <v>53079</v>
      </c>
      <c r="U371" s="8">
        <v>828776</v>
      </c>
      <c r="W371" s="8">
        <v>455835</v>
      </c>
      <c r="Y371" s="8">
        <v>0</v>
      </c>
      <c r="AA371" s="8">
        <v>1294908</v>
      </c>
      <c r="AC371" s="8">
        <v>569276</v>
      </c>
      <c r="AE371" s="8">
        <v>28218</v>
      </c>
      <c r="AG371" s="8">
        <v>435121</v>
      </c>
      <c r="AI371" s="8">
        <v>1000</v>
      </c>
      <c r="AJ371" s="13" t="s">
        <v>561</v>
      </c>
      <c r="AK371" s="13"/>
      <c r="AL371" s="13" t="s">
        <v>78</v>
      </c>
      <c r="AN371" s="8">
        <v>290732</v>
      </c>
      <c r="AP371" s="8">
        <v>12916469</v>
      </c>
      <c r="AR371" s="8">
        <v>0</v>
      </c>
      <c r="AT371" s="8">
        <v>390554</v>
      </c>
      <c r="AV371" s="8">
        <v>435791</v>
      </c>
      <c r="AX371" s="8">
        <v>0</v>
      </c>
      <c r="AZ371" s="9">
        <f t="shared" si="24"/>
        <v>26219828</v>
      </c>
      <c r="BB371" s="8">
        <v>262505</v>
      </c>
      <c r="BH371" s="8">
        <v>0</v>
      </c>
      <c r="BJ371" s="9">
        <f t="shared" si="25"/>
        <v>26482333</v>
      </c>
      <c r="BL371" s="9">
        <f>'Gov Fd Rv'!AQ371-'Gov Fnd Exp'!BJ371</f>
        <v>-3140372</v>
      </c>
      <c r="BN371" s="8">
        <v>12799402</v>
      </c>
      <c r="BP371" s="8">
        <v>0</v>
      </c>
      <c r="BT371" s="9">
        <f t="shared" si="26"/>
        <v>9659030</v>
      </c>
      <c r="BU371" s="9"/>
      <c r="BV371" s="9">
        <f>BT371-'Gov Fd BS'!AA374</f>
        <v>0</v>
      </c>
    </row>
    <row r="372" spans="1:76">
      <c r="A372" s="13" t="s">
        <v>457</v>
      </c>
      <c r="B372" s="13"/>
      <c r="C372" s="13" t="s">
        <v>40</v>
      </c>
      <c r="D372" s="13"/>
      <c r="E372" s="32">
        <v>44420</v>
      </c>
      <c r="G372" s="8">
        <v>17589177</v>
      </c>
      <c r="I372" s="8">
        <v>4097439</v>
      </c>
      <c r="K372" s="8">
        <v>335818</v>
      </c>
      <c r="M372" s="8">
        <v>0</v>
      </c>
      <c r="O372" s="8">
        <v>1847784</v>
      </c>
      <c r="Q372" s="8">
        <v>2541040</v>
      </c>
      <c r="S372" s="8">
        <v>30094</v>
      </c>
      <c r="U372" s="8">
        <v>2600774</v>
      </c>
      <c r="W372" s="8">
        <v>2277600</v>
      </c>
      <c r="Y372" s="8">
        <v>190089</v>
      </c>
      <c r="AA372" s="8">
        <v>2621521</v>
      </c>
      <c r="AC372" s="8">
        <v>1392272</v>
      </c>
      <c r="AE372" s="8">
        <v>151100</v>
      </c>
      <c r="AG372" s="8">
        <v>1291220</v>
      </c>
      <c r="AI372" s="8">
        <v>224446</v>
      </c>
      <c r="AJ372" s="13" t="s">
        <v>457</v>
      </c>
      <c r="AK372" s="13"/>
      <c r="AL372" s="13" t="s">
        <v>40</v>
      </c>
      <c r="AN372" s="8">
        <v>669063</v>
      </c>
      <c r="AP372" s="8">
        <f>496444+46385</f>
        <v>542829</v>
      </c>
      <c r="AR372" s="8">
        <v>0</v>
      </c>
      <c r="AT372" s="8">
        <v>671310</v>
      </c>
      <c r="AV372" s="8">
        <v>293597</v>
      </c>
      <c r="AX372" s="8">
        <v>0</v>
      </c>
      <c r="AZ372" s="9">
        <f t="shared" si="24"/>
        <v>39367173</v>
      </c>
      <c r="BB372" s="8">
        <v>185328</v>
      </c>
      <c r="BH372" s="8">
        <v>0</v>
      </c>
      <c r="BJ372" s="9">
        <f t="shared" si="25"/>
        <v>39552501</v>
      </c>
      <c r="BL372" s="9">
        <f>'Gov Fd Rv'!AQ372-'Gov Fnd Exp'!BJ372</f>
        <v>-779694</v>
      </c>
      <c r="BN372" s="8">
        <v>13918566</v>
      </c>
      <c r="BP372" s="8">
        <v>0</v>
      </c>
      <c r="BT372" s="9">
        <f t="shared" si="26"/>
        <v>13138872</v>
      </c>
      <c r="BU372" s="9"/>
      <c r="BV372" s="9">
        <f>BT372-'Gov Fd BS'!AA375</f>
        <v>0</v>
      </c>
    </row>
    <row r="373" spans="1:76">
      <c r="A373" s="13" t="s">
        <v>1076</v>
      </c>
      <c r="B373" s="13"/>
      <c r="C373" s="13" t="s">
        <v>32</v>
      </c>
      <c r="D373" s="13"/>
      <c r="E373" s="32">
        <v>44412</v>
      </c>
      <c r="G373" s="8">
        <v>13347921</v>
      </c>
      <c r="I373" s="8">
        <v>4783569</v>
      </c>
      <c r="K373" s="8">
        <v>174571</v>
      </c>
      <c r="M373" s="8">
        <v>5440036</v>
      </c>
      <c r="O373" s="8">
        <v>2521758</v>
      </c>
      <c r="Q373" s="8">
        <v>2697209</v>
      </c>
      <c r="S373" s="8">
        <v>101481</v>
      </c>
      <c r="U373" s="8">
        <v>2604162</v>
      </c>
      <c r="W373" s="8">
        <v>719706</v>
      </c>
      <c r="Y373" s="8">
        <v>142963</v>
      </c>
      <c r="AA373" s="8">
        <v>3395375</v>
      </c>
      <c r="AC373" s="8">
        <v>2478509</v>
      </c>
      <c r="AE373" s="8">
        <v>310435</v>
      </c>
      <c r="AG373" s="8">
        <v>0</v>
      </c>
      <c r="AI373" s="8">
        <v>1952412</v>
      </c>
      <c r="AJ373" s="13" t="s">
        <v>400</v>
      </c>
      <c r="AK373" s="13"/>
      <c r="AL373" s="13" t="s">
        <v>32</v>
      </c>
      <c r="AN373" s="8">
        <v>750401</v>
      </c>
      <c r="AP373" s="8">
        <v>16076894</v>
      </c>
      <c r="AR373" s="8">
        <v>0</v>
      </c>
      <c r="AT373" s="8">
        <v>849842</v>
      </c>
      <c r="AV373" s="8">
        <v>1732939</v>
      </c>
      <c r="AX373" s="8">
        <v>0</v>
      </c>
      <c r="AZ373" s="9">
        <f t="shared" si="24"/>
        <v>60080183</v>
      </c>
      <c r="BB373" s="8">
        <v>144605</v>
      </c>
      <c r="BH373" s="8">
        <v>0</v>
      </c>
      <c r="BJ373" s="9">
        <f t="shared" si="25"/>
        <v>60224788</v>
      </c>
      <c r="BL373" s="9">
        <f>'Gov Fd Rv'!AQ373-'Gov Fnd Exp'!BJ373</f>
        <v>16092762</v>
      </c>
      <c r="BN373" s="8">
        <v>41471738</v>
      </c>
      <c r="BP373" s="8">
        <v>0</v>
      </c>
      <c r="BT373" s="9">
        <f t="shared" si="26"/>
        <v>57564500</v>
      </c>
      <c r="BU373" s="9"/>
      <c r="BV373" s="9">
        <f>BT373-'Gov Fd BS'!AA376</f>
        <v>0</v>
      </c>
      <c r="BX373" s="15" t="s">
        <v>905</v>
      </c>
    </row>
    <row r="374" spans="1:76">
      <c r="A374" s="13" t="s">
        <v>432</v>
      </c>
      <c r="B374" s="13"/>
      <c r="C374" s="13" t="s">
        <v>34</v>
      </c>
      <c r="D374" s="13"/>
      <c r="E374" s="32">
        <v>44438</v>
      </c>
      <c r="G374" s="8">
        <v>8619515</v>
      </c>
      <c r="I374" s="8">
        <v>4415823</v>
      </c>
      <c r="K374" s="8">
        <v>237806</v>
      </c>
      <c r="M374" s="8">
        <v>1559094</v>
      </c>
      <c r="O374" s="8">
        <v>1077308</v>
      </c>
      <c r="Q374" s="8">
        <v>347926</v>
      </c>
      <c r="S374" s="8">
        <v>40052</v>
      </c>
      <c r="U374" s="8">
        <v>1717866</v>
      </c>
      <c r="W374" s="8">
        <v>656554</v>
      </c>
      <c r="Y374" s="8">
        <v>0</v>
      </c>
      <c r="AA374" s="8">
        <v>1605955</v>
      </c>
      <c r="AC374" s="8">
        <v>1077080</v>
      </c>
      <c r="AE374" s="8">
        <v>430946</v>
      </c>
      <c r="AG374" s="8">
        <v>0</v>
      </c>
      <c r="AI374" s="8">
        <v>889196</v>
      </c>
      <c r="AJ374" s="13" t="s">
        <v>432</v>
      </c>
      <c r="AK374" s="13"/>
      <c r="AL374" s="13" t="s">
        <v>34</v>
      </c>
      <c r="AN374" s="8">
        <v>722064</v>
      </c>
      <c r="AP374" s="8">
        <v>5792</v>
      </c>
      <c r="AR374" s="8">
        <v>0</v>
      </c>
      <c r="AT374" s="8">
        <v>716511</v>
      </c>
      <c r="AV374" s="8">
        <v>224638</v>
      </c>
      <c r="AX374" s="8">
        <v>0</v>
      </c>
      <c r="AZ374" s="9">
        <f t="shared" si="24"/>
        <v>24344126</v>
      </c>
      <c r="BB374" s="8">
        <v>250368</v>
      </c>
      <c r="BD374" s="8">
        <v>0</v>
      </c>
      <c r="BF374" s="8">
        <v>0</v>
      </c>
      <c r="BH374" s="8">
        <v>0</v>
      </c>
      <c r="BJ374" s="9">
        <f>AZ374+BB374+BH374</f>
        <v>24594494</v>
      </c>
      <c r="BL374" s="9">
        <f>'Gov Fd Rv'!AQ374-'Gov Fnd Exp'!BJ374</f>
        <v>909785</v>
      </c>
      <c r="BN374" s="8">
        <v>8687880</v>
      </c>
      <c r="BP374" s="8">
        <v>0</v>
      </c>
      <c r="BT374" s="9">
        <f t="shared" si="26"/>
        <v>9597665</v>
      </c>
      <c r="BU374" s="9"/>
      <c r="BV374" s="9">
        <f>BT374-'Gov Fd BS'!AA377</f>
        <v>0</v>
      </c>
    </row>
    <row r="375" spans="1:76">
      <c r="A375" s="13" t="s">
        <v>224</v>
      </c>
      <c r="B375" s="13"/>
      <c r="C375" s="13" t="s">
        <v>13</v>
      </c>
      <c r="D375" s="13"/>
      <c r="E375" s="32">
        <v>44446</v>
      </c>
      <c r="G375" s="8">
        <v>5039854</v>
      </c>
      <c r="I375" s="8">
        <v>1539351</v>
      </c>
      <c r="K375" s="8">
        <v>79335</v>
      </c>
      <c r="M375" s="8">
        <v>155430</v>
      </c>
      <c r="O375" s="8">
        <v>305569</v>
      </c>
      <c r="Q375" s="8">
        <v>1056798</v>
      </c>
      <c r="S375" s="8">
        <v>55883</v>
      </c>
      <c r="U375" s="8">
        <v>1270565</v>
      </c>
      <c r="W375" s="8">
        <v>344306</v>
      </c>
      <c r="Y375" s="8">
        <v>0</v>
      </c>
      <c r="AA375" s="8">
        <v>1216173</v>
      </c>
      <c r="AC375" s="8">
        <v>789688</v>
      </c>
      <c r="AE375" s="8">
        <v>880</v>
      </c>
      <c r="AG375" s="8">
        <v>0</v>
      </c>
      <c r="AI375" s="8">
        <v>801221</v>
      </c>
      <c r="AJ375" s="13" t="s">
        <v>224</v>
      </c>
      <c r="AK375" s="13"/>
      <c r="AL375" s="13" t="s">
        <v>13</v>
      </c>
      <c r="AN375" s="8">
        <v>255242</v>
      </c>
      <c r="AP375" s="8">
        <v>8560166</v>
      </c>
      <c r="AR375" s="8">
        <v>0</v>
      </c>
      <c r="AT375" s="8">
        <v>505484</v>
      </c>
      <c r="AV375" s="8">
        <v>341288</v>
      </c>
      <c r="AX375" s="8">
        <v>0</v>
      </c>
      <c r="AZ375" s="9">
        <f t="shared" si="24"/>
        <v>22317233</v>
      </c>
      <c r="BB375" s="8">
        <v>260139</v>
      </c>
      <c r="BD375" s="8">
        <v>0</v>
      </c>
      <c r="BF375" s="8">
        <v>0</v>
      </c>
      <c r="BH375" s="8">
        <v>0</v>
      </c>
      <c r="BJ375" s="9">
        <f t="shared" ref="BJ375:BJ405" si="27">AZ375+BB375+BH375</f>
        <v>22577372</v>
      </c>
      <c r="BL375" s="9">
        <f>'Gov Fd Rv'!AQ375-'Gov Fnd Exp'!BJ375</f>
        <v>-1968803</v>
      </c>
      <c r="BN375" s="8">
        <v>11569848</v>
      </c>
      <c r="BP375" s="8">
        <v>0</v>
      </c>
      <c r="BT375" s="9">
        <f t="shared" si="26"/>
        <v>9601045</v>
      </c>
      <c r="BU375" s="9"/>
      <c r="BV375" s="9">
        <f>BT375-'Gov Fd BS'!AA378</f>
        <v>0</v>
      </c>
    </row>
    <row r="376" spans="1:76">
      <c r="A376" s="13" t="s">
        <v>826</v>
      </c>
      <c r="B376" s="13"/>
      <c r="C376" s="13" t="s">
        <v>27</v>
      </c>
      <c r="D376" s="13"/>
      <c r="E376" s="32">
        <v>44461</v>
      </c>
      <c r="G376" s="8">
        <v>19997300</v>
      </c>
      <c r="I376" s="8">
        <v>3498120</v>
      </c>
      <c r="K376" s="8">
        <v>2467804</v>
      </c>
      <c r="M376" s="8">
        <v>2800</v>
      </c>
      <c r="O376" s="8">
        <v>2636482</v>
      </c>
      <c r="Q376" s="8">
        <v>1749791</v>
      </c>
      <c r="S376" s="8">
        <v>62520</v>
      </c>
      <c r="U376" s="8">
        <v>3126068</v>
      </c>
      <c r="W376" s="8">
        <v>0</v>
      </c>
      <c r="Y376" s="8">
        <v>1711415</v>
      </c>
      <c r="AA376" s="8">
        <v>4478803</v>
      </c>
      <c r="AC376" s="8">
        <v>2361963</v>
      </c>
      <c r="AE376" s="8">
        <v>278594</v>
      </c>
      <c r="AG376" s="8">
        <v>1423614</v>
      </c>
      <c r="AI376" s="8">
        <f>500981+456166</f>
        <v>957147</v>
      </c>
      <c r="AJ376" s="13" t="s">
        <v>826</v>
      </c>
      <c r="AK376" s="13"/>
      <c r="AL376" s="13" t="s">
        <v>27</v>
      </c>
      <c r="AN376" s="8">
        <v>1592364</v>
      </c>
      <c r="AP376" s="8">
        <v>0</v>
      </c>
      <c r="AR376" s="8">
        <v>0</v>
      </c>
      <c r="AT376" s="8">
        <v>2218793</v>
      </c>
      <c r="AV376" s="8">
        <v>4528923</v>
      </c>
      <c r="AX376" s="8">
        <v>0</v>
      </c>
      <c r="AZ376" s="9">
        <f t="shared" si="24"/>
        <v>53092501</v>
      </c>
      <c r="BB376" s="8">
        <v>75000</v>
      </c>
      <c r="BD376" s="8">
        <v>0</v>
      </c>
      <c r="BF376" s="8">
        <v>0</v>
      </c>
      <c r="BH376" s="8">
        <v>3415000</v>
      </c>
      <c r="BJ376" s="9">
        <f t="shared" si="27"/>
        <v>56582501</v>
      </c>
      <c r="BL376" s="9">
        <f>'Gov Fd Rv'!AQ376-'Gov Fnd Exp'!BJ376</f>
        <v>8401140</v>
      </c>
      <c r="BN376" s="8">
        <v>26064450</v>
      </c>
      <c r="BP376" s="8">
        <v>0</v>
      </c>
      <c r="BT376" s="9">
        <f t="shared" si="26"/>
        <v>34465590</v>
      </c>
      <c r="BU376" s="9"/>
      <c r="BV376" s="9">
        <f>BT376-'Gov Fd BS'!AA379</f>
        <v>0</v>
      </c>
    </row>
    <row r="377" spans="1:76">
      <c r="A377" s="13" t="s">
        <v>630</v>
      </c>
      <c r="B377" s="13"/>
      <c r="C377" s="13" t="s">
        <v>59</v>
      </c>
      <c r="D377" s="13"/>
      <c r="E377" s="13">
        <v>44461</v>
      </c>
      <c r="G377" s="8">
        <v>2202377</v>
      </c>
      <c r="I377" s="8">
        <v>563343</v>
      </c>
      <c r="K377" s="8">
        <v>7460</v>
      </c>
      <c r="M377" s="8">
        <v>75126</v>
      </c>
      <c r="O377" s="8">
        <v>170313</v>
      </c>
      <c r="Q377" s="8">
        <v>405010</v>
      </c>
      <c r="S377" s="8">
        <v>16763</v>
      </c>
      <c r="U377" s="8">
        <v>467810</v>
      </c>
      <c r="W377" s="8">
        <v>206781</v>
      </c>
      <c r="Y377" s="8">
        <v>0</v>
      </c>
      <c r="AA377" s="8">
        <v>443806</v>
      </c>
      <c r="AC377" s="8">
        <v>155272</v>
      </c>
      <c r="AE377" s="8">
        <v>48356</v>
      </c>
      <c r="AG377" s="8">
        <v>216053</v>
      </c>
      <c r="AI377" s="8">
        <v>0</v>
      </c>
      <c r="AJ377" s="13" t="s">
        <v>630</v>
      </c>
      <c r="AK377" s="13"/>
      <c r="AL377" s="13" t="s">
        <v>59</v>
      </c>
      <c r="AN377" s="8">
        <v>105385</v>
      </c>
      <c r="AP377" s="8">
        <v>364027</v>
      </c>
      <c r="AR377" s="8">
        <v>0</v>
      </c>
      <c r="AT377" s="8">
        <v>0</v>
      </c>
      <c r="AV377" s="8">
        <v>5195</v>
      </c>
      <c r="AX377" s="8">
        <v>0</v>
      </c>
      <c r="AZ377" s="9">
        <f t="shared" si="24"/>
        <v>5453077</v>
      </c>
      <c r="BB377" s="8">
        <v>0</v>
      </c>
      <c r="BD377" s="8">
        <v>0</v>
      </c>
      <c r="BF377" s="8">
        <v>0</v>
      </c>
      <c r="BH377" s="8">
        <v>0</v>
      </c>
      <c r="BJ377" s="9">
        <f t="shared" si="27"/>
        <v>5453077</v>
      </c>
      <c r="BL377" s="9">
        <f>'Gov Fd Rv'!AQ377-'Gov Fnd Exp'!BJ377</f>
        <v>5253563</v>
      </c>
      <c r="BN377" s="8">
        <v>580717</v>
      </c>
      <c r="BP377" s="8">
        <v>0</v>
      </c>
      <c r="BT377" s="9">
        <f t="shared" si="26"/>
        <v>5834280</v>
      </c>
      <c r="BU377" s="9"/>
      <c r="BV377" s="9">
        <f>BT377-'Gov Fd BS'!AA380</f>
        <v>0</v>
      </c>
    </row>
    <row r="378" spans="1:76">
      <c r="A378" s="13" t="s">
        <v>227</v>
      </c>
      <c r="B378" s="13"/>
      <c r="C378" s="13" t="s">
        <v>14</v>
      </c>
      <c r="D378" s="13"/>
      <c r="E378" s="32">
        <v>45955</v>
      </c>
      <c r="G378" s="8">
        <v>4345768</v>
      </c>
      <c r="I378" s="8">
        <v>327801</v>
      </c>
      <c r="K378" s="8">
        <v>310047</v>
      </c>
      <c r="M378" s="8">
        <v>0</v>
      </c>
      <c r="O378" s="8">
        <v>468674</v>
      </c>
      <c r="Q378" s="8">
        <v>425606</v>
      </c>
      <c r="S378" s="8">
        <v>22656</v>
      </c>
      <c r="U378" s="8">
        <v>770133</v>
      </c>
      <c r="W378" s="8">
        <v>213884</v>
      </c>
      <c r="Y378" s="8">
        <v>0</v>
      </c>
      <c r="AA378" s="8">
        <v>922081</v>
      </c>
      <c r="AC378" s="8">
        <v>158097</v>
      </c>
      <c r="AE378" s="8">
        <v>57149</v>
      </c>
      <c r="AG378" s="8">
        <v>0</v>
      </c>
      <c r="AI378" s="8">
        <v>322424</v>
      </c>
      <c r="AJ378" s="13" t="s">
        <v>228</v>
      </c>
      <c r="AK378" s="13"/>
      <c r="AL378" s="13" t="s">
        <v>14</v>
      </c>
      <c r="AN378" s="8">
        <v>419099</v>
      </c>
      <c r="AP378" s="8">
        <v>26696</v>
      </c>
      <c r="AR378" s="8">
        <v>0</v>
      </c>
      <c r="AT378" s="8">
        <v>615000</v>
      </c>
      <c r="AV378" s="8">
        <v>194544</v>
      </c>
      <c r="AX378" s="8">
        <v>0</v>
      </c>
      <c r="AZ378" s="9">
        <f t="shared" si="24"/>
        <v>9599659</v>
      </c>
      <c r="BB378" s="8">
        <v>45000</v>
      </c>
      <c r="BD378" s="8">
        <v>0</v>
      </c>
      <c r="BF378" s="8">
        <v>0</v>
      </c>
      <c r="BH378" s="8">
        <v>0</v>
      </c>
      <c r="BJ378" s="9">
        <f t="shared" si="27"/>
        <v>9644659</v>
      </c>
      <c r="BL378" s="9">
        <f>'Gov Fd Rv'!AQ378-'Gov Fnd Exp'!BJ378</f>
        <v>574487</v>
      </c>
      <c r="BN378" s="8">
        <v>5087706</v>
      </c>
      <c r="BP378" s="8">
        <v>0</v>
      </c>
      <c r="BT378" s="9">
        <f t="shared" si="26"/>
        <v>5662193</v>
      </c>
      <c r="BU378" s="9"/>
      <c r="BV378" s="9">
        <f>BT378-'Gov Fd BS'!AA381</f>
        <v>0</v>
      </c>
    </row>
    <row r="379" spans="1:76" hidden="1">
      <c r="A379" s="12" t="s">
        <v>1041</v>
      </c>
      <c r="B379" s="13"/>
      <c r="C379" s="13" t="s">
        <v>14</v>
      </c>
      <c r="D379" s="13"/>
      <c r="E379" s="32">
        <v>45963</v>
      </c>
      <c r="AJ379" s="13" t="s">
        <v>228</v>
      </c>
      <c r="AK379" s="13"/>
      <c r="AL379" s="13" t="s">
        <v>14</v>
      </c>
      <c r="AZ379" s="9">
        <f t="shared" si="24"/>
        <v>0</v>
      </c>
      <c r="BJ379" s="9">
        <f t="shared" si="27"/>
        <v>0</v>
      </c>
      <c r="BL379" s="9">
        <f>'Gov Fd Rv'!AQ379-'Gov Fnd Exp'!BJ379</f>
        <v>0</v>
      </c>
      <c r="BT379" s="9">
        <f t="shared" si="26"/>
        <v>0</v>
      </c>
      <c r="BU379" s="9"/>
      <c r="BV379" s="9">
        <f>BT379-'Gov Fd BS'!AA382</f>
        <v>0</v>
      </c>
    </row>
    <row r="380" spans="1:76">
      <c r="A380" s="13" t="s">
        <v>552</v>
      </c>
      <c r="B380" s="13"/>
      <c r="C380" s="13" t="s">
        <v>50</v>
      </c>
      <c r="D380" s="13"/>
      <c r="E380" s="32">
        <v>48710</v>
      </c>
      <c r="G380" s="8">
        <v>4345497</v>
      </c>
      <c r="I380" s="8">
        <v>1150198</v>
      </c>
      <c r="K380" s="8">
        <v>0</v>
      </c>
      <c r="M380" s="8">
        <v>278679</v>
      </c>
      <c r="O380" s="8">
        <v>415934</v>
      </c>
      <c r="Q380" s="8">
        <v>707860</v>
      </c>
      <c r="S380" s="8">
        <v>103910</v>
      </c>
      <c r="U380" s="8">
        <v>785275</v>
      </c>
      <c r="W380" s="8">
        <v>330643</v>
      </c>
      <c r="Y380" s="8">
        <v>91513</v>
      </c>
      <c r="AA380" s="8">
        <v>1403935</v>
      </c>
      <c r="AC380" s="8">
        <v>762131</v>
      </c>
      <c r="AE380" s="8">
        <v>180562</v>
      </c>
      <c r="AG380" s="8">
        <v>396170</v>
      </c>
      <c r="AI380" s="8">
        <v>728</v>
      </c>
      <c r="AJ380" s="13" t="s">
        <v>552</v>
      </c>
      <c r="AK380" s="13"/>
      <c r="AL380" s="13" t="s">
        <v>50</v>
      </c>
      <c r="AN380" s="8">
        <v>335427</v>
      </c>
      <c r="AP380" s="8">
        <v>30972</v>
      </c>
      <c r="AR380" s="8">
        <v>0</v>
      </c>
      <c r="AT380" s="8">
        <v>515648</v>
      </c>
      <c r="AV380" s="8">
        <v>189364</v>
      </c>
      <c r="AX380" s="8">
        <v>0</v>
      </c>
      <c r="AZ380" s="9">
        <f t="shared" si="24"/>
        <v>12024446</v>
      </c>
      <c r="BB380" s="8">
        <v>0</v>
      </c>
      <c r="BD380" s="8">
        <v>0</v>
      </c>
      <c r="BF380" s="8">
        <v>0</v>
      </c>
      <c r="BH380" s="8">
        <v>0</v>
      </c>
      <c r="BJ380" s="9">
        <f t="shared" si="27"/>
        <v>12024446</v>
      </c>
      <c r="BL380" s="9">
        <f>'Gov Fd Rv'!AQ380-'Gov Fnd Exp'!BJ380</f>
        <v>777739</v>
      </c>
      <c r="BN380" s="8">
        <v>3513656</v>
      </c>
      <c r="BP380" s="8">
        <v>0</v>
      </c>
      <c r="BT380" s="9">
        <f t="shared" si="26"/>
        <v>4291395</v>
      </c>
      <c r="BU380" s="9"/>
      <c r="BV380" s="9">
        <f>BT380-'Gov Fd BS'!AA383</f>
        <v>0</v>
      </c>
    </row>
    <row r="381" spans="1:76" hidden="1">
      <c r="A381" s="13" t="s">
        <v>580</v>
      </c>
      <c r="B381" s="13"/>
      <c r="C381" s="13" t="s">
        <v>579</v>
      </c>
      <c r="D381" s="13"/>
      <c r="E381" s="32">
        <v>44479</v>
      </c>
      <c r="AJ381" s="13" t="s">
        <v>580</v>
      </c>
      <c r="AK381" s="13"/>
      <c r="AL381" s="13" t="s">
        <v>579</v>
      </c>
      <c r="AZ381" s="9">
        <f t="shared" si="24"/>
        <v>0</v>
      </c>
      <c r="BJ381" s="9">
        <f t="shared" si="27"/>
        <v>0</v>
      </c>
      <c r="BL381" s="9">
        <f>'Gov Fd Rv'!AQ381-'Gov Fnd Exp'!BJ381</f>
        <v>0</v>
      </c>
      <c r="BT381" s="9">
        <f t="shared" si="26"/>
        <v>0</v>
      </c>
      <c r="BU381" s="9"/>
      <c r="BV381" s="9">
        <f>BT381-'Gov Fd BS'!AA384</f>
        <v>0</v>
      </c>
    </row>
    <row r="382" spans="1:76">
      <c r="A382" s="13" t="s">
        <v>445</v>
      </c>
      <c r="B382" s="13"/>
      <c r="C382" s="13" t="s">
        <v>37</v>
      </c>
      <c r="D382" s="13"/>
      <c r="E382" s="32">
        <v>47720</v>
      </c>
      <c r="G382" s="8">
        <v>4635567</v>
      </c>
      <c r="I382" s="8">
        <v>1064212</v>
      </c>
      <c r="K382" s="8">
        <v>367438</v>
      </c>
      <c r="M382" s="8">
        <f>15532+71678</f>
        <v>87210</v>
      </c>
      <c r="O382" s="8">
        <v>296458</v>
      </c>
      <c r="Q382" s="8">
        <v>543638</v>
      </c>
      <c r="S382" s="8">
        <v>10364</v>
      </c>
      <c r="U382" s="8">
        <v>803608</v>
      </c>
      <c r="W382" s="8">
        <v>250027</v>
      </c>
      <c r="Y382" s="8">
        <v>1511</v>
      </c>
      <c r="AA382" s="8">
        <v>843097</v>
      </c>
      <c r="AC382" s="8">
        <v>598577</v>
      </c>
      <c r="AE382" s="8">
        <v>0</v>
      </c>
      <c r="AG382" s="8">
        <v>380004</v>
      </c>
      <c r="AI382" s="8">
        <v>303</v>
      </c>
      <c r="AJ382" s="13" t="s">
        <v>445</v>
      </c>
      <c r="AK382" s="13"/>
      <c r="AL382" s="13" t="s">
        <v>37</v>
      </c>
      <c r="AN382" s="8">
        <v>360427</v>
      </c>
      <c r="AP382" s="8">
        <f>28944+58389</f>
        <v>87333</v>
      </c>
      <c r="AR382" s="8">
        <v>0</v>
      </c>
      <c r="AT382" s="8">
        <v>213689</v>
      </c>
      <c r="AV382" s="8">
        <v>83737</v>
      </c>
      <c r="AX382" s="8">
        <v>0</v>
      </c>
      <c r="AZ382" s="9">
        <f t="shared" si="24"/>
        <v>10627200</v>
      </c>
      <c r="BB382" s="8">
        <v>0</v>
      </c>
      <c r="BD382" s="8">
        <v>0</v>
      </c>
      <c r="BF382" s="8">
        <v>0</v>
      </c>
      <c r="BH382" s="8">
        <v>0</v>
      </c>
      <c r="BJ382" s="9">
        <f t="shared" si="27"/>
        <v>10627200</v>
      </c>
      <c r="BL382" s="9">
        <f>'Gov Fd Rv'!AQ382-'Gov Fnd Exp'!BJ382</f>
        <v>38450</v>
      </c>
      <c r="BN382" s="8">
        <v>2720209</v>
      </c>
      <c r="BP382" s="8">
        <v>0</v>
      </c>
      <c r="BT382" s="9">
        <f t="shared" si="26"/>
        <v>2758659</v>
      </c>
      <c r="BU382" s="9"/>
      <c r="BV382" s="9">
        <f>BT382-'Gov Fd BS'!AA385</f>
        <v>0</v>
      </c>
    </row>
    <row r="383" spans="1:76">
      <c r="A383" s="13" t="s">
        <v>249</v>
      </c>
      <c r="B383" s="13"/>
      <c r="C383" s="13" t="s">
        <v>242</v>
      </c>
      <c r="D383" s="13"/>
      <c r="E383" s="32">
        <v>46136</v>
      </c>
      <c r="G383" s="8">
        <v>3742764</v>
      </c>
      <c r="I383" s="8">
        <v>393244</v>
      </c>
      <c r="K383" s="8">
        <v>0</v>
      </c>
      <c r="M383" s="8">
        <v>58995</v>
      </c>
      <c r="O383" s="8">
        <v>257605</v>
      </c>
      <c r="Q383" s="8">
        <v>233397</v>
      </c>
      <c r="S383" s="8">
        <v>56698</v>
      </c>
      <c r="U383" s="8">
        <v>871465</v>
      </c>
      <c r="W383" s="8">
        <v>190609</v>
      </c>
      <c r="Y383" s="8">
        <v>57848</v>
      </c>
      <c r="AA383" s="8">
        <v>822229</v>
      </c>
      <c r="AC383" s="8">
        <v>424804</v>
      </c>
      <c r="AE383" s="8">
        <v>0</v>
      </c>
      <c r="AG383" s="8">
        <v>463934</v>
      </c>
      <c r="AI383" s="8">
        <v>0</v>
      </c>
      <c r="AJ383" s="13" t="s">
        <v>249</v>
      </c>
      <c r="AK383" s="13"/>
      <c r="AL383" s="13" t="s">
        <v>242</v>
      </c>
      <c r="AN383" s="8">
        <v>165440</v>
      </c>
      <c r="AP383" s="8">
        <v>0</v>
      </c>
      <c r="AR383" s="8">
        <v>0</v>
      </c>
      <c r="AT383" s="8">
        <v>113000</v>
      </c>
      <c r="AV383" s="8">
        <v>92512</v>
      </c>
      <c r="AX383" s="8">
        <v>0</v>
      </c>
      <c r="AZ383" s="9">
        <f t="shared" si="24"/>
        <v>7944544</v>
      </c>
      <c r="BB383" s="8">
        <v>32074</v>
      </c>
      <c r="BD383" s="8">
        <v>0</v>
      </c>
      <c r="BF383" s="8">
        <v>0</v>
      </c>
      <c r="BH383" s="8">
        <v>0</v>
      </c>
      <c r="BJ383" s="9">
        <f t="shared" si="27"/>
        <v>7976618</v>
      </c>
      <c r="BL383" s="9">
        <f>'Gov Fd Rv'!AQ383-'Gov Fnd Exp'!BJ383</f>
        <v>679137</v>
      </c>
      <c r="BN383" s="8">
        <v>2218813</v>
      </c>
      <c r="BP383" s="8">
        <v>0</v>
      </c>
      <c r="BT383" s="9">
        <f t="shared" si="26"/>
        <v>2897950</v>
      </c>
      <c r="BU383" s="9"/>
      <c r="BV383" s="9">
        <f>BT383-'Gov Fd BS'!AA386</f>
        <v>0</v>
      </c>
    </row>
    <row r="384" spans="1:76">
      <c r="A384" s="13" t="s">
        <v>698</v>
      </c>
      <c r="B384" s="13"/>
      <c r="C384" s="13" t="s">
        <v>65</v>
      </c>
      <c r="D384" s="13"/>
      <c r="E384" s="32">
        <v>44487</v>
      </c>
      <c r="G384" s="8">
        <v>10720632</v>
      </c>
      <c r="I384" s="8">
        <v>2421074</v>
      </c>
      <c r="K384" s="8">
        <v>110518</v>
      </c>
      <c r="M384" s="8">
        <v>448182</v>
      </c>
      <c r="O384" s="8">
        <v>1312167</v>
      </c>
      <c r="Q384" s="8">
        <v>984188</v>
      </c>
      <c r="S384" s="8">
        <v>73951</v>
      </c>
      <c r="U384" s="8">
        <v>2146780</v>
      </c>
      <c r="W384" s="8">
        <v>824447</v>
      </c>
      <c r="Y384" s="8">
        <v>0</v>
      </c>
      <c r="AA384" s="8">
        <v>2005298</v>
      </c>
      <c r="AC384" s="8">
        <v>689726</v>
      </c>
      <c r="AE384" s="8">
        <v>0</v>
      </c>
      <c r="AG384" s="8">
        <v>808696</v>
      </c>
      <c r="AI384" s="8">
        <v>498646</v>
      </c>
      <c r="AJ384" s="13" t="s">
        <v>698</v>
      </c>
      <c r="AK384" s="13"/>
      <c r="AL384" s="13" t="s">
        <v>65</v>
      </c>
      <c r="AN384" s="8">
        <v>955408</v>
      </c>
      <c r="AP384" s="8">
        <v>490315</v>
      </c>
      <c r="AR384" s="8">
        <v>0</v>
      </c>
      <c r="AT384" s="8">
        <v>561920</v>
      </c>
      <c r="AV384" s="8">
        <v>219329</v>
      </c>
      <c r="AX384" s="8">
        <v>0</v>
      </c>
      <c r="AZ384" s="9">
        <f t="shared" si="24"/>
        <v>25271277</v>
      </c>
      <c r="BB384" s="8">
        <v>42000</v>
      </c>
      <c r="BD384" s="8">
        <v>0</v>
      </c>
      <c r="BF384" s="8">
        <v>0</v>
      </c>
      <c r="BH384" s="8">
        <v>0</v>
      </c>
      <c r="BJ384" s="9">
        <f t="shared" si="27"/>
        <v>25313277</v>
      </c>
      <c r="BL384" s="9">
        <f>'Gov Fd Rv'!AQ384-'Gov Fnd Exp'!BJ384</f>
        <v>2022688</v>
      </c>
      <c r="BN384" s="8">
        <v>5681641</v>
      </c>
      <c r="BP384" s="8">
        <v>0</v>
      </c>
      <c r="BT384" s="9">
        <f t="shared" si="26"/>
        <v>7704329</v>
      </c>
      <c r="BU384" s="9"/>
      <c r="BV384" s="9">
        <f>BT384-'Gov Fd BS'!AA387</f>
        <v>0</v>
      </c>
    </row>
    <row r="385" spans="1:74">
      <c r="A385" s="13" t="s">
        <v>271</v>
      </c>
      <c r="B385" s="13"/>
      <c r="C385" s="13" t="s">
        <v>115</v>
      </c>
      <c r="D385" s="13"/>
      <c r="E385" s="32">
        <v>45559</v>
      </c>
      <c r="G385" s="8">
        <v>12852991</v>
      </c>
      <c r="I385" s="8">
        <v>3425541</v>
      </c>
      <c r="K385" s="8">
        <v>0</v>
      </c>
      <c r="M385" s="8">
        <v>21971</v>
      </c>
      <c r="O385" s="8">
        <v>1258753</v>
      </c>
      <c r="Q385" s="8">
        <v>1251213</v>
      </c>
      <c r="S385" s="8">
        <v>159437</v>
      </c>
      <c r="U385" s="8">
        <v>1541208</v>
      </c>
      <c r="W385" s="8">
        <v>783507</v>
      </c>
      <c r="Y385" s="8">
        <v>0</v>
      </c>
      <c r="AA385" s="8">
        <v>2963905</v>
      </c>
      <c r="AC385" s="8">
        <v>1947758</v>
      </c>
      <c r="AE385" s="8">
        <v>319725</v>
      </c>
      <c r="AG385" s="8">
        <v>0</v>
      </c>
      <c r="AI385" s="8">
        <v>0</v>
      </c>
      <c r="AJ385" s="13" t="s">
        <v>271</v>
      </c>
      <c r="AK385" s="13"/>
      <c r="AL385" s="13" t="s">
        <v>115</v>
      </c>
      <c r="AN385" s="8">
        <v>532264</v>
      </c>
      <c r="AP385" s="8">
        <v>27285</v>
      </c>
      <c r="AR385" s="8">
        <v>0</v>
      </c>
      <c r="AT385" s="8">
        <v>220000</v>
      </c>
      <c r="AV385" s="8">
        <v>14795</v>
      </c>
      <c r="AX385" s="8">
        <v>0</v>
      </c>
      <c r="AZ385" s="9">
        <f t="shared" si="24"/>
        <v>27320353</v>
      </c>
      <c r="BB385" s="8">
        <v>0</v>
      </c>
      <c r="BD385" s="8">
        <v>0</v>
      </c>
      <c r="BF385" s="8">
        <v>0</v>
      </c>
      <c r="BH385" s="8">
        <v>0</v>
      </c>
      <c r="BJ385" s="9">
        <f t="shared" si="27"/>
        <v>27320353</v>
      </c>
      <c r="BL385" s="9">
        <f>'Gov Fd Rv'!AQ385-'Gov Fnd Exp'!BJ385</f>
        <v>1107800</v>
      </c>
      <c r="BN385" s="8">
        <v>16034981</v>
      </c>
      <c r="BP385" s="8">
        <v>0</v>
      </c>
      <c r="BT385" s="9">
        <f t="shared" si="26"/>
        <v>17142781</v>
      </c>
      <c r="BU385" s="9"/>
      <c r="BV385" s="9">
        <f>BT385-'Gov Fd BS'!AA388</f>
        <v>0</v>
      </c>
    </row>
    <row r="386" spans="1:74" hidden="1">
      <c r="A386" s="13" t="s">
        <v>637</v>
      </c>
      <c r="B386" s="13"/>
      <c r="C386" s="13" t="s">
        <v>60</v>
      </c>
      <c r="D386" s="13"/>
      <c r="E386" s="32">
        <v>49718</v>
      </c>
      <c r="AJ386" s="13" t="s">
        <v>637</v>
      </c>
      <c r="AK386" s="13"/>
      <c r="AL386" s="13" t="s">
        <v>60</v>
      </c>
      <c r="AZ386" s="9">
        <f t="shared" si="24"/>
        <v>0</v>
      </c>
      <c r="BJ386" s="9">
        <f t="shared" si="27"/>
        <v>0</v>
      </c>
      <c r="BL386" s="9">
        <f>'Gov Fd Rv'!AQ386-'Gov Fnd Exp'!BJ386</f>
        <v>0</v>
      </c>
      <c r="BT386" s="9">
        <f t="shared" si="26"/>
        <v>0</v>
      </c>
      <c r="BU386" s="9"/>
      <c r="BV386" s="9">
        <f>BT386-'Gov Fd BS'!AA389</f>
        <v>0</v>
      </c>
    </row>
    <row r="387" spans="1:74">
      <c r="A387" s="13" t="s">
        <v>478</v>
      </c>
      <c r="B387" s="13"/>
      <c r="C387" s="13" t="s">
        <v>42</v>
      </c>
      <c r="D387" s="13"/>
      <c r="E387" s="13">
        <v>44453</v>
      </c>
      <c r="G387" s="8">
        <v>27519564</v>
      </c>
      <c r="I387" s="8">
        <v>7837702</v>
      </c>
      <c r="K387" s="8">
        <v>486363</v>
      </c>
      <c r="M387" s="8">
        <v>585723</v>
      </c>
      <c r="O387" s="8">
        <v>3242632</v>
      </c>
      <c r="Q387" s="8">
        <v>4679590</v>
      </c>
      <c r="S387" s="8">
        <v>257859</v>
      </c>
      <c r="U387" s="8">
        <v>3609586</v>
      </c>
      <c r="W387" s="8">
        <v>1157436</v>
      </c>
      <c r="Y387" s="8">
        <v>557971</v>
      </c>
      <c r="AA387" s="8">
        <v>5397553</v>
      </c>
      <c r="AC387" s="8">
        <v>1705601</v>
      </c>
      <c r="AE387" s="8">
        <v>1041645</v>
      </c>
      <c r="AG387" s="8">
        <v>2844805</v>
      </c>
      <c r="AI387" s="8">
        <v>734600</v>
      </c>
      <c r="AJ387" s="13" t="s">
        <v>478</v>
      </c>
      <c r="AK387" s="13"/>
      <c r="AL387" s="13" t="s">
        <v>42</v>
      </c>
      <c r="AN387" s="8">
        <v>873551</v>
      </c>
      <c r="AP387" s="8">
        <v>12410905</v>
      </c>
      <c r="AR387" s="8">
        <v>0</v>
      </c>
      <c r="AT387" s="8">
        <v>2309760</v>
      </c>
      <c r="AV387" s="8">
        <v>3054946</v>
      </c>
      <c r="AX387" s="8">
        <v>0</v>
      </c>
      <c r="AZ387" s="9">
        <f t="shared" si="24"/>
        <v>80307792</v>
      </c>
      <c r="BB387" s="8">
        <v>475881</v>
      </c>
      <c r="BD387" s="8">
        <v>0</v>
      </c>
      <c r="BF387" s="8">
        <v>0</v>
      </c>
      <c r="BH387" s="8">
        <v>0</v>
      </c>
      <c r="BJ387" s="9">
        <f t="shared" si="27"/>
        <v>80783673</v>
      </c>
      <c r="BL387" s="9">
        <f>'Gov Fd Rv'!AQ387-'Gov Fnd Exp'!BJ387</f>
        <v>2067104</v>
      </c>
      <c r="BN387" s="8">
        <v>28083078</v>
      </c>
      <c r="BP387" s="8">
        <v>-427</v>
      </c>
      <c r="BT387" s="9">
        <f t="shared" si="26"/>
        <v>30149755</v>
      </c>
      <c r="BU387" s="9"/>
      <c r="BV387" s="9">
        <f>BT387-'Gov Fd BS'!AA390</f>
        <v>0</v>
      </c>
    </row>
    <row r="388" spans="1:74">
      <c r="A388" s="13" t="s">
        <v>382</v>
      </c>
      <c r="B388" s="13"/>
      <c r="C388" s="13" t="s">
        <v>30</v>
      </c>
      <c r="D388" s="13"/>
      <c r="E388" s="32">
        <v>47217</v>
      </c>
      <c r="G388" s="8">
        <v>3730221</v>
      </c>
      <c r="I388" s="8">
        <v>774470</v>
      </c>
      <c r="K388" s="8">
        <v>70855</v>
      </c>
      <c r="M388" s="8">
        <f>1000+20869</f>
        <v>21869</v>
      </c>
      <c r="O388" s="8">
        <v>403301</v>
      </c>
      <c r="Q388" s="8">
        <v>184513</v>
      </c>
      <c r="S388" s="8">
        <v>85539</v>
      </c>
      <c r="U388" s="8">
        <v>580892</v>
      </c>
      <c r="W388" s="8">
        <v>281455</v>
      </c>
      <c r="Y388" s="8">
        <v>0</v>
      </c>
      <c r="AA388" s="8">
        <v>755308</v>
      </c>
      <c r="AC388" s="8">
        <v>503737</v>
      </c>
      <c r="AE388" s="8">
        <v>67443</v>
      </c>
      <c r="AG388" s="8">
        <v>201857</v>
      </c>
      <c r="AI388" s="8">
        <v>146788</v>
      </c>
      <c r="AJ388" s="13" t="s">
        <v>382</v>
      </c>
      <c r="AK388" s="13"/>
      <c r="AL388" s="13" t="s">
        <v>30</v>
      </c>
      <c r="AN388" s="8">
        <v>299951</v>
      </c>
      <c r="AP388" s="8">
        <v>125828</v>
      </c>
      <c r="AR388" s="8">
        <v>0</v>
      </c>
      <c r="AT388" s="8">
        <v>78687</v>
      </c>
      <c r="AV388" s="8">
        <v>3459</v>
      </c>
      <c r="AX388" s="8">
        <v>0</v>
      </c>
      <c r="AZ388" s="9">
        <f t="shared" si="24"/>
        <v>8316173</v>
      </c>
      <c r="BB388" s="8">
        <v>74082</v>
      </c>
      <c r="BD388" s="8">
        <v>0</v>
      </c>
      <c r="BF388" s="8">
        <v>0</v>
      </c>
      <c r="BH388" s="8">
        <v>0</v>
      </c>
      <c r="BJ388" s="9">
        <f t="shared" si="27"/>
        <v>8390255</v>
      </c>
      <c r="BL388" s="9">
        <f>'Gov Fd Rv'!AQ388-'Gov Fnd Exp'!BJ388</f>
        <v>-328028</v>
      </c>
      <c r="BN388" s="8">
        <v>1365565</v>
      </c>
      <c r="BP388" s="8">
        <v>0</v>
      </c>
      <c r="BT388" s="9">
        <f t="shared" si="26"/>
        <v>1037537</v>
      </c>
      <c r="BU388" s="9"/>
      <c r="BV388" s="9">
        <f>BT388-'Gov Fd BS'!AA391</f>
        <v>0</v>
      </c>
    </row>
    <row r="389" spans="1:74">
      <c r="A389" s="13" t="s">
        <v>699</v>
      </c>
      <c r="B389" s="13"/>
      <c r="C389" s="13" t="s">
        <v>65</v>
      </c>
      <c r="D389" s="13"/>
      <c r="E389" s="32">
        <v>45542</v>
      </c>
      <c r="G389" s="8">
        <v>4763085</v>
      </c>
      <c r="I389" s="8">
        <v>1062746</v>
      </c>
      <c r="K389" s="8">
        <v>90990</v>
      </c>
      <c r="M389" s="8">
        <v>456537</v>
      </c>
      <c r="O389" s="8">
        <v>410923</v>
      </c>
      <c r="Q389" s="8">
        <v>798541</v>
      </c>
      <c r="S389" s="8">
        <v>61142</v>
      </c>
      <c r="U389" s="8">
        <v>994512</v>
      </c>
      <c r="W389" s="8">
        <v>323539</v>
      </c>
      <c r="Y389" s="8">
        <v>0</v>
      </c>
      <c r="AA389" s="8">
        <v>1403376</v>
      </c>
      <c r="AC389" s="8">
        <v>481735</v>
      </c>
      <c r="AE389" s="8">
        <v>0</v>
      </c>
      <c r="AG389" s="8">
        <v>550757</v>
      </c>
      <c r="AI389" s="8">
        <v>46370</v>
      </c>
      <c r="AJ389" s="13" t="s">
        <v>699</v>
      </c>
      <c r="AK389" s="13"/>
      <c r="AL389" s="13" t="s">
        <v>65</v>
      </c>
      <c r="AN389" s="8">
        <v>311661</v>
      </c>
      <c r="AP389" s="8">
        <v>110825</v>
      </c>
      <c r="AR389" s="8">
        <v>0</v>
      </c>
      <c r="AT389" s="8">
        <v>223102</v>
      </c>
      <c r="AV389" s="8">
        <v>185489</v>
      </c>
      <c r="AX389" s="8">
        <v>0</v>
      </c>
      <c r="AZ389" s="9">
        <f t="shared" si="24"/>
        <v>12275330</v>
      </c>
      <c r="BB389" s="8">
        <v>0</v>
      </c>
      <c r="BD389" s="8">
        <v>0</v>
      </c>
      <c r="BF389" s="8">
        <v>0</v>
      </c>
      <c r="BH389" s="8">
        <v>0</v>
      </c>
      <c r="BJ389" s="9">
        <f t="shared" si="27"/>
        <v>12275330</v>
      </c>
      <c r="BL389" s="9">
        <f>'Gov Fd Rv'!AQ389-'Gov Fnd Exp'!BJ389</f>
        <v>-248525</v>
      </c>
      <c r="BN389" s="8">
        <v>1047800</v>
      </c>
      <c r="BP389" s="8">
        <v>0</v>
      </c>
      <c r="BT389" s="9">
        <f t="shared" si="26"/>
        <v>799275</v>
      </c>
      <c r="BU389" s="9"/>
      <c r="BV389" s="9">
        <f>BT389-'Gov Fd BS'!AA392</f>
        <v>0</v>
      </c>
    </row>
    <row r="390" spans="1:74">
      <c r="A390" s="13" t="s">
        <v>690</v>
      </c>
      <c r="B390" s="13"/>
      <c r="C390" s="13" t="s">
        <v>64</v>
      </c>
      <c r="D390" s="13"/>
      <c r="E390" s="32">
        <v>45567</v>
      </c>
      <c r="G390" s="8">
        <v>5155290</v>
      </c>
      <c r="I390" s="8">
        <v>1488642</v>
      </c>
      <c r="K390" s="8">
        <v>148582</v>
      </c>
      <c r="M390" s="8">
        <f>1000+24564</f>
        <v>25564</v>
      </c>
      <c r="O390" s="8">
        <v>560583</v>
      </c>
      <c r="Q390" s="8">
        <v>375218</v>
      </c>
      <c r="S390" s="8">
        <v>288845</v>
      </c>
      <c r="U390" s="8">
        <v>1082749</v>
      </c>
      <c r="W390" s="8">
        <v>319458</v>
      </c>
      <c r="Y390" s="8">
        <v>0</v>
      </c>
      <c r="AA390" s="8">
        <v>1128512</v>
      </c>
      <c r="AC390" s="8">
        <v>636875</v>
      </c>
      <c r="AE390" s="8">
        <v>265649</v>
      </c>
      <c r="AG390" s="8">
        <v>472079</v>
      </c>
      <c r="AI390" s="8">
        <v>83378</v>
      </c>
      <c r="AJ390" s="13" t="s">
        <v>690</v>
      </c>
      <c r="AK390" s="13"/>
      <c r="AL390" s="13" t="s">
        <v>64</v>
      </c>
      <c r="AN390" s="8">
        <v>395670</v>
      </c>
      <c r="AP390" s="8">
        <v>150835</v>
      </c>
      <c r="AR390" s="8">
        <v>0</v>
      </c>
      <c r="AT390" s="8">
        <v>620000</v>
      </c>
      <c r="AV390" s="8">
        <v>210031</v>
      </c>
      <c r="AX390" s="8">
        <v>0</v>
      </c>
      <c r="AZ390" s="9">
        <f t="shared" si="24"/>
        <v>13407960</v>
      </c>
      <c r="BB390" s="8">
        <v>32295</v>
      </c>
      <c r="BD390" s="8">
        <v>0</v>
      </c>
      <c r="BF390" s="8">
        <v>0</v>
      </c>
      <c r="BH390" s="8">
        <v>0</v>
      </c>
      <c r="BJ390" s="9">
        <f t="shared" si="27"/>
        <v>13440255</v>
      </c>
      <c r="BL390" s="9">
        <f>'Gov Fd Rv'!AQ390-'Gov Fnd Exp'!BJ390</f>
        <v>377588</v>
      </c>
      <c r="BN390" s="8">
        <v>2340099</v>
      </c>
      <c r="BP390" s="8">
        <v>0</v>
      </c>
      <c r="BT390" s="9">
        <f t="shared" si="26"/>
        <v>2717687</v>
      </c>
      <c r="BU390" s="9"/>
      <c r="BV390" s="9">
        <f>BT390-'Gov Fd BS'!AA393</f>
        <v>0</v>
      </c>
    </row>
    <row r="391" spans="1:74">
      <c r="A391" s="13" t="s">
        <v>539</v>
      </c>
      <c r="B391" s="13"/>
      <c r="C391" s="13" t="s">
        <v>48</v>
      </c>
      <c r="D391" s="13"/>
      <c r="E391" s="32">
        <v>48637</v>
      </c>
      <c r="G391" s="8">
        <v>2496199</v>
      </c>
      <c r="I391" s="8">
        <v>423073</v>
      </c>
      <c r="K391" s="8">
        <v>0</v>
      </c>
      <c r="M391" s="8">
        <v>8686</v>
      </c>
      <c r="O391" s="8">
        <v>251003</v>
      </c>
      <c r="Q391" s="8">
        <v>175185</v>
      </c>
      <c r="S391" s="8">
        <v>5268</v>
      </c>
      <c r="U391" s="8">
        <v>684122</v>
      </c>
      <c r="W391" s="8">
        <v>222750</v>
      </c>
      <c r="Y391" s="8">
        <v>975</v>
      </c>
      <c r="AA391" s="8">
        <v>404919</v>
      </c>
      <c r="AC391" s="8">
        <v>295815</v>
      </c>
      <c r="AE391" s="8">
        <v>4377</v>
      </c>
      <c r="AG391" s="8">
        <v>153624</v>
      </c>
      <c r="AI391" s="8">
        <v>5100</v>
      </c>
      <c r="AJ391" s="13" t="s">
        <v>539</v>
      </c>
      <c r="AK391" s="13"/>
      <c r="AL391" s="13" t="s">
        <v>48</v>
      </c>
      <c r="AN391" s="8">
        <v>202910</v>
      </c>
      <c r="AP391" s="8">
        <v>2925198</v>
      </c>
      <c r="AR391" s="8">
        <v>0</v>
      </c>
      <c r="AT391" s="8">
        <v>176173</v>
      </c>
      <c r="AV391" s="8">
        <v>321247</v>
      </c>
      <c r="AX391" s="8">
        <v>0</v>
      </c>
      <c r="AZ391" s="9">
        <f t="shared" si="24"/>
        <v>8756624</v>
      </c>
      <c r="BB391" s="8">
        <v>0</v>
      </c>
      <c r="BD391" s="8">
        <v>0</v>
      </c>
      <c r="BF391" s="8">
        <v>0</v>
      </c>
      <c r="BH391" s="8">
        <v>0</v>
      </c>
      <c r="BJ391" s="9">
        <f t="shared" si="27"/>
        <v>8756624</v>
      </c>
      <c r="BL391" s="9">
        <f>'Gov Fd Rv'!AQ391-'Gov Fnd Exp'!BJ391</f>
        <v>3068350</v>
      </c>
      <c r="BN391" s="8">
        <v>10211574</v>
      </c>
      <c r="BP391" s="8">
        <v>0</v>
      </c>
      <c r="BT391" s="9">
        <f t="shared" si="26"/>
        <v>13279924</v>
      </c>
      <c r="BU391" s="9"/>
      <c r="BV391" s="9">
        <f>BT391-'Gov Fd BS'!AA394</f>
        <v>0</v>
      </c>
    </row>
    <row r="392" spans="1:74">
      <c r="A392" s="13" t="s">
        <v>820</v>
      </c>
      <c r="B392" s="13"/>
      <c r="C392" s="13" t="s">
        <v>64</v>
      </c>
      <c r="D392" s="13"/>
      <c r="E392" s="32"/>
      <c r="G392" s="8">
        <v>12006888</v>
      </c>
      <c r="I392" s="8">
        <v>3186266</v>
      </c>
      <c r="K392" s="8">
        <v>159914</v>
      </c>
      <c r="M392" s="8">
        <v>1056654</v>
      </c>
      <c r="O392" s="8">
        <v>1268305</v>
      </c>
      <c r="Q392" s="8">
        <v>890176</v>
      </c>
      <c r="S392" s="8">
        <v>57427</v>
      </c>
      <c r="U392" s="8">
        <v>2483656</v>
      </c>
      <c r="W392" s="8">
        <v>559255</v>
      </c>
      <c r="Y392" s="8">
        <v>154130</v>
      </c>
      <c r="AA392" s="8">
        <v>2290285</v>
      </c>
      <c r="AC392" s="8">
        <v>915922</v>
      </c>
      <c r="AE392" s="8">
        <v>224479</v>
      </c>
      <c r="AG392" s="8">
        <v>1129818</v>
      </c>
      <c r="AI392" s="8">
        <v>220537</v>
      </c>
      <c r="AJ392" s="13" t="s">
        <v>820</v>
      </c>
      <c r="AK392" s="13"/>
      <c r="AL392" s="13" t="s">
        <v>64</v>
      </c>
      <c r="AN392" s="8">
        <v>492463</v>
      </c>
      <c r="AP392" s="8">
        <v>143159</v>
      </c>
      <c r="AR392" s="8">
        <v>0</v>
      </c>
      <c r="AT392" s="8">
        <v>362000</v>
      </c>
      <c r="AV392" s="8">
        <v>296795</v>
      </c>
      <c r="AX392" s="8">
        <v>158626</v>
      </c>
      <c r="AZ392" s="9">
        <f t="shared" si="24"/>
        <v>28056755</v>
      </c>
      <c r="BB392" s="8">
        <v>975596</v>
      </c>
      <c r="BD392" s="8">
        <v>0</v>
      </c>
      <c r="BF392" s="8">
        <v>0</v>
      </c>
      <c r="BH392" s="8">
        <v>218459</v>
      </c>
      <c r="BJ392" s="9">
        <f t="shared" si="27"/>
        <v>29250810</v>
      </c>
      <c r="BL392" s="9">
        <f>'Gov Fd Rv'!AQ392-'Gov Fnd Exp'!BJ392</f>
        <v>19811899</v>
      </c>
      <c r="BN392" s="8">
        <v>585444</v>
      </c>
      <c r="BP392" s="8">
        <v>0</v>
      </c>
      <c r="BT392" s="9">
        <f t="shared" si="26"/>
        <v>20397343</v>
      </c>
      <c r="BU392" s="9"/>
      <c r="BV392" s="9">
        <f>BT392-'Gov Fd BS'!AA395</f>
        <v>0</v>
      </c>
    </row>
    <row r="393" spans="1:74">
      <c r="A393" s="13" t="s">
        <v>570</v>
      </c>
      <c r="B393" s="13"/>
      <c r="C393" s="13" t="s">
        <v>52</v>
      </c>
      <c r="D393" s="13"/>
      <c r="E393" s="32">
        <v>48900</v>
      </c>
      <c r="G393" s="8">
        <v>4109067</v>
      </c>
      <c r="I393" s="8">
        <v>910368</v>
      </c>
      <c r="K393" s="8">
        <v>299002</v>
      </c>
      <c r="M393" s="8">
        <v>0</v>
      </c>
      <c r="O393" s="8">
        <v>323543</v>
      </c>
      <c r="Q393" s="8">
        <v>437747</v>
      </c>
      <c r="S393" s="8">
        <v>52258</v>
      </c>
      <c r="U393" s="8">
        <v>1020115</v>
      </c>
      <c r="W393" s="8">
        <v>360239</v>
      </c>
      <c r="Y393" s="8">
        <v>13081</v>
      </c>
      <c r="AA393" s="8">
        <v>776515</v>
      </c>
      <c r="AC393" s="8">
        <v>887363</v>
      </c>
      <c r="AE393" s="8">
        <v>3967</v>
      </c>
      <c r="AG393" s="8">
        <v>0</v>
      </c>
      <c r="AI393" s="8">
        <v>508535</v>
      </c>
      <c r="AJ393" s="13" t="s">
        <v>570</v>
      </c>
      <c r="AK393" s="13"/>
      <c r="AL393" s="13" t="s">
        <v>52</v>
      </c>
      <c r="AN393" s="8">
        <v>203442</v>
      </c>
      <c r="AP393" s="8">
        <v>83963</v>
      </c>
      <c r="AR393" s="8">
        <v>0</v>
      </c>
      <c r="AT393" s="8">
        <v>203490</v>
      </c>
      <c r="AV393" s="8">
        <v>23196</v>
      </c>
      <c r="AX393" s="8">
        <v>0</v>
      </c>
      <c r="AZ393" s="9">
        <f t="shared" si="24"/>
        <v>10215891</v>
      </c>
      <c r="BB393" s="8">
        <v>278298</v>
      </c>
      <c r="BD393" s="8">
        <v>0</v>
      </c>
      <c r="BF393" s="8">
        <v>0</v>
      </c>
      <c r="BH393" s="8">
        <v>0</v>
      </c>
      <c r="BJ393" s="9">
        <f t="shared" si="27"/>
        <v>10494189</v>
      </c>
      <c r="BL393" s="9">
        <f>'Gov Fd Rv'!AQ393-'Gov Fnd Exp'!BJ393</f>
        <v>145713</v>
      </c>
      <c r="BN393" s="8">
        <v>830043</v>
      </c>
      <c r="BP393" s="8">
        <v>0</v>
      </c>
      <c r="BT393" s="9">
        <f t="shared" si="26"/>
        <v>975756</v>
      </c>
      <c r="BU393" s="9"/>
      <c r="BV393" s="9">
        <f>BT393-'Gov Fd BS'!AA396</f>
        <v>0</v>
      </c>
    </row>
    <row r="394" spans="1:74">
      <c r="A394" s="13" t="s">
        <v>668</v>
      </c>
      <c r="B394" s="13"/>
      <c r="C394" s="13" t="s">
        <v>63</v>
      </c>
      <c r="D394" s="13"/>
      <c r="E394" s="32">
        <v>50047</v>
      </c>
      <c r="G394" s="8">
        <v>17668722</v>
      </c>
      <c r="I394" s="8">
        <v>4603102</v>
      </c>
      <c r="K394" s="8">
        <v>347015</v>
      </c>
      <c r="M394" s="8">
        <v>644108</v>
      </c>
      <c r="O394" s="8">
        <v>3610833</v>
      </c>
      <c r="Q394" s="8">
        <v>1224654</v>
      </c>
      <c r="S394" s="8">
        <v>86547</v>
      </c>
      <c r="U394" s="8">
        <v>2645607</v>
      </c>
      <c r="W394" s="8">
        <v>1105859</v>
      </c>
      <c r="Y394" s="8">
        <v>282062</v>
      </c>
      <c r="AA394" s="8">
        <v>4682669</v>
      </c>
      <c r="AC394" s="8">
        <v>2447298</v>
      </c>
      <c r="AE394" s="8">
        <v>173619</v>
      </c>
      <c r="AG394" s="8">
        <v>1440136</v>
      </c>
      <c r="AI394" s="8">
        <v>713415</v>
      </c>
      <c r="AJ394" s="13" t="s">
        <v>668</v>
      </c>
      <c r="AK394" s="13"/>
      <c r="AL394" s="13" t="s">
        <v>63</v>
      </c>
      <c r="AN394" s="8">
        <v>1473627</v>
      </c>
      <c r="AP394" s="8">
        <v>1030569</v>
      </c>
      <c r="AR394" s="8">
        <v>0</v>
      </c>
      <c r="AT394" s="8">
        <v>1773412</v>
      </c>
      <c r="AV394" s="8">
        <f>1202699+117168</f>
        <v>1319867</v>
      </c>
      <c r="AX394" s="8">
        <v>0</v>
      </c>
      <c r="AZ394" s="9">
        <f t="shared" si="24"/>
        <v>47273121</v>
      </c>
      <c r="BB394" s="8">
        <v>37860</v>
      </c>
      <c r="BD394" s="8">
        <v>0</v>
      </c>
      <c r="BF394" s="8">
        <v>0</v>
      </c>
      <c r="BH394" s="8">
        <v>0</v>
      </c>
      <c r="BJ394" s="9">
        <f>AZ394+BB394+BH394</f>
        <v>47310981</v>
      </c>
      <c r="BL394" s="9">
        <f>'Gov Fd Rv'!AQ394-'Gov Fnd Exp'!BJ394</f>
        <v>5482116</v>
      </c>
      <c r="BN394" s="8">
        <v>15157266</v>
      </c>
      <c r="BP394" s="8">
        <v>0</v>
      </c>
      <c r="BT394" s="9">
        <f t="shared" si="26"/>
        <v>20639382</v>
      </c>
      <c r="BU394" s="9"/>
      <c r="BV394" s="9">
        <f>BT394-'Gov Fd BS'!AA397</f>
        <v>0</v>
      </c>
    </row>
    <row r="395" spans="1:74">
      <c r="A395" s="13" t="s">
        <v>735</v>
      </c>
      <c r="B395" s="13"/>
      <c r="C395" s="13" t="s">
        <v>72</v>
      </c>
      <c r="D395" s="13"/>
      <c r="E395" s="32">
        <v>50708</v>
      </c>
      <c r="G395" s="8">
        <v>2784140</v>
      </c>
      <c r="I395" s="8">
        <v>1316687</v>
      </c>
      <c r="K395" s="8">
        <v>0</v>
      </c>
      <c r="M395" s="8">
        <v>713466</v>
      </c>
      <c r="O395" s="8">
        <v>198597</v>
      </c>
      <c r="Q395" s="8">
        <v>398092</v>
      </c>
      <c r="S395" s="8">
        <v>105638</v>
      </c>
      <c r="U395" s="8">
        <v>641991</v>
      </c>
      <c r="W395" s="8">
        <v>272354</v>
      </c>
      <c r="Y395" s="8">
        <v>0</v>
      </c>
      <c r="AA395" s="8">
        <v>635412</v>
      </c>
      <c r="AC395" s="8">
        <v>353529</v>
      </c>
      <c r="AE395" s="8">
        <v>0</v>
      </c>
      <c r="AG395" s="8">
        <v>239843</v>
      </c>
      <c r="AI395" s="8">
        <v>0</v>
      </c>
      <c r="AJ395" s="13" t="s">
        <v>735</v>
      </c>
      <c r="AK395" s="13"/>
      <c r="AL395" s="13" t="s">
        <v>72</v>
      </c>
      <c r="AN395" s="8">
        <v>258681</v>
      </c>
      <c r="AP395" s="8">
        <v>116955</v>
      </c>
      <c r="AR395" s="8">
        <v>0</v>
      </c>
      <c r="AT395" s="8">
        <v>0</v>
      </c>
      <c r="AV395" s="8">
        <v>78858</v>
      </c>
      <c r="AX395" s="8">
        <v>0</v>
      </c>
      <c r="AZ395" s="9">
        <f t="shared" si="24"/>
        <v>8114243</v>
      </c>
      <c r="BB395" s="8">
        <v>807861</v>
      </c>
      <c r="BD395" s="8">
        <v>0</v>
      </c>
      <c r="BF395" s="8">
        <v>0</v>
      </c>
      <c r="BH395" s="8">
        <v>0</v>
      </c>
      <c r="BJ395" s="9">
        <f t="shared" si="27"/>
        <v>8922104</v>
      </c>
      <c r="BL395" s="9">
        <f>'Gov Fd Rv'!AQ395-'Gov Fnd Exp'!BJ395</f>
        <v>88220</v>
      </c>
      <c r="BN395" s="8">
        <f>+-6694</f>
        <v>-6694</v>
      </c>
      <c r="BP395" s="8">
        <v>0</v>
      </c>
      <c r="BT395" s="9">
        <f t="shared" si="26"/>
        <v>81526</v>
      </c>
      <c r="BU395" s="9"/>
      <c r="BV395" s="9">
        <f>BT395-'Gov Fd BS'!AA398</f>
        <v>0</v>
      </c>
    </row>
    <row r="396" spans="1:74" hidden="1">
      <c r="A396" s="13" t="s">
        <v>574</v>
      </c>
      <c r="B396" s="13"/>
      <c r="C396" s="13" t="s">
        <v>53</v>
      </c>
      <c r="D396" s="13"/>
      <c r="E396" s="32">
        <v>48967</v>
      </c>
      <c r="AJ396" s="13" t="s">
        <v>574</v>
      </c>
      <c r="AK396" s="13"/>
      <c r="AL396" s="13" t="s">
        <v>53</v>
      </c>
      <c r="AZ396" s="9">
        <f t="shared" si="24"/>
        <v>0</v>
      </c>
      <c r="BJ396" s="9">
        <f t="shared" si="27"/>
        <v>0</v>
      </c>
      <c r="BL396" s="9">
        <f>'Gov Fd Rv'!AQ396-'Gov Fnd Exp'!BJ396</f>
        <v>0</v>
      </c>
      <c r="BT396" s="9">
        <f t="shared" si="26"/>
        <v>0</v>
      </c>
      <c r="BU396" s="9"/>
      <c r="BV396" s="9">
        <f>BT396-'Gov Fd BS'!AA399</f>
        <v>0</v>
      </c>
    </row>
    <row r="397" spans="1:74">
      <c r="A397" s="13" t="s">
        <v>658</v>
      </c>
      <c r="B397" s="13"/>
      <c r="C397" s="13" t="s">
        <v>62</v>
      </c>
      <c r="D397" s="13"/>
      <c r="E397" s="32">
        <v>44503</v>
      </c>
      <c r="G397" s="8">
        <v>19657896</v>
      </c>
      <c r="I397" s="8">
        <v>3352269</v>
      </c>
      <c r="K397" s="8">
        <v>1791006</v>
      </c>
      <c r="M397" s="8">
        <f>44863+138557</f>
        <v>183420</v>
      </c>
      <c r="O397" s="8">
        <v>2457866</v>
      </c>
      <c r="Q397" s="8">
        <v>2569831</v>
      </c>
      <c r="S397" s="8">
        <v>22490</v>
      </c>
      <c r="U397" s="8">
        <v>3338265</v>
      </c>
      <c r="W397" s="8">
        <v>963882</v>
      </c>
      <c r="Y397" s="8">
        <v>9476</v>
      </c>
      <c r="AA397" s="8">
        <v>3927641</v>
      </c>
      <c r="AC397" s="8">
        <v>2730693</v>
      </c>
      <c r="AE397" s="8">
        <v>370086</v>
      </c>
      <c r="AG397" s="8">
        <v>1530143</v>
      </c>
      <c r="AI397" s="8">
        <v>297175</v>
      </c>
      <c r="AJ397" s="13" t="s">
        <v>658</v>
      </c>
      <c r="AK397" s="13"/>
      <c r="AL397" s="13" t="s">
        <v>62</v>
      </c>
      <c r="AN397" s="8">
        <v>1214012</v>
      </c>
      <c r="AP397" s="8">
        <v>202195</v>
      </c>
      <c r="AR397" s="8">
        <v>0</v>
      </c>
      <c r="AT397" s="8">
        <v>1455894</v>
      </c>
      <c r="AV397" s="8">
        <v>781252</v>
      </c>
      <c r="AX397" s="8">
        <v>0</v>
      </c>
      <c r="AZ397" s="9">
        <f t="shared" si="24"/>
        <v>46855492</v>
      </c>
      <c r="BB397" s="8">
        <v>155877</v>
      </c>
      <c r="BD397" s="8">
        <v>0</v>
      </c>
      <c r="BF397" s="8">
        <v>0</v>
      </c>
      <c r="BH397" s="8">
        <v>0</v>
      </c>
      <c r="BJ397" s="9">
        <f t="shared" si="27"/>
        <v>47011369</v>
      </c>
      <c r="BL397" s="9">
        <f>'Gov Fd Rv'!AQ397-'Gov Fnd Exp'!BJ397</f>
        <v>-731708</v>
      </c>
      <c r="BN397" s="8">
        <v>220516</v>
      </c>
      <c r="BP397" s="8">
        <v>4944</v>
      </c>
      <c r="BT397" s="9">
        <f t="shared" si="26"/>
        <v>-506248</v>
      </c>
      <c r="BU397" s="9"/>
      <c r="BV397" s="9">
        <f>BT397-'Gov Fd BS'!AA400</f>
        <v>0</v>
      </c>
    </row>
    <row r="398" spans="1:74" hidden="1">
      <c r="A398" s="13" t="s">
        <v>722</v>
      </c>
      <c r="B398" s="13"/>
      <c r="C398" s="13" t="s">
        <v>727</v>
      </c>
      <c r="D398" s="13"/>
      <c r="E398" s="32">
        <v>50641</v>
      </c>
      <c r="AJ398" s="13" t="s">
        <v>722</v>
      </c>
      <c r="AK398" s="13"/>
      <c r="AL398" s="13" t="s">
        <v>727</v>
      </c>
      <c r="AZ398" s="9">
        <f t="shared" si="24"/>
        <v>0</v>
      </c>
      <c r="BJ398" s="9">
        <f t="shared" si="27"/>
        <v>0</v>
      </c>
      <c r="BL398" s="9">
        <f>'Gov Fd Rv'!AQ398-'Gov Fnd Exp'!BJ398</f>
        <v>0</v>
      </c>
      <c r="BT398" s="9">
        <f t="shared" si="26"/>
        <v>0</v>
      </c>
      <c r="BU398" s="9"/>
      <c r="BV398" s="9">
        <f>BT398-'Gov Fd BS'!AA401</f>
        <v>0</v>
      </c>
    </row>
    <row r="399" spans="1:74">
      <c r="A399" s="13" t="s">
        <v>401</v>
      </c>
      <c r="B399" s="13"/>
      <c r="C399" s="13" t="s">
        <v>32</v>
      </c>
      <c r="D399" s="13"/>
      <c r="E399" s="32">
        <v>44511</v>
      </c>
      <c r="G399" s="8">
        <v>6034598</v>
      </c>
      <c r="I399" s="8">
        <v>2406777</v>
      </c>
      <c r="K399" s="8">
        <v>49354</v>
      </c>
      <c r="M399" s="8">
        <f>775140+34884</f>
        <v>810024</v>
      </c>
      <c r="O399" s="8">
        <v>1037403</v>
      </c>
      <c r="Q399" s="8">
        <v>1460132</v>
      </c>
      <c r="S399" s="8">
        <v>45948</v>
      </c>
      <c r="U399" s="8">
        <v>990000</v>
      </c>
      <c r="W399" s="8">
        <v>316192</v>
      </c>
      <c r="Y399" s="8">
        <v>5645</v>
      </c>
      <c r="AA399" s="8">
        <v>1598868</v>
      </c>
      <c r="AC399" s="8">
        <v>277985</v>
      </c>
      <c r="AE399" s="8">
        <v>85726</v>
      </c>
      <c r="AG399" s="8">
        <v>0</v>
      </c>
      <c r="AI399" s="8">
        <v>843773</v>
      </c>
      <c r="AJ399" s="13" t="s">
        <v>401</v>
      </c>
      <c r="AK399" s="13"/>
      <c r="AL399" s="13" t="s">
        <v>32</v>
      </c>
      <c r="AN399" s="8">
        <v>355720</v>
      </c>
      <c r="AP399" s="8">
        <f>6068430+7423</f>
        <v>6075853</v>
      </c>
      <c r="AR399" s="8">
        <v>0</v>
      </c>
      <c r="AT399" s="8">
        <v>185000</v>
      </c>
      <c r="AV399" s="8">
        <v>431586</v>
      </c>
      <c r="AX399" s="8">
        <v>0</v>
      </c>
      <c r="AZ399" s="9">
        <f t="shared" si="24"/>
        <v>23010584</v>
      </c>
      <c r="BB399" s="8">
        <v>30000</v>
      </c>
      <c r="BH399" s="8">
        <v>0</v>
      </c>
      <c r="BJ399" s="9">
        <f t="shared" si="27"/>
        <v>23040584</v>
      </c>
      <c r="BL399" s="9">
        <f>'Gov Fd Rv'!AQ399-'Gov Fnd Exp'!BJ399</f>
        <v>5789144</v>
      </c>
      <c r="BN399" s="8">
        <v>19954673</v>
      </c>
      <c r="BP399" s="8">
        <v>0</v>
      </c>
      <c r="BT399" s="9">
        <f t="shared" si="26"/>
        <v>25743817</v>
      </c>
      <c r="BU399" s="9"/>
      <c r="BV399" s="9">
        <f>BT399-'Gov Fd BS'!AA402</f>
        <v>0</v>
      </c>
    </row>
    <row r="400" spans="1:74">
      <c r="A400" s="13" t="s">
        <v>479</v>
      </c>
      <c r="B400" s="13"/>
      <c r="C400" s="13" t="s">
        <v>42</v>
      </c>
      <c r="D400" s="13"/>
      <c r="E400" s="32">
        <v>48025</v>
      </c>
      <c r="G400" s="8">
        <v>5806591</v>
      </c>
      <c r="I400" s="8">
        <v>2974171</v>
      </c>
      <c r="K400" s="8">
        <v>291705</v>
      </c>
      <c r="M400" s="8">
        <v>244740</v>
      </c>
      <c r="O400" s="8">
        <v>1397437</v>
      </c>
      <c r="Q400" s="8">
        <v>253286</v>
      </c>
      <c r="S400" s="8">
        <v>31433</v>
      </c>
      <c r="U400" s="8">
        <v>1311014</v>
      </c>
      <c r="W400" s="8">
        <v>472161</v>
      </c>
      <c r="Y400" s="8">
        <v>0</v>
      </c>
      <c r="AA400" s="8">
        <v>1674223</v>
      </c>
      <c r="AC400" s="8">
        <v>1450652</v>
      </c>
      <c r="AE400" s="8">
        <v>367765</v>
      </c>
      <c r="AG400" s="8">
        <v>837239</v>
      </c>
      <c r="AI400" s="8">
        <v>0</v>
      </c>
      <c r="AJ400" s="13" t="s">
        <v>479</v>
      </c>
      <c r="AK400" s="13"/>
      <c r="AL400" s="13" t="s">
        <v>42</v>
      </c>
      <c r="AN400" s="8">
        <v>767671</v>
      </c>
      <c r="AP400" s="8">
        <v>2985768</v>
      </c>
      <c r="AR400" s="8">
        <v>0</v>
      </c>
      <c r="AT400" s="8">
        <v>435000</v>
      </c>
      <c r="AV400" s="8">
        <v>405203</v>
      </c>
      <c r="AX400" s="8">
        <v>0</v>
      </c>
      <c r="AZ400" s="9">
        <f t="shared" si="24"/>
        <v>21706059</v>
      </c>
      <c r="BB400" s="8">
        <v>227454</v>
      </c>
      <c r="BD400" s="8">
        <v>0</v>
      </c>
      <c r="BF400" s="8">
        <v>0</v>
      </c>
      <c r="BH400" s="8">
        <v>0</v>
      </c>
      <c r="BJ400" s="9">
        <f t="shared" si="27"/>
        <v>21933513</v>
      </c>
      <c r="BL400" s="9">
        <f>'Gov Fd Rv'!AQ400-'Gov Fnd Exp'!BJ400</f>
        <v>-2915373</v>
      </c>
      <c r="BN400" s="8">
        <v>4483378</v>
      </c>
      <c r="BP400" s="8">
        <v>3413</v>
      </c>
      <c r="BT400" s="9">
        <f t="shared" si="26"/>
        <v>1571418</v>
      </c>
      <c r="BU400" s="9"/>
      <c r="BV400" s="9">
        <f>BT400-'Gov Fd BS'!AA403</f>
        <v>0</v>
      </c>
    </row>
    <row r="401" spans="1:74">
      <c r="A401" s="13" t="s">
        <v>313</v>
      </c>
      <c r="B401" s="13"/>
      <c r="C401" s="13" t="s">
        <v>20</v>
      </c>
      <c r="D401" s="13"/>
      <c r="E401" s="32">
        <v>44529</v>
      </c>
      <c r="G401" s="8">
        <v>24037364</v>
      </c>
      <c r="I401" s="8">
        <v>7184070</v>
      </c>
      <c r="K401" s="8">
        <v>398488</v>
      </c>
      <c r="M401" s="8">
        <v>343571</v>
      </c>
      <c r="O401" s="8">
        <v>4457730</v>
      </c>
      <c r="Q401" s="8">
        <v>1300195</v>
      </c>
      <c r="S401" s="8">
        <v>248137</v>
      </c>
      <c r="U401" s="8">
        <v>3540825</v>
      </c>
      <c r="W401" s="8">
        <v>1124775</v>
      </c>
      <c r="Y401" s="8">
        <v>134242</v>
      </c>
      <c r="AA401" s="8">
        <v>4851480</v>
      </c>
      <c r="AC401" s="8">
        <v>2438239</v>
      </c>
      <c r="AE401" s="8">
        <v>1146189</v>
      </c>
      <c r="AG401" s="8">
        <v>1505358</v>
      </c>
      <c r="AI401" s="8">
        <v>451252</v>
      </c>
      <c r="AJ401" s="13" t="s">
        <v>313</v>
      </c>
      <c r="AK401" s="13"/>
      <c r="AL401" s="13" t="s">
        <v>20</v>
      </c>
      <c r="AN401" s="8">
        <v>1678945</v>
      </c>
      <c r="AP401" s="8">
        <v>83643</v>
      </c>
      <c r="AR401" s="8">
        <v>0</v>
      </c>
      <c r="AT401" s="8">
        <v>85000</v>
      </c>
      <c r="AV401" s="8">
        <v>23013</v>
      </c>
      <c r="AX401" s="8">
        <v>0</v>
      </c>
      <c r="AZ401" s="9">
        <f t="shared" si="24"/>
        <v>55032516</v>
      </c>
      <c r="BB401" s="8">
        <v>360000</v>
      </c>
      <c r="BD401" s="8">
        <v>0</v>
      </c>
      <c r="BF401" s="8">
        <v>0</v>
      </c>
      <c r="BH401" s="8">
        <v>0</v>
      </c>
      <c r="BJ401" s="9">
        <f t="shared" si="27"/>
        <v>55392516</v>
      </c>
      <c r="BL401" s="9">
        <f>'Gov Fd Rv'!AQ401-'Gov Fnd Exp'!BJ401</f>
        <v>-714829</v>
      </c>
      <c r="BN401" s="8">
        <v>11948850</v>
      </c>
      <c r="BP401" s="8">
        <v>-2148</v>
      </c>
      <c r="BT401" s="9">
        <f t="shared" si="26"/>
        <v>11231873</v>
      </c>
      <c r="BU401" s="9"/>
      <c r="BV401" s="9">
        <f>BT401-'Gov Fd BS'!AA404</f>
        <v>0</v>
      </c>
    </row>
    <row r="402" spans="1:74">
      <c r="A402" s="13" t="s">
        <v>492</v>
      </c>
      <c r="B402" s="13"/>
      <c r="C402" s="13" t="s">
        <v>44</v>
      </c>
      <c r="D402" s="13"/>
      <c r="E402" s="32">
        <v>44537</v>
      </c>
      <c r="G402" s="8">
        <v>14354417</v>
      </c>
      <c r="I402" s="8">
        <v>4140280</v>
      </c>
      <c r="K402" s="8">
        <v>334537</v>
      </c>
      <c r="M402" s="8">
        <v>1070977</v>
      </c>
      <c r="O402" s="8">
        <v>1706512</v>
      </c>
      <c r="Q402" s="8">
        <v>2529360</v>
      </c>
      <c r="S402" s="8">
        <v>87447</v>
      </c>
      <c r="U402" s="8">
        <v>2015682</v>
      </c>
      <c r="W402" s="8">
        <v>743966</v>
      </c>
      <c r="Y402" s="8">
        <v>277174</v>
      </c>
      <c r="AA402" s="8">
        <v>3031637</v>
      </c>
      <c r="AC402" s="8">
        <v>2579314</v>
      </c>
      <c r="AE402" s="8">
        <v>64070</v>
      </c>
      <c r="AG402" s="8">
        <v>1083811</v>
      </c>
      <c r="AI402" s="8">
        <v>537854</v>
      </c>
      <c r="AJ402" s="13" t="s">
        <v>492</v>
      </c>
      <c r="AK402" s="13"/>
      <c r="AL402" s="13" t="s">
        <v>44</v>
      </c>
      <c r="AN402" s="8">
        <v>716867</v>
      </c>
      <c r="AP402" s="8">
        <v>373483</v>
      </c>
      <c r="AR402" s="8">
        <v>0</v>
      </c>
      <c r="AT402" s="8">
        <v>108393</v>
      </c>
      <c r="AV402" s="8">
        <v>278022</v>
      </c>
      <c r="AX402" s="8">
        <v>0</v>
      </c>
      <c r="AZ402" s="9">
        <f t="shared" si="24"/>
        <v>36033803</v>
      </c>
      <c r="BB402" s="8">
        <v>107612</v>
      </c>
      <c r="BD402" s="8">
        <v>0</v>
      </c>
      <c r="BF402" s="8">
        <v>0</v>
      </c>
      <c r="BH402" s="8">
        <v>0</v>
      </c>
      <c r="BJ402" s="9">
        <f t="shared" si="27"/>
        <v>36141415</v>
      </c>
      <c r="BL402" s="9">
        <f>'Gov Fd Rv'!AQ402-'Gov Fnd Exp'!BJ402</f>
        <v>-3206530</v>
      </c>
      <c r="BN402" s="8">
        <v>5178588</v>
      </c>
      <c r="BP402" s="8">
        <v>0</v>
      </c>
      <c r="BT402" s="9">
        <f t="shared" si="26"/>
        <v>1972058</v>
      </c>
      <c r="BU402" s="9"/>
      <c r="BV402" s="9">
        <f>BT402-'Gov Fd BS'!AA405</f>
        <v>0</v>
      </c>
    </row>
    <row r="403" spans="1:74">
      <c r="A403" s="13" t="s">
        <v>314</v>
      </c>
      <c r="B403" s="13"/>
      <c r="C403" s="13" t="s">
        <v>20</v>
      </c>
      <c r="D403" s="13"/>
      <c r="E403" s="32">
        <v>44545</v>
      </c>
      <c r="G403" s="8">
        <v>21503101</v>
      </c>
      <c r="I403" s="8">
        <v>4067766</v>
      </c>
      <c r="K403" s="8">
        <v>196590</v>
      </c>
      <c r="M403" s="8">
        <v>1600301</v>
      </c>
      <c r="O403" s="8">
        <v>2544283</v>
      </c>
      <c r="Q403" s="8">
        <v>2253825</v>
      </c>
      <c r="S403" s="8">
        <v>27253</v>
      </c>
      <c r="U403" s="8">
        <v>3305585</v>
      </c>
      <c r="W403" s="8">
        <v>1058988</v>
      </c>
      <c r="Y403" s="8">
        <v>334570</v>
      </c>
      <c r="AA403" s="8">
        <v>3561634</v>
      </c>
      <c r="AC403" s="8">
        <v>2802742</v>
      </c>
      <c r="AE403" s="8">
        <v>597043</v>
      </c>
      <c r="AG403" s="8">
        <v>1375593</v>
      </c>
      <c r="AI403" s="8">
        <v>755202</v>
      </c>
      <c r="AJ403" s="13" t="s">
        <v>314</v>
      </c>
      <c r="AK403" s="13"/>
      <c r="AL403" s="13" t="s">
        <v>20</v>
      </c>
      <c r="AN403" s="8">
        <v>966033</v>
      </c>
      <c r="AP403" s="8">
        <v>413705</v>
      </c>
      <c r="AR403" s="8">
        <v>0</v>
      </c>
      <c r="AT403" s="8">
        <v>1243984</v>
      </c>
      <c r="AV403" s="8">
        <v>567299</v>
      </c>
      <c r="AX403" s="8">
        <v>751016</v>
      </c>
      <c r="AZ403" s="9">
        <f t="shared" si="24"/>
        <v>49926513</v>
      </c>
      <c r="BB403" s="8">
        <v>225000</v>
      </c>
      <c r="BD403" s="8">
        <v>0</v>
      </c>
      <c r="BF403" s="8">
        <v>0</v>
      </c>
      <c r="BH403" s="8">
        <v>0</v>
      </c>
      <c r="BJ403" s="9">
        <f t="shared" si="27"/>
        <v>50151513</v>
      </c>
      <c r="BL403" s="9">
        <f>'Gov Fd Rv'!AQ403-'Gov Fnd Exp'!BJ403</f>
        <v>209115</v>
      </c>
      <c r="BN403" s="8">
        <v>9618626</v>
      </c>
      <c r="BP403" s="8">
        <v>0</v>
      </c>
      <c r="BT403" s="9">
        <f t="shared" si="26"/>
        <v>9827741</v>
      </c>
      <c r="BU403" s="9"/>
      <c r="BV403" s="9">
        <f>BT403-'Gov Fd BS'!AA406</f>
        <v>0</v>
      </c>
    </row>
    <row r="404" spans="1:74">
      <c r="A404" s="13" t="s">
        <v>704</v>
      </c>
      <c r="B404" s="13"/>
      <c r="C404" s="13" t="s">
        <v>66</v>
      </c>
      <c r="D404" s="13"/>
      <c r="E404" s="32">
        <v>50336</v>
      </c>
      <c r="G404" s="8">
        <v>6290361</v>
      </c>
      <c r="I404" s="8">
        <v>1459645</v>
      </c>
      <c r="K404" s="8">
        <v>718760</v>
      </c>
      <c r="M404" s="8">
        <v>0</v>
      </c>
      <c r="O404" s="8">
        <v>592935</v>
      </c>
      <c r="Q404" s="8">
        <v>897476</v>
      </c>
      <c r="S404" s="8">
        <v>58502</v>
      </c>
      <c r="U404" s="8">
        <v>1072822</v>
      </c>
      <c r="W404" s="8">
        <v>446249</v>
      </c>
      <c r="Y404" s="8">
        <v>0</v>
      </c>
      <c r="AA404" s="8">
        <v>1803364</v>
      </c>
      <c r="AC404" s="8">
        <v>958058</v>
      </c>
      <c r="AE404" s="8">
        <v>22906</v>
      </c>
      <c r="AG404" s="8">
        <v>0</v>
      </c>
      <c r="AI404" s="8">
        <v>593570</v>
      </c>
      <c r="AJ404" s="13" t="s">
        <v>704</v>
      </c>
      <c r="AK404" s="13"/>
      <c r="AL404" s="13" t="s">
        <v>66</v>
      </c>
      <c r="AN404" s="8">
        <v>287806</v>
      </c>
      <c r="AP404" s="8">
        <v>12878693</v>
      </c>
      <c r="AR404" s="8">
        <v>0</v>
      </c>
      <c r="AT404" s="8">
        <v>193352</v>
      </c>
      <c r="AV404" s="8">
        <f>261646+527644</f>
        <v>789290</v>
      </c>
      <c r="AX404" s="8">
        <v>0</v>
      </c>
      <c r="AZ404" s="9">
        <f t="shared" si="24"/>
        <v>29063789</v>
      </c>
      <c r="BB404" s="8">
        <v>300000</v>
      </c>
      <c r="BD404" s="8">
        <v>0</v>
      </c>
      <c r="BF404" s="8">
        <v>0</v>
      </c>
      <c r="BH404" s="8">
        <v>0</v>
      </c>
      <c r="BJ404" s="9">
        <f t="shared" si="27"/>
        <v>29363789</v>
      </c>
      <c r="BL404" s="9">
        <f>'Gov Fd Rv'!AQ404-'Gov Fnd Exp'!BJ404</f>
        <v>-8989268</v>
      </c>
      <c r="BN404" s="8">
        <v>24963662</v>
      </c>
      <c r="BP404" s="8">
        <v>0</v>
      </c>
      <c r="BT404" s="9">
        <f t="shared" si="26"/>
        <v>15974394</v>
      </c>
      <c r="BU404" s="9"/>
      <c r="BV404" s="9">
        <f>BT404-'Gov Fd BS'!AA407</f>
        <v>0</v>
      </c>
    </row>
    <row r="405" spans="1:74">
      <c r="A405" s="13" t="s">
        <v>262</v>
      </c>
      <c r="B405" s="13"/>
      <c r="C405" s="13" t="s">
        <v>17</v>
      </c>
      <c r="D405" s="13"/>
      <c r="E405" s="32">
        <v>46250</v>
      </c>
      <c r="G405" s="8">
        <v>13937190</v>
      </c>
      <c r="I405" s="8">
        <v>2906636</v>
      </c>
      <c r="K405" s="8">
        <v>871311</v>
      </c>
      <c r="M405" s="8">
        <f>41989+12096</f>
        <v>54085</v>
      </c>
      <c r="O405" s="8">
        <v>1661352</v>
      </c>
      <c r="Q405" s="8">
        <v>1633389</v>
      </c>
      <c r="S405" s="8">
        <v>60841</v>
      </c>
      <c r="U405" s="8">
        <v>2695387</v>
      </c>
      <c r="W405" s="8">
        <v>682379</v>
      </c>
      <c r="Y405" s="8">
        <v>0</v>
      </c>
      <c r="AA405" s="8">
        <v>2780461</v>
      </c>
      <c r="AC405" s="8">
        <v>1834090</v>
      </c>
      <c r="AE405" s="8">
        <v>10193</v>
      </c>
      <c r="AG405" s="8">
        <v>0</v>
      </c>
      <c r="AI405" s="8">
        <v>1651564</v>
      </c>
      <c r="AJ405" s="13" t="s">
        <v>262</v>
      </c>
      <c r="AK405" s="13"/>
      <c r="AL405" s="13" t="s">
        <v>17</v>
      </c>
      <c r="AN405" s="8">
        <v>999410</v>
      </c>
      <c r="AP405" s="8">
        <v>85169</v>
      </c>
      <c r="AR405" s="8">
        <v>0</v>
      </c>
      <c r="AT405" s="8">
        <v>564810</v>
      </c>
      <c r="AV405" s="8">
        <v>225695</v>
      </c>
      <c r="AX405" s="8">
        <v>0</v>
      </c>
      <c r="AZ405" s="9">
        <f t="shared" si="24"/>
        <v>32653962</v>
      </c>
      <c r="BB405" s="8">
        <v>33149</v>
      </c>
      <c r="BD405" s="8">
        <v>0</v>
      </c>
      <c r="BF405" s="8">
        <v>0</v>
      </c>
      <c r="BH405" s="8">
        <v>0</v>
      </c>
      <c r="BJ405" s="9">
        <f t="shared" si="27"/>
        <v>32687111</v>
      </c>
      <c r="BL405" s="9">
        <f>'Gov Fd Rv'!AQ405-'Gov Fnd Exp'!BJ405</f>
        <v>1238191</v>
      </c>
      <c r="BN405" s="8">
        <v>7027046</v>
      </c>
      <c r="BP405" s="8">
        <v>-2684</v>
      </c>
      <c r="BT405" s="9">
        <f t="shared" si="26"/>
        <v>8262553</v>
      </c>
      <c r="BU405" s="9"/>
      <c r="BV405" s="9">
        <f>BT405-'Gov Fd BS'!AA408</f>
        <v>0</v>
      </c>
    </row>
    <row r="406" spans="1:74" s="35" customFormat="1" hidden="1">
      <c r="A406" s="34" t="s">
        <v>262</v>
      </c>
      <c r="B406" s="34"/>
      <c r="C406" s="34" t="s">
        <v>22</v>
      </c>
      <c r="D406" s="34"/>
      <c r="E406" s="34">
        <v>46722</v>
      </c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34" t="s">
        <v>262</v>
      </c>
      <c r="AK406" s="34"/>
      <c r="AL406" s="34" t="s">
        <v>22</v>
      </c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9">
        <f t="shared" si="24"/>
        <v>0</v>
      </c>
      <c r="BA406" s="8"/>
      <c r="BB406" s="8"/>
      <c r="BC406" s="8"/>
      <c r="BD406" s="8"/>
      <c r="BE406" s="8"/>
      <c r="BF406" s="8"/>
      <c r="BG406" s="8"/>
      <c r="BH406" s="8"/>
      <c r="BI406" s="8"/>
      <c r="BJ406" s="9">
        <f t="shared" si="25"/>
        <v>0</v>
      </c>
      <c r="BK406" s="8"/>
      <c r="BL406" s="9">
        <f>'Gov Fd Rv'!AQ406-'Gov Fnd Exp'!BJ406</f>
        <v>0</v>
      </c>
      <c r="BM406" s="8"/>
      <c r="BN406" s="8"/>
      <c r="BO406" s="8"/>
      <c r="BP406" s="8"/>
      <c r="BQ406" s="8"/>
      <c r="BR406" s="8"/>
      <c r="BS406" s="8"/>
      <c r="BT406" s="9">
        <f t="shared" si="26"/>
        <v>0</v>
      </c>
      <c r="BU406" s="9"/>
      <c r="BV406" s="9">
        <f>BT406-'Gov Fd BS'!AA409</f>
        <v>0</v>
      </c>
    </row>
    <row r="407" spans="1:74">
      <c r="A407" s="13" t="s">
        <v>553</v>
      </c>
      <c r="B407" s="13"/>
      <c r="C407" s="13" t="s">
        <v>50</v>
      </c>
      <c r="D407" s="13"/>
      <c r="E407" s="32">
        <v>48728</v>
      </c>
      <c r="G407" s="8">
        <v>25025043</v>
      </c>
      <c r="I407" s="8">
        <v>10418345</v>
      </c>
      <c r="K407" s="8">
        <v>332926</v>
      </c>
      <c r="M407" s="8">
        <v>25699</v>
      </c>
      <c r="O407" s="8">
        <v>3973436</v>
      </c>
      <c r="Q407" s="8">
        <v>546485</v>
      </c>
      <c r="S407" s="8">
        <v>116714</v>
      </c>
      <c r="U407" s="8">
        <v>3403276</v>
      </c>
      <c r="W407" s="8">
        <v>1024141</v>
      </c>
      <c r="Y407" s="8">
        <v>430892</v>
      </c>
      <c r="AA407" s="8">
        <v>3859191</v>
      </c>
      <c r="AC407" s="8">
        <v>1869676</v>
      </c>
      <c r="AE407" s="8">
        <v>354003</v>
      </c>
      <c r="AG407" s="8">
        <v>0</v>
      </c>
      <c r="AI407" s="8">
        <v>3793468</v>
      </c>
      <c r="AJ407" s="13" t="s">
        <v>553</v>
      </c>
      <c r="AK407" s="13"/>
      <c r="AL407" s="13" t="s">
        <v>50</v>
      </c>
      <c r="AN407" s="8">
        <f>1173034-153300</f>
        <v>1019734</v>
      </c>
      <c r="AP407" s="8">
        <v>682016</v>
      </c>
      <c r="AR407" s="8">
        <v>0</v>
      </c>
      <c r="AT407" s="8">
        <v>271690</v>
      </c>
      <c r="AV407" s="8">
        <v>34303</v>
      </c>
      <c r="AX407" s="8">
        <v>0</v>
      </c>
      <c r="AZ407" s="9">
        <f t="shared" si="24"/>
        <v>57181038</v>
      </c>
      <c r="BB407" s="8">
        <v>34000</v>
      </c>
      <c r="BD407" s="8">
        <v>0</v>
      </c>
      <c r="BF407" s="8">
        <v>0</v>
      </c>
      <c r="BH407" s="8">
        <v>0</v>
      </c>
      <c r="BJ407" s="9">
        <f t="shared" si="25"/>
        <v>57215038</v>
      </c>
      <c r="BL407" s="9">
        <f>'Gov Fd Rv'!AQ407-'Gov Fnd Exp'!BJ407</f>
        <v>-938657</v>
      </c>
      <c r="BN407" s="8">
        <v>6587489</v>
      </c>
      <c r="BP407" s="8">
        <v>0</v>
      </c>
      <c r="BT407" s="9">
        <f t="shared" si="26"/>
        <v>5648832</v>
      </c>
      <c r="BU407" s="9"/>
      <c r="BV407" s="9">
        <f>BT407-'Gov Fd BS'!AA410</f>
        <v>0</v>
      </c>
    </row>
    <row r="408" spans="1:74">
      <c r="A408" s="13" t="s">
        <v>562</v>
      </c>
      <c r="B408" s="13"/>
      <c r="C408" s="13" t="s">
        <v>78</v>
      </c>
      <c r="D408" s="13"/>
      <c r="E408" s="32">
        <v>48819</v>
      </c>
      <c r="G408" s="8">
        <v>4657068</v>
      </c>
      <c r="I408" s="8">
        <v>1465142</v>
      </c>
      <c r="K408" s="8">
        <v>292501</v>
      </c>
      <c r="M408" s="8">
        <v>1026558</v>
      </c>
      <c r="O408" s="8">
        <v>348878</v>
      </c>
      <c r="Q408" s="8">
        <v>652625</v>
      </c>
      <c r="S408" s="8">
        <v>35883</v>
      </c>
      <c r="U408" s="8">
        <v>1057260</v>
      </c>
      <c r="W408" s="8">
        <v>442599</v>
      </c>
      <c r="Y408" s="8">
        <v>0</v>
      </c>
      <c r="AA408" s="8">
        <v>894281</v>
      </c>
      <c r="AC408" s="8">
        <v>791630</v>
      </c>
      <c r="AE408" s="8">
        <v>5157</v>
      </c>
      <c r="AG408" s="8">
        <v>425423</v>
      </c>
      <c r="AI408" s="8">
        <f>1646895-407494</f>
        <v>1239401</v>
      </c>
      <c r="AJ408" s="13" t="s">
        <v>562</v>
      </c>
      <c r="AK408" s="13"/>
      <c r="AL408" s="13" t="s">
        <v>78</v>
      </c>
      <c r="AN408" s="8">
        <v>281033</v>
      </c>
      <c r="AP408" s="8">
        <v>0</v>
      </c>
      <c r="AR408" s="8">
        <v>0</v>
      </c>
      <c r="AT408" s="8">
        <v>14500000</v>
      </c>
      <c r="AV408" s="8">
        <v>574322</v>
      </c>
      <c r="AX408" s="8">
        <v>175945</v>
      </c>
      <c r="AZ408" s="9">
        <f t="shared" si="24"/>
        <v>28865706</v>
      </c>
      <c r="BB408" s="8">
        <v>0</v>
      </c>
      <c r="BD408" s="8">
        <v>0</v>
      </c>
      <c r="BF408" s="8">
        <v>0</v>
      </c>
      <c r="BH408" s="8">
        <v>0</v>
      </c>
      <c r="BJ408" s="9">
        <f t="shared" si="25"/>
        <v>28865706</v>
      </c>
      <c r="BL408" s="9">
        <f>'Gov Fd Rv'!AQ408-'Gov Fnd Exp'!BJ408</f>
        <v>282957</v>
      </c>
      <c r="BN408" s="8">
        <v>16122651</v>
      </c>
      <c r="BP408" s="8">
        <v>0</v>
      </c>
      <c r="BT408" s="9">
        <f t="shared" si="26"/>
        <v>16405608</v>
      </c>
      <c r="BU408" s="9"/>
      <c r="BV408" s="9">
        <f>BT408-'Gov Fd BS'!AA411</f>
        <v>0</v>
      </c>
    </row>
    <row r="409" spans="1:74">
      <c r="A409" s="13" t="s">
        <v>480</v>
      </c>
      <c r="B409" s="13"/>
      <c r="C409" s="12" t="s">
        <v>50</v>
      </c>
      <c r="D409" s="13"/>
      <c r="E409" s="32">
        <v>48033</v>
      </c>
      <c r="G409" s="8">
        <v>8583093</v>
      </c>
      <c r="I409" s="8">
        <v>3069320</v>
      </c>
      <c r="K409" s="8">
        <v>212955</v>
      </c>
      <c r="M409" s="8">
        <v>513740</v>
      </c>
      <c r="O409" s="8">
        <v>1577822</v>
      </c>
      <c r="Q409" s="8">
        <v>738310</v>
      </c>
      <c r="S409" s="8">
        <v>27048</v>
      </c>
      <c r="U409" s="8">
        <v>1716699</v>
      </c>
      <c r="W409" s="8">
        <v>394739</v>
      </c>
      <c r="Y409" s="8">
        <v>213213</v>
      </c>
      <c r="AA409" s="8">
        <v>2195781</v>
      </c>
      <c r="AC409" s="8">
        <v>1114782</v>
      </c>
      <c r="AE409" s="8">
        <v>62011</v>
      </c>
      <c r="AG409" s="8">
        <v>0</v>
      </c>
      <c r="AI409" s="8">
        <v>1041601</v>
      </c>
      <c r="AJ409" s="13" t="s">
        <v>480</v>
      </c>
      <c r="AK409" s="13"/>
      <c r="AL409" s="13" t="s">
        <v>42</v>
      </c>
      <c r="AN409" s="8">
        <v>534543</v>
      </c>
      <c r="AP409" s="8">
        <v>32749</v>
      </c>
      <c r="AR409" s="8">
        <v>0</v>
      </c>
      <c r="AT409" s="8">
        <v>245000</v>
      </c>
      <c r="AV409" s="8">
        <f>291783+100000</f>
        <v>391783</v>
      </c>
      <c r="AX409" s="8">
        <v>0</v>
      </c>
      <c r="AZ409" s="9">
        <f t="shared" si="24"/>
        <v>22665189</v>
      </c>
      <c r="BB409" s="8">
        <v>0</v>
      </c>
      <c r="BD409" s="8">
        <v>0</v>
      </c>
      <c r="BF409" s="8">
        <v>0</v>
      </c>
      <c r="BH409" s="8">
        <v>0</v>
      </c>
      <c r="BJ409" s="9">
        <f t="shared" si="25"/>
        <v>22665189</v>
      </c>
      <c r="BL409" s="9">
        <f>'Gov Fd Rv'!AQ409-'Gov Fnd Exp'!BJ409</f>
        <v>106869</v>
      </c>
      <c r="BN409" s="8">
        <v>7987014</v>
      </c>
      <c r="BP409" s="8">
        <v>0</v>
      </c>
      <c r="BT409" s="9">
        <f t="shared" si="26"/>
        <v>8093883</v>
      </c>
      <c r="BU409" s="9"/>
      <c r="BV409" s="9">
        <f>BT409-'Gov Fd BS'!AA412</f>
        <v>0</v>
      </c>
    </row>
    <row r="410" spans="1:74">
      <c r="A410" s="13" t="s">
        <v>480</v>
      </c>
      <c r="B410" s="13"/>
      <c r="C410" s="13" t="s">
        <v>42</v>
      </c>
      <c r="D410" s="13"/>
      <c r="E410" s="32">
        <v>48736</v>
      </c>
      <c r="G410" s="8">
        <v>5324263</v>
      </c>
      <c r="I410" s="8">
        <v>1000642</v>
      </c>
      <c r="K410" s="8">
        <v>146108</v>
      </c>
      <c r="M410" s="8">
        <v>106521</v>
      </c>
      <c r="O410" s="8">
        <v>696671</v>
      </c>
      <c r="Q410" s="8">
        <v>369870</v>
      </c>
      <c r="S410" s="8">
        <v>70794</v>
      </c>
      <c r="U410" s="8">
        <v>925380</v>
      </c>
      <c r="W410" s="8">
        <v>365567</v>
      </c>
      <c r="Y410" s="8">
        <v>0</v>
      </c>
      <c r="AA410" s="8">
        <v>962295</v>
      </c>
      <c r="AC410" s="8">
        <v>1526391</v>
      </c>
      <c r="AE410" s="8">
        <v>134430</v>
      </c>
      <c r="AG410" s="8">
        <v>391662</v>
      </c>
      <c r="AI410" s="8">
        <v>6562</v>
      </c>
      <c r="AJ410" s="13" t="s">
        <v>480</v>
      </c>
      <c r="AK410" s="13"/>
      <c r="AL410" s="13" t="s">
        <v>50</v>
      </c>
      <c r="AN410" s="8">
        <v>273119</v>
      </c>
      <c r="AP410" s="8">
        <v>438193</v>
      </c>
      <c r="AR410" s="8">
        <v>0</v>
      </c>
      <c r="AT410" s="8">
        <v>488141</v>
      </c>
      <c r="AV410" s="8">
        <v>344152</v>
      </c>
      <c r="AX410" s="8">
        <v>0</v>
      </c>
      <c r="AZ410" s="9">
        <f t="shared" si="24"/>
        <v>13570761</v>
      </c>
      <c r="BB410" s="8">
        <v>58270</v>
      </c>
      <c r="BD410" s="8">
        <v>0</v>
      </c>
      <c r="BF410" s="8">
        <v>0</v>
      </c>
      <c r="BH410" s="8">
        <v>0</v>
      </c>
      <c r="BJ410" s="9">
        <f t="shared" si="25"/>
        <v>13629031</v>
      </c>
      <c r="BL410" s="9">
        <f>'Gov Fd Rv'!AQ410-'Gov Fnd Exp'!BJ410</f>
        <v>231852</v>
      </c>
      <c r="BN410" s="8">
        <v>1024048</v>
      </c>
      <c r="BP410" s="8">
        <v>0</v>
      </c>
      <c r="BT410" s="9">
        <f t="shared" si="26"/>
        <v>1255900</v>
      </c>
      <c r="BU410" s="9"/>
      <c r="BV410" s="9">
        <f>BT410-'Gov Fd BS'!AA413</f>
        <v>0</v>
      </c>
    </row>
    <row r="411" spans="1:74">
      <c r="A411" s="13" t="s">
        <v>402</v>
      </c>
      <c r="B411" s="13"/>
      <c r="C411" s="13" t="s">
        <v>32</v>
      </c>
      <c r="D411" s="13"/>
      <c r="E411" s="32">
        <v>47365</v>
      </c>
      <c r="G411" s="8">
        <v>37974024</v>
      </c>
      <c r="I411" s="8">
        <v>9906288</v>
      </c>
      <c r="K411" s="8">
        <v>39173</v>
      </c>
      <c r="M411" s="8">
        <v>1178642</v>
      </c>
      <c r="O411" s="8">
        <v>5123343</v>
      </c>
      <c r="Q411" s="8">
        <v>5880737</v>
      </c>
      <c r="S411" s="8">
        <v>93830</v>
      </c>
      <c r="U411" s="8">
        <v>5942361</v>
      </c>
      <c r="W411" s="8">
        <v>1785013</v>
      </c>
      <c r="Y411" s="8">
        <v>707873</v>
      </c>
      <c r="AA411" s="8">
        <v>8487069</v>
      </c>
      <c r="AC411" s="8">
        <v>4438485</v>
      </c>
      <c r="AE411" s="8">
        <v>1503774</v>
      </c>
      <c r="AG411" s="8">
        <v>0</v>
      </c>
      <c r="AI411" s="8">
        <v>8142696</v>
      </c>
      <c r="AJ411" s="13" t="s">
        <v>402</v>
      </c>
      <c r="AK411" s="13"/>
      <c r="AL411" s="13" t="s">
        <v>32</v>
      </c>
      <c r="AN411" s="8">
        <v>1836262</v>
      </c>
      <c r="AP411" s="8">
        <v>147548</v>
      </c>
      <c r="AR411" s="8">
        <v>0</v>
      </c>
      <c r="AT411" s="8">
        <v>1129533</v>
      </c>
      <c r="AV411" s="8">
        <v>934502</v>
      </c>
      <c r="AX411" s="8">
        <v>0</v>
      </c>
      <c r="AZ411" s="9">
        <f t="shared" si="24"/>
        <v>95251153</v>
      </c>
      <c r="BB411" s="8">
        <v>0</v>
      </c>
      <c r="BD411" s="8">
        <v>0</v>
      </c>
      <c r="BF411" s="8">
        <v>0</v>
      </c>
      <c r="BH411" s="8">
        <v>0</v>
      </c>
      <c r="BJ411" s="9">
        <f t="shared" si="25"/>
        <v>95251153</v>
      </c>
      <c r="BL411" s="9">
        <f>'Gov Fd Rv'!AQ411-'Gov Fnd Exp'!BJ411</f>
        <v>5387361</v>
      </c>
      <c r="BN411" s="8">
        <v>20596550</v>
      </c>
      <c r="BP411" s="8">
        <v>0</v>
      </c>
      <c r="BT411" s="9">
        <f t="shared" si="26"/>
        <v>25983911</v>
      </c>
      <c r="BU411" s="9"/>
      <c r="BV411" s="9">
        <f>BT411-'Gov Fd BS'!AA414</f>
        <v>0</v>
      </c>
    </row>
    <row r="412" spans="1:74">
      <c r="A412" s="13" t="s">
        <v>402</v>
      </c>
      <c r="B412" s="13"/>
      <c r="C412" s="13" t="s">
        <v>59</v>
      </c>
      <c r="D412" s="13"/>
      <c r="E412" s="32">
        <v>49635</v>
      </c>
      <c r="G412" s="8">
        <v>7174832</v>
      </c>
      <c r="I412" s="8">
        <v>1453026</v>
      </c>
      <c r="K412" s="8">
        <v>77499</v>
      </c>
      <c r="M412" s="8">
        <f>5252+490165</f>
        <v>495417</v>
      </c>
      <c r="O412" s="8">
        <v>744004</v>
      </c>
      <c r="Q412" s="8">
        <v>1220626</v>
      </c>
      <c r="S412" s="8">
        <v>35338</v>
      </c>
      <c r="U412" s="8">
        <v>1159710</v>
      </c>
      <c r="W412" s="8">
        <v>308270</v>
      </c>
      <c r="Y412" s="8">
        <v>0</v>
      </c>
      <c r="AA412" s="8">
        <v>1793444</v>
      </c>
      <c r="AC412" s="8">
        <v>1740396</v>
      </c>
      <c r="AE412" s="8">
        <v>25360</v>
      </c>
      <c r="AG412" s="8">
        <v>0</v>
      </c>
      <c r="AI412" s="8">
        <v>818076</v>
      </c>
      <c r="AJ412" s="13" t="s">
        <v>402</v>
      </c>
      <c r="AK412" s="13"/>
      <c r="AL412" s="13" t="s">
        <v>59</v>
      </c>
      <c r="AN412" s="8">
        <v>331406</v>
      </c>
      <c r="AP412" s="8">
        <v>118751</v>
      </c>
      <c r="AR412" s="8">
        <v>0</v>
      </c>
      <c r="AT412" s="8">
        <v>431000</v>
      </c>
      <c r="AV412" s="8">
        <v>118263</v>
      </c>
      <c r="AX412" s="8">
        <v>0</v>
      </c>
      <c r="AZ412" s="9">
        <f t="shared" si="24"/>
        <v>18045418</v>
      </c>
      <c r="BB412" s="8">
        <v>46840</v>
      </c>
      <c r="BH412" s="8">
        <v>0</v>
      </c>
      <c r="BJ412" s="9">
        <f t="shared" si="25"/>
        <v>18092258</v>
      </c>
      <c r="BL412" s="9">
        <f>'Gov Fd Rv'!AQ412-'Gov Fnd Exp'!BJ412</f>
        <v>-556948</v>
      </c>
      <c r="BN412" s="8">
        <v>3203664</v>
      </c>
      <c r="BP412" s="8">
        <v>0</v>
      </c>
      <c r="BT412" s="9">
        <f t="shared" si="26"/>
        <v>2646716</v>
      </c>
      <c r="BU412" s="9"/>
      <c r="BV412" s="9">
        <f>BT412-'Gov Fd BS'!AA415</f>
        <v>0</v>
      </c>
    </row>
    <row r="413" spans="1:74">
      <c r="A413" s="13" t="s">
        <v>402</v>
      </c>
      <c r="B413" s="13"/>
      <c r="C413" s="13" t="s">
        <v>62</v>
      </c>
      <c r="D413" s="13"/>
      <c r="E413" s="32">
        <v>49908</v>
      </c>
      <c r="G413" s="8">
        <v>8473496</v>
      </c>
      <c r="I413" s="8">
        <v>2645132</v>
      </c>
      <c r="K413" s="8">
        <v>322418</v>
      </c>
      <c r="M413" s="8">
        <v>121041</v>
      </c>
      <c r="O413" s="8">
        <v>853315</v>
      </c>
      <c r="Q413" s="8">
        <v>297374</v>
      </c>
      <c r="S413" s="8">
        <v>70688</v>
      </c>
      <c r="U413" s="8">
        <v>1713449</v>
      </c>
      <c r="W413" s="8">
        <v>426529</v>
      </c>
      <c r="Y413" s="8">
        <v>0</v>
      </c>
      <c r="AA413" s="8">
        <v>2224916</v>
      </c>
      <c r="AC413" s="8">
        <v>994093</v>
      </c>
      <c r="AE413" s="8">
        <v>271828</v>
      </c>
      <c r="AG413" s="8">
        <v>719697</v>
      </c>
      <c r="AI413" s="8">
        <v>96905</v>
      </c>
      <c r="AJ413" s="13" t="s">
        <v>402</v>
      </c>
      <c r="AK413" s="13"/>
      <c r="AL413" s="13" t="s">
        <v>62</v>
      </c>
      <c r="AN413" s="8">
        <v>393251</v>
      </c>
      <c r="AP413" s="8">
        <v>0</v>
      </c>
      <c r="AR413" s="8">
        <v>0</v>
      </c>
      <c r="AT413" s="8">
        <v>357018</v>
      </c>
      <c r="AV413" s="8">
        <v>1278023</v>
      </c>
      <c r="AX413" s="8">
        <v>0</v>
      </c>
      <c r="AZ413" s="9">
        <f t="shared" si="24"/>
        <v>21259173</v>
      </c>
      <c r="BB413" s="8">
        <v>158500</v>
      </c>
      <c r="BD413" s="8">
        <v>0</v>
      </c>
      <c r="BF413" s="8">
        <v>0</v>
      </c>
      <c r="BH413" s="8">
        <v>0</v>
      </c>
      <c r="BJ413" s="9">
        <f t="shared" si="25"/>
        <v>21417673</v>
      </c>
      <c r="BL413" s="9">
        <f>'Gov Fd Rv'!AQ413-'Gov Fnd Exp'!BJ413</f>
        <v>204810</v>
      </c>
      <c r="BN413" s="8">
        <v>-2218272</v>
      </c>
      <c r="BP413" s="8">
        <v>9309</v>
      </c>
      <c r="BT413" s="9">
        <f t="shared" si="26"/>
        <v>-2004153</v>
      </c>
      <c r="BU413" s="9"/>
      <c r="BV413" s="9">
        <f>BT413-'Gov Fd BS'!AA416</f>
        <v>0</v>
      </c>
    </row>
    <row r="414" spans="1:74">
      <c r="A414" s="13" t="s">
        <v>263</v>
      </c>
      <c r="B414" s="13"/>
      <c r="C414" s="13" t="s">
        <v>17</v>
      </c>
      <c r="D414" s="13"/>
      <c r="E414" s="32">
        <v>46268</v>
      </c>
      <c r="G414" s="8">
        <v>8061491</v>
      </c>
      <c r="I414" s="8">
        <v>1995187</v>
      </c>
      <c r="K414" s="8">
        <v>0</v>
      </c>
      <c r="M414" s="8">
        <v>32723</v>
      </c>
      <c r="O414" s="8">
        <v>556513</v>
      </c>
      <c r="Q414" s="8">
        <v>810398</v>
      </c>
      <c r="S414" s="8">
        <v>88391</v>
      </c>
      <c r="U414" s="8">
        <v>1296113</v>
      </c>
      <c r="W414" s="8">
        <v>394266</v>
      </c>
      <c r="Y414" s="8">
        <v>0</v>
      </c>
      <c r="AA414" s="8">
        <v>1440002</v>
      </c>
      <c r="AC414" s="8">
        <v>1083388</v>
      </c>
      <c r="AE414" s="8">
        <v>25036</v>
      </c>
      <c r="AG414" s="8">
        <v>0</v>
      </c>
      <c r="AI414" s="8">
        <v>637645</v>
      </c>
      <c r="AJ414" s="13" t="s">
        <v>263</v>
      </c>
      <c r="AK414" s="13"/>
      <c r="AL414" s="13" t="s">
        <v>17</v>
      </c>
      <c r="AN414" s="8">
        <v>453193</v>
      </c>
      <c r="AP414" s="8">
        <v>3270</v>
      </c>
      <c r="AR414" s="8">
        <v>0</v>
      </c>
      <c r="AT414" s="8">
        <v>115000</v>
      </c>
      <c r="AV414" s="8">
        <v>32301</v>
      </c>
      <c r="AX414" s="8">
        <v>0</v>
      </c>
      <c r="AZ414" s="9">
        <f t="shared" si="24"/>
        <v>17024917</v>
      </c>
      <c r="BB414" s="8">
        <v>0</v>
      </c>
      <c r="BD414" s="8">
        <v>0</v>
      </c>
      <c r="BF414" s="8">
        <v>0</v>
      </c>
      <c r="BH414" s="8">
        <v>0</v>
      </c>
      <c r="BJ414" s="9">
        <f t="shared" si="25"/>
        <v>17024917</v>
      </c>
      <c r="BL414" s="9">
        <f>'Gov Fd Rv'!AQ414-'Gov Fnd Exp'!BJ414</f>
        <v>-626718</v>
      </c>
      <c r="BN414" s="8">
        <v>3466767</v>
      </c>
      <c r="BP414" s="8">
        <v>0</v>
      </c>
      <c r="BT414" s="9">
        <f t="shared" si="26"/>
        <v>2840049</v>
      </c>
      <c r="BU414" s="9"/>
      <c r="BV414" s="9">
        <f>BT414-'Gov Fd BS'!AA417</f>
        <v>0</v>
      </c>
    </row>
    <row r="415" spans="1:74">
      <c r="A415" s="13" t="s">
        <v>736</v>
      </c>
      <c r="B415" s="13"/>
      <c r="C415" s="13" t="s">
        <v>72</v>
      </c>
      <c r="D415" s="13"/>
      <c r="E415" s="32">
        <v>50716</v>
      </c>
      <c r="G415" s="8">
        <v>4493120</v>
      </c>
      <c r="I415" s="8">
        <v>1347115</v>
      </c>
      <c r="K415" s="8">
        <v>176118</v>
      </c>
      <c r="M415" s="8">
        <v>0</v>
      </c>
      <c r="O415" s="8">
        <v>310543</v>
      </c>
      <c r="Q415" s="8">
        <v>492710</v>
      </c>
      <c r="S415" s="8">
        <v>13818</v>
      </c>
      <c r="U415" s="8">
        <v>780587</v>
      </c>
      <c r="W415" s="8">
        <v>388341</v>
      </c>
      <c r="Y415" s="8">
        <v>0</v>
      </c>
      <c r="AA415" s="8">
        <v>912074</v>
      </c>
      <c r="AC415" s="8">
        <v>454831</v>
      </c>
      <c r="AE415" s="8">
        <v>23279</v>
      </c>
      <c r="AG415" s="8">
        <v>0</v>
      </c>
      <c r="AI415" s="8">
        <v>412720</v>
      </c>
      <c r="AJ415" s="13" t="s">
        <v>736</v>
      </c>
      <c r="AK415" s="13"/>
      <c r="AL415" s="13" t="s">
        <v>72</v>
      </c>
      <c r="AN415" s="8">
        <v>348813</v>
      </c>
      <c r="AP415" s="8">
        <v>215191</v>
      </c>
      <c r="AR415" s="8">
        <v>0</v>
      </c>
      <c r="AT415" s="8">
        <v>298145</v>
      </c>
      <c r="AV415" s="8">
        <v>103879</v>
      </c>
      <c r="AX415" s="8">
        <v>0</v>
      </c>
      <c r="AZ415" s="9">
        <f t="shared" si="24"/>
        <v>10771284</v>
      </c>
      <c r="BB415" s="8">
        <v>84116</v>
      </c>
      <c r="BD415" s="8">
        <v>0</v>
      </c>
      <c r="BF415" s="8">
        <v>0</v>
      </c>
      <c r="BH415" s="8">
        <v>0</v>
      </c>
      <c r="BJ415" s="9">
        <f t="shared" si="25"/>
        <v>10855400</v>
      </c>
      <c r="BL415" s="9">
        <f>'Gov Fd Rv'!AQ415-'Gov Fnd Exp'!BJ415</f>
        <v>1422241</v>
      </c>
      <c r="BN415" s="8">
        <v>1739000</v>
      </c>
      <c r="BP415" s="8">
        <v>0</v>
      </c>
      <c r="BT415" s="9">
        <f t="shared" si="26"/>
        <v>3161241</v>
      </c>
      <c r="BU415" s="9"/>
      <c r="BV415" s="9">
        <f>BT415-'Gov Fd BS'!AA418</f>
        <v>0</v>
      </c>
    </row>
    <row r="416" spans="1:74">
      <c r="A416" s="13" t="s">
        <v>669</v>
      </c>
      <c r="B416" s="13"/>
      <c r="C416" s="13" t="s">
        <v>63</v>
      </c>
      <c r="D416" s="13"/>
      <c r="E416" s="32">
        <v>44552</v>
      </c>
      <c r="G416" s="8">
        <v>10951543</v>
      </c>
      <c r="I416" s="8">
        <v>1907001</v>
      </c>
      <c r="K416" s="8">
        <v>934370</v>
      </c>
      <c r="M416" s="8">
        <f>4087+278751</f>
        <v>282838</v>
      </c>
      <c r="O416" s="8">
        <v>749256</v>
      </c>
      <c r="Q416" s="8">
        <v>1083614</v>
      </c>
      <c r="S416" s="8">
        <v>31420</v>
      </c>
      <c r="U416" s="8">
        <v>1606341</v>
      </c>
      <c r="W416" s="8">
        <v>604563</v>
      </c>
      <c r="Y416" s="8">
        <v>259021</v>
      </c>
      <c r="AA416" s="8">
        <v>1996823</v>
      </c>
      <c r="AC416" s="8">
        <v>1369981</v>
      </c>
      <c r="AE416" s="8">
        <v>83133</v>
      </c>
      <c r="AG416" s="8">
        <v>842041</v>
      </c>
      <c r="AI416" s="8">
        <v>3731</v>
      </c>
      <c r="AJ416" s="13" t="s">
        <v>669</v>
      </c>
      <c r="AK416" s="13"/>
      <c r="AL416" s="13" t="s">
        <v>63</v>
      </c>
      <c r="AN416" s="8">
        <v>513455</v>
      </c>
      <c r="AP416" s="8">
        <v>20430</v>
      </c>
      <c r="AR416" s="8">
        <v>0</v>
      </c>
      <c r="AT416" s="8">
        <v>49114</v>
      </c>
      <c r="AV416" s="8">
        <v>7562</v>
      </c>
      <c r="AX416" s="8">
        <v>0</v>
      </c>
      <c r="AZ416" s="9">
        <f t="shared" si="24"/>
        <v>23296237</v>
      </c>
      <c r="BB416" s="8">
        <v>21174</v>
      </c>
      <c r="BH416" s="8">
        <v>0</v>
      </c>
      <c r="BJ416" s="9">
        <f>AZ416+BB416+BH416</f>
        <v>23317411</v>
      </c>
      <c r="BL416" s="9">
        <f>'Gov Fd Rv'!AQ416-'Gov Fnd Exp'!BJ416</f>
        <v>-369498</v>
      </c>
      <c r="BN416" s="8">
        <v>6576410</v>
      </c>
      <c r="BP416" s="8">
        <v>469</v>
      </c>
      <c r="BT416" s="9">
        <f>BL416+BN416+BP416+BR416</f>
        <v>6207381</v>
      </c>
      <c r="BU416" s="9"/>
      <c r="BV416" s="9">
        <f>BT416-'Gov Fd BS'!AA419</f>
        <v>0</v>
      </c>
    </row>
    <row r="417" spans="1:76">
      <c r="A417" s="13" t="s">
        <v>446</v>
      </c>
      <c r="B417" s="13"/>
      <c r="C417" s="13" t="s">
        <v>37</v>
      </c>
      <c r="D417" s="13"/>
      <c r="E417" s="32">
        <v>44560</v>
      </c>
      <c r="G417" s="8">
        <v>11035715</v>
      </c>
      <c r="I417" s="8">
        <v>3719645</v>
      </c>
      <c r="K417" s="8">
        <v>202699</v>
      </c>
      <c r="M417" s="8">
        <f>73547+21026+840479</f>
        <v>935052</v>
      </c>
      <c r="O417" s="8">
        <v>1165234</v>
      </c>
      <c r="Q417" s="8">
        <v>2134440</v>
      </c>
      <c r="S417" s="8">
        <v>175802</v>
      </c>
      <c r="U417" s="8">
        <v>2203157</v>
      </c>
      <c r="W417" s="8">
        <v>456654</v>
      </c>
      <c r="Y417" s="8">
        <v>72452</v>
      </c>
      <c r="AA417" s="8">
        <v>2641071</v>
      </c>
      <c r="AC417" s="8">
        <v>713857</v>
      </c>
      <c r="AE417" s="8">
        <v>100778</v>
      </c>
      <c r="AG417" s="8">
        <v>1039758</v>
      </c>
      <c r="AI417" s="8">
        <v>610000</v>
      </c>
      <c r="AJ417" s="13" t="s">
        <v>446</v>
      </c>
      <c r="AK417" s="13"/>
      <c r="AL417" s="13" t="s">
        <v>37</v>
      </c>
      <c r="AN417" s="8">
        <v>688245</v>
      </c>
      <c r="AP417" s="8">
        <v>448369</v>
      </c>
      <c r="AR417" s="8">
        <v>0</v>
      </c>
      <c r="AT417" s="8">
        <v>520000</v>
      </c>
      <c r="AV417" s="8">
        <v>511670</v>
      </c>
      <c r="AX417" s="8">
        <v>0</v>
      </c>
      <c r="AZ417" s="9">
        <f t="shared" si="24"/>
        <v>29374598</v>
      </c>
      <c r="BB417" s="8">
        <v>100000</v>
      </c>
      <c r="BH417" s="8">
        <v>0</v>
      </c>
      <c r="BJ417" s="9">
        <f t="shared" si="25"/>
        <v>29474598</v>
      </c>
      <c r="BL417" s="9">
        <f>'Gov Fd Rv'!AQ417-'Gov Fnd Exp'!BJ417</f>
        <v>-1914591</v>
      </c>
      <c r="BN417" s="8">
        <v>16161682</v>
      </c>
      <c r="BP417" s="8">
        <v>0</v>
      </c>
      <c r="BT417" s="9">
        <f t="shared" si="26"/>
        <v>14247091</v>
      </c>
      <c r="BU417" s="9"/>
      <c r="BV417" s="9">
        <f>BT417-'Gov Fd BS'!AA420</f>
        <v>0</v>
      </c>
    </row>
    <row r="418" spans="1:76">
      <c r="A418" s="13" t="s">
        <v>865</v>
      </c>
      <c r="B418" s="13"/>
      <c r="C418" s="13" t="s">
        <v>32</v>
      </c>
      <c r="D418" s="13"/>
      <c r="E418" s="32">
        <v>44578</v>
      </c>
      <c r="G418" s="8">
        <v>12434141</v>
      </c>
      <c r="I418" s="8">
        <v>3061754</v>
      </c>
      <c r="K418" s="8">
        <v>0</v>
      </c>
      <c r="M418" s="8">
        <v>658728</v>
      </c>
      <c r="O418" s="8">
        <v>1878035</v>
      </c>
      <c r="Q418" s="8">
        <v>1430879</v>
      </c>
      <c r="S418" s="8">
        <v>37521</v>
      </c>
      <c r="U418" s="8">
        <v>1724876</v>
      </c>
      <c r="W418" s="8">
        <v>605878</v>
      </c>
      <c r="Y418" s="8">
        <v>0</v>
      </c>
      <c r="AA418" s="8">
        <v>2693988</v>
      </c>
      <c r="AC418" s="8">
        <v>628997</v>
      </c>
      <c r="AE418" s="8">
        <v>513674</v>
      </c>
      <c r="AG418" s="8">
        <v>1197826</v>
      </c>
      <c r="AI418" s="8">
        <v>66315</v>
      </c>
      <c r="AJ418" s="13" t="s">
        <v>403</v>
      </c>
      <c r="AK418" s="13"/>
      <c r="AL418" s="13" t="s">
        <v>32</v>
      </c>
      <c r="AN418" s="8">
        <v>555009</v>
      </c>
      <c r="AP418" s="8">
        <v>66400</v>
      </c>
      <c r="AR418" s="8">
        <v>0</v>
      </c>
      <c r="AT418" s="8">
        <v>109000</v>
      </c>
      <c r="AV418" s="8">
        <v>258246</v>
      </c>
      <c r="AX418" s="8">
        <v>0</v>
      </c>
      <c r="AZ418" s="9">
        <f t="shared" si="24"/>
        <v>27921267</v>
      </c>
      <c r="BB418" s="8">
        <v>45278</v>
      </c>
      <c r="BH418" s="8">
        <v>0</v>
      </c>
      <c r="BJ418" s="9">
        <f t="shared" si="25"/>
        <v>27966545</v>
      </c>
      <c r="BL418" s="9">
        <f>'Gov Fd Rv'!AQ418-'Gov Fnd Exp'!BJ418</f>
        <v>-1749722</v>
      </c>
      <c r="BN418" s="8">
        <v>8243857</v>
      </c>
      <c r="BP418" s="8">
        <v>0</v>
      </c>
      <c r="BT418" s="9">
        <f t="shared" si="26"/>
        <v>6494135</v>
      </c>
      <c r="BU418" s="9"/>
      <c r="BV418" s="9">
        <f>BT418-'Gov Fd BS'!AA421</f>
        <v>0</v>
      </c>
    </row>
    <row r="419" spans="1:76">
      <c r="A419" s="13" t="s">
        <v>404</v>
      </c>
      <c r="B419" s="13"/>
      <c r="C419" s="13" t="s">
        <v>32</v>
      </c>
      <c r="D419" s="13"/>
      <c r="E419" s="32">
        <v>47373</v>
      </c>
      <c r="G419" s="8">
        <v>33274310</v>
      </c>
      <c r="I419" s="8">
        <v>7305501</v>
      </c>
      <c r="K419" s="8">
        <v>0</v>
      </c>
      <c r="M419" s="8">
        <v>304023</v>
      </c>
      <c r="O419" s="8">
        <v>4393210</v>
      </c>
      <c r="Q419" s="8">
        <v>7392702</v>
      </c>
      <c r="S419" s="8">
        <v>176351</v>
      </c>
      <c r="U419" s="8">
        <v>5082226</v>
      </c>
      <c r="W419" s="8">
        <v>1217174</v>
      </c>
      <c r="Y419" s="8">
        <v>103424</v>
      </c>
      <c r="AA419" s="8">
        <v>6610399</v>
      </c>
      <c r="AC419" s="8">
        <v>2878513</v>
      </c>
      <c r="AE419" s="8">
        <v>509403</v>
      </c>
      <c r="AG419" s="8">
        <v>0</v>
      </c>
      <c r="AI419" s="8">
        <v>4849607</v>
      </c>
      <c r="AJ419" s="13" t="s">
        <v>404</v>
      </c>
      <c r="AK419" s="13"/>
      <c r="AL419" s="13" t="s">
        <v>32</v>
      </c>
      <c r="AN419" s="8">
        <v>1852947</v>
      </c>
      <c r="AP419" s="8">
        <v>839383</v>
      </c>
      <c r="AR419" s="8">
        <v>0</v>
      </c>
      <c r="AT419" s="8">
        <v>2245000</v>
      </c>
      <c r="AV419" s="8">
        <v>2029889</v>
      </c>
      <c r="AX419" s="8">
        <v>0</v>
      </c>
      <c r="AZ419" s="9">
        <f t="shared" ref="AZ419:AZ431" si="28">SUM(G419:AX419)</f>
        <v>81064062</v>
      </c>
      <c r="BB419" s="8">
        <v>411794</v>
      </c>
      <c r="BH419" s="8">
        <v>0</v>
      </c>
      <c r="BJ419" s="9">
        <f t="shared" si="25"/>
        <v>81475856</v>
      </c>
      <c r="BL419" s="9">
        <f>'Gov Fd Rv'!AQ419-'Gov Fnd Exp'!BJ419</f>
        <v>-1284486</v>
      </c>
      <c r="BN419" s="8">
        <v>34443605</v>
      </c>
      <c r="BP419" s="8">
        <v>0</v>
      </c>
      <c r="BT419" s="9">
        <f t="shared" si="26"/>
        <v>33159119</v>
      </c>
      <c r="BU419" s="9"/>
      <c r="BV419" s="9">
        <f>BT419-'Gov Fd BS'!AA422</f>
        <v>0</v>
      </c>
    </row>
    <row r="420" spans="1:76">
      <c r="A420" s="13" t="s">
        <v>554</v>
      </c>
      <c r="B420" s="13"/>
      <c r="C420" s="13" t="s">
        <v>50</v>
      </c>
      <c r="D420" s="13"/>
      <c r="E420" s="32">
        <v>44586</v>
      </c>
      <c r="G420" s="8">
        <v>11543162</v>
      </c>
      <c r="I420" s="8">
        <v>2510711</v>
      </c>
      <c r="K420" s="8">
        <v>0</v>
      </c>
      <c r="M420" s="8">
        <v>188221</v>
      </c>
      <c r="O420" s="8">
        <v>1417360</v>
      </c>
      <c r="Q420" s="8">
        <v>404036</v>
      </c>
      <c r="S420" s="8">
        <v>22280</v>
      </c>
      <c r="U420" s="8">
        <v>1913594</v>
      </c>
      <c r="W420" s="8">
        <v>732010</v>
      </c>
      <c r="Y420" s="8">
        <v>1199</v>
      </c>
      <c r="AA420" s="8">
        <v>1997737</v>
      </c>
      <c r="AC420" s="8">
        <v>274884</v>
      </c>
      <c r="AE420" s="8">
        <v>639796</v>
      </c>
      <c r="AG420" s="8">
        <v>0</v>
      </c>
      <c r="AI420" s="8">
        <v>904759</v>
      </c>
      <c r="AJ420" s="13" t="s">
        <v>554</v>
      </c>
      <c r="AK420" s="13"/>
      <c r="AL420" s="13" t="s">
        <v>50</v>
      </c>
      <c r="AN420" s="8">
        <v>1027611</v>
      </c>
      <c r="AP420" s="8">
        <v>630111</v>
      </c>
      <c r="AR420" s="8">
        <v>0</v>
      </c>
      <c r="AT420" s="8">
        <v>310000</v>
      </c>
      <c r="AV420" s="8">
        <v>784033</v>
      </c>
      <c r="AX420" s="8">
        <v>0</v>
      </c>
      <c r="AZ420" s="9">
        <f t="shared" si="28"/>
        <v>25301504</v>
      </c>
      <c r="BB420" s="8">
        <v>2474127</v>
      </c>
      <c r="BH420" s="8">
        <v>0</v>
      </c>
      <c r="BJ420" s="9">
        <f t="shared" si="25"/>
        <v>27775631</v>
      </c>
      <c r="BL420" s="9">
        <f>'Gov Fd Rv'!AQ420-'Gov Fnd Exp'!BJ420</f>
        <v>1264509</v>
      </c>
      <c r="BN420" s="8">
        <v>-134829</v>
      </c>
      <c r="BP420" s="8">
        <v>0</v>
      </c>
      <c r="BT420" s="9">
        <f t="shared" si="26"/>
        <v>1129680</v>
      </c>
      <c r="BU420" s="9"/>
      <c r="BV420" s="9">
        <f>BT420-'Gov Fd BS'!AA423</f>
        <v>0</v>
      </c>
    </row>
    <row r="421" spans="1:76">
      <c r="A421" s="13" t="s">
        <v>493</v>
      </c>
      <c r="B421" s="13"/>
      <c r="C421" s="13" t="s">
        <v>44</v>
      </c>
      <c r="D421" s="13"/>
      <c r="E421" s="32">
        <v>44594</v>
      </c>
      <c r="G421" s="8">
        <v>6716239</v>
      </c>
      <c r="I421" s="8">
        <v>1207057</v>
      </c>
      <c r="K421" s="8">
        <v>95031</v>
      </c>
      <c r="M421" s="8">
        <v>479512</v>
      </c>
      <c r="O421" s="8">
        <v>1011688</v>
      </c>
      <c r="Q421" s="8">
        <v>466177</v>
      </c>
      <c r="S421" s="8">
        <v>85616</v>
      </c>
      <c r="U421" s="8">
        <v>1473785</v>
      </c>
      <c r="W421" s="8">
        <v>389790</v>
      </c>
      <c r="Y421" s="8">
        <v>193799</v>
      </c>
      <c r="AA421" s="8">
        <v>1572328</v>
      </c>
      <c r="AC421" s="8">
        <v>582378</v>
      </c>
      <c r="AE421" s="8">
        <v>49935</v>
      </c>
      <c r="AG421" s="8">
        <v>404678</v>
      </c>
      <c r="AI421" s="8">
        <v>0</v>
      </c>
      <c r="AJ421" s="13" t="s">
        <v>493</v>
      </c>
      <c r="AK421" s="13"/>
      <c r="AL421" s="13" t="s">
        <v>44</v>
      </c>
      <c r="AN421" s="8">
        <v>378419</v>
      </c>
      <c r="AP421" s="8">
        <v>0</v>
      </c>
      <c r="AR421" s="8">
        <v>0</v>
      </c>
      <c r="AT421" s="8">
        <v>67827</v>
      </c>
      <c r="AV421" s="8">
        <v>21129</v>
      </c>
      <c r="AX421" s="8">
        <v>0</v>
      </c>
      <c r="AZ421" s="9">
        <f t="shared" si="28"/>
        <v>15195388</v>
      </c>
      <c r="BB421" s="8">
        <v>78018</v>
      </c>
      <c r="BH421" s="8">
        <v>0</v>
      </c>
      <c r="BJ421" s="9">
        <f t="shared" si="25"/>
        <v>15273406</v>
      </c>
      <c r="BL421" s="9">
        <f>'Gov Fd Rv'!AQ421-'Gov Fnd Exp'!BJ421</f>
        <v>-392391</v>
      </c>
      <c r="BN421" s="8">
        <v>880528</v>
      </c>
      <c r="BP421" s="8">
        <v>0</v>
      </c>
      <c r="BT421" s="9">
        <f t="shared" si="26"/>
        <v>488137</v>
      </c>
      <c r="BU421" s="9"/>
      <c r="BV421" s="9">
        <f>BT421-'Gov Fd BS'!AA424</f>
        <v>0</v>
      </c>
    </row>
    <row r="422" spans="1:76" hidden="1">
      <c r="A422" s="13" t="s">
        <v>834</v>
      </c>
      <c r="B422" s="13"/>
      <c r="C422" s="13" t="s">
        <v>60</v>
      </c>
      <c r="D422" s="13"/>
      <c r="E422" s="32">
        <v>49726</v>
      </c>
      <c r="AJ422" s="13" t="s">
        <v>638</v>
      </c>
      <c r="AK422" s="13"/>
      <c r="AL422" s="13" t="s">
        <v>60</v>
      </c>
      <c r="AZ422" s="9">
        <f t="shared" si="28"/>
        <v>0</v>
      </c>
      <c r="BJ422" s="9">
        <f t="shared" si="25"/>
        <v>0</v>
      </c>
      <c r="BL422" s="9">
        <f>'Gov Fd Rv'!AQ422-'Gov Fnd Exp'!BJ422</f>
        <v>0</v>
      </c>
      <c r="BT422" s="9">
        <f t="shared" si="26"/>
        <v>0</v>
      </c>
      <c r="BU422" s="9"/>
      <c r="BV422" s="9">
        <f>BT422-'Gov Fd BS'!AA425</f>
        <v>0</v>
      </c>
    </row>
    <row r="423" spans="1:76">
      <c r="A423" s="13" t="s">
        <v>335</v>
      </c>
      <c r="B423" s="13"/>
      <c r="C423" s="13" t="s">
        <v>23</v>
      </c>
      <c r="D423" s="13"/>
      <c r="E423" s="32">
        <v>46763</v>
      </c>
      <c r="G423" s="8">
        <v>63087442</v>
      </c>
      <c r="I423" s="8">
        <v>13995119</v>
      </c>
      <c r="K423" s="8">
        <v>1095048</v>
      </c>
      <c r="M423" s="8">
        <v>0</v>
      </c>
      <c r="O423" s="8">
        <v>6115407</v>
      </c>
      <c r="Q423" s="8">
        <v>8076686</v>
      </c>
      <c r="S423" s="8">
        <v>533635</v>
      </c>
      <c r="U423" s="8">
        <v>7626637</v>
      </c>
      <c r="W423" s="8">
        <v>0</v>
      </c>
      <c r="Y423" s="8">
        <v>3201539</v>
      </c>
      <c r="AA423" s="8">
        <f>14449518+294831</f>
        <v>14744349</v>
      </c>
      <c r="AC423" s="8">
        <v>6946812</v>
      </c>
      <c r="AE423" s="8">
        <v>2469635</v>
      </c>
      <c r="AG423" s="8">
        <v>6035217</v>
      </c>
      <c r="AI423" s="8">
        <v>727641</v>
      </c>
      <c r="AJ423" s="13" t="s">
        <v>335</v>
      </c>
      <c r="AK423" s="13"/>
      <c r="AL423" s="13" t="s">
        <v>23</v>
      </c>
      <c r="AN423" s="8">
        <v>4450591</v>
      </c>
      <c r="AP423" s="8">
        <v>28103217</v>
      </c>
      <c r="AR423" s="8">
        <v>0</v>
      </c>
      <c r="AT423" s="8">
        <v>7610563</v>
      </c>
      <c r="AV423" s="8">
        <v>16556877</v>
      </c>
      <c r="AX423" s="8">
        <v>0</v>
      </c>
      <c r="AZ423" s="9">
        <f t="shared" si="28"/>
        <v>191376415</v>
      </c>
      <c r="BB423" s="8">
        <v>0</v>
      </c>
      <c r="BD423" s="8">
        <v>0</v>
      </c>
      <c r="BF423" s="8">
        <v>0</v>
      </c>
      <c r="BH423" s="8">
        <v>36400000</v>
      </c>
      <c r="BJ423" s="9">
        <f t="shared" si="25"/>
        <v>227776415</v>
      </c>
      <c r="BL423" s="9">
        <f>'Gov Fd Rv'!AQ423-'Gov Fnd Exp'!BJ423</f>
        <v>-16377434</v>
      </c>
      <c r="BN423" s="8">
        <v>105497370</v>
      </c>
      <c r="BP423" s="8">
        <v>0</v>
      </c>
      <c r="BT423" s="9">
        <f t="shared" si="26"/>
        <v>89119936</v>
      </c>
      <c r="BU423" s="9"/>
      <c r="BV423" s="9">
        <f>BT423-'Gov Fd BS'!AA426</f>
        <v>0</v>
      </c>
    </row>
    <row r="424" spans="1:76">
      <c r="A424" s="13" t="s">
        <v>315</v>
      </c>
      <c r="B424" s="13"/>
      <c r="C424" s="13" t="s">
        <v>20</v>
      </c>
      <c r="D424" s="13"/>
      <c r="E424" s="32">
        <v>46573</v>
      </c>
      <c r="G424" s="8">
        <v>17826120</v>
      </c>
      <c r="I424" s="8">
        <v>4589110</v>
      </c>
      <c r="K424" s="8">
        <v>536341</v>
      </c>
      <c r="M424" s="8">
        <v>66557</v>
      </c>
      <c r="O424" s="8">
        <v>1760492</v>
      </c>
      <c r="Q424" s="8">
        <v>1372031</v>
      </c>
      <c r="S424" s="8">
        <v>170455</v>
      </c>
      <c r="U424" s="8">
        <v>2616652</v>
      </c>
      <c r="W424" s="8">
        <v>875905</v>
      </c>
      <c r="Y424" s="8">
        <v>0</v>
      </c>
      <c r="AA424" s="8">
        <v>3513454</v>
      </c>
      <c r="AC424" s="8">
        <v>2111198</v>
      </c>
      <c r="AE424" s="8">
        <v>383372</v>
      </c>
      <c r="AG424" s="8">
        <v>0</v>
      </c>
      <c r="AI424" s="8">
        <v>1281632</v>
      </c>
      <c r="AJ424" s="13" t="s">
        <v>315</v>
      </c>
      <c r="AK424" s="13"/>
      <c r="AL424" s="13" t="s">
        <v>20</v>
      </c>
      <c r="AN424" s="8">
        <v>1710032</v>
      </c>
      <c r="AP424" s="8">
        <v>12909087</v>
      </c>
      <c r="AR424" s="8">
        <v>0</v>
      </c>
      <c r="AT424" s="8">
        <v>4980631</v>
      </c>
      <c r="AV424" s="8">
        <v>1617386</v>
      </c>
      <c r="AX424" s="8">
        <v>0</v>
      </c>
      <c r="AZ424" s="9">
        <f t="shared" si="28"/>
        <v>58320455</v>
      </c>
      <c r="BB424" s="8">
        <v>15098427</v>
      </c>
      <c r="BD424" s="8">
        <v>0</v>
      </c>
      <c r="BF424" s="8">
        <v>0</v>
      </c>
      <c r="BH424" s="8">
        <v>0</v>
      </c>
      <c r="BJ424" s="9">
        <f>AZ424+BB424+BH424</f>
        <v>73418882</v>
      </c>
      <c r="BL424" s="9">
        <f>'Gov Fd Rv'!AQ424-'Gov Fnd Exp'!BJ424</f>
        <v>-6616657</v>
      </c>
      <c r="BN424" s="8">
        <v>27264453</v>
      </c>
      <c r="BP424" s="8">
        <v>0</v>
      </c>
      <c r="BT424" s="9">
        <f t="shared" si="26"/>
        <v>20647796</v>
      </c>
      <c r="BU424" s="9"/>
      <c r="BV424" s="9">
        <f>BT424-'Gov Fd BS'!AA427</f>
        <v>0</v>
      </c>
    </row>
    <row r="425" spans="1:76">
      <c r="A425" s="13" t="s">
        <v>613</v>
      </c>
      <c r="B425" s="13"/>
      <c r="C425" s="13" t="s">
        <v>112</v>
      </c>
      <c r="D425" s="13"/>
      <c r="E425" s="32">
        <v>49478</v>
      </c>
      <c r="G425" s="8">
        <v>6653571</v>
      </c>
      <c r="I425" s="8">
        <v>1249625</v>
      </c>
      <c r="K425" s="8">
        <v>288919</v>
      </c>
      <c r="M425" s="8">
        <v>372801</v>
      </c>
      <c r="O425" s="8">
        <v>961423</v>
      </c>
      <c r="Q425" s="8">
        <v>958392</v>
      </c>
      <c r="S425" s="8">
        <v>47715</v>
      </c>
      <c r="U425" s="8">
        <v>1244428</v>
      </c>
      <c r="W425" s="8">
        <v>551365</v>
      </c>
      <c r="Y425" s="8">
        <v>0</v>
      </c>
      <c r="AA425" s="8">
        <v>2091720</v>
      </c>
      <c r="AC425" s="8">
        <v>964542</v>
      </c>
      <c r="AE425" s="8">
        <v>40659</v>
      </c>
      <c r="AG425" s="8">
        <v>627736</v>
      </c>
      <c r="AI425" s="8">
        <v>17740</v>
      </c>
      <c r="AJ425" s="13" t="s">
        <v>613</v>
      </c>
      <c r="AK425" s="13"/>
      <c r="AL425" s="13" t="s">
        <v>112</v>
      </c>
      <c r="AN425" s="8">
        <v>707522</v>
      </c>
      <c r="AP425" s="8">
        <v>143544</v>
      </c>
      <c r="AR425" s="8">
        <v>0</v>
      </c>
      <c r="AT425" s="8">
        <v>975000</v>
      </c>
      <c r="AV425" s="8">
        <v>670073</v>
      </c>
      <c r="AX425" s="8">
        <v>0</v>
      </c>
      <c r="AZ425" s="9">
        <f t="shared" si="28"/>
        <v>18566775</v>
      </c>
      <c r="BB425" s="8">
        <v>32570</v>
      </c>
      <c r="BD425" s="8">
        <v>0</v>
      </c>
      <c r="BF425" s="8">
        <v>0</v>
      </c>
      <c r="BH425" s="8">
        <v>0</v>
      </c>
      <c r="BJ425" s="9">
        <f t="shared" si="25"/>
        <v>18599345</v>
      </c>
      <c r="BL425" s="9">
        <f>'Gov Fd Rv'!AQ425-'Gov Fnd Exp'!BJ425</f>
        <v>89275</v>
      </c>
      <c r="BN425" s="8">
        <v>8450528</v>
      </c>
      <c r="BP425" s="8">
        <v>1261</v>
      </c>
      <c r="BT425" s="9">
        <f t="shared" si="26"/>
        <v>8541064</v>
      </c>
      <c r="BU425" s="9"/>
      <c r="BV425" s="9">
        <f>BT425-'Gov Fd BS'!AA428</f>
        <v>0</v>
      </c>
    </row>
    <row r="426" spans="1:76">
      <c r="A426" s="13" t="s">
        <v>316</v>
      </c>
      <c r="B426" s="13"/>
      <c r="C426" s="13" t="s">
        <v>20</v>
      </c>
      <c r="D426" s="13"/>
      <c r="E426" s="32">
        <v>46581</v>
      </c>
      <c r="G426" s="8">
        <v>18365083</v>
      </c>
      <c r="I426" s="8">
        <v>6205744</v>
      </c>
      <c r="K426" s="8">
        <v>315725</v>
      </c>
      <c r="M426" s="8">
        <v>0</v>
      </c>
      <c r="O426" s="8">
        <v>3250828</v>
      </c>
      <c r="Q426" s="8">
        <v>4019019</v>
      </c>
      <c r="S426" s="8">
        <v>160757</v>
      </c>
      <c r="U426" s="8">
        <v>2837225</v>
      </c>
      <c r="W426" s="8">
        <v>1157298</v>
      </c>
      <c r="Y426" s="8">
        <v>555661</v>
      </c>
      <c r="AA426" s="8">
        <v>4771091</v>
      </c>
      <c r="AC426" s="8">
        <v>3539067</v>
      </c>
      <c r="AE426" s="8">
        <v>1153880</v>
      </c>
      <c r="AG426" s="8">
        <v>660210</v>
      </c>
      <c r="AI426" s="8">
        <v>660266</v>
      </c>
      <c r="AJ426" s="13" t="s">
        <v>316</v>
      </c>
      <c r="AK426" s="13"/>
      <c r="AL426" s="13" t="s">
        <v>20</v>
      </c>
      <c r="AN426" s="8">
        <v>1526210</v>
      </c>
      <c r="AP426" s="8">
        <v>2290812</v>
      </c>
      <c r="AR426" s="8">
        <v>0</v>
      </c>
      <c r="AT426" s="8">
        <v>1246794</v>
      </c>
      <c r="AV426" s="8">
        <v>986089</v>
      </c>
      <c r="AX426" s="8">
        <v>0</v>
      </c>
      <c r="AZ426" s="9">
        <f t="shared" si="28"/>
        <v>53701759</v>
      </c>
      <c r="BB426" s="8">
        <v>2659000</v>
      </c>
      <c r="BH426" s="8">
        <v>0</v>
      </c>
      <c r="BJ426" s="9">
        <f t="shared" si="25"/>
        <v>56360759</v>
      </c>
      <c r="BL426" s="9">
        <f>'Gov Fd Rv'!AQ426-'Gov Fnd Exp'!BJ426</f>
        <v>1770918</v>
      </c>
      <c r="BN426" s="8">
        <v>37745574</v>
      </c>
      <c r="BP426" s="8">
        <v>0</v>
      </c>
      <c r="BT426" s="9">
        <f t="shared" si="26"/>
        <v>39516492</v>
      </c>
      <c r="BU426" s="9"/>
      <c r="BV426" s="9">
        <f>BT426-'Gov Fd BS'!AA429</f>
        <v>0</v>
      </c>
    </row>
    <row r="427" spans="1:76">
      <c r="A427" s="13" t="s">
        <v>498</v>
      </c>
      <c r="B427" s="13"/>
      <c r="C427" s="13" t="s">
        <v>117</v>
      </c>
      <c r="D427" s="13"/>
      <c r="E427" s="32">
        <v>44602</v>
      </c>
      <c r="G427" s="8">
        <v>17316541</v>
      </c>
      <c r="I427" s="8">
        <v>3923663</v>
      </c>
      <c r="K427" s="8">
        <v>3286938</v>
      </c>
      <c r="M427" s="8">
        <v>954829</v>
      </c>
      <c r="O427" s="8">
        <v>1818368</v>
      </c>
      <c r="Q427" s="8">
        <v>3088542</v>
      </c>
      <c r="S427" s="8">
        <v>48341</v>
      </c>
      <c r="U427" s="8">
        <v>2833648</v>
      </c>
      <c r="W427" s="8">
        <v>916503</v>
      </c>
      <c r="Y427" s="8">
        <v>331532</v>
      </c>
      <c r="AA427" s="8">
        <v>4410984</v>
      </c>
      <c r="AC427" s="8">
        <v>2051216</v>
      </c>
      <c r="AE427" s="8">
        <v>450</v>
      </c>
      <c r="AG427" s="8">
        <v>1635795</v>
      </c>
      <c r="AI427" s="8">
        <v>200424</v>
      </c>
      <c r="AJ427" s="13" t="s">
        <v>498</v>
      </c>
      <c r="AK427" s="13"/>
      <c r="AL427" s="13" t="s">
        <v>117</v>
      </c>
      <c r="AN427" s="8">
        <v>977263</v>
      </c>
      <c r="AP427" s="8">
        <v>1761337</v>
      </c>
      <c r="AR427" s="8">
        <v>0</v>
      </c>
      <c r="AT427" s="8">
        <v>1220659</v>
      </c>
      <c r="AV427" s="8">
        <v>1939184</v>
      </c>
      <c r="AX427" s="8">
        <v>0</v>
      </c>
      <c r="AZ427" s="9">
        <f t="shared" si="28"/>
        <v>48716217</v>
      </c>
      <c r="BB427" s="8">
        <v>2046156</v>
      </c>
      <c r="BD427" s="8">
        <v>0</v>
      </c>
      <c r="BF427" s="8">
        <v>0</v>
      </c>
      <c r="BH427" s="8">
        <v>0</v>
      </c>
      <c r="BJ427" s="9">
        <f t="shared" si="25"/>
        <v>50762373</v>
      </c>
      <c r="BL427" s="9">
        <f>'Gov Fd Rv'!AQ427-'Gov Fnd Exp'!BJ427</f>
        <v>-369169</v>
      </c>
      <c r="BN427" s="8">
        <v>7335860</v>
      </c>
      <c r="BP427" s="8">
        <v>6550</v>
      </c>
      <c r="BT427" s="9">
        <f t="shared" si="26"/>
        <v>6973241</v>
      </c>
      <c r="BU427" s="9"/>
      <c r="BV427" s="9">
        <f>BT427-'Gov Fd BS'!AA430</f>
        <v>0</v>
      </c>
    </row>
    <row r="428" spans="1:76">
      <c r="A428" s="13" t="s">
        <v>723</v>
      </c>
      <c r="B428" s="13"/>
      <c r="C428" s="13" t="s">
        <v>71</v>
      </c>
      <c r="D428" s="13"/>
      <c r="E428" s="32">
        <v>44610</v>
      </c>
      <c r="G428" s="8">
        <v>7254532</v>
      </c>
      <c r="I428" s="8">
        <v>1171492</v>
      </c>
      <c r="K428" s="8">
        <v>175702</v>
      </c>
      <c r="M428" s="8">
        <f>127625+887315</f>
        <v>1014940</v>
      </c>
      <c r="O428" s="8">
        <v>875716</v>
      </c>
      <c r="Q428" s="8">
        <v>853225</v>
      </c>
      <c r="S428" s="8">
        <v>130129</v>
      </c>
      <c r="U428" s="8">
        <v>1421947</v>
      </c>
      <c r="W428" s="8">
        <v>445036</v>
      </c>
      <c r="Y428" s="8">
        <v>71196</v>
      </c>
      <c r="AA428" s="8">
        <v>1366032</v>
      </c>
      <c r="AC428" s="8">
        <v>538615</v>
      </c>
      <c r="AE428" s="8">
        <v>59996</v>
      </c>
      <c r="AG428" s="8">
        <v>677840</v>
      </c>
      <c r="AI428" s="8">
        <v>0</v>
      </c>
      <c r="AJ428" s="13" t="s">
        <v>723</v>
      </c>
      <c r="AK428" s="13"/>
      <c r="AL428" s="13" t="s">
        <v>71</v>
      </c>
      <c r="AN428" s="8">
        <v>427455</v>
      </c>
      <c r="AP428" s="8">
        <v>7153493</v>
      </c>
      <c r="AR428" s="8">
        <v>0</v>
      </c>
      <c r="AT428" s="8">
        <v>408720</v>
      </c>
      <c r="AV428" s="8">
        <v>1194993</v>
      </c>
      <c r="AX428" s="8">
        <v>0</v>
      </c>
      <c r="AZ428" s="9">
        <f t="shared" si="28"/>
        <v>25241059</v>
      </c>
      <c r="BB428" s="8">
        <v>0</v>
      </c>
      <c r="BH428" s="8">
        <v>0</v>
      </c>
      <c r="BJ428" s="9">
        <f t="shared" si="25"/>
        <v>25241059</v>
      </c>
      <c r="BL428" s="9">
        <f>'Gov Fd Rv'!AQ428-'Gov Fnd Exp'!BJ428</f>
        <v>-6770471</v>
      </c>
      <c r="BN428" s="8">
        <v>18381141</v>
      </c>
      <c r="BP428" s="8">
        <v>0</v>
      </c>
      <c r="BT428" s="9">
        <f t="shared" si="26"/>
        <v>11610670</v>
      </c>
      <c r="BU428" s="9"/>
      <c r="BV428" s="9">
        <f>BT428-'Gov Fd BS'!AA434</f>
        <v>0</v>
      </c>
    </row>
    <row r="429" spans="1:76">
      <c r="A429" s="13" t="s">
        <v>659</v>
      </c>
      <c r="B429" s="13"/>
      <c r="C429" s="13" t="s">
        <v>62</v>
      </c>
      <c r="D429" s="13"/>
      <c r="E429" s="32">
        <v>49916</v>
      </c>
      <c r="G429" s="8">
        <v>3605237</v>
      </c>
      <c r="I429" s="8">
        <v>782423</v>
      </c>
      <c r="K429" s="8">
        <v>147677</v>
      </c>
      <c r="M429" s="8">
        <v>857554</v>
      </c>
      <c r="O429" s="8">
        <v>297663</v>
      </c>
      <c r="Q429" s="8">
        <v>171167</v>
      </c>
      <c r="S429" s="8">
        <v>23296</v>
      </c>
      <c r="U429" s="8">
        <v>753999</v>
      </c>
      <c r="W429" s="8">
        <v>259894</v>
      </c>
      <c r="Y429" s="8">
        <v>10880</v>
      </c>
      <c r="AA429" s="8">
        <v>711426</v>
      </c>
      <c r="AC429" s="8">
        <v>608987</v>
      </c>
      <c r="AE429" s="8">
        <v>25588</v>
      </c>
      <c r="AG429" s="8">
        <v>350262</v>
      </c>
      <c r="AI429" s="8">
        <v>23542</v>
      </c>
      <c r="AJ429" s="13" t="s">
        <v>659</v>
      </c>
      <c r="AK429" s="13"/>
      <c r="AL429" s="13" t="s">
        <v>62</v>
      </c>
      <c r="AN429" s="8">
        <v>401742</v>
      </c>
      <c r="AP429" s="8">
        <v>8895947</v>
      </c>
      <c r="AR429" s="8">
        <v>0</v>
      </c>
      <c r="AT429" s="8">
        <v>25000</v>
      </c>
      <c r="AV429" s="8">
        <v>343956</v>
      </c>
      <c r="AX429" s="8">
        <v>0</v>
      </c>
      <c r="AZ429" s="9">
        <f t="shared" si="28"/>
        <v>18296240</v>
      </c>
      <c r="BB429" s="8">
        <v>15684</v>
      </c>
      <c r="BH429" s="8">
        <v>0</v>
      </c>
      <c r="BJ429" s="9">
        <f t="shared" ref="BJ429:BJ485" si="29">AZ429+BB429+BH429</f>
        <v>18311924</v>
      </c>
      <c r="BL429" s="9">
        <f>'Gov Fd Rv'!AQ429-'Gov Fnd Exp'!BJ429</f>
        <v>-2721518</v>
      </c>
      <c r="BN429" s="8">
        <v>18126329</v>
      </c>
      <c r="BP429" s="8">
        <v>0</v>
      </c>
      <c r="BT429" s="9">
        <f t="shared" si="26"/>
        <v>15404811</v>
      </c>
      <c r="BU429" s="9"/>
      <c r="BV429" s="9">
        <f>BT429-'Gov Fd BS'!AA435</f>
        <v>0</v>
      </c>
    </row>
    <row r="430" spans="1:76">
      <c r="A430" s="13" t="s">
        <v>737</v>
      </c>
      <c r="B430" s="13"/>
      <c r="C430" s="13" t="s">
        <v>72</v>
      </c>
      <c r="D430" s="13"/>
      <c r="E430" s="32">
        <v>50724</v>
      </c>
      <c r="G430" s="8">
        <v>7020315</v>
      </c>
      <c r="I430" s="8">
        <v>2369115</v>
      </c>
      <c r="K430" s="8">
        <v>43860</v>
      </c>
      <c r="M430" s="8">
        <v>0</v>
      </c>
      <c r="O430" s="8">
        <v>667211</v>
      </c>
      <c r="Q430" s="8">
        <v>702363</v>
      </c>
      <c r="S430" s="8">
        <v>20265</v>
      </c>
      <c r="U430" s="8">
        <v>1162398</v>
      </c>
      <c r="W430" s="8">
        <v>385167</v>
      </c>
      <c r="Y430" s="8">
        <v>1128</v>
      </c>
      <c r="AA430" s="8">
        <v>1202948</v>
      </c>
      <c r="AC430" s="8">
        <v>839913</v>
      </c>
      <c r="AE430" s="8">
        <v>0</v>
      </c>
      <c r="AG430" s="8">
        <v>0</v>
      </c>
      <c r="AI430" s="8">
        <v>661288</v>
      </c>
      <c r="AJ430" s="13" t="s">
        <v>737</v>
      </c>
      <c r="AK430" s="13"/>
      <c r="AL430" s="13" t="s">
        <v>72</v>
      </c>
      <c r="AN430" s="8">
        <v>383452</v>
      </c>
      <c r="AP430" s="8">
        <v>91398</v>
      </c>
      <c r="AR430" s="8">
        <v>0</v>
      </c>
      <c r="AT430" s="8">
        <v>500000</v>
      </c>
      <c r="AV430" s="8">
        <v>682454</v>
      </c>
      <c r="AX430" s="8">
        <v>0</v>
      </c>
      <c r="AZ430" s="9">
        <f t="shared" si="28"/>
        <v>16733275</v>
      </c>
      <c r="BB430" s="8">
        <v>35000</v>
      </c>
      <c r="BH430" s="8">
        <v>0</v>
      </c>
      <c r="BJ430" s="9">
        <f t="shared" si="29"/>
        <v>16768275</v>
      </c>
      <c r="BL430" s="9">
        <f>'Gov Fd Rv'!AQ430-'Gov Fnd Exp'!BJ430</f>
        <v>-152482</v>
      </c>
      <c r="BN430" s="8">
        <v>2348217</v>
      </c>
      <c r="BP430" s="8">
        <v>0</v>
      </c>
      <c r="BT430" s="9">
        <f t="shared" si="26"/>
        <v>2195735</v>
      </c>
      <c r="BU430" s="9"/>
      <c r="BV430" s="9">
        <f>BT430-'Gov Fd BS'!AA436</f>
        <v>0</v>
      </c>
    </row>
    <row r="431" spans="1:76">
      <c r="A431" s="13" t="s">
        <v>499</v>
      </c>
      <c r="B431" s="13"/>
      <c r="C431" s="13" t="s">
        <v>117</v>
      </c>
      <c r="D431" s="13"/>
      <c r="E431" s="32">
        <v>48215</v>
      </c>
      <c r="G431" s="8">
        <v>9024589</v>
      </c>
      <c r="I431" s="8">
        <v>0</v>
      </c>
      <c r="K431" s="8">
        <v>0</v>
      </c>
      <c r="M431" s="8">
        <v>0</v>
      </c>
      <c r="O431" s="8">
        <v>686778</v>
      </c>
      <c r="Q431" s="8">
        <v>587687</v>
      </c>
      <c r="S431" s="8">
        <v>24564</v>
      </c>
      <c r="U431" s="8">
        <v>971145</v>
      </c>
      <c r="W431" s="8">
        <v>461003</v>
      </c>
      <c r="Y431" s="8">
        <v>0</v>
      </c>
      <c r="AA431" s="8">
        <v>1642166</v>
      </c>
      <c r="AC431" s="8">
        <v>44726</v>
      </c>
      <c r="AE431" s="8">
        <v>50433</v>
      </c>
      <c r="AG431" s="8">
        <v>0</v>
      </c>
      <c r="AI431" s="8">
        <v>368955</v>
      </c>
      <c r="AJ431" s="13" t="s">
        <v>499</v>
      </c>
      <c r="AK431" s="13"/>
      <c r="AL431" s="13" t="s">
        <v>117</v>
      </c>
      <c r="AN431" s="8">
        <v>733514</v>
      </c>
      <c r="AP431" s="8">
        <v>12978</v>
      </c>
      <c r="AR431" s="8">
        <v>0</v>
      </c>
      <c r="AT431" s="8">
        <v>295000</v>
      </c>
      <c r="AV431" s="8">
        <v>180619</v>
      </c>
      <c r="AX431" s="8">
        <v>0</v>
      </c>
      <c r="AZ431" s="9">
        <f t="shared" si="28"/>
        <v>15084157</v>
      </c>
      <c r="BB431" s="8">
        <v>168050</v>
      </c>
      <c r="BH431" s="8">
        <v>0</v>
      </c>
      <c r="BJ431" s="9">
        <f t="shared" si="29"/>
        <v>15252207</v>
      </c>
      <c r="BL431" s="9">
        <f>'Gov Fd Rv'!AQ431-'Gov Fnd Exp'!BJ431</f>
        <v>-369386</v>
      </c>
      <c r="BN431" s="8">
        <v>6736963</v>
      </c>
      <c r="BP431" s="8">
        <v>0</v>
      </c>
      <c r="BT431" s="9">
        <f t="shared" ref="BT431:BT485" si="30">BL431+BN431+BP431+BR431</f>
        <v>6367577</v>
      </c>
      <c r="BU431" s="9"/>
      <c r="BV431" s="9">
        <f>BT431-'Gov Fd BS'!AA437</f>
        <v>0</v>
      </c>
      <c r="BX431" s="8" t="s">
        <v>1009</v>
      </c>
    </row>
    <row r="432" spans="1:76" hidden="1">
      <c r="A432" s="13" t="s">
        <v>1047</v>
      </c>
      <c r="B432" s="13"/>
      <c r="C432" s="13" t="s">
        <v>603</v>
      </c>
      <c r="D432" s="13"/>
      <c r="E432" s="32">
        <v>49379</v>
      </c>
      <c r="AJ432" s="13" t="s">
        <v>606</v>
      </c>
      <c r="AK432" s="13"/>
      <c r="AL432" s="13" t="s">
        <v>603</v>
      </c>
      <c r="AZ432" s="9">
        <f t="shared" ref="AZ432:AZ485" si="31">SUM(G432:AX432)</f>
        <v>0</v>
      </c>
      <c r="BJ432" s="9">
        <f t="shared" si="29"/>
        <v>0</v>
      </c>
      <c r="BL432" s="9">
        <f>'Gov Fd Rv'!AQ432-'Gov Fnd Exp'!BJ432</f>
        <v>0</v>
      </c>
      <c r="BT432" s="9">
        <f t="shared" si="30"/>
        <v>0</v>
      </c>
      <c r="BU432" s="9"/>
      <c r="BV432" s="9">
        <f>BT432-'Gov Fd BS'!AA438</f>
        <v>0</v>
      </c>
    </row>
    <row r="433" spans="1:76" hidden="1">
      <c r="A433" s="13" t="s">
        <v>1046</v>
      </c>
      <c r="B433" s="13"/>
      <c r="C433" s="13" t="s">
        <v>603</v>
      </c>
      <c r="D433" s="13"/>
      <c r="E433" s="32">
        <v>49387</v>
      </c>
      <c r="AJ433" s="13" t="s">
        <v>607</v>
      </c>
      <c r="AK433" s="13"/>
      <c r="AL433" s="13" t="s">
        <v>603</v>
      </c>
      <c r="AZ433" s="9">
        <f t="shared" si="31"/>
        <v>0</v>
      </c>
      <c r="BJ433" s="9">
        <f t="shared" si="29"/>
        <v>0</v>
      </c>
      <c r="BL433" s="9">
        <f>'Gov Fd Rv'!AQ433-'Gov Fnd Exp'!BJ433</f>
        <v>0</v>
      </c>
      <c r="BT433" s="9">
        <f t="shared" si="30"/>
        <v>0</v>
      </c>
      <c r="BU433" s="9"/>
      <c r="BV433" s="9">
        <f>BT433-'Gov Fd BS'!AA439</f>
        <v>0</v>
      </c>
    </row>
    <row r="434" spans="1:76">
      <c r="A434" s="13" t="s">
        <v>461</v>
      </c>
      <c r="B434" s="13"/>
      <c r="C434" s="13" t="s">
        <v>41</v>
      </c>
      <c r="D434" s="13"/>
      <c r="E434" s="32">
        <v>44628</v>
      </c>
      <c r="G434" s="8">
        <v>14322357</v>
      </c>
      <c r="I434" s="8">
        <v>4840916</v>
      </c>
      <c r="K434" s="8">
        <v>365189</v>
      </c>
      <c r="M434" s="8">
        <v>2851734</v>
      </c>
      <c r="O434" s="8">
        <v>2367999</v>
      </c>
      <c r="Q434" s="8">
        <v>2322157</v>
      </c>
      <c r="S434" s="8">
        <v>120639</v>
      </c>
      <c r="U434" s="8">
        <v>3843775</v>
      </c>
      <c r="W434" s="8">
        <v>622772</v>
      </c>
      <c r="Y434" s="8">
        <v>91279</v>
      </c>
      <c r="AA434" s="8">
        <v>2999159</v>
      </c>
      <c r="AC434" s="8">
        <v>1355139</v>
      </c>
      <c r="AE434" s="8">
        <v>427684</v>
      </c>
      <c r="AG434" s="8">
        <v>0</v>
      </c>
      <c r="AI434" s="8">
        <v>2286790</v>
      </c>
      <c r="AJ434" s="13" t="s">
        <v>461</v>
      </c>
      <c r="AK434" s="13"/>
      <c r="AL434" s="13" t="s">
        <v>41</v>
      </c>
      <c r="AN434" s="8">
        <v>591102</v>
      </c>
      <c r="AP434" s="8">
        <v>21539735</v>
      </c>
      <c r="AR434" s="8">
        <v>0</v>
      </c>
      <c r="AT434" s="8">
        <v>631390</v>
      </c>
      <c r="AV434" s="8">
        <v>1379178</v>
      </c>
      <c r="AX434" s="8">
        <v>0</v>
      </c>
      <c r="AZ434" s="9">
        <f t="shared" si="31"/>
        <v>62958994</v>
      </c>
      <c r="BB434" s="8">
        <v>408577</v>
      </c>
      <c r="BH434" s="8">
        <v>0</v>
      </c>
      <c r="BJ434" s="9">
        <f t="shared" si="29"/>
        <v>63367571</v>
      </c>
      <c r="BL434" s="9">
        <f>'Gov Fd Rv'!AQ434-'Gov Fnd Exp'!BJ434</f>
        <v>-13389152</v>
      </c>
      <c r="BN434" s="8">
        <v>24455528</v>
      </c>
      <c r="BP434" s="8">
        <v>0</v>
      </c>
      <c r="BT434" s="9">
        <f t="shared" si="30"/>
        <v>11066376</v>
      </c>
      <c r="BU434" s="9"/>
      <c r="BV434" s="9">
        <f>BT434-'Gov Fd BS'!AA440</f>
        <v>0</v>
      </c>
    </row>
    <row r="435" spans="1:76" hidden="1">
      <c r="A435" s="12" t="s">
        <v>1003</v>
      </c>
      <c r="B435" s="13"/>
      <c r="C435" s="13" t="s">
        <v>41</v>
      </c>
      <c r="D435" s="13"/>
      <c r="E435" s="32">
        <v>47894</v>
      </c>
      <c r="AJ435" s="13" t="s">
        <v>462</v>
      </c>
      <c r="AK435" s="13"/>
      <c r="AL435" s="13" t="s">
        <v>41</v>
      </c>
      <c r="AZ435" s="9">
        <f t="shared" si="31"/>
        <v>0</v>
      </c>
      <c r="BJ435" s="9">
        <f t="shared" si="29"/>
        <v>0</v>
      </c>
      <c r="BL435" s="9">
        <f>'Gov Fd Rv'!AQ435-'Gov Fnd Exp'!BJ435</f>
        <v>0</v>
      </c>
      <c r="BT435" s="9">
        <f t="shared" si="30"/>
        <v>0</v>
      </c>
      <c r="BU435" s="9"/>
      <c r="BV435" s="9">
        <f>BT435-'Gov Fd BS'!AA441</f>
        <v>0</v>
      </c>
      <c r="BX435" s="8" t="s">
        <v>1029</v>
      </c>
    </row>
    <row r="436" spans="1:76">
      <c r="A436" s="13" t="s">
        <v>619</v>
      </c>
      <c r="B436" s="13"/>
      <c r="C436" s="13" t="s">
        <v>58</v>
      </c>
      <c r="D436" s="13"/>
      <c r="E436" s="32">
        <v>49510</v>
      </c>
      <c r="G436" s="8">
        <v>4432342</v>
      </c>
      <c r="I436" s="8">
        <v>1524889</v>
      </c>
      <c r="K436" s="8">
        <v>1185</v>
      </c>
      <c r="M436" s="8">
        <v>772527</v>
      </c>
      <c r="O436" s="8">
        <v>328733</v>
      </c>
      <c r="Q436" s="8">
        <v>256894</v>
      </c>
      <c r="S436" s="8">
        <v>180083</v>
      </c>
      <c r="U436" s="8">
        <v>620394</v>
      </c>
      <c r="W436" s="8">
        <v>281352</v>
      </c>
      <c r="Y436" s="8">
        <v>0</v>
      </c>
      <c r="AA436" s="8">
        <v>921987</v>
      </c>
      <c r="AC436" s="8">
        <v>543431</v>
      </c>
      <c r="AE436" s="8">
        <v>0</v>
      </c>
      <c r="AG436" s="8">
        <v>0</v>
      </c>
      <c r="AI436" s="8">
        <v>319369</v>
      </c>
      <c r="AJ436" s="13" t="s">
        <v>619</v>
      </c>
      <c r="AK436" s="13"/>
      <c r="AL436" s="13" t="s">
        <v>58</v>
      </c>
      <c r="AN436" s="8">
        <v>257535</v>
      </c>
      <c r="AP436" s="8">
        <v>75558</v>
      </c>
      <c r="AR436" s="8">
        <v>0</v>
      </c>
      <c r="AT436" s="8">
        <v>91124</v>
      </c>
      <c r="AV436" s="8">
        <v>91695</v>
      </c>
      <c r="AX436" s="8">
        <v>0</v>
      </c>
      <c r="AZ436" s="9">
        <f t="shared" si="31"/>
        <v>10699098</v>
      </c>
      <c r="BB436" s="8">
        <v>16881</v>
      </c>
      <c r="BH436" s="8">
        <v>0</v>
      </c>
      <c r="BJ436" s="9">
        <f t="shared" si="29"/>
        <v>10715979</v>
      </c>
      <c r="BL436" s="9">
        <f>'Gov Fd Rv'!AQ436-'Gov Fnd Exp'!BJ436</f>
        <v>596497</v>
      </c>
      <c r="BN436" s="8">
        <v>3525027</v>
      </c>
      <c r="BP436" s="8">
        <v>0</v>
      </c>
      <c r="BT436" s="9">
        <f t="shared" si="30"/>
        <v>4121524</v>
      </c>
      <c r="BU436" s="9"/>
      <c r="BV436" s="9">
        <f>BT436-'Gov Fd BS'!AA442</f>
        <v>0</v>
      </c>
      <c r="BX436" s="8" t="s">
        <v>956</v>
      </c>
    </row>
    <row r="437" spans="1:76" hidden="1">
      <c r="A437" s="12" t="s">
        <v>1004</v>
      </c>
      <c r="B437" s="13"/>
      <c r="C437" s="13" t="s">
        <v>603</v>
      </c>
      <c r="D437" s="13"/>
      <c r="E437" s="32">
        <v>49395</v>
      </c>
      <c r="AJ437" s="13" t="s">
        <v>608</v>
      </c>
      <c r="AK437" s="13"/>
      <c r="AL437" s="13" t="s">
        <v>603</v>
      </c>
      <c r="AZ437" s="9">
        <f t="shared" si="31"/>
        <v>0</v>
      </c>
      <c r="BJ437" s="9">
        <f t="shared" si="29"/>
        <v>0</v>
      </c>
      <c r="BL437" s="9">
        <f>'Gov Fd Rv'!AQ437-'Gov Fnd Exp'!BJ437</f>
        <v>0</v>
      </c>
      <c r="BT437" s="9">
        <f t="shared" si="30"/>
        <v>0</v>
      </c>
      <c r="BU437" s="9"/>
      <c r="BV437" s="9">
        <f>BT437-'Gov Fd BS'!AA443</f>
        <v>0</v>
      </c>
    </row>
    <row r="438" spans="1:76" hidden="1">
      <c r="A438" s="12" t="s">
        <v>1005</v>
      </c>
      <c r="B438" s="13"/>
      <c r="C438" s="13" t="s">
        <v>534</v>
      </c>
      <c r="D438" s="13"/>
      <c r="E438" s="32">
        <v>48579</v>
      </c>
      <c r="G438" s="8">
        <v>4393755</v>
      </c>
      <c r="I438" s="8">
        <v>2123060</v>
      </c>
      <c r="K438" s="8">
        <v>192266</v>
      </c>
      <c r="M438" s="8">
        <v>14799</v>
      </c>
      <c r="O438" s="8">
        <v>289428</v>
      </c>
      <c r="Q438" s="8">
        <v>490602</v>
      </c>
      <c r="S438" s="8">
        <v>14803</v>
      </c>
      <c r="U438" s="8">
        <v>776378</v>
      </c>
      <c r="W438" s="8">
        <v>362265</v>
      </c>
      <c r="AA438" s="8">
        <v>1035013</v>
      </c>
      <c r="AC438" s="8">
        <v>451648</v>
      </c>
      <c r="AE438" s="8">
        <v>41140</v>
      </c>
      <c r="AG438" s="8">
        <v>416550</v>
      </c>
      <c r="AI438" s="8">
        <v>64189</v>
      </c>
      <c r="AJ438" s="13" t="s">
        <v>535</v>
      </c>
      <c r="AK438" s="13"/>
      <c r="AL438" s="13" t="s">
        <v>534</v>
      </c>
      <c r="AN438" s="8">
        <v>324203</v>
      </c>
      <c r="AP438" s="8">
        <v>50843</v>
      </c>
      <c r="AT438" s="8">
        <v>325000</v>
      </c>
      <c r="AV438" s="8">
        <v>429349</v>
      </c>
      <c r="AZ438" s="9">
        <f t="shared" si="31"/>
        <v>11795291</v>
      </c>
      <c r="BH438" s="8">
        <f>40-440-3336-36141-18426</f>
        <v>-58303</v>
      </c>
      <c r="BJ438" s="9">
        <f t="shared" si="29"/>
        <v>11736988</v>
      </c>
      <c r="BL438" s="9">
        <f>'Gov Fd Rv'!AQ438-'Gov Fnd Exp'!BJ438</f>
        <v>54143</v>
      </c>
      <c r="BN438" s="8">
        <v>5557499</v>
      </c>
      <c r="BT438" s="9">
        <f t="shared" si="30"/>
        <v>5611642</v>
      </c>
      <c r="BU438" s="9"/>
      <c r="BV438" s="9">
        <f>BT438-'Gov Fd BS'!AA444</f>
        <v>0</v>
      </c>
    </row>
    <row r="439" spans="1:76">
      <c r="A439" s="13" t="s">
        <v>317</v>
      </c>
      <c r="B439" s="13"/>
      <c r="C439" s="13" t="s">
        <v>20</v>
      </c>
      <c r="D439" s="13"/>
      <c r="E439" s="32">
        <v>44636</v>
      </c>
      <c r="G439" s="8">
        <v>59011239</v>
      </c>
      <c r="I439" s="8">
        <v>19299642</v>
      </c>
      <c r="K439" s="8">
        <v>3846027</v>
      </c>
      <c r="M439" s="8">
        <f>125978+142599</f>
        <v>268577</v>
      </c>
      <c r="O439" s="8">
        <v>9481989</v>
      </c>
      <c r="Q439" s="8">
        <v>6481963</v>
      </c>
      <c r="S439" s="8">
        <v>1034446</v>
      </c>
      <c r="U439" s="8">
        <v>11978219</v>
      </c>
      <c r="W439" s="8">
        <v>2373039</v>
      </c>
      <c r="Y439" s="8">
        <v>1176664</v>
      </c>
      <c r="AA439" s="8">
        <v>12077291</v>
      </c>
      <c r="AC439" s="8">
        <v>6974935</v>
      </c>
      <c r="AE439" s="8">
        <v>2783453</v>
      </c>
      <c r="AG439" s="8">
        <v>0</v>
      </c>
      <c r="AI439" s="8">
        <v>4327021</v>
      </c>
      <c r="AJ439" s="13" t="s">
        <v>317</v>
      </c>
      <c r="AK439" s="13"/>
      <c r="AL439" s="13" t="s">
        <v>20</v>
      </c>
      <c r="AN439" s="8">
        <v>3109737</v>
      </c>
      <c r="AP439" s="8">
        <v>973548</v>
      </c>
      <c r="AR439" s="8">
        <v>0</v>
      </c>
      <c r="AT439" s="8">
        <v>5277758</v>
      </c>
      <c r="AV439" s="8">
        <v>2131773</v>
      </c>
      <c r="AX439" s="8">
        <v>0</v>
      </c>
      <c r="AZ439" s="9">
        <f t="shared" si="31"/>
        <v>152607321</v>
      </c>
      <c r="BB439" s="8">
        <v>313246</v>
      </c>
      <c r="BH439" s="8">
        <v>0</v>
      </c>
      <c r="BJ439" s="9">
        <f t="shared" si="29"/>
        <v>152920567</v>
      </c>
      <c r="BL439" s="9">
        <f>'Gov Fd Rv'!AQ439-'Gov Fnd Exp'!BJ439</f>
        <v>-4593952</v>
      </c>
      <c r="BN439" s="8">
        <v>17679797</v>
      </c>
      <c r="BP439" s="8">
        <v>0</v>
      </c>
      <c r="BT439" s="9">
        <f t="shared" si="30"/>
        <v>13085845</v>
      </c>
      <c r="BU439" s="9"/>
      <c r="BV439" s="9">
        <f>BT439-'Gov Fd BS'!AA445</f>
        <v>0</v>
      </c>
    </row>
    <row r="440" spans="1:76">
      <c r="A440" s="13"/>
      <c r="B440" s="13"/>
      <c r="C440" s="13"/>
      <c r="D440" s="13"/>
      <c r="E440" s="32"/>
      <c r="AJ440" s="13"/>
      <c r="AK440" s="13"/>
      <c r="AL440" s="13"/>
      <c r="AZ440" s="9"/>
      <c r="BJ440" s="9"/>
      <c r="BL440" s="9"/>
      <c r="BT440" s="9"/>
      <c r="BU440" s="9"/>
      <c r="BV440" s="9"/>
    </row>
    <row r="441" spans="1:76">
      <c r="A441" s="13"/>
      <c r="B441" s="13"/>
      <c r="C441" s="13"/>
      <c r="D441" s="13"/>
      <c r="E441" s="32"/>
      <c r="AI441" s="8" t="s">
        <v>805</v>
      </c>
      <c r="AJ441" s="13"/>
      <c r="AK441" s="13"/>
      <c r="AL441" s="13"/>
      <c r="AZ441" s="9"/>
      <c r="BJ441" s="9"/>
      <c r="BL441" s="9"/>
      <c r="BT441" s="8" t="s">
        <v>805</v>
      </c>
      <c r="BU441" s="9"/>
      <c r="BV441" s="9"/>
    </row>
    <row r="442" spans="1:76">
      <c r="A442" s="13"/>
      <c r="B442" s="13"/>
      <c r="C442" s="13"/>
      <c r="D442" s="13"/>
      <c r="E442" s="32"/>
      <c r="AJ442" s="13"/>
      <c r="AK442" s="13"/>
      <c r="AL442" s="13"/>
      <c r="AZ442" s="9"/>
      <c r="BJ442" s="9"/>
      <c r="BL442" s="9"/>
      <c r="BT442" s="9"/>
      <c r="BU442" s="9"/>
      <c r="BV442" s="9"/>
    </row>
    <row r="443" spans="1:76">
      <c r="A443" s="13" t="s">
        <v>433</v>
      </c>
      <c r="B443" s="13"/>
      <c r="C443" s="13" t="s">
        <v>34</v>
      </c>
      <c r="D443" s="13"/>
      <c r="E443" s="32">
        <v>47597</v>
      </c>
      <c r="G443" s="35">
        <v>4630208</v>
      </c>
      <c r="H443" s="35"/>
      <c r="I443" s="35">
        <v>1244632</v>
      </c>
      <c r="J443" s="35"/>
      <c r="K443" s="35">
        <v>3232</v>
      </c>
      <c r="L443" s="35"/>
      <c r="M443" s="35">
        <v>404335</v>
      </c>
      <c r="N443" s="35"/>
      <c r="O443" s="35">
        <v>463431</v>
      </c>
      <c r="P443" s="35"/>
      <c r="Q443" s="35">
        <v>547285</v>
      </c>
      <c r="R443" s="35"/>
      <c r="S443" s="35">
        <v>34383</v>
      </c>
      <c r="T443" s="35"/>
      <c r="U443" s="35">
        <v>1012915</v>
      </c>
      <c r="V443" s="35"/>
      <c r="W443" s="35">
        <v>342711</v>
      </c>
      <c r="X443" s="35"/>
      <c r="Y443" s="35">
        <v>122378</v>
      </c>
      <c r="Z443" s="35"/>
      <c r="AA443" s="35">
        <v>970477</v>
      </c>
      <c r="AB443" s="35"/>
      <c r="AC443" s="35">
        <v>503963</v>
      </c>
      <c r="AD443" s="35"/>
      <c r="AE443" s="35">
        <v>224106</v>
      </c>
      <c r="AF443" s="35"/>
      <c r="AG443" s="35">
        <v>0</v>
      </c>
      <c r="AH443" s="35"/>
      <c r="AI443" s="35">
        <v>446161</v>
      </c>
      <c r="AJ443" s="13" t="s">
        <v>433</v>
      </c>
      <c r="AK443" s="13"/>
      <c r="AL443" s="13" t="s">
        <v>34</v>
      </c>
      <c r="AN443" s="35">
        <v>468244</v>
      </c>
      <c r="AO443" s="35"/>
      <c r="AP443" s="35">
        <v>841343</v>
      </c>
      <c r="AQ443" s="35"/>
      <c r="AR443" s="35">
        <v>0</v>
      </c>
      <c r="AS443" s="35"/>
      <c r="AT443" s="35">
        <v>301971</v>
      </c>
      <c r="AU443" s="35"/>
      <c r="AV443" s="35">
        <v>152021</v>
      </c>
      <c r="AW443" s="35"/>
      <c r="AX443" s="35">
        <v>0</v>
      </c>
      <c r="AY443" s="35"/>
      <c r="AZ443" s="44">
        <f t="shared" si="31"/>
        <v>12713796</v>
      </c>
      <c r="BA443" s="35"/>
      <c r="BB443" s="35">
        <v>79236</v>
      </c>
      <c r="BC443" s="35"/>
      <c r="BD443" s="35"/>
      <c r="BE443" s="35"/>
      <c r="BF443" s="35"/>
      <c r="BG443" s="35"/>
      <c r="BH443" s="35">
        <v>0</v>
      </c>
      <c r="BI443" s="35"/>
      <c r="BJ443" s="44">
        <f t="shared" si="29"/>
        <v>12793032</v>
      </c>
      <c r="BK443" s="35"/>
      <c r="BL443" s="44">
        <f>'Gov Fd Rv'!AQ443-'Gov Fnd Exp'!BJ443</f>
        <v>-622353</v>
      </c>
      <c r="BM443" s="35"/>
      <c r="BN443" s="35">
        <v>3064753</v>
      </c>
      <c r="BO443" s="35"/>
      <c r="BP443" s="35">
        <v>0</v>
      </c>
      <c r="BQ443" s="35"/>
      <c r="BR443" s="35"/>
      <c r="BS443" s="35"/>
      <c r="BT443" s="44">
        <f t="shared" si="30"/>
        <v>2442400</v>
      </c>
      <c r="BU443" s="9"/>
      <c r="BV443" s="9">
        <f>BT443-'Gov Fd BS'!AA446</f>
        <v>0</v>
      </c>
    </row>
    <row r="444" spans="1:76" hidden="1">
      <c r="A444" s="12" t="s">
        <v>1007</v>
      </c>
      <c r="B444" s="13"/>
      <c r="C444" s="13" t="s">
        <v>576</v>
      </c>
      <c r="D444" s="13"/>
      <c r="E444" s="32">
        <v>45575</v>
      </c>
      <c r="G444" s="8">
        <v>7736535</v>
      </c>
      <c r="I444" s="8">
        <v>1752772</v>
      </c>
      <c r="K444" s="8">
        <v>14732</v>
      </c>
      <c r="O444" s="8">
        <v>647626</v>
      </c>
      <c r="Q444" s="8">
        <v>635804</v>
      </c>
      <c r="S444" s="8">
        <v>65277</v>
      </c>
      <c r="U444" s="8">
        <v>1136385</v>
      </c>
      <c r="W444" s="8">
        <v>493422</v>
      </c>
      <c r="Y444" s="8">
        <v>84005</v>
      </c>
      <c r="AA444" s="8">
        <v>1303194</v>
      </c>
      <c r="AC444" s="8">
        <v>841416</v>
      </c>
      <c r="AE444" s="8">
        <v>5750</v>
      </c>
      <c r="AI444" s="8">
        <v>582147</v>
      </c>
      <c r="AJ444" s="13" t="s">
        <v>577</v>
      </c>
      <c r="AK444" s="13"/>
      <c r="AL444" s="13" t="s">
        <v>576</v>
      </c>
      <c r="AN444" s="8">
        <v>424456</v>
      </c>
      <c r="AP444" s="8">
        <v>198906</v>
      </c>
      <c r="AT444" s="8">
        <v>203377</v>
      </c>
      <c r="AV444" s="8">
        <v>389684</v>
      </c>
      <c r="AZ444" s="9">
        <f t="shared" si="31"/>
        <v>16515488</v>
      </c>
      <c r="BJ444" s="9">
        <f t="shared" si="29"/>
        <v>16515488</v>
      </c>
      <c r="BL444" s="9">
        <f>'Gov Fd Rv'!AQ444-'Gov Fnd Exp'!BJ444</f>
        <v>856533</v>
      </c>
      <c r="BN444" s="8">
        <v>2538111</v>
      </c>
      <c r="BT444" s="9">
        <f t="shared" si="30"/>
        <v>3394644</v>
      </c>
      <c r="BU444" s="9"/>
      <c r="BV444" s="9">
        <f>BT444-'Gov Fd BS'!AA447</f>
        <v>0</v>
      </c>
    </row>
    <row r="445" spans="1:76">
      <c r="A445" s="13" t="s">
        <v>340</v>
      </c>
      <c r="B445" s="13"/>
      <c r="C445" s="13" t="s">
        <v>24</v>
      </c>
      <c r="D445" s="13"/>
      <c r="E445" s="32">
        <v>46813</v>
      </c>
      <c r="G445" s="8">
        <v>10601144</v>
      </c>
      <c r="I445" s="8">
        <v>2885972</v>
      </c>
      <c r="K445" s="8">
        <v>143759</v>
      </c>
      <c r="M445" s="8">
        <v>408419</v>
      </c>
      <c r="O445" s="8">
        <v>1696833</v>
      </c>
      <c r="Q445" s="8">
        <v>1320029</v>
      </c>
      <c r="S445" s="8">
        <v>24255</v>
      </c>
      <c r="U445" s="8">
        <v>1538165</v>
      </c>
      <c r="W445" s="8">
        <v>576391</v>
      </c>
      <c r="Y445" s="8">
        <v>15795</v>
      </c>
      <c r="AA445" s="8">
        <v>1986302</v>
      </c>
      <c r="AC445" s="8">
        <v>888209</v>
      </c>
      <c r="AE445" s="8">
        <v>71113</v>
      </c>
      <c r="AG445" s="8">
        <v>925582</v>
      </c>
      <c r="AI445" s="8">
        <v>50961</v>
      </c>
      <c r="AJ445" s="13" t="s">
        <v>340</v>
      </c>
      <c r="AK445" s="13"/>
      <c r="AL445" s="13" t="s">
        <v>24</v>
      </c>
      <c r="AN445" s="8">
        <v>691268</v>
      </c>
      <c r="AP445" s="8">
        <f>1568407+2374148</f>
        <v>3942555</v>
      </c>
      <c r="AR445" s="8">
        <v>0</v>
      </c>
      <c r="AT445" s="8">
        <v>828240</v>
      </c>
      <c r="AV445" s="8">
        <v>78328</v>
      </c>
      <c r="AX445" s="8">
        <v>0</v>
      </c>
      <c r="AZ445" s="9">
        <f t="shared" si="31"/>
        <v>28673320</v>
      </c>
      <c r="BB445" s="8">
        <v>388572</v>
      </c>
      <c r="BH445" s="8">
        <v>0</v>
      </c>
      <c r="BJ445" s="9">
        <f t="shared" si="29"/>
        <v>29061892</v>
      </c>
      <c r="BL445" s="9">
        <f>'Gov Fd Rv'!AQ445-'Gov Fnd Exp'!BJ445</f>
        <v>-1290487</v>
      </c>
      <c r="BN445" s="8">
        <v>7415634</v>
      </c>
      <c r="BP445" s="8">
        <v>-13366</v>
      </c>
      <c r="BT445" s="9">
        <f t="shared" si="30"/>
        <v>6111781</v>
      </c>
      <c r="BU445" s="9"/>
      <c r="BV445" s="9">
        <f>BT445-'Gov Fd BS'!AA448</f>
        <v>0</v>
      </c>
    </row>
    <row r="446" spans="1:76" hidden="1">
      <c r="A446" s="12" t="s">
        <v>1008</v>
      </c>
      <c r="B446" s="12"/>
      <c r="C446" s="12" t="s">
        <v>10</v>
      </c>
      <c r="D446" s="13"/>
      <c r="E446" s="32"/>
      <c r="G446" s="8">
        <v>2886120</v>
      </c>
      <c r="I446" s="8">
        <v>834602</v>
      </c>
      <c r="M446" s="8">
        <v>912804</v>
      </c>
      <c r="O446" s="8">
        <v>194042</v>
      </c>
      <c r="Q446" s="8">
        <v>237809</v>
      </c>
      <c r="S446" s="8">
        <v>32168</v>
      </c>
      <c r="U446" s="8">
        <v>593508</v>
      </c>
      <c r="W446" s="8">
        <v>248131</v>
      </c>
      <c r="AA446" s="8">
        <v>764758</v>
      </c>
      <c r="AC446" s="8">
        <v>327285</v>
      </c>
      <c r="AE446" s="8">
        <v>2240</v>
      </c>
      <c r="AG446" s="8">
        <v>417694</v>
      </c>
      <c r="AJ446" s="12" t="s">
        <v>1008</v>
      </c>
      <c r="AK446" s="12"/>
      <c r="AL446" s="12" t="s">
        <v>10</v>
      </c>
      <c r="AN446" s="8">
        <v>294021</v>
      </c>
      <c r="AP446" s="8">
        <v>35745</v>
      </c>
      <c r="AT446" s="8">
        <v>173184</v>
      </c>
      <c r="AV446" s="8">
        <v>203164</v>
      </c>
      <c r="AZ446" s="9">
        <f t="shared" si="31"/>
        <v>8157275</v>
      </c>
      <c r="BJ446" s="9">
        <f t="shared" si="29"/>
        <v>8157275</v>
      </c>
      <c r="BL446" s="9">
        <f>'Gov Fd Rv'!AQ446-'Gov Fnd Exp'!BJ446</f>
        <v>-69032</v>
      </c>
      <c r="BN446" s="8">
        <v>3145585</v>
      </c>
      <c r="BT446" s="9">
        <f t="shared" si="30"/>
        <v>3076553</v>
      </c>
      <c r="BU446" s="9"/>
      <c r="BV446" s="9">
        <f>BT446-'Gov Fd BS'!AA449</f>
        <v>0</v>
      </c>
    </row>
    <row r="447" spans="1:76">
      <c r="A447" s="13" t="s">
        <v>211</v>
      </c>
      <c r="B447" s="13"/>
      <c r="C447" s="13" t="s">
        <v>41</v>
      </c>
      <c r="D447" s="13"/>
      <c r="E447" s="32">
        <v>47902</v>
      </c>
      <c r="G447" s="8">
        <v>10580613</v>
      </c>
      <c r="I447" s="8">
        <v>1297463</v>
      </c>
      <c r="K447" s="8">
        <v>109693</v>
      </c>
      <c r="M447" s="8">
        <v>773955</v>
      </c>
      <c r="O447" s="8">
        <v>1072344</v>
      </c>
      <c r="Q447" s="8">
        <v>1624412</v>
      </c>
      <c r="S447" s="8">
        <v>86509</v>
      </c>
      <c r="U447" s="8">
        <v>1683482</v>
      </c>
      <c r="W447" s="8">
        <v>725078</v>
      </c>
      <c r="Y447" s="8">
        <v>115727</v>
      </c>
      <c r="AA447" s="8">
        <v>4126267</v>
      </c>
      <c r="AC447" s="8">
        <v>1308781</v>
      </c>
      <c r="AE447" s="8">
        <v>37888</v>
      </c>
      <c r="AG447" s="8">
        <v>938928</v>
      </c>
      <c r="AI447" s="8">
        <f>214538+194898</f>
        <v>409436</v>
      </c>
      <c r="AJ447" s="13" t="s">
        <v>211</v>
      </c>
      <c r="AK447" s="13"/>
      <c r="AL447" s="13" t="s">
        <v>41</v>
      </c>
      <c r="AN447" s="8">
        <v>1224804</v>
      </c>
      <c r="AP447" s="8">
        <v>142859</v>
      </c>
      <c r="AR447" s="8">
        <v>0</v>
      </c>
      <c r="AT447" s="8">
        <v>194737</v>
      </c>
      <c r="AV447" s="8">
        <v>67546</v>
      </c>
      <c r="AX447" s="8">
        <v>0</v>
      </c>
      <c r="AZ447" s="9">
        <f t="shared" si="31"/>
        <v>26520522</v>
      </c>
      <c r="BB447" s="8">
        <v>2753500</v>
      </c>
      <c r="BH447" s="8">
        <v>0</v>
      </c>
      <c r="BJ447" s="9">
        <f t="shared" si="29"/>
        <v>29274022</v>
      </c>
      <c r="BL447" s="9">
        <f>'Gov Fd Rv'!AQ447-'Gov Fnd Exp'!BJ447</f>
        <v>3093273</v>
      </c>
      <c r="BN447" s="8">
        <v>27185144</v>
      </c>
      <c r="BP447" s="8">
        <v>0</v>
      </c>
      <c r="BT447" s="9">
        <f t="shared" si="30"/>
        <v>30278417</v>
      </c>
      <c r="BU447" s="9"/>
      <c r="BV447" s="9">
        <f>BT447-'Gov Fd BS'!AA450</f>
        <v>0</v>
      </c>
    </row>
    <row r="448" spans="1:76">
      <c r="A448" s="13" t="s">
        <v>211</v>
      </c>
      <c r="B448" s="13"/>
      <c r="C448" s="13" t="s">
        <v>62</v>
      </c>
      <c r="D448" s="13"/>
      <c r="E448" s="32">
        <v>49924</v>
      </c>
      <c r="G448" s="8">
        <v>18606688</v>
      </c>
      <c r="I448" s="8">
        <v>4204027</v>
      </c>
      <c r="K448" s="8">
        <v>2242034</v>
      </c>
      <c r="M448" s="8">
        <f>23080+327469+4746</f>
        <v>355295</v>
      </c>
      <c r="O448" s="8">
        <v>2973609</v>
      </c>
      <c r="Q448" s="8">
        <v>1628894</v>
      </c>
      <c r="S448" s="8">
        <v>138644</v>
      </c>
      <c r="U448" s="8">
        <v>2985691</v>
      </c>
      <c r="W448" s="8">
        <v>732858</v>
      </c>
      <c r="Y448" s="8">
        <v>183085</v>
      </c>
      <c r="AA448" s="8">
        <v>3937771</v>
      </c>
      <c r="AC448" s="8">
        <v>2322467</v>
      </c>
      <c r="AE448" s="8">
        <v>510216</v>
      </c>
      <c r="AG448" s="8">
        <v>1735479</v>
      </c>
      <c r="AI448" s="8">
        <v>366826</v>
      </c>
      <c r="AJ448" s="13" t="s">
        <v>211</v>
      </c>
      <c r="AK448" s="13"/>
      <c r="AL448" s="13" t="s">
        <v>62</v>
      </c>
      <c r="AN448" s="8">
        <v>1077309</v>
      </c>
      <c r="AP448" s="8">
        <v>853240</v>
      </c>
      <c r="AR448" s="8">
        <v>0</v>
      </c>
      <c r="AT448" s="8">
        <v>115000</v>
      </c>
      <c r="AV448" s="8">
        <v>15451</v>
      </c>
      <c r="AX448" s="8">
        <v>0</v>
      </c>
      <c r="AZ448" s="9">
        <f t="shared" si="31"/>
        <v>44984584</v>
      </c>
      <c r="BB448" s="8">
        <v>0</v>
      </c>
      <c r="BH448" s="8">
        <v>0</v>
      </c>
      <c r="BJ448" s="9">
        <f t="shared" si="29"/>
        <v>44984584</v>
      </c>
      <c r="BL448" s="9">
        <f>'Gov Fd Rv'!AQ448-'Gov Fnd Exp'!BJ448</f>
        <v>2648299</v>
      </c>
      <c r="BN448" s="8">
        <v>24292049</v>
      </c>
      <c r="BP448" s="8">
        <v>0</v>
      </c>
      <c r="BT448" s="9">
        <f t="shared" si="30"/>
        <v>26940348</v>
      </c>
      <c r="BU448" s="9"/>
      <c r="BV448" s="9">
        <f>BT448-'Gov Fd BS'!AA451</f>
        <v>0</v>
      </c>
    </row>
    <row r="449" spans="1:76">
      <c r="A449" s="13" t="s">
        <v>738</v>
      </c>
      <c r="B449" s="13"/>
      <c r="C449" s="13" t="s">
        <v>72</v>
      </c>
      <c r="D449" s="13"/>
      <c r="E449" s="32">
        <v>45583</v>
      </c>
      <c r="G449" s="8">
        <v>21791581</v>
      </c>
      <c r="I449" s="8">
        <v>4574067</v>
      </c>
      <c r="K449" s="8">
        <v>0</v>
      </c>
      <c r="M449" s="8">
        <v>255613</v>
      </c>
      <c r="O449" s="8">
        <v>2555001</v>
      </c>
      <c r="Q449" s="8">
        <v>745393</v>
      </c>
      <c r="S449" s="8">
        <v>42434</v>
      </c>
      <c r="U449" s="8">
        <v>2525913</v>
      </c>
      <c r="W449" s="8">
        <v>871420</v>
      </c>
      <c r="Y449" s="8">
        <v>170898</v>
      </c>
      <c r="AA449" s="8">
        <v>5487261</v>
      </c>
      <c r="AC449" s="8">
        <v>1823083</v>
      </c>
      <c r="AE449" s="8">
        <v>824037</v>
      </c>
      <c r="AG449" s="8">
        <v>0</v>
      </c>
      <c r="AI449" s="8">
        <v>405383</v>
      </c>
      <c r="AJ449" s="13" t="s">
        <v>738</v>
      </c>
      <c r="AK449" s="13"/>
      <c r="AL449" s="13" t="s">
        <v>72</v>
      </c>
      <c r="AN449" s="8">
        <v>1514234</v>
      </c>
      <c r="AP449" s="8">
        <v>94312</v>
      </c>
      <c r="AR449" s="8">
        <v>0</v>
      </c>
      <c r="AT449" s="8">
        <v>1650202</v>
      </c>
      <c r="AV449" s="8">
        <v>1402734</v>
      </c>
      <c r="AX449" s="8">
        <v>0</v>
      </c>
      <c r="AZ449" s="9">
        <f t="shared" si="31"/>
        <v>46733566</v>
      </c>
      <c r="BB449" s="8">
        <v>447892</v>
      </c>
      <c r="BH449" s="8">
        <v>0</v>
      </c>
      <c r="BJ449" s="9">
        <f t="shared" si="29"/>
        <v>47181458</v>
      </c>
      <c r="BL449" s="9">
        <f>'Gov Fd Rv'!AQ449-'Gov Fnd Exp'!BJ449</f>
        <v>-505530</v>
      </c>
      <c r="BN449" s="8">
        <v>5119328</v>
      </c>
      <c r="BP449" s="8">
        <v>0</v>
      </c>
      <c r="BT449" s="9">
        <f t="shared" si="30"/>
        <v>4613798</v>
      </c>
      <c r="BU449" s="9"/>
      <c r="BV449" s="9">
        <f>BT449-'Gov Fd BS'!AA452</f>
        <v>0</v>
      </c>
    </row>
    <row r="450" spans="1:76">
      <c r="A450" s="13" t="s">
        <v>371</v>
      </c>
      <c r="B450" s="13"/>
      <c r="C450" s="13" t="s">
        <v>28</v>
      </c>
      <c r="D450" s="13"/>
      <c r="E450" s="32">
        <v>47076</v>
      </c>
      <c r="G450" s="8">
        <v>2317680</v>
      </c>
      <c r="I450" s="8">
        <v>394229</v>
      </c>
      <c r="K450" s="8">
        <v>195990</v>
      </c>
      <c r="M450" s="8">
        <v>30595</v>
      </c>
      <c r="O450" s="8">
        <v>143292</v>
      </c>
      <c r="Q450" s="8">
        <v>150941</v>
      </c>
      <c r="S450" s="8">
        <v>15436</v>
      </c>
      <c r="U450" s="8">
        <v>500370</v>
      </c>
      <c r="W450" s="8">
        <v>211575</v>
      </c>
      <c r="Y450" s="8">
        <v>939</v>
      </c>
      <c r="AA450" s="8">
        <v>436191</v>
      </c>
      <c r="AC450" s="8">
        <v>229636</v>
      </c>
      <c r="AE450" s="8">
        <v>71896</v>
      </c>
      <c r="AG450" s="8">
        <v>0</v>
      </c>
      <c r="AI450" s="8">
        <v>252658</v>
      </c>
      <c r="AJ450" s="13" t="s">
        <v>371</v>
      </c>
      <c r="AK450" s="13"/>
      <c r="AL450" s="13" t="s">
        <v>28</v>
      </c>
      <c r="AN450" s="8">
        <v>413881</v>
      </c>
      <c r="AP450" s="8">
        <v>444092</v>
      </c>
      <c r="AR450" s="8">
        <v>0</v>
      </c>
      <c r="AT450" s="8">
        <v>4922991</v>
      </c>
      <c r="AV450" s="8">
        <f>43883-9117</f>
        <v>34766</v>
      </c>
      <c r="AX450" s="8">
        <v>0</v>
      </c>
      <c r="AZ450" s="9">
        <f t="shared" si="31"/>
        <v>10767158</v>
      </c>
      <c r="BB450" s="8">
        <v>4830000</v>
      </c>
      <c r="BH450" s="8">
        <v>0</v>
      </c>
      <c r="BJ450" s="9">
        <f t="shared" si="29"/>
        <v>15597158</v>
      </c>
      <c r="BL450" s="9">
        <f>'Gov Fd Rv'!AQ450-'Gov Fnd Exp'!BJ450</f>
        <v>6399634</v>
      </c>
      <c r="BN450" s="8">
        <v>1165010</v>
      </c>
      <c r="BP450" s="8">
        <v>0</v>
      </c>
      <c r="BT450" s="9">
        <f t="shared" si="30"/>
        <v>7564644</v>
      </c>
      <c r="BU450" s="9"/>
      <c r="BV450" s="9">
        <f>BT450-'Gov Fd BS'!AA453</f>
        <v>0</v>
      </c>
      <c r="BX450" s="8" t="s">
        <v>956</v>
      </c>
    </row>
    <row r="451" spans="1:76">
      <c r="A451" s="13" t="s">
        <v>349</v>
      </c>
      <c r="B451" s="13"/>
      <c r="C451" s="13" t="s">
        <v>25</v>
      </c>
      <c r="D451" s="13"/>
      <c r="E451" s="32">
        <v>46896</v>
      </c>
      <c r="G451" s="8">
        <v>45788488</v>
      </c>
      <c r="I451" s="8">
        <v>7672561</v>
      </c>
      <c r="K451" s="8">
        <v>1099164</v>
      </c>
      <c r="M451" s="8">
        <v>2817581</v>
      </c>
      <c r="O451" s="8">
        <v>4467457</v>
      </c>
      <c r="Q451" s="8">
        <v>6481033</v>
      </c>
      <c r="S451" s="8">
        <v>522685</v>
      </c>
      <c r="U451" s="8">
        <v>7899344</v>
      </c>
      <c r="W451" s="8">
        <v>1721471</v>
      </c>
      <c r="Y451" s="8">
        <v>618494</v>
      </c>
      <c r="AA451" s="8">
        <v>8764331</v>
      </c>
      <c r="AC451" s="8">
        <v>4979336</v>
      </c>
      <c r="AE451" s="8">
        <v>171022</v>
      </c>
      <c r="AG451" s="8">
        <v>3621376</v>
      </c>
      <c r="AI451" s="8">
        <v>72379</v>
      </c>
      <c r="AJ451" s="13" t="s">
        <v>349</v>
      </c>
      <c r="AK451" s="13"/>
      <c r="AL451" s="13" t="s">
        <v>25</v>
      </c>
      <c r="AN451" s="8">
        <v>2631807</v>
      </c>
      <c r="AP451" s="8">
        <v>34760364</v>
      </c>
      <c r="AR451" s="8">
        <v>0</v>
      </c>
      <c r="AT451" s="8">
        <v>7962219</v>
      </c>
      <c r="AV451" s="8">
        <v>5928532</v>
      </c>
      <c r="AX451" s="8">
        <v>0</v>
      </c>
      <c r="AZ451" s="9">
        <f t="shared" si="31"/>
        <v>147979644</v>
      </c>
      <c r="BB451" s="8">
        <v>0</v>
      </c>
      <c r="BH451" s="8">
        <v>0</v>
      </c>
      <c r="BJ451" s="9">
        <f t="shared" si="29"/>
        <v>147979644</v>
      </c>
      <c r="BL451" s="9">
        <f>'Gov Fd Rv'!AQ451-'Gov Fnd Exp'!BJ451</f>
        <v>-31922887</v>
      </c>
      <c r="BN451" s="8">
        <v>77038801</v>
      </c>
      <c r="BP451" s="8">
        <v>-33692</v>
      </c>
      <c r="BT451" s="9">
        <f t="shared" si="30"/>
        <v>45082222</v>
      </c>
      <c r="BU451" s="9"/>
      <c r="BV451" s="9">
        <f>BT451-'Gov Fd BS'!AA454</f>
        <v>0</v>
      </c>
    </row>
    <row r="452" spans="1:76">
      <c r="A452" s="13" t="s">
        <v>372</v>
      </c>
      <c r="B452" s="13"/>
      <c r="C452" s="13" t="s">
        <v>28</v>
      </c>
      <c r="D452" s="13"/>
      <c r="E452" s="32">
        <v>47084</v>
      </c>
      <c r="G452" s="8">
        <v>6402315</v>
      </c>
      <c r="I452" s="8">
        <v>1742179</v>
      </c>
      <c r="K452" s="8">
        <v>126674</v>
      </c>
      <c r="M452" s="8">
        <v>0</v>
      </c>
      <c r="O452" s="8">
        <v>646154</v>
      </c>
      <c r="Q452" s="8">
        <v>694381</v>
      </c>
      <c r="S452" s="8">
        <v>23697</v>
      </c>
      <c r="U452" s="8">
        <v>969909</v>
      </c>
      <c r="W452" s="8">
        <v>371051</v>
      </c>
      <c r="Y452" s="8">
        <v>48193</v>
      </c>
      <c r="AA452" s="8">
        <v>1443921</v>
      </c>
      <c r="AC452" s="8">
        <v>775916</v>
      </c>
      <c r="AE452" s="8">
        <v>78174</v>
      </c>
      <c r="AG452" s="8">
        <v>0</v>
      </c>
      <c r="AI452" s="8">
        <v>519386</v>
      </c>
      <c r="AJ452" s="13" t="s">
        <v>372</v>
      </c>
      <c r="AK452" s="13"/>
      <c r="AL452" s="13" t="s">
        <v>28</v>
      </c>
      <c r="AN452" s="8">
        <v>537161</v>
      </c>
      <c r="AP452" s="8">
        <v>789937</v>
      </c>
      <c r="AR452" s="8">
        <v>0</v>
      </c>
      <c r="AT452" s="8">
        <v>545000</v>
      </c>
      <c r="AV452" s="8">
        <f>356926+155226</f>
        <v>512152</v>
      </c>
      <c r="AX452" s="8">
        <v>0</v>
      </c>
      <c r="AZ452" s="9">
        <f t="shared" si="31"/>
        <v>16226200</v>
      </c>
      <c r="BB452" s="8">
        <v>20000</v>
      </c>
      <c r="BH452" s="8">
        <v>170652</v>
      </c>
      <c r="BJ452" s="9">
        <f t="shared" si="29"/>
        <v>16416852</v>
      </c>
      <c r="BL452" s="9">
        <f>'Gov Fd Rv'!AQ452-'Gov Fnd Exp'!BJ452</f>
        <v>11514367</v>
      </c>
      <c r="BN452" s="8">
        <v>5860479</v>
      </c>
      <c r="BP452" s="8">
        <v>0</v>
      </c>
      <c r="BT452" s="9">
        <f t="shared" si="30"/>
        <v>17374846</v>
      </c>
      <c r="BU452" s="9"/>
      <c r="BV452" s="9">
        <f>BT452-'Gov Fd BS'!AA455</f>
        <v>0</v>
      </c>
    </row>
    <row r="453" spans="1:76">
      <c r="A453" s="13" t="s">
        <v>540</v>
      </c>
      <c r="B453" s="13"/>
      <c r="C453" s="13" t="s">
        <v>48</v>
      </c>
      <c r="D453" s="13"/>
      <c r="E453" s="32">
        <v>44644</v>
      </c>
      <c r="G453" s="8">
        <v>18235730</v>
      </c>
      <c r="I453" s="8">
        <v>0</v>
      </c>
      <c r="K453" s="8">
        <v>0</v>
      </c>
      <c r="M453" s="8">
        <v>0</v>
      </c>
      <c r="O453" s="8">
        <v>1596274</v>
      </c>
      <c r="Q453" s="8">
        <v>1955021</v>
      </c>
      <c r="S453" s="8">
        <v>32189</v>
      </c>
      <c r="U453" s="8">
        <v>2199678</v>
      </c>
      <c r="W453" s="8">
        <v>376558</v>
      </c>
      <c r="Y453" s="8">
        <v>54058</v>
      </c>
      <c r="AA453" s="8">
        <v>2854147</v>
      </c>
      <c r="AC453" s="8">
        <v>1597794</v>
      </c>
      <c r="AE453" s="8">
        <v>211419</v>
      </c>
      <c r="AG453" s="8">
        <v>0</v>
      </c>
      <c r="AI453" s="8">
        <v>294428</v>
      </c>
      <c r="AJ453" s="13" t="s">
        <v>540</v>
      </c>
      <c r="AK453" s="13"/>
      <c r="AL453" s="13" t="s">
        <v>48</v>
      </c>
      <c r="AN453" s="8">
        <v>737425</v>
      </c>
      <c r="AP453" s="8">
        <v>208690</v>
      </c>
      <c r="AR453" s="8">
        <v>0</v>
      </c>
      <c r="AT453" s="8">
        <v>829274</v>
      </c>
      <c r="AV453" s="8">
        <v>324805</v>
      </c>
      <c r="AX453" s="8">
        <v>0</v>
      </c>
      <c r="AZ453" s="9">
        <f t="shared" si="31"/>
        <v>31507490</v>
      </c>
      <c r="BB453" s="8">
        <v>0</v>
      </c>
      <c r="BH453" s="8">
        <v>0</v>
      </c>
      <c r="BJ453" s="9">
        <f t="shared" si="29"/>
        <v>31507490</v>
      </c>
      <c r="BL453" s="9">
        <f>'Gov Fd Rv'!AQ453-'Gov Fnd Exp'!BJ453</f>
        <v>3321711</v>
      </c>
      <c r="BN453" s="8">
        <v>4938795</v>
      </c>
      <c r="BP453" s="8">
        <v>91</v>
      </c>
      <c r="BT453" s="9">
        <f t="shared" si="30"/>
        <v>8260597</v>
      </c>
      <c r="BU453" s="9"/>
      <c r="BV453" s="9">
        <f>BT453-'Gov Fd BS'!AA456</f>
        <v>0</v>
      </c>
      <c r="BX453" s="8" t="s">
        <v>1009</v>
      </c>
    </row>
    <row r="454" spans="1:76" hidden="1">
      <c r="A454" s="77" t="s">
        <v>1010</v>
      </c>
      <c r="B454" s="13"/>
      <c r="C454" s="13" t="s">
        <v>27</v>
      </c>
      <c r="D454" s="13"/>
      <c r="E454" s="32">
        <v>46995</v>
      </c>
      <c r="AJ454" s="13" t="s">
        <v>361</v>
      </c>
      <c r="AK454" s="13"/>
      <c r="AL454" s="13" t="s">
        <v>27</v>
      </c>
      <c r="AZ454" s="9">
        <f t="shared" si="31"/>
        <v>0</v>
      </c>
      <c r="BJ454" s="9">
        <f t="shared" si="29"/>
        <v>0</v>
      </c>
      <c r="BL454" s="9">
        <f>'Gov Fd Rv'!AQ454-'Gov Fnd Exp'!BJ454</f>
        <v>0</v>
      </c>
      <c r="BT454" s="9">
        <f t="shared" si="30"/>
        <v>0</v>
      </c>
      <c r="BU454" s="9"/>
      <c r="BV454" s="9">
        <f>BT454-'Gov Fd BS'!AA457</f>
        <v>0</v>
      </c>
      <c r="BX454" s="8" t="s">
        <v>1011</v>
      </c>
    </row>
    <row r="455" spans="1:76">
      <c r="A455" s="13" t="s">
        <v>361</v>
      </c>
      <c r="B455" s="13"/>
      <c r="C455" s="13" t="s">
        <v>62</v>
      </c>
      <c r="D455" s="13"/>
      <c r="E455" s="32">
        <v>49932</v>
      </c>
      <c r="G455" s="8">
        <v>23374359</v>
      </c>
      <c r="I455" s="8">
        <v>5320848</v>
      </c>
      <c r="K455" s="8">
        <v>1876809</v>
      </c>
      <c r="M455" s="8">
        <f>4418+307367</f>
        <v>311785</v>
      </c>
      <c r="O455" s="8">
        <v>2961040</v>
      </c>
      <c r="Q455" s="8">
        <v>3875256</v>
      </c>
      <c r="S455" s="8">
        <v>95845</v>
      </c>
      <c r="U455" s="8">
        <v>3673604</v>
      </c>
      <c r="W455" s="8">
        <v>916310</v>
      </c>
      <c r="Y455" s="8">
        <v>47934</v>
      </c>
      <c r="AA455" s="8">
        <v>4769999</v>
      </c>
      <c r="AC455" s="8">
        <v>2035238</v>
      </c>
      <c r="AE455" s="8">
        <v>206229</v>
      </c>
      <c r="AG455" s="8">
        <v>2219045</v>
      </c>
      <c r="AI455" s="8">
        <v>696505</v>
      </c>
      <c r="AJ455" s="13" t="s">
        <v>361</v>
      </c>
      <c r="AK455" s="13"/>
      <c r="AL455" s="13" t="s">
        <v>62</v>
      </c>
      <c r="AN455" s="8">
        <v>1055505</v>
      </c>
      <c r="AP455" s="8">
        <v>627975</v>
      </c>
      <c r="AR455" s="8">
        <v>0</v>
      </c>
      <c r="AT455" s="8">
        <v>1605000</v>
      </c>
      <c r="AV455" s="8">
        <v>2535198</v>
      </c>
      <c r="AX455" s="8">
        <v>0</v>
      </c>
      <c r="AZ455" s="9">
        <f t="shared" si="31"/>
        <v>58204484</v>
      </c>
      <c r="BB455" s="8">
        <v>5600</v>
      </c>
      <c r="BH455" s="8">
        <v>0</v>
      </c>
      <c r="BJ455" s="9">
        <f t="shared" si="29"/>
        <v>58210084</v>
      </c>
      <c r="BL455" s="9">
        <f>'Gov Fd Rv'!AQ455-'Gov Fnd Exp'!BJ455</f>
        <v>-2576405</v>
      </c>
      <c r="BN455" s="8">
        <v>11562568</v>
      </c>
      <c r="BP455" s="8">
        <v>-22806</v>
      </c>
      <c r="BT455" s="9">
        <f t="shared" si="30"/>
        <v>8963357</v>
      </c>
      <c r="BU455" s="9"/>
      <c r="BV455" s="9">
        <f>BT455-'Gov Fd BS'!AA458</f>
        <v>0</v>
      </c>
    </row>
    <row r="456" spans="1:76">
      <c r="A456" s="13" t="s">
        <v>522</v>
      </c>
      <c r="B456" s="13"/>
      <c r="C456" s="13" t="s">
        <v>46</v>
      </c>
      <c r="D456" s="13"/>
      <c r="E456" s="32">
        <v>48421</v>
      </c>
      <c r="G456" s="8">
        <v>6917508</v>
      </c>
      <c r="I456" s="8">
        <v>864760</v>
      </c>
      <c r="K456" s="8">
        <v>169324</v>
      </c>
      <c r="M456" s="8">
        <v>19450</v>
      </c>
      <c r="O456" s="8">
        <v>460143</v>
      </c>
      <c r="Q456" s="8">
        <v>364898</v>
      </c>
      <c r="S456" s="8">
        <v>93717</v>
      </c>
      <c r="U456" s="8">
        <v>1175869</v>
      </c>
      <c r="W456" s="8">
        <v>332514</v>
      </c>
      <c r="Y456" s="8">
        <v>0</v>
      </c>
      <c r="AA456" s="8">
        <v>1065270</v>
      </c>
      <c r="AC456" s="8">
        <v>388465</v>
      </c>
      <c r="AE456" s="8">
        <v>0</v>
      </c>
      <c r="AG456" s="8">
        <v>0</v>
      </c>
      <c r="AI456" s="8">
        <v>502937</v>
      </c>
      <c r="AJ456" s="13" t="s">
        <v>522</v>
      </c>
      <c r="AK456" s="13"/>
      <c r="AL456" s="13" t="s">
        <v>46</v>
      </c>
      <c r="AN456" s="8">
        <v>604480</v>
      </c>
      <c r="AP456" s="8">
        <v>30060</v>
      </c>
      <c r="AR456" s="8">
        <v>0</v>
      </c>
      <c r="AT456" s="8">
        <v>326765</v>
      </c>
      <c r="AV456" s="8">
        <v>118240</v>
      </c>
      <c r="AX456" s="8">
        <v>0</v>
      </c>
      <c r="AZ456" s="9">
        <f t="shared" si="31"/>
        <v>13434400</v>
      </c>
      <c r="BB456" s="8">
        <v>19640</v>
      </c>
      <c r="BH456" s="8">
        <v>0</v>
      </c>
      <c r="BJ456" s="9">
        <f t="shared" si="29"/>
        <v>13454040</v>
      </c>
      <c r="BL456" s="9">
        <f>'Gov Fd Rv'!AQ456-'Gov Fnd Exp'!BJ456</f>
        <v>-288722</v>
      </c>
      <c r="BN456" s="8">
        <v>5336657</v>
      </c>
      <c r="BP456" s="8">
        <v>0</v>
      </c>
      <c r="BT456" s="9">
        <f t="shared" si="30"/>
        <v>5047935</v>
      </c>
      <c r="BU456" s="9"/>
      <c r="BV456" s="9">
        <f>BT456-'Gov Fd BS'!AA459</f>
        <v>0</v>
      </c>
    </row>
    <row r="457" spans="1:76">
      <c r="A457" s="13" t="s">
        <v>614</v>
      </c>
      <c r="B457" s="13"/>
      <c r="C457" s="13" t="s">
        <v>112</v>
      </c>
      <c r="D457" s="13"/>
      <c r="E457" s="32">
        <v>49460</v>
      </c>
      <c r="G457" s="8">
        <v>3537386</v>
      </c>
      <c r="I457" s="8">
        <v>962059</v>
      </c>
      <c r="K457" s="8">
        <v>215062</v>
      </c>
      <c r="M457" s="8">
        <v>444260</v>
      </c>
      <c r="O457" s="8">
        <v>437133</v>
      </c>
      <c r="Q457" s="8">
        <v>406756</v>
      </c>
      <c r="S457" s="8">
        <v>20512</v>
      </c>
      <c r="U457" s="8">
        <v>764994</v>
      </c>
      <c r="W457" s="8">
        <v>1048858</v>
      </c>
      <c r="Y457" s="8">
        <v>4503</v>
      </c>
      <c r="AA457" s="8">
        <v>932592</v>
      </c>
      <c r="AC457" s="8">
        <v>493477</v>
      </c>
      <c r="AE457" s="8">
        <v>59408</v>
      </c>
      <c r="AG457" s="8">
        <v>484899</v>
      </c>
      <c r="AI457" s="8">
        <v>0</v>
      </c>
      <c r="AJ457" s="13" t="s">
        <v>614</v>
      </c>
      <c r="AK457" s="13"/>
      <c r="AL457" s="13" t="s">
        <v>112</v>
      </c>
      <c r="AN457" s="8">
        <v>329038</v>
      </c>
      <c r="AP457" s="8">
        <v>1238495</v>
      </c>
      <c r="AR457" s="8">
        <v>0</v>
      </c>
      <c r="AT457" s="8">
        <v>111593</v>
      </c>
      <c r="AV457" s="8">
        <v>102141</v>
      </c>
      <c r="AX457" s="8">
        <v>0</v>
      </c>
      <c r="AZ457" s="9">
        <f t="shared" si="31"/>
        <v>11593166</v>
      </c>
      <c r="BB457" s="8">
        <v>76000</v>
      </c>
      <c r="BH457" s="8">
        <v>0</v>
      </c>
      <c r="BJ457" s="9">
        <f t="shared" si="29"/>
        <v>11669166</v>
      </c>
      <c r="BL457" s="9">
        <f>'Gov Fd Rv'!AQ457-'Gov Fnd Exp'!BJ457</f>
        <v>-2093186</v>
      </c>
      <c r="BN457" s="8">
        <v>4921821</v>
      </c>
      <c r="BP457" s="8">
        <v>0</v>
      </c>
      <c r="BT457" s="9">
        <f t="shared" si="30"/>
        <v>2828635</v>
      </c>
      <c r="BU457" s="9"/>
      <c r="BV457" s="9">
        <f>BT457-'Gov Fd BS'!AA460</f>
        <v>0</v>
      </c>
    </row>
    <row r="458" spans="1:76">
      <c r="A458" s="12" t="s">
        <v>514</v>
      </c>
      <c r="B458" s="13"/>
      <c r="C458" s="13" t="s">
        <v>45</v>
      </c>
      <c r="D458" s="13"/>
      <c r="E458" s="32">
        <v>48348</v>
      </c>
      <c r="G458" s="8">
        <v>10735179</v>
      </c>
      <c r="I458" s="8">
        <v>1443636</v>
      </c>
      <c r="K458" s="8">
        <v>102159</v>
      </c>
      <c r="M458" s="8">
        <f>107780+590</f>
        <v>108370</v>
      </c>
      <c r="O458" s="8">
        <v>1263344</v>
      </c>
      <c r="Q458" s="8">
        <v>431107</v>
      </c>
      <c r="S458" s="8">
        <v>39415</v>
      </c>
      <c r="U458" s="8">
        <v>1488365</v>
      </c>
      <c r="W458" s="8">
        <v>564476</v>
      </c>
      <c r="Y458" s="8">
        <v>480</v>
      </c>
      <c r="AA458" s="8">
        <v>2368815</v>
      </c>
      <c r="AC458" s="8">
        <v>1073088</v>
      </c>
      <c r="AE458" s="8">
        <v>12427</v>
      </c>
      <c r="AG458" s="8">
        <v>813569</v>
      </c>
      <c r="AI458" s="8">
        <v>376482</v>
      </c>
      <c r="AJ458" s="13" t="s">
        <v>514</v>
      </c>
      <c r="AK458" s="13"/>
      <c r="AL458" s="13" t="s">
        <v>45</v>
      </c>
      <c r="AN458" s="8">
        <v>676097</v>
      </c>
      <c r="AP458" s="8">
        <v>2319446</v>
      </c>
      <c r="AR458" s="8">
        <v>0</v>
      </c>
      <c r="AT458" s="8">
        <v>607413</v>
      </c>
      <c r="AV458" s="8">
        <v>542314</v>
      </c>
      <c r="AX458" s="8">
        <v>0</v>
      </c>
      <c r="AZ458" s="9">
        <f t="shared" si="31"/>
        <v>24966182</v>
      </c>
      <c r="BB458" s="8">
        <v>0</v>
      </c>
      <c r="BH458" s="8">
        <v>0</v>
      </c>
      <c r="BJ458" s="9">
        <f t="shared" si="29"/>
        <v>24966182</v>
      </c>
      <c r="BL458" s="9">
        <f>'Gov Fd Rv'!AQ458-'Gov Fnd Exp'!BJ458</f>
        <v>-1963082</v>
      </c>
      <c r="BN458" s="8">
        <v>5799905</v>
      </c>
      <c r="BP458" s="8">
        <v>0</v>
      </c>
      <c r="BT458" s="9">
        <f t="shared" si="30"/>
        <v>3836823</v>
      </c>
      <c r="BU458" s="9"/>
      <c r="BV458" s="9">
        <f>BT458-'Gov Fd BS'!AA461</f>
        <v>0</v>
      </c>
      <c r="BX458" s="15" t="s">
        <v>1012</v>
      </c>
    </row>
    <row r="459" spans="1:76">
      <c r="A459" s="13" t="s">
        <v>575</v>
      </c>
      <c r="B459" s="13"/>
      <c r="C459" s="13" t="s">
        <v>53</v>
      </c>
      <c r="D459" s="13"/>
      <c r="E459" s="32">
        <v>44651</v>
      </c>
      <c r="G459" s="8">
        <v>8593801</v>
      </c>
      <c r="I459" s="8">
        <v>2372027</v>
      </c>
      <c r="K459" s="8">
        <v>124301</v>
      </c>
      <c r="M459" s="8">
        <v>747127</v>
      </c>
      <c r="O459" s="8">
        <v>1941776</v>
      </c>
      <c r="Q459" s="8">
        <v>453055</v>
      </c>
      <c r="S459" s="8">
        <v>20045</v>
      </c>
      <c r="U459" s="8">
        <v>1433298</v>
      </c>
      <c r="W459" s="8">
        <v>692929</v>
      </c>
      <c r="Y459" s="8">
        <v>0</v>
      </c>
      <c r="AA459" s="8">
        <v>2295124</v>
      </c>
      <c r="AC459" s="8">
        <v>1199116</v>
      </c>
      <c r="AE459" s="8">
        <v>173933</v>
      </c>
      <c r="AG459" s="8">
        <v>679356</v>
      </c>
      <c r="AI459" s="8">
        <v>121044</v>
      </c>
      <c r="AJ459" s="13" t="s">
        <v>575</v>
      </c>
      <c r="AK459" s="13"/>
      <c r="AL459" s="13" t="s">
        <v>53</v>
      </c>
      <c r="AN459" s="8">
        <v>585067</v>
      </c>
      <c r="AP459" s="8">
        <v>644196</v>
      </c>
      <c r="AR459" s="8">
        <v>0</v>
      </c>
      <c r="AT459" s="8">
        <v>764000</v>
      </c>
      <c r="AV459" s="8">
        <v>75868</v>
      </c>
      <c r="AX459" s="8">
        <v>0</v>
      </c>
      <c r="AZ459" s="9">
        <f t="shared" si="31"/>
        <v>22916063</v>
      </c>
      <c r="BB459" s="8">
        <v>411970</v>
      </c>
      <c r="BH459" s="8">
        <v>0</v>
      </c>
      <c r="BJ459" s="9">
        <f t="shared" si="29"/>
        <v>23328033</v>
      </c>
      <c r="BL459" s="9">
        <f>'Gov Fd Rv'!AQ459-'Gov Fnd Exp'!BJ459</f>
        <v>540078</v>
      </c>
      <c r="BN459" s="8">
        <v>10459534</v>
      </c>
      <c r="BP459" s="8">
        <v>0</v>
      </c>
      <c r="BT459" s="9">
        <f t="shared" si="30"/>
        <v>10999612</v>
      </c>
      <c r="BU459" s="9"/>
      <c r="BV459" s="9">
        <f>BT459-'Gov Fd BS'!AA462</f>
        <v>0</v>
      </c>
    </row>
    <row r="460" spans="1:76">
      <c r="A460" s="13" t="s">
        <v>631</v>
      </c>
      <c r="B460" s="13"/>
      <c r="C460" s="13" t="s">
        <v>59</v>
      </c>
      <c r="D460" s="13"/>
      <c r="E460" s="32">
        <v>44669</v>
      </c>
      <c r="G460" s="8">
        <v>12541748</v>
      </c>
      <c r="I460" s="8">
        <v>4710824</v>
      </c>
      <c r="K460" s="8">
        <v>468224</v>
      </c>
      <c r="M460" s="8">
        <f>1506816+35600</f>
        <v>1542416</v>
      </c>
      <c r="O460" s="8">
        <v>1499536</v>
      </c>
      <c r="Q460" s="8">
        <v>1962474</v>
      </c>
      <c r="S460" s="8">
        <v>24501</v>
      </c>
      <c r="U460" s="8">
        <v>1571955</v>
      </c>
      <c r="W460" s="8">
        <v>724687</v>
      </c>
      <c r="Y460" s="8">
        <v>61611</v>
      </c>
      <c r="AA460" s="8">
        <v>2692751</v>
      </c>
      <c r="AC460" s="8">
        <v>477755</v>
      </c>
      <c r="AE460" s="8">
        <v>344578</v>
      </c>
      <c r="AG460" s="8">
        <v>985688</v>
      </c>
      <c r="AI460" s="8">
        <v>221687</v>
      </c>
      <c r="AJ460" s="13" t="s">
        <v>631</v>
      </c>
      <c r="AK460" s="13"/>
      <c r="AL460" s="13" t="s">
        <v>59</v>
      </c>
      <c r="AN460" s="8">
        <v>336435</v>
      </c>
      <c r="AP460" s="8">
        <v>437044</v>
      </c>
      <c r="AR460" s="8">
        <v>0</v>
      </c>
      <c r="AT460" s="8">
        <v>528277</v>
      </c>
      <c r="AV460" s="8">
        <v>614266</v>
      </c>
      <c r="AX460" s="8">
        <v>0</v>
      </c>
      <c r="AZ460" s="9">
        <f t="shared" si="31"/>
        <v>31746457</v>
      </c>
      <c r="BB460" s="8">
        <v>2943</v>
      </c>
      <c r="BH460" s="8">
        <v>0</v>
      </c>
      <c r="BJ460" s="9">
        <f t="shared" si="29"/>
        <v>31749400</v>
      </c>
      <c r="BL460" s="9">
        <f>'Gov Fd Rv'!AQ460-'Gov Fnd Exp'!BJ460</f>
        <v>371398</v>
      </c>
      <c r="BN460" s="8">
        <v>6001639</v>
      </c>
      <c r="BP460" s="8">
        <v>0</v>
      </c>
      <c r="BT460" s="9">
        <f t="shared" si="30"/>
        <v>6373037</v>
      </c>
      <c r="BU460" s="9"/>
      <c r="BV460" s="9">
        <f>BT460-'Gov Fd BS'!AA463</f>
        <v>0</v>
      </c>
    </row>
    <row r="461" spans="1:76" hidden="1">
      <c r="A461" s="12" t="s">
        <v>1013</v>
      </c>
      <c r="B461" s="13"/>
      <c r="C461" s="13" t="s">
        <v>57</v>
      </c>
      <c r="D461" s="13"/>
      <c r="E461" s="32">
        <v>49288</v>
      </c>
      <c r="G461" s="8">
        <v>5309183</v>
      </c>
      <c r="I461" s="8">
        <v>1365927</v>
      </c>
      <c r="K461" s="8">
        <v>411292</v>
      </c>
      <c r="M461" s="8">
        <v>2322</v>
      </c>
      <c r="O461" s="8">
        <v>655462</v>
      </c>
      <c r="Q461" s="8">
        <v>474134</v>
      </c>
      <c r="S461" s="8">
        <v>52520</v>
      </c>
      <c r="U461" s="8">
        <v>1217251</v>
      </c>
      <c r="W461" s="8">
        <v>414815</v>
      </c>
      <c r="Y461" s="8">
        <v>3437</v>
      </c>
      <c r="AA461" s="8">
        <v>1785466</v>
      </c>
      <c r="AC461" s="8">
        <v>836282</v>
      </c>
      <c r="AE461" s="8">
        <v>307399</v>
      </c>
      <c r="AI461" s="8">
        <v>613194</v>
      </c>
      <c r="AJ461" s="13" t="s">
        <v>599</v>
      </c>
      <c r="AK461" s="13"/>
      <c r="AL461" s="13" t="s">
        <v>57</v>
      </c>
      <c r="AN461" s="8">
        <v>326647</v>
      </c>
      <c r="AP461" s="8">
        <v>5010</v>
      </c>
      <c r="AT461" s="8">
        <v>130000</v>
      </c>
      <c r="AV461" s="8">
        <v>132910</v>
      </c>
      <c r="AZ461" s="9">
        <f t="shared" si="31"/>
        <v>14043251</v>
      </c>
      <c r="BJ461" s="9">
        <f t="shared" si="29"/>
        <v>14043251</v>
      </c>
      <c r="BL461" s="9">
        <f>'Gov Fd Rv'!AQ461-'Gov Fnd Exp'!BJ461</f>
        <v>1565185</v>
      </c>
      <c r="BN461" s="8">
        <v>5923344</v>
      </c>
      <c r="BT461" s="9">
        <f t="shared" si="30"/>
        <v>7488529</v>
      </c>
      <c r="BU461" s="9"/>
      <c r="BV461" s="9">
        <f>BT461-'Gov Fd BS'!AA464</f>
        <v>0</v>
      </c>
    </row>
    <row r="462" spans="1:76">
      <c r="A462" s="13" t="s">
        <v>405</v>
      </c>
      <c r="B462" s="13"/>
      <c r="C462" s="13" t="s">
        <v>32</v>
      </c>
      <c r="D462" s="13"/>
      <c r="E462" s="32">
        <v>44677</v>
      </c>
      <c r="G462" s="8">
        <v>29393300</v>
      </c>
      <c r="I462" s="8">
        <v>7559723</v>
      </c>
      <c r="K462" s="8">
        <v>0</v>
      </c>
      <c r="M462" s="8">
        <v>3945664</v>
      </c>
      <c r="O462" s="8">
        <v>4933419</v>
      </c>
      <c r="Q462" s="8">
        <v>6777010</v>
      </c>
      <c r="S462" s="8">
        <v>288917</v>
      </c>
      <c r="U462" s="8">
        <v>6009337</v>
      </c>
      <c r="W462" s="8">
        <v>2395328</v>
      </c>
      <c r="Y462" s="8">
        <v>501599</v>
      </c>
      <c r="AA462" s="8">
        <v>7916363</v>
      </c>
      <c r="AC462" s="8">
        <v>4522788</v>
      </c>
      <c r="AE462" s="8">
        <v>1479786</v>
      </c>
      <c r="AG462" s="8">
        <v>2252336</v>
      </c>
      <c r="AI462" s="8">
        <v>3029768</v>
      </c>
      <c r="AJ462" s="13" t="s">
        <v>405</v>
      </c>
      <c r="AK462" s="13"/>
      <c r="AL462" s="13" t="s">
        <v>32</v>
      </c>
      <c r="AN462" s="8">
        <v>1575728</v>
      </c>
      <c r="AP462" s="8">
        <v>243766</v>
      </c>
      <c r="AR462" s="8">
        <v>0</v>
      </c>
      <c r="AT462" s="8">
        <v>1821000</v>
      </c>
      <c r="AV462" s="8">
        <v>3668790</v>
      </c>
      <c r="AX462" s="8">
        <v>0</v>
      </c>
      <c r="AZ462" s="9">
        <f t="shared" si="31"/>
        <v>88314622</v>
      </c>
      <c r="BB462" s="8">
        <v>1902458</v>
      </c>
      <c r="BH462" s="8">
        <v>0</v>
      </c>
      <c r="BJ462" s="9">
        <f t="shared" si="29"/>
        <v>90217080</v>
      </c>
      <c r="BL462" s="9">
        <f>'Gov Fd Rv'!AQ462-'Gov Fnd Exp'!BJ462</f>
        <v>-2506241</v>
      </c>
      <c r="BN462" s="8">
        <v>39789210</v>
      </c>
      <c r="BP462" s="8">
        <v>0</v>
      </c>
      <c r="BT462" s="9">
        <f t="shared" si="30"/>
        <v>37282969</v>
      </c>
      <c r="BU462" s="9"/>
      <c r="BV462" s="9">
        <f>BT462-'Gov Fd BS'!AA465</f>
        <v>0</v>
      </c>
    </row>
    <row r="463" spans="1:76">
      <c r="A463" s="13" t="s">
        <v>222</v>
      </c>
      <c r="B463" s="13"/>
      <c r="C463" s="13" t="s">
        <v>12</v>
      </c>
      <c r="D463" s="13"/>
      <c r="E463" s="32">
        <v>45880</v>
      </c>
      <c r="G463" s="8">
        <v>4819207</v>
      </c>
      <c r="I463" s="8">
        <v>1380885</v>
      </c>
      <c r="K463" s="8">
        <v>228709</v>
      </c>
      <c r="M463" s="8">
        <v>656776</v>
      </c>
      <c r="O463" s="8">
        <v>660541</v>
      </c>
      <c r="Q463" s="8">
        <v>176808</v>
      </c>
      <c r="S463" s="8">
        <v>24208</v>
      </c>
      <c r="U463" s="8">
        <v>1086116</v>
      </c>
      <c r="W463" s="8">
        <v>305915</v>
      </c>
      <c r="Y463" s="8">
        <v>51861</v>
      </c>
      <c r="AA463" s="8">
        <v>1273541</v>
      </c>
      <c r="AC463" s="8">
        <v>994047</v>
      </c>
      <c r="AE463" s="8">
        <v>74631</v>
      </c>
      <c r="AG463" s="8">
        <v>619137</v>
      </c>
      <c r="AI463" s="8">
        <v>26504</v>
      </c>
      <c r="AJ463" s="13" t="s">
        <v>222</v>
      </c>
      <c r="AK463" s="13"/>
      <c r="AL463" s="13" t="s">
        <v>12</v>
      </c>
      <c r="AN463" s="8">
        <v>487602</v>
      </c>
      <c r="AP463" s="8">
        <v>85501</v>
      </c>
      <c r="AR463" s="8">
        <v>0</v>
      </c>
      <c r="AT463" s="8">
        <v>1173634</v>
      </c>
      <c r="AV463" s="8">
        <v>307983</v>
      </c>
      <c r="AX463" s="8">
        <v>0</v>
      </c>
      <c r="AZ463" s="9">
        <f t="shared" si="31"/>
        <v>14433606</v>
      </c>
      <c r="BB463" s="8">
        <v>83374</v>
      </c>
      <c r="BH463" s="8">
        <v>0</v>
      </c>
      <c r="BJ463" s="9">
        <f t="shared" si="29"/>
        <v>14516980</v>
      </c>
      <c r="BL463" s="9">
        <f>'Gov Fd Rv'!AQ463-'Gov Fnd Exp'!BJ463</f>
        <v>-179835</v>
      </c>
      <c r="BN463" s="8">
        <v>2887246</v>
      </c>
      <c r="BP463" s="8">
        <v>0</v>
      </c>
      <c r="BT463" s="9">
        <f t="shared" si="30"/>
        <v>2707411</v>
      </c>
      <c r="BU463" s="9"/>
      <c r="BV463" s="9">
        <f>BT463-'Gov Fd BS'!AA466</f>
        <v>0</v>
      </c>
    </row>
    <row r="464" spans="1:76">
      <c r="A464" s="12" t="s">
        <v>866</v>
      </c>
      <c r="B464" s="12"/>
      <c r="C464" s="12" t="s">
        <v>56</v>
      </c>
      <c r="D464" s="12"/>
      <c r="E464" s="32"/>
      <c r="G464" s="8">
        <v>11767736</v>
      </c>
      <c r="I464" s="8">
        <v>4652985</v>
      </c>
      <c r="K464" s="8">
        <v>390364</v>
      </c>
      <c r="M464" s="8">
        <f>24217+1431913</f>
        <v>1456130</v>
      </c>
      <c r="O464" s="8">
        <v>1278521</v>
      </c>
      <c r="Q464" s="8">
        <v>985217</v>
      </c>
      <c r="S464" s="8">
        <v>47480</v>
      </c>
      <c r="U464" s="8">
        <v>2506829</v>
      </c>
      <c r="W464" s="8">
        <v>706979</v>
      </c>
      <c r="Y464" s="8">
        <v>290305</v>
      </c>
      <c r="AA464" s="8">
        <v>2714126</v>
      </c>
      <c r="AC464" s="8">
        <v>1217444</v>
      </c>
      <c r="AE464" s="8">
        <v>694460</v>
      </c>
      <c r="AG464" s="8">
        <v>1156226</v>
      </c>
      <c r="AI464" s="8">
        <v>252773</v>
      </c>
      <c r="AJ464" s="13" t="s">
        <v>799</v>
      </c>
      <c r="AK464" s="13"/>
      <c r="AL464" s="13" t="s">
        <v>56</v>
      </c>
      <c r="AN464" s="8">
        <v>757922</v>
      </c>
      <c r="AP464" s="8">
        <v>12056089</v>
      </c>
      <c r="AR464" s="8">
        <v>0</v>
      </c>
      <c r="AT464" s="8">
        <v>613015</v>
      </c>
      <c r="AV464" s="8">
        <v>804604</v>
      </c>
      <c r="AX464" s="8">
        <v>0</v>
      </c>
      <c r="AZ464" s="9">
        <f t="shared" si="31"/>
        <v>44349205</v>
      </c>
      <c r="BB464" s="8">
        <v>200000</v>
      </c>
      <c r="BH464" s="8">
        <v>0</v>
      </c>
      <c r="BJ464" s="9">
        <f t="shared" si="29"/>
        <v>44549205</v>
      </c>
      <c r="BL464" s="9">
        <f>'Gov Fd Rv'!AQ464-'Gov Fnd Exp'!BJ464</f>
        <v>-8889012</v>
      </c>
      <c r="BN464" s="8">
        <v>29000299</v>
      </c>
      <c r="BP464" s="8">
        <v>0</v>
      </c>
      <c r="BT464" s="9">
        <f t="shared" si="30"/>
        <v>20111287</v>
      </c>
      <c r="BU464" s="9"/>
      <c r="BV464" s="9">
        <f>BT464-'Gov Fd BS'!AA467</f>
        <v>0</v>
      </c>
    </row>
    <row r="465" spans="1:76">
      <c r="A465" s="13" t="s">
        <v>406</v>
      </c>
      <c r="B465" s="13"/>
      <c r="C465" s="13" t="s">
        <v>32</v>
      </c>
      <c r="D465" s="13"/>
      <c r="E465" s="32">
        <v>44693</v>
      </c>
      <c r="G465" s="8">
        <v>6842619</v>
      </c>
      <c r="I465" s="8">
        <v>1936528</v>
      </c>
      <c r="K465" s="8">
        <v>97822</v>
      </c>
      <c r="M465" s="8">
        <v>389732</v>
      </c>
      <c r="O465" s="8">
        <v>962727</v>
      </c>
      <c r="Q465" s="8">
        <v>877957</v>
      </c>
      <c r="S465" s="8">
        <v>35460</v>
      </c>
      <c r="U465" s="8">
        <v>1281717</v>
      </c>
      <c r="W465" s="8">
        <v>413185</v>
      </c>
      <c r="Y465" s="8">
        <v>25713</v>
      </c>
      <c r="AA465" s="8">
        <v>1025547</v>
      </c>
      <c r="AC465" s="8">
        <v>221478</v>
      </c>
      <c r="AE465" s="8">
        <v>266167</v>
      </c>
      <c r="AG465" s="8">
        <v>0</v>
      </c>
      <c r="AI465" s="8">
        <v>1394910</v>
      </c>
      <c r="AJ465" s="13" t="s">
        <v>406</v>
      </c>
      <c r="AK465" s="13"/>
      <c r="AL465" s="13" t="s">
        <v>32</v>
      </c>
      <c r="AN465" s="8">
        <v>596068</v>
      </c>
      <c r="AP465" s="8">
        <v>0</v>
      </c>
      <c r="AR465" s="8">
        <v>0</v>
      </c>
      <c r="AT465" s="8">
        <v>56511</v>
      </c>
      <c r="AV465" s="8">
        <v>18321</v>
      </c>
      <c r="AX465" s="8">
        <v>0</v>
      </c>
      <c r="AZ465" s="9">
        <f t="shared" si="31"/>
        <v>16442462</v>
      </c>
      <c r="BB465" s="8">
        <v>58435</v>
      </c>
      <c r="BH465" s="8">
        <v>0</v>
      </c>
      <c r="BJ465" s="9">
        <f t="shared" si="29"/>
        <v>16500897</v>
      </c>
      <c r="BL465" s="9">
        <f>'Gov Fd Rv'!AQ465-'Gov Fnd Exp'!BJ465</f>
        <v>-632604</v>
      </c>
      <c r="BN465" s="8">
        <v>3226906</v>
      </c>
      <c r="BP465" s="8">
        <v>0</v>
      </c>
      <c r="BT465" s="9">
        <f t="shared" si="30"/>
        <v>2594302</v>
      </c>
      <c r="BU465" s="9"/>
      <c r="BV465" s="9">
        <f>BT465-'Gov Fd BS'!AA468</f>
        <v>0</v>
      </c>
    </row>
    <row r="466" spans="1:76">
      <c r="A466" s="13" t="s">
        <v>670</v>
      </c>
      <c r="B466" s="13"/>
      <c r="C466" s="13" t="s">
        <v>63</v>
      </c>
      <c r="D466" s="13"/>
      <c r="E466" s="32">
        <v>50054</v>
      </c>
      <c r="G466" s="8">
        <v>14094117</v>
      </c>
      <c r="I466" s="8">
        <v>2796622</v>
      </c>
      <c r="K466" s="8">
        <v>446816</v>
      </c>
      <c r="M466" s="8">
        <v>540204</v>
      </c>
      <c r="O466" s="8">
        <v>1519777</v>
      </c>
      <c r="Q466" s="8">
        <v>882593</v>
      </c>
      <c r="S466" s="8">
        <v>415496</v>
      </c>
      <c r="U466" s="8">
        <v>2150882</v>
      </c>
      <c r="W466" s="8">
        <v>969633</v>
      </c>
      <c r="Y466" s="8">
        <v>65816</v>
      </c>
      <c r="AA466" s="8">
        <v>4327796</v>
      </c>
      <c r="AC466" s="8">
        <v>2257920</v>
      </c>
      <c r="AE466" s="8">
        <v>230710</v>
      </c>
      <c r="AG466" s="8">
        <v>763048</v>
      </c>
      <c r="AI466" s="8">
        <v>274345</v>
      </c>
      <c r="AJ466" s="13" t="s">
        <v>670</v>
      </c>
      <c r="AK466" s="13"/>
      <c r="AL466" s="13" t="s">
        <v>63</v>
      </c>
      <c r="AN466" s="8">
        <v>1044317</v>
      </c>
      <c r="AP466" s="8">
        <v>9403</v>
      </c>
      <c r="AR466" s="8">
        <v>0</v>
      </c>
      <c r="AT466" s="8">
        <v>884321</v>
      </c>
      <c r="AV466" s="8">
        <v>509392</v>
      </c>
      <c r="AX466" s="8">
        <v>0</v>
      </c>
      <c r="AZ466" s="9">
        <f t="shared" si="31"/>
        <v>34183208</v>
      </c>
      <c r="BB466" s="8">
        <v>125000</v>
      </c>
      <c r="BH466" s="8">
        <v>0</v>
      </c>
      <c r="BJ466" s="9">
        <f t="shared" si="29"/>
        <v>34308208</v>
      </c>
      <c r="BL466" s="9">
        <f>'Gov Fd Rv'!AQ466-'Gov Fnd Exp'!BJ466</f>
        <v>1008837</v>
      </c>
      <c r="BN466" s="8">
        <v>15696940</v>
      </c>
      <c r="BP466" s="8">
        <v>0</v>
      </c>
      <c r="BT466" s="9">
        <f t="shared" si="30"/>
        <v>16705777</v>
      </c>
      <c r="BU466" s="9"/>
      <c r="BV466" s="9">
        <f>BT466-'Gov Fd BS'!AA469</f>
        <v>0</v>
      </c>
    </row>
    <row r="467" spans="1:76">
      <c r="A467" s="13" t="s">
        <v>362</v>
      </c>
      <c r="B467" s="13"/>
      <c r="C467" s="13" t="s">
        <v>27</v>
      </c>
      <c r="D467" s="13"/>
      <c r="E467" s="32">
        <v>47001</v>
      </c>
      <c r="G467" s="8">
        <v>27344681</v>
      </c>
      <c r="I467" s="8">
        <v>3957300</v>
      </c>
      <c r="K467" s="8">
        <v>129809</v>
      </c>
      <c r="M467" s="8">
        <f>500+660235</f>
        <v>660735</v>
      </c>
      <c r="O467" s="8">
        <v>11232159</v>
      </c>
      <c r="Q467" s="8">
        <v>1769168</v>
      </c>
      <c r="S467" s="8">
        <v>58901</v>
      </c>
      <c r="U467" s="8">
        <v>5869601</v>
      </c>
      <c r="W467" s="8">
        <v>1579006</v>
      </c>
      <c r="Y467" s="8">
        <v>355126</v>
      </c>
      <c r="AA467" s="8">
        <v>6424421</v>
      </c>
      <c r="AC467" s="8">
        <v>3172049</v>
      </c>
      <c r="AE467" s="8">
        <v>552731</v>
      </c>
      <c r="AG467" s="8">
        <v>2253182</v>
      </c>
      <c r="AI467" s="8">
        <v>463024</v>
      </c>
      <c r="AJ467" s="13" t="s">
        <v>362</v>
      </c>
      <c r="AK467" s="13"/>
      <c r="AL467" s="13" t="s">
        <v>27</v>
      </c>
      <c r="AN467" s="8">
        <v>1476586</v>
      </c>
      <c r="AP467" s="8">
        <v>4166604</v>
      </c>
      <c r="AR467" s="8">
        <v>0</v>
      </c>
      <c r="AT467" s="8">
        <v>58475172</v>
      </c>
      <c r="AV467" s="8">
        <f>6159713+564480</f>
        <v>6724193</v>
      </c>
      <c r="AX467" s="8">
        <v>0</v>
      </c>
      <c r="AZ467" s="9">
        <f t="shared" si="31"/>
        <v>136664448</v>
      </c>
      <c r="BB467" s="8">
        <v>14234</v>
      </c>
      <c r="BH467" s="8">
        <v>0</v>
      </c>
      <c r="BJ467" s="9">
        <f t="shared" si="29"/>
        <v>136678682</v>
      </c>
      <c r="BL467" s="9">
        <f>'Gov Fd Rv'!AQ467-'Gov Fnd Exp'!BJ467</f>
        <v>665655</v>
      </c>
      <c r="BN467" s="8">
        <v>66273001</v>
      </c>
      <c r="BP467" s="8">
        <v>-11790</v>
      </c>
      <c r="BT467" s="9">
        <f t="shared" si="30"/>
        <v>66926866</v>
      </c>
      <c r="BU467" s="9"/>
      <c r="BV467" s="9">
        <f>BT467-'Gov Fd BS'!AA470</f>
        <v>0</v>
      </c>
    </row>
    <row r="468" spans="1:76">
      <c r="A468" s="13" t="s">
        <v>318</v>
      </c>
      <c r="B468" s="13"/>
      <c r="C468" s="13" t="s">
        <v>20</v>
      </c>
      <c r="D468" s="13"/>
      <c r="E468" s="32">
        <v>46599</v>
      </c>
      <c r="G468" s="8">
        <v>5907709</v>
      </c>
      <c r="I468" s="8">
        <v>1421325</v>
      </c>
      <c r="K468" s="8">
        <v>123878</v>
      </c>
      <c r="M468" s="8">
        <v>0</v>
      </c>
      <c r="O468" s="8">
        <v>740575</v>
      </c>
      <c r="Q468" s="8">
        <v>343301</v>
      </c>
      <c r="S468" s="8">
        <v>104627</v>
      </c>
      <c r="U468" s="8">
        <v>1055660</v>
      </c>
      <c r="W468" s="8">
        <v>358884</v>
      </c>
      <c r="Y468" s="8">
        <v>87691</v>
      </c>
      <c r="AA468" s="8">
        <v>1132172</v>
      </c>
      <c r="AC468" s="8">
        <v>1008400</v>
      </c>
      <c r="AE468" s="8">
        <v>199771</v>
      </c>
      <c r="AG468" s="8">
        <v>0</v>
      </c>
      <c r="AI468" s="8">
        <v>0</v>
      </c>
      <c r="AJ468" s="13" t="s">
        <v>318</v>
      </c>
      <c r="AK468" s="13"/>
      <c r="AL468" s="13" t="s">
        <v>20</v>
      </c>
      <c r="AN468" s="8">
        <v>202469</v>
      </c>
      <c r="AP468" s="8">
        <v>151935</v>
      </c>
      <c r="AR468" s="8">
        <v>0</v>
      </c>
      <c r="AT468" s="8">
        <v>84990</v>
      </c>
      <c r="AV468" s="8">
        <v>36782</v>
      </c>
      <c r="AX468" s="8">
        <v>0</v>
      </c>
      <c r="AZ468" s="9">
        <f t="shared" si="31"/>
        <v>12960169</v>
      </c>
      <c r="BB468" s="8">
        <v>56707</v>
      </c>
      <c r="BH468" s="8">
        <v>0</v>
      </c>
      <c r="BJ468" s="9">
        <f t="shared" si="29"/>
        <v>13016876</v>
      </c>
      <c r="BL468" s="9">
        <f>'Gov Fd Rv'!AQ468-'Gov Fnd Exp'!BJ468</f>
        <v>328599</v>
      </c>
      <c r="BN468" s="8">
        <v>289919</v>
      </c>
      <c r="BP468" s="8">
        <v>0</v>
      </c>
      <c r="BT468" s="9">
        <f t="shared" si="30"/>
        <v>618518</v>
      </c>
      <c r="BU468" s="9"/>
      <c r="BV468" s="9">
        <f>BT468-'Gov Fd BS'!AA471</f>
        <v>0</v>
      </c>
    </row>
    <row r="469" spans="1:76">
      <c r="A469" s="13" t="s">
        <v>523</v>
      </c>
      <c r="B469" s="13"/>
      <c r="C469" s="13" t="s">
        <v>46</v>
      </c>
      <c r="D469" s="13"/>
      <c r="E469" s="32">
        <v>48439</v>
      </c>
      <c r="G469" s="8">
        <v>3232837</v>
      </c>
      <c r="I469" s="8">
        <v>550536</v>
      </c>
      <c r="K469" s="8">
        <v>201944</v>
      </c>
      <c r="M469" s="8">
        <v>1215620</v>
      </c>
      <c r="O469" s="8">
        <v>339301</v>
      </c>
      <c r="Q469" s="8">
        <v>363669</v>
      </c>
      <c r="S469" s="8">
        <v>50093</v>
      </c>
      <c r="U469" s="8">
        <v>709196</v>
      </c>
      <c r="W469" s="8">
        <v>236283</v>
      </c>
      <c r="Y469" s="8">
        <v>0</v>
      </c>
      <c r="AA469" s="8">
        <v>646338</v>
      </c>
      <c r="AC469" s="8">
        <v>507301</v>
      </c>
      <c r="AE469" s="8">
        <v>26277</v>
      </c>
      <c r="AG469" s="8">
        <v>352852</v>
      </c>
      <c r="AI469" s="8">
        <v>0</v>
      </c>
      <c r="AJ469" s="13" t="s">
        <v>523</v>
      </c>
      <c r="AK469" s="13"/>
      <c r="AL469" s="13" t="s">
        <v>46</v>
      </c>
      <c r="AN469" s="8">
        <v>244497</v>
      </c>
      <c r="AP469" s="8">
        <v>0</v>
      </c>
      <c r="AR469" s="8">
        <v>0</v>
      </c>
      <c r="AT469" s="8">
        <v>79073</v>
      </c>
      <c r="AV469" s="8">
        <v>11874</v>
      </c>
      <c r="AX469" s="8">
        <v>0</v>
      </c>
      <c r="AZ469" s="9">
        <f t="shared" si="31"/>
        <v>8767691</v>
      </c>
      <c r="BB469" s="8">
        <v>0</v>
      </c>
      <c r="BH469" s="8">
        <v>0</v>
      </c>
      <c r="BJ469" s="9">
        <f t="shared" si="29"/>
        <v>8767691</v>
      </c>
      <c r="BL469" s="9">
        <f>'Gov Fd Rv'!AQ469-'Gov Fnd Exp'!BJ469</f>
        <v>568689</v>
      </c>
      <c r="BN469" s="8">
        <v>2156630</v>
      </c>
      <c r="BP469" s="8">
        <v>0</v>
      </c>
      <c r="BT469" s="9">
        <f t="shared" si="30"/>
        <v>2725319</v>
      </c>
      <c r="BU469" s="9"/>
      <c r="BV469" s="9">
        <f>BT469-'Gov Fd BS'!AA472</f>
        <v>0</v>
      </c>
    </row>
    <row r="470" spans="1:76">
      <c r="A470" s="13" t="s">
        <v>424</v>
      </c>
      <c r="B470" s="13"/>
      <c r="C470" s="13" t="s">
        <v>421</v>
      </c>
      <c r="D470" s="13"/>
      <c r="E470" s="32">
        <v>47506</v>
      </c>
      <c r="G470" s="8">
        <v>2386109</v>
      </c>
      <c r="I470" s="8">
        <v>340012</v>
      </c>
      <c r="K470" s="8">
        <v>163018</v>
      </c>
      <c r="M470" s="8">
        <v>80479</v>
      </c>
      <c r="O470" s="8">
        <v>202255</v>
      </c>
      <c r="Q470" s="8">
        <v>314037</v>
      </c>
      <c r="S470" s="8">
        <v>28551</v>
      </c>
      <c r="U470" s="8">
        <v>651130</v>
      </c>
      <c r="W470" s="8">
        <v>198209</v>
      </c>
      <c r="Y470" s="8">
        <v>0</v>
      </c>
      <c r="AA470" s="8">
        <v>494173</v>
      </c>
      <c r="AC470" s="8">
        <v>330585</v>
      </c>
      <c r="AE470" s="8">
        <v>57113</v>
      </c>
      <c r="AG470" s="8">
        <v>0</v>
      </c>
      <c r="AI470" s="8">
        <v>1454</v>
      </c>
      <c r="AJ470" s="13" t="s">
        <v>424</v>
      </c>
      <c r="AK470" s="13"/>
      <c r="AL470" s="13" t="s">
        <v>421</v>
      </c>
      <c r="AN470" s="8">
        <v>180516</v>
      </c>
      <c r="AP470" s="8">
        <v>247</v>
      </c>
      <c r="AR470" s="8">
        <v>0</v>
      </c>
      <c r="AT470" s="8">
        <v>74548</v>
      </c>
      <c r="AV470" s="8">
        <v>115883</v>
      </c>
      <c r="AX470" s="8">
        <v>0</v>
      </c>
      <c r="AZ470" s="9">
        <f t="shared" si="31"/>
        <v>5618319</v>
      </c>
      <c r="BB470" s="8">
        <v>100000</v>
      </c>
      <c r="BH470" s="8">
        <v>0</v>
      </c>
      <c r="BJ470" s="9">
        <f t="shared" si="29"/>
        <v>5718319</v>
      </c>
      <c r="BL470" s="9">
        <f>'Gov Fd Rv'!AQ470-'Gov Fnd Exp'!BJ470</f>
        <v>-276509</v>
      </c>
      <c r="BN470" s="8">
        <v>1258995</v>
      </c>
      <c r="BP470" s="8">
        <v>0</v>
      </c>
      <c r="BT470" s="9">
        <f t="shared" si="30"/>
        <v>982486</v>
      </c>
      <c r="BU470" s="9"/>
      <c r="BV470" s="9">
        <f>BT470-'Gov Fd BS'!AA473</f>
        <v>0</v>
      </c>
      <c r="BX470" s="15" t="s">
        <v>905</v>
      </c>
    </row>
    <row r="471" spans="1:76">
      <c r="A471" s="13" t="s">
        <v>288</v>
      </c>
      <c r="B471" s="13"/>
      <c r="C471" s="13" t="s">
        <v>19</v>
      </c>
      <c r="D471" s="13"/>
      <c r="E471" s="32">
        <v>46474</v>
      </c>
      <c r="G471" s="8">
        <v>5252566</v>
      </c>
      <c r="I471" s="8">
        <v>1053659</v>
      </c>
      <c r="K471" s="8">
        <v>239124</v>
      </c>
      <c r="M471" s="8">
        <v>78097</v>
      </c>
      <c r="O471" s="8">
        <v>518399</v>
      </c>
      <c r="Q471" s="8">
        <v>664713</v>
      </c>
      <c r="S471" s="8">
        <v>38078</v>
      </c>
      <c r="U471" s="8">
        <v>828218</v>
      </c>
      <c r="W471" s="8">
        <v>338042</v>
      </c>
      <c r="Y471" s="8">
        <v>5446</v>
      </c>
      <c r="AA471" s="8">
        <v>1449751</v>
      </c>
      <c r="AC471" s="8">
        <v>787571</v>
      </c>
      <c r="AE471" s="8">
        <v>4596</v>
      </c>
      <c r="AG471" s="8">
        <v>507369</v>
      </c>
      <c r="AI471" s="8">
        <v>1038</v>
      </c>
      <c r="AJ471" s="13" t="s">
        <v>288</v>
      </c>
      <c r="AK471" s="13"/>
      <c r="AL471" s="13" t="s">
        <v>19</v>
      </c>
      <c r="AN471" s="8">
        <v>395594</v>
      </c>
      <c r="AP471" s="8">
        <v>16360</v>
      </c>
      <c r="AR471" s="8">
        <v>0</v>
      </c>
      <c r="AT471" s="8">
        <v>195221</v>
      </c>
      <c r="AV471" s="8">
        <v>137126</v>
      </c>
      <c r="AX471" s="8">
        <v>0</v>
      </c>
      <c r="AZ471" s="9">
        <f t="shared" si="31"/>
        <v>12510968</v>
      </c>
      <c r="BB471" s="8">
        <v>0</v>
      </c>
      <c r="BH471" s="8">
        <v>0</v>
      </c>
      <c r="BJ471" s="9">
        <f t="shared" si="29"/>
        <v>12510968</v>
      </c>
      <c r="BL471" s="9">
        <f>'Gov Fd Rv'!AQ471-'Gov Fnd Exp'!BJ471</f>
        <v>211910</v>
      </c>
      <c r="BN471" s="8">
        <v>4237123</v>
      </c>
      <c r="BP471" s="8">
        <v>0</v>
      </c>
      <c r="BT471" s="9">
        <f t="shared" si="30"/>
        <v>4449033</v>
      </c>
      <c r="BU471" s="9"/>
      <c r="BV471" s="9">
        <f>BT471-'Gov Fd BS'!AA474</f>
        <v>0</v>
      </c>
      <c r="BX471" s="8" t="s">
        <v>1014</v>
      </c>
    </row>
    <row r="472" spans="1:76">
      <c r="A472" s="13" t="s">
        <v>867</v>
      </c>
      <c r="B472" s="13"/>
      <c r="C472" s="13" t="s">
        <v>77</v>
      </c>
      <c r="D472" s="13"/>
      <c r="E472" s="32">
        <v>46078</v>
      </c>
      <c r="G472" s="8">
        <v>4478117</v>
      </c>
      <c r="I472" s="8">
        <v>1212362</v>
      </c>
      <c r="K472" s="8">
        <v>512463</v>
      </c>
      <c r="M472" s="8">
        <v>253268</v>
      </c>
      <c r="O472" s="8">
        <v>339630</v>
      </c>
      <c r="Q472" s="8">
        <v>750893</v>
      </c>
      <c r="S472" s="8">
        <v>108931</v>
      </c>
      <c r="U472" s="8">
        <v>866523</v>
      </c>
      <c r="W472" s="8">
        <v>303810</v>
      </c>
      <c r="Y472" s="8">
        <v>0</v>
      </c>
      <c r="AA472" s="8">
        <v>1135298</v>
      </c>
      <c r="AC472" s="8">
        <v>653348</v>
      </c>
      <c r="AE472" s="8">
        <v>90906</v>
      </c>
      <c r="AG472" s="8">
        <v>546364</v>
      </c>
      <c r="AI472" s="8">
        <v>27182</v>
      </c>
      <c r="AJ472" s="13" t="s">
        <v>239</v>
      </c>
      <c r="AK472" s="13"/>
      <c r="AL472" s="13" t="s">
        <v>77</v>
      </c>
      <c r="AN472" s="8">
        <v>188405</v>
      </c>
      <c r="AP472" s="8">
        <v>0</v>
      </c>
      <c r="AR472" s="8">
        <v>54124</v>
      </c>
      <c r="AT472" s="8">
        <v>320487</v>
      </c>
      <c r="AV472" s="8">
        <v>222244</v>
      </c>
      <c r="AX472" s="8">
        <v>0</v>
      </c>
      <c r="AZ472" s="9">
        <f t="shared" si="31"/>
        <v>12064355</v>
      </c>
      <c r="BB472" s="8">
        <v>0</v>
      </c>
      <c r="BH472" s="8">
        <v>0</v>
      </c>
      <c r="BJ472" s="9">
        <f t="shared" si="29"/>
        <v>12064355</v>
      </c>
      <c r="BL472" s="9">
        <f>'Gov Fd Rv'!AQ472-'Gov Fnd Exp'!BJ472</f>
        <v>299597</v>
      </c>
      <c r="BN472" s="8">
        <v>3483050</v>
      </c>
      <c r="BP472" s="8">
        <v>0</v>
      </c>
      <c r="BT472" s="9">
        <f t="shared" si="30"/>
        <v>3782647</v>
      </c>
      <c r="BU472" s="9"/>
      <c r="BV472" s="9">
        <f>BT472-'Gov Fd BS'!AA475</f>
        <v>0</v>
      </c>
    </row>
    <row r="473" spans="1:76">
      <c r="A473" s="13" t="s">
        <v>724</v>
      </c>
      <c r="B473" s="13"/>
      <c r="C473" s="13" t="s">
        <v>71</v>
      </c>
      <c r="D473" s="13"/>
      <c r="E473" s="32">
        <v>45591</v>
      </c>
      <c r="G473" s="8">
        <v>4381834</v>
      </c>
      <c r="I473" s="8">
        <v>877256</v>
      </c>
      <c r="K473" s="8">
        <v>69093</v>
      </c>
      <c r="M473" s="8">
        <f>46268+2964</f>
        <v>49232</v>
      </c>
      <c r="O473" s="8">
        <v>373689</v>
      </c>
      <c r="Q473" s="8">
        <v>510610</v>
      </c>
      <c r="S473" s="8">
        <v>49970</v>
      </c>
      <c r="U473" s="8">
        <v>747401</v>
      </c>
      <c r="W473" s="8">
        <v>311959</v>
      </c>
      <c r="Y473" s="8">
        <v>0</v>
      </c>
      <c r="AA473" s="8">
        <v>988681</v>
      </c>
      <c r="AC473" s="8">
        <v>265806</v>
      </c>
      <c r="AE473" s="8">
        <v>0</v>
      </c>
      <c r="AG473" s="8">
        <v>483586</v>
      </c>
      <c r="AI473" s="8">
        <v>0</v>
      </c>
      <c r="AJ473" s="13" t="s">
        <v>724</v>
      </c>
      <c r="AK473" s="13"/>
      <c r="AL473" s="13" t="s">
        <v>71</v>
      </c>
      <c r="AN473" s="8">
        <v>160133</v>
      </c>
      <c r="AP473" s="8">
        <v>1204792</v>
      </c>
      <c r="AR473" s="8">
        <v>0</v>
      </c>
      <c r="AT473" s="8">
        <v>330366</v>
      </c>
      <c r="AV473" s="8">
        <v>322704</v>
      </c>
      <c r="AX473" s="8">
        <v>0</v>
      </c>
      <c r="AZ473" s="9">
        <f t="shared" si="31"/>
        <v>11127112</v>
      </c>
      <c r="BB473" s="8">
        <v>2170036</v>
      </c>
      <c r="BH473" s="8">
        <v>0</v>
      </c>
      <c r="BJ473" s="9">
        <f t="shared" si="29"/>
        <v>13297148</v>
      </c>
      <c r="BL473" s="9">
        <f>'Gov Fd Rv'!AQ473-'Gov Fnd Exp'!BJ473</f>
        <v>3490901</v>
      </c>
      <c r="BN473" s="8">
        <v>3968798</v>
      </c>
      <c r="BP473" s="8">
        <v>0</v>
      </c>
      <c r="BT473" s="9">
        <f t="shared" si="30"/>
        <v>7459699</v>
      </c>
      <c r="BU473" s="9"/>
      <c r="BV473" s="9">
        <f>BT473-'Gov Fd BS'!AA476</f>
        <v>0</v>
      </c>
    </row>
    <row r="474" spans="1:76">
      <c r="A474" s="13" t="s">
        <v>524</v>
      </c>
      <c r="B474" s="13"/>
      <c r="C474" s="13" t="s">
        <v>46</v>
      </c>
      <c r="D474" s="13"/>
      <c r="E474" s="32">
        <v>48447</v>
      </c>
      <c r="G474" s="8">
        <v>9441010</v>
      </c>
      <c r="I474" s="8">
        <v>1476944</v>
      </c>
      <c r="K474" s="8">
        <v>189516</v>
      </c>
      <c r="M474" s="8">
        <v>0</v>
      </c>
      <c r="O474" s="8">
        <v>470624</v>
      </c>
      <c r="Q474" s="8">
        <v>885685</v>
      </c>
      <c r="S474" s="8">
        <v>17701</v>
      </c>
      <c r="U474" s="8">
        <v>1365909</v>
      </c>
      <c r="W474" s="8">
        <v>474740</v>
      </c>
      <c r="Y474" s="8">
        <v>25058</v>
      </c>
      <c r="AA474" s="8">
        <v>1596948</v>
      </c>
      <c r="AC474" s="8">
        <v>951138</v>
      </c>
      <c r="AE474" s="8">
        <v>77256</v>
      </c>
      <c r="AG474" s="8">
        <v>0</v>
      </c>
      <c r="AI474" s="8">
        <v>879467</v>
      </c>
      <c r="AJ474" s="13" t="s">
        <v>524</v>
      </c>
      <c r="AK474" s="13"/>
      <c r="AL474" s="13" t="s">
        <v>46</v>
      </c>
      <c r="AN474" s="8">
        <v>405732</v>
      </c>
      <c r="AP474" s="8">
        <v>233901</v>
      </c>
      <c r="AR474" s="8">
        <v>0</v>
      </c>
      <c r="AT474" s="8">
        <v>769126</v>
      </c>
      <c r="AV474" s="8">
        <v>646912</v>
      </c>
      <c r="AX474" s="8">
        <v>0</v>
      </c>
      <c r="AZ474" s="9">
        <f t="shared" si="31"/>
        <v>19907667</v>
      </c>
      <c r="BB474" s="8">
        <v>92783</v>
      </c>
      <c r="BH474" s="8">
        <v>0</v>
      </c>
      <c r="BJ474" s="9">
        <f t="shared" si="29"/>
        <v>20000450</v>
      </c>
      <c r="BL474" s="9">
        <f>'Gov Fd Rv'!AQ474-'Gov Fnd Exp'!BJ474</f>
        <v>-898255</v>
      </c>
      <c r="BN474" s="8">
        <v>6691184</v>
      </c>
      <c r="BP474" s="8">
        <v>0</v>
      </c>
      <c r="BT474" s="9">
        <f t="shared" si="30"/>
        <v>5792929</v>
      </c>
      <c r="BU474" s="9"/>
      <c r="BV474" s="9">
        <f>BT474-'Gov Fd BS'!AA477</f>
        <v>0</v>
      </c>
    </row>
    <row r="475" spans="1:76">
      <c r="A475" s="13" t="s">
        <v>289</v>
      </c>
      <c r="B475" s="13"/>
      <c r="C475" s="13" t="s">
        <v>19</v>
      </c>
      <c r="D475" s="13"/>
      <c r="E475" s="32">
        <v>46482</v>
      </c>
      <c r="G475" s="8">
        <v>9428194</v>
      </c>
      <c r="I475" s="8">
        <v>2371605</v>
      </c>
      <c r="K475" s="8">
        <v>368210</v>
      </c>
      <c r="M475" s="8">
        <v>0</v>
      </c>
      <c r="O475" s="8">
        <v>806530</v>
      </c>
      <c r="Q475" s="8">
        <v>998185</v>
      </c>
      <c r="S475" s="8">
        <v>63619</v>
      </c>
      <c r="U475" s="8">
        <v>1503125</v>
      </c>
      <c r="W475" s="8">
        <v>579111</v>
      </c>
      <c r="Y475" s="8">
        <v>0</v>
      </c>
      <c r="AA475" s="8">
        <v>2116672</v>
      </c>
      <c r="AC475" s="8">
        <v>1422893</v>
      </c>
      <c r="AE475" s="8">
        <v>349724</v>
      </c>
      <c r="AG475" s="8">
        <v>1022559</v>
      </c>
      <c r="AI475" s="8">
        <v>16479</v>
      </c>
      <c r="AJ475" s="13" t="s">
        <v>289</v>
      </c>
      <c r="AK475" s="13"/>
      <c r="AL475" s="13" t="s">
        <v>19</v>
      </c>
      <c r="AN475" s="8">
        <v>431377</v>
      </c>
      <c r="AP475" s="8">
        <v>0</v>
      </c>
      <c r="AR475" s="8">
        <v>0</v>
      </c>
      <c r="AT475" s="8">
        <v>169785</v>
      </c>
      <c r="AV475" s="8">
        <v>75599</v>
      </c>
      <c r="AX475" s="8">
        <v>0</v>
      </c>
      <c r="AZ475" s="9">
        <f t="shared" si="31"/>
        <v>21723667</v>
      </c>
      <c r="BB475" s="8">
        <v>60419</v>
      </c>
      <c r="BH475" s="8">
        <v>0</v>
      </c>
      <c r="BJ475" s="9">
        <f t="shared" si="29"/>
        <v>21784086</v>
      </c>
      <c r="BL475" s="9">
        <f>'Gov Fd Rv'!AQ475-'Gov Fnd Exp'!BJ475</f>
        <v>-18155</v>
      </c>
      <c r="BN475" s="8">
        <v>5440194</v>
      </c>
      <c r="BP475" s="8">
        <v>0</v>
      </c>
      <c r="BT475" s="9">
        <f t="shared" si="30"/>
        <v>5422039</v>
      </c>
      <c r="BU475" s="9"/>
      <c r="BV475" s="9">
        <f>BT475-'Gov Fd BS'!AA478</f>
        <v>0</v>
      </c>
    </row>
    <row r="476" spans="1:76">
      <c r="A476" s="13" t="s">
        <v>425</v>
      </c>
      <c r="B476" s="13"/>
      <c r="C476" s="13" t="s">
        <v>421</v>
      </c>
      <c r="D476" s="13"/>
      <c r="E476" s="32">
        <v>47514</v>
      </c>
      <c r="G476" s="8">
        <v>4426614</v>
      </c>
      <c r="I476" s="8">
        <v>1089580</v>
      </c>
      <c r="K476" s="8">
        <v>247904</v>
      </c>
      <c r="M476" s="8">
        <f>21272+652968</f>
        <v>674240</v>
      </c>
      <c r="O476" s="8">
        <v>242912</v>
      </c>
      <c r="Q476" s="8">
        <v>429042</v>
      </c>
      <c r="S476" s="8">
        <v>107296</v>
      </c>
      <c r="U476" s="8">
        <v>897607</v>
      </c>
      <c r="W476" s="8">
        <v>248650</v>
      </c>
      <c r="Y476" s="8">
        <v>34176</v>
      </c>
      <c r="AA476" s="8">
        <v>1240681</v>
      </c>
      <c r="AC476" s="8">
        <v>759647</v>
      </c>
      <c r="AE476" s="8">
        <v>56425</v>
      </c>
      <c r="AG476" s="8">
        <v>0</v>
      </c>
      <c r="AI476" s="8">
        <v>393221</v>
      </c>
      <c r="AJ476" s="13" t="s">
        <v>425</v>
      </c>
      <c r="AK476" s="13"/>
      <c r="AL476" s="13" t="s">
        <v>421</v>
      </c>
      <c r="AN476" s="8">
        <v>504616</v>
      </c>
      <c r="AP476" s="8">
        <v>1109265</v>
      </c>
      <c r="AR476" s="8">
        <v>0</v>
      </c>
      <c r="AT476" s="8">
        <v>235000</v>
      </c>
      <c r="AV476" s="8">
        <v>224826</v>
      </c>
      <c r="AX476" s="8">
        <v>0</v>
      </c>
      <c r="AZ476" s="9">
        <f t="shared" si="31"/>
        <v>12921702</v>
      </c>
      <c r="BB476" s="8">
        <v>1201614</v>
      </c>
      <c r="BH476" s="8">
        <v>0</v>
      </c>
      <c r="BJ476" s="9">
        <f t="shared" si="29"/>
        <v>14123316</v>
      </c>
      <c r="BL476" s="9">
        <f>'Gov Fd Rv'!AQ476-'Gov Fnd Exp'!BJ476</f>
        <v>-2147633</v>
      </c>
      <c r="BN476" s="8">
        <v>3468212</v>
      </c>
      <c r="BP476" s="8">
        <v>0</v>
      </c>
      <c r="BT476" s="9">
        <f t="shared" si="30"/>
        <v>1320579</v>
      </c>
      <c r="BU476" s="9"/>
      <c r="BV476" s="9">
        <f>BT476-'Gov Fd BS'!AA479</f>
        <v>0</v>
      </c>
    </row>
    <row r="477" spans="1:76">
      <c r="A477" s="13" t="s">
        <v>482</v>
      </c>
      <c r="B477" s="13"/>
      <c r="C477" s="13" t="s">
        <v>41</v>
      </c>
      <c r="D477" s="13"/>
      <c r="E477" s="32"/>
      <c r="G477" s="8">
        <v>20130769</v>
      </c>
      <c r="I477" s="8">
        <v>3216039</v>
      </c>
      <c r="K477" s="8">
        <v>0</v>
      </c>
      <c r="M477" s="8">
        <v>700021</v>
      </c>
      <c r="O477" s="8">
        <v>2104638</v>
      </c>
      <c r="Q477" s="8">
        <v>1638280</v>
      </c>
      <c r="S477" s="8">
        <v>22796</v>
      </c>
      <c r="U477" s="8">
        <v>4378334</v>
      </c>
      <c r="W477" s="8">
        <v>883326</v>
      </c>
      <c r="Y477" s="8">
        <v>104030</v>
      </c>
      <c r="AA477" s="8">
        <v>5870951</v>
      </c>
      <c r="AC477" s="8">
        <v>5240065</v>
      </c>
      <c r="AE477" s="8">
        <v>56969</v>
      </c>
      <c r="AG477" s="8">
        <v>27790</v>
      </c>
      <c r="AI477" s="8">
        <v>47944</v>
      </c>
      <c r="AJ477" s="13" t="s">
        <v>482</v>
      </c>
      <c r="AK477" s="13"/>
      <c r="AL477" s="13" t="s">
        <v>41</v>
      </c>
      <c r="AN477" s="8">
        <v>752833</v>
      </c>
      <c r="AP477" s="8">
        <v>150930</v>
      </c>
      <c r="AR477" s="8">
        <v>0</v>
      </c>
      <c r="AT477" s="8">
        <v>402137</v>
      </c>
      <c r="AV477" s="8">
        <v>480543</v>
      </c>
      <c r="AX477" s="8">
        <v>0</v>
      </c>
      <c r="AZ477" s="9">
        <f t="shared" si="31"/>
        <v>46208395</v>
      </c>
      <c r="BB477" s="8">
        <v>303768</v>
      </c>
      <c r="BH477" s="8">
        <v>0</v>
      </c>
      <c r="BJ477" s="9">
        <f t="shared" si="29"/>
        <v>46512163</v>
      </c>
      <c r="BL477" s="9">
        <f>'Gov Fd Rv'!AQ477-'Gov Fnd Exp'!BJ477</f>
        <v>-1623697</v>
      </c>
      <c r="BN477" s="8">
        <v>7211371</v>
      </c>
      <c r="BP477" s="8">
        <v>-23570</v>
      </c>
      <c r="BT477" s="9">
        <f t="shared" si="30"/>
        <v>5564104</v>
      </c>
      <c r="BU477" s="9"/>
      <c r="BV477" s="9">
        <f>BT477-'Gov Fd BS'!AA480</f>
        <v>0</v>
      </c>
    </row>
    <row r="478" spans="1:76">
      <c r="A478" s="13" t="s">
        <v>482</v>
      </c>
      <c r="B478" s="13"/>
      <c r="C478" s="13" t="s">
        <v>43</v>
      </c>
      <c r="D478" s="13"/>
      <c r="E478" s="32">
        <v>48090</v>
      </c>
      <c r="G478" s="8">
        <v>3787097</v>
      </c>
      <c r="I478" s="8">
        <v>714705</v>
      </c>
      <c r="K478" s="8">
        <v>147852</v>
      </c>
      <c r="M478" s="8">
        <v>0</v>
      </c>
      <c r="O478" s="8">
        <v>208997</v>
      </c>
      <c r="Q478" s="8">
        <v>523896</v>
      </c>
      <c r="S478" s="8">
        <v>18031</v>
      </c>
      <c r="U478" s="8">
        <v>549467</v>
      </c>
      <c r="W478" s="8">
        <v>287067</v>
      </c>
      <c r="Y478" s="8">
        <v>20669</v>
      </c>
      <c r="AA478" s="8">
        <v>743069</v>
      </c>
      <c r="AC478" s="8">
        <v>367549</v>
      </c>
      <c r="AE478" s="8">
        <v>4659</v>
      </c>
      <c r="AG478" s="8">
        <v>342517</v>
      </c>
      <c r="AI478" s="8">
        <v>1350</v>
      </c>
      <c r="AJ478" s="13" t="s">
        <v>482</v>
      </c>
      <c r="AK478" s="13"/>
      <c r="AL478" s="13" t="s">
        <v>43</v>
      </c>
      <c r="AN478" s="8">
        <v>189674</v>
      </c>
      <c r="AP478" s="8">
        <v>100</v>
      </c>
      <c r="AR478" s="8">
        <v>0</v>
      </c>
      <c r="AT478" s="8">
        <v>155000</v>
      </c>
      <c r="AV478" s="8">
        <v>78208</v>
      </c>
      <c r="AX478" s="8">
        <v>0</v>
      </c>
      <c r="AZ478" s="9">
        <f t="shared" si="31"/>
        <v>8139907</v>
      </c>
      <c r="BB478" s="8">
        <v>8561</v>
      </c>
      <c r="BH478" s="8">
        <v>0</v>
      </c>
      <c r="BJ478" s="9">
        <f t="shared" si="29"/>
        <v>8148468</v>
      </c>
      <c r="BL478" s="9">
        <f>'Gov Fd Rv'!AQ478-'Gov Fnd Exp'!BJ478</f>
        <v>-385729</v>
      </c>
      <c r="BN478" s="8">
        <v>606872</v>
      </c>
      <c r="BP478" s="8">
        <v>0</v>
      </c>
      <c r="BT478" s="9">
        <f t="shared" si="30"/>
        <v>221143</v>
      </c>
      <c r="BU478" s="9"/>
      <c r="BV478" s="9">
        <f>BT478-'Gov Fd BS'!AA481</f>
        <v>0</v>
      </c>
    </row>
    <row r="479" spans="1:76">
      <c r="A479" s="13" t="s">
        <v>470</v>
      </c>
      <c r="B479" s="13"/>
      <c r="C479" s="13" t="s">
        <v>466</v>
      </c>
      <c r="D479" s="13"/>
      <c r="E479" s="32">
        <v>47944</v>
      </c>
      <c r="G479" s="8">
        <v>9541687</v>
      </c>
      <c r="I479" s="8">
        <v>2881182</v>
      </c>
      <c r="K479" s="8">
        <v>307712</v>
      </c>
      <c r="M479" s="8">
        <v>1620</v>
      </c>
      <c r="O479" s="8">
        <v>471134</v>
      </c>
      <c r="Q479" s="8">
        <v>699237</v>
      </c>
      <c r="S479" s="8">
        <v>226931</v>
      </c>
      <c r="U479" s="8">
        <v>1371057</v>
      </c>
      <c r="W479" s="8">
        <v>346264</v>
      </c>
      <c r="Y479" s="8">
        <v>0</v>
      </c>
      <c r="AA479" s="8">
        <v>3243107</v>
      </c>
      <c r="AC479" s="8">
        <v>1161678</v>
      </c>
      <c r="AE479" s="8">
        <v>91286</v>
      </c>
      <c r="AG479" s="8">
        <v>1318679</v>
      </c>
      <c r="AI479" s="8">
        <v>7027</v>
      </c>
      <c r="AJ479" s="13" t="s">
        <v>470</v>
      </c>
      <c r="AK479" s="13"/>
      <c r="AL479" s="13" t="s">
        <v>466</v>
      </c>
      <c r="AN479" s="8">
        <v>321176</v>
      </c>
      <c r="AP479" s="8">
        <v>48982</v>
      </c>
      <c r="AR479" s="8">
        <v>0</v>
      </c>
      <c r="AT479" s="8">
        <v>0</v>
      </c>
      <c r="AV479" s="8">
        <v>0</v>
      </c>
      <c r="AX479" s="8">
        <v>0</v>
      </c>
      <c r="AZ479" s="9">
        <f t="shared" si="31"/>
        <v>22038759</v>
      </c>
      <c r="BB479" s="8">
        <v>600290</v>
      </c>
      <c r="BH479" s="8">
        <v>0</v>
      </c>
      <c r="BJ479" s="9">
        <f t="shared" si="29"/>
        <v>22639049</v>
      </c>
      <c r="BL479" s="9">
        <f>'Gov Fd Rv'!AQ479-'Gov Fnd Exp'!BJ479</f>
        <v>-995230</v>
      </c>
      <c r="BN479" s="8">
        <v>7383901</v>
      </c>
      <c r="BP479" s="8">
        <v>0</v>
      </c>
      <c r="BT479" s="9">
        <f t="shared" si="30"/>
        <v>6388671</v>
      </c>
      <c r="BU479" s="9"/>
      <c r="BV479" s="9">
        <f>BT479-'Gov Fd BS'!AA482</f>
        <v>0</v>
      </c>
      <c r="BX479" s="8" t="s">
        <v>956</v>
      </c>
    </row>
    <row r="480" spans="1:76">
      <c r="A480" s="13" t="s">
        <v>319</v>
      </c>
      <c r="B480" s="13"/>
      <c r="C480" s="13" t="s">
        <v>20</v>
      </c>
      <c r="D480" s="13"/>
      <c r="E480" s="32">
        <v>44701</v>
      </c>
      <c r="G480" s="8">
        <v>14417955</v>
      </c>
      <c r="I480" s="8">
        <v>3923212</v>
      </c>
      <c r="K480" s="8">
        <v>378009</v>
      </c>
      <c r="M480" s="8">
        <v>28300</v>
      </c>
      <c r="O480" s="8">
        <v>1819965</v>
      </c>
      <c r="Q480" s="8">
        <v>815644</v>
      </c>
      <c r="S480" s="8">
        <v>40458</v>
      </c>
      <c r="U480" s="8">
        <v>1924195</v>
      </c>
      <c r="W480" s="8">
        <v>726228</v>
      </c>
      <c r="Y480" s="8">
        <v>445663</v>
      </c>
      <c r="AA480" s="8">
        <v>3812350</v>
      </c>
      <c r="AC480" s="8">
        <v>1631701</v>
      </c>
      <c r="AE480" s="8">
        <v>712942</v>
      </c>
      <c r="AG480" s="8">
        <v>470604</v>
      </c>
      <c r="AI480" s="8">
        <v>1644408</v>
      </c>
      <c r="AJ480" s="13" t="s">
        <v>319</v>
      </c>
      <c r="AK480" s="13"/>
      <c r="AL480" s="13" t="s">
        <v>20</v>
      </c>
      <c r="AN480" s="8">
        <v>1202554</v>
      </c>
      <c r="AP480" s="8">
        <v>75280</v>
      </c>
      <c r="AR480" s="8">
        <v>0</v>
      </c>
      <c r="AT480" s="8">
        <v>2324123</v>
      </c>
      <c r="AV480" s="8">
        <v>797726</v>
      </c>
      <c r="AX480" s="8">
        <v>0</v>
      </c>
      <c r="AZ480" s="9">
        <f t="shared" si="31"/>
        <v>37191317</v>
      </c>
      <c r="BB480" s="8">
        <v>31000</v>
      </c>
      <c r="BH480" s="8">
        <v>0</v>
      </c>
      <c r="BJ480" s="9">
        <f t="shared" si="29"/>
        <v>37222317</v>
      </c>
      <c r="BL480" s="9">
        <f>'Gov Fd Rv'!AQ480-'Gov Fnd Exp'!BJ480</f>
        <v>1489467</v>
      </c>
      <c r="BN480" s="8">
        <v>2465330</v>
      </c>
      <c r="BP480" s="8">
        <v>0</v>
      </c>
      <c r="BT480" s="9">
        <f t="shared" si="30"/>
        <v>3954797</v>
      </c>
      <c r="BU480" s="9"/>
      <c r="BV480" s="9">
        <f>BT480-'Gov Fd BS'!AA483</f>
        <v>0</v>
      </c>
      <c r="BX480" s="15" t="s">
        <v>905</v>
      </c>
    </row>
    <row r="481" spans="1:76">
      <c r="A481" s="13" t="s">
        <v>391</v>
      </c>
      <c r="B481" s="13"/>
      <c r="C481" s="13" t="s">
        <v>31</v>
      </c>
      <c r="D481" s="13"/>
      <c r="E481" s="32">
        <v>47308</v>
      </c>
      <c r="G481" s="8">
        <v>8304476</v>
      </c>
      <c r="I481" s="8">
        <v>1949067</v>
      </c>
      <c r="K481" s="8">
        <v>322358</v>
      </c>
      <c r="M481" s="8">
        <v>0</v>
      </c>
      <c r="O481" s="8">
        <v>639327</v>
      </c>
      <c r="Q481" s="8">
        <v>1309113</v>
      </c>
      <c r="S481" s="8">
        <v>36693</v>
      </c>
      <c r="U481" s="8">
        <v>1390944</v>
      </c>
      <c r="W481" s="8">
        <v>522540</v>
      </c>
      <c r="Y481" s="8">
        <v>0</v>
      </c>
      <c r="AA481" s="8">
        <v>1655355</v>
      </c>
      <c r="AC481" s="8">
        <v>790856</v>
      </c>
      <c r="AE481" s="8">
        <v>18642</v>
      </c>
      <c r="AG481" s="8">
        <v>989647</v>
      </c>
      <c r="AI481" s="8">
        <v>11452</v>
      </c>
      <c r="AJ481" s="13" t="s">
        <v>391</v>
      </c>
      <c r="AK481" s="13"/>
      <c r="AL481" s="13" t="s">
        <v>31</v>
      </c>
      <c r="AN481" s="8">
        <v>244023</v>
      </c>
      <c r="AP481" s="8">
        <v>76696</v>
      </c>
      <c r="AR481" s="8">
        <v>0</v>
      </c>
      <c r="AT481" s="8">
        <v>325000</v>
      </c>
      <c r="AV481" s="8">
        <v>14625</v>
      </c>
      <c r="AX481" s="8">
        <v>0</v>
      </c>
      <c r="AZ481" s="9">
        <f t="shared" si="31"/>
        <v>18600814</v>
      </c>
      <c r="BB481" s="8">
        <v>310814</v>
      </c>
      <c r="BH481" s="8">
        <v>0</v>
      </c>
      <c r="BJ481" s="9">
        <f t="shared" si="29"/>
        <v>18911628</v>
      </c>
      <c r="BL481" s="9">
        <f>'Gov Fd Rv'!AQ481-'Gov Fnd Exp'!BJ481</f>
        <v>-158591</v>
      </c>
      <c r="BN481" s="8">
        <v>2136062</v>
      </c>
      <c r="BP481" s="8">
        <v>0</v>
      </c>
      <c r="BT481" s="9">
        <f t="shared" si="30"/>
        <v>1977471</v>
      </c>
      <c r="BU481" s="9"/>
      <c r="BV481" s="9">
        <f>BT481-'Gov Fd BS'!AA484</f>
        <v>0</v>
      </c>
    </row>
    <row r="482" spans="1:76">
      <c r="A482" s="13" t="s">
        <v>593</v>
      </c>
      <c r="B482" s="13"/>
      <c r="C482" s="13" t="s">
        <v>56</v>
      </c>
      <c r="D482" s="13"/>
      <c r="E482" s="32">
        <v>49213</v>
      </c>
      <c r="G482" s="8">
        <v>5067735</v>
      </c>
      <c r="I482" s="8">
        <v>1240872</v>
      </c>
      <c r="K482" s="8">
        <v>261152</v>
      </c>
      <c r="M482" s="8">
        <v>440389</v>
      </c>
      <c r="O482" s="8">
        <v>495673</v>
      </c>
      <c r="Q482" s="8">
        <v>420447</v>
      </c>
      <c r="S482" s="8">
        <v>27886</v>
      </c>
      <c r="U482" s="8">
        <v>801819</v>
      </c>
      <c r="W482" s="8">
        <v>341621</v>
      </c>
      <c r="Y482" s="8">
        <v>13347</v>
      </c>
      <c r="AA482" s="8">
        <v>951244</v>
      </c>
      <c r="AC482" s="8">
        <v>729616</v>
      </c>
      <c r="AE482" s="8">
        <v>1000</v>
      </c>
      <c r="AG482" s="8">
        <v>359758</v>
      </c>
      <c r="AI482" s="8">
        <f>9565+18023</f>
        <v>27588</v>
      </c>
      <c r="AJ482" s="13" t="s">
        <v>593</v>
      </c>
      <c r="AK482" s="13"/>
      <c r="AL482" s="13" t="s">
        <v>56</v>
      </c>
      <c r="AN482" s="8">
        <v>333473</v>
      </c>
      <c r="AP482" s="8">
        <v>36325</v>
      </c>
      <c r="AR482" s="8">
        <v>0</v>
      </c>
      <c r="AT482" s="8">
        <v>0</v>
      </c>
      <c r="AV482" s="8">
        <v>20129</v>
      </c>
      <c r="AX482" s="8">
        <v>0</v>
      </c>
      <c r="AZ482" s="9">
        <f t="shared" si="31"/>
        <v>11570074</v>
      </c>
      <c r="BB482" s="8">
        <v>0</v>
      </c>
      <c r="BH482" s="8">
        <v>0</v>
      </c>
      <c r="BJ482" s="9">
        <f t="shared" si="29"/>
        <v>11570074</v>
      </c>
      <c r="BL482" s="9">
        <f>'Gov Fd Rv'!AQ482-'Gov Fnd Exp'!BJ482</f>
        <v>599199</v>
      </c>
      <c r="BN482" s="8">
        <v>-751162</v>
      </c>
      <c r="BP482" s="8">
        <v>0</v>
      </c>
      <c r="BT482" s="9">
        <f t="shared" si="30"/>
        <v>-151963</v>
      </c>
      <c r="BU482" s="9"/>
      <c r="BV482" s="9">
        <f>BT482-'Gov Fd BS'!AA485</f>
        <v>0</v>
      </c>
    </row>
    <row r="483" spans="1:76">
      <c r="A483" s="12" t="s">
        <v>250</v>
      </c>
      <c r="B483" s="13"/>
      <c r="C483" s="13" t="s">
        <v>242</v>
      </c>
      <c r="D483" s="13"/>
      <c r="E483" s="32">
        <v>46144</v>
      </c>
      <c r="G483" s="8">
        <v>11093744</v>
      </c>
      <c r="I483" s="8">
        <v>2044809</v>
      </c>
      <c r="K483" s="8">
        <v>0</v>
      </c>
      <c r="M483" s="8">
        <v>401083</v>
      </c>
      <c r="O483" s="8">
        <v>923006</v>
      </c>
      <c r="Q483" s="8">
        <v>1427346</v>
      </c>
      <c r="S483" s="8">
        <v>19757</v>
      </c>
      <c r="U483" s="8">
        <v>1903872</v>
      </c>
      <c r="W483" s="8">
        <v>701065</v>
      </c>
      <c r="Y483" s="8">
        <v>0</v>
      </c>
      <c r="AA483" s="8">
        <v>1926178</v>
      </c>
      <c r="AC483" s="8">
        <v>1690507</v>
      </c>
      <c r="AE483" s="8">
        <v>16462</v>
      </c>
      <c r="AG483" s="8">
        <v>1029973</v>
      </c>
      <c r="AI483" s="8">
        <v>200297</v>
      </c>
      <c r="AJ483" s="13" t="s">
        <v>250</v>
      </c>
      <c r="AK483" s="13"/>
      <c r="AL483" s="13" t="s">
        <v>242</v>
      </c>
      <c r="AN483" s="8">
        <v>788596</v>
      </c>
      <c r="AP483" s="8">
        <v>1037976</v>
      </c>
      <c r="AR483" s="8">
        <v>0</v>
      </c>
      <c r="AT483" s="8">
        <v>765929</v>
      </c>
      <c r="AV483" s="8">
        <v>888149</v>
      </c>
      <c r="AX483" s="8">
        <v>0</v>
      </c>
      <c r="AZ483" s="9">
        <f t="shared" si="31"/>
        <v>26858749</v>
      </c>
      <c r="BB483" s="8">
        <v>11365</v>
      </c>
      <c r="BH483" s="8">
        <v>0</v>
      </c>
      <c r="BJ483" s="9">
        <f t="shared" si="29"/>
        <v>26870114</v>
      </c>
      <c r="BL483" s="9">
        <f>'Gov Fd Rv'!AQ483-'Gov Fnd Exp'!BJ483</f>
        <v>2673523</v>
      </c>
      <c r="BN483" s="8">
        <v>4346773</v>
      </c>
      <c r="BP483" s="8">
        <v>0</v>
      </c>
      <c r="BT483" s="9">
        <f t="shared" si="30"/>
        <v>7020296</v>
      </c>
      <c r="BU483" s="9"/>
      <c r="BV483" s="9">
        <f>BT483-'Gov Fd BS'!AA486</f>
        <v>0</v>
      </c>
      <c r="BX483" s="15" t="s">
        <v>905</v>
      </c>
    </row>
    <row r="484" spans="1:76" ht="12" customHeight="1">
      <c r="A484" s="13" t="s">
        <v>739</v>
      </c>
      <c r="B484" s="13"/>
      <c r="C484" s="13" t="s">
        <v>72</v>
      </c>
      <c r="D484" s="13"/>
      <c r="E484" s="32">
        <v>45609</v>
      </c>
      <c r="G484" s="8">
        <v>10291714</v>
      </c>
      <c r="I484" s="8">
        <v>2567699</v>
      </c>
      <c r="K484" s="8">
        <v>257458</v>
      </c>
      <c r="M484" s="8">
        <v>19064</v>
      </c>
      <c r="O484" s="8">
        <v>1667245</v>
      </c>
      <c r="Q484" s="8">
        <v>1291148</v>
      </c>
      <c r="S484" s="8">
        <v>49235</v>
      </c>
      <c r="U484" s="8">
        <v>2017226</v>
      </c>
      <c r="W484" s="8">
        <v>416133</v>
      </c>
      <c r="Y484" s="8">
        <v>114137</v>
      </c>
      <c r="AA484" s="8">
        <v>2318639</v>
      </c>
      <c r="AC484" s="8">
        <v>1091821</v>
      </c>
      <c r="AE484" s="8">
        <v>408660</v>
      </c>
      <c r="AG484" s="8">
        <v>0</v>
      </c>
      <c r="AI484" s="8">
        <v>967515</v>
      </c>
      <c r="AJ484" s="34" t="s">
        <v>739</v>
      </c>
      <c r="AK484" s="34"/>
      <c r="AL484" s="34" t="s">
        <v>72</v>
      </c>
      <c r="AM484" s="35"/>
      <c r="AN484" s="8">
        <v>718641</v>
      </c>
      <c r="AP484" s="8">
        <v>10262</v>
      </c>
      <c r="AR484" s="8">
        <v>0</v>
      </c>
      <c r="AT484" s="8">
        <v>0</v>
      </c>
      <c r="AV484" s="8">
        <v>0</v>
      </c>
      <c r="AX484" s="8">
        <v>0</v>
      </c>
      <c r="AZ484" s="9">
        <f t="shared" si="31"/>
        <v>24206597</v>
      </c>
      <c r="BB484" s="8">
        <v>92403</v>
      </c>
      <c r="BH484" s="8">
        <v>0</v>
      </c>
      <c r="BJ484" s="9">
        <f t="shared" si="29"/>
        <v>24299000</v>
      </c>
      <c r="BL484" s="9">
        <f>'Gov Fd Rv'!AQ484-'Gov Fnd Exp'!BJ484</f>
        <v>2137635</v>
      </c>
      <c r="BN484" s="8">
        <v>9753961</v>
      </c>
      <c r="BP484" s="8">
        <v>0</v>
      </c>
      <c r="BT484" s="9">
        <f t="shared" si="30"/>
        <v>11891596</v>
      </c>
      <c r="BU484" s="9"/>
      <c r="BV484" s="9">
        <f>BT484-'Gov Fd BS'!AA487</f>
        <v>0</v>
      </c>
    </row>
    <row r="485" spans="1:76">
      <c r="A485" s="13" t="s">
        <v>646</v>
      </c>
      <c r="B485" s="13"/>
      <c r="C485" s="13" t="s">
        <v>61</v>
      </c>
      <c r="D485" s="13"/>
      <c r="E485" s="13">
        <v>49817</v>
      </c>
      <c r="G485" s="8">
        <v>1986919</v>
      </c>
      <c r="I485" s="8">
        <v>492380</v>
      </c>
      <c r="K485" s="8">
        <v>0</v>
      </c>
      <c r="M485" s="8">
        <v>8112</v>
      </c>
      <c r="O485" s="8">
        <v>95893</v>
      </c>
      <c r="Q485" s="8">
        <v>121798</v>
      </c>
      <c r="S485" s="8">
        <v>7749</v>
      </c>
      <c r="U485" s="8">
        <v>340666</v>
      </c>
      <c r="W485" s="8">
        <v>151206</v>
      </c>
      <c r="Y485" s="8">
        <v>488</v>
      </c>
      <c r="AA485" s="8">
        <v>454045</v>
      </c>
      <c r="AC485" s="8">
        <v>154314</v>
      </c>
      <c r="AE485" s="8">
        <v>132724</v>
      </c>
      <c r="AG485" s="8">
        <v>0</v>
      </c>
      <c r="AI485" s="8">
        <v>167252</v>
      </c>
      <c r="AJ485" s="13" t="s">
        <v>646</v>
      </c>
      <c r="AK485" s="13"/>
      <c r="AL485" s="13" t="s">
        <v>61</v>
      </c>
      <c r="AN485" s="8">
        <v>178274</v>
      </c>
      <c r="AP485" s="8">
        <v>0</v>
      </c>
      <c r="AR485" s="8">
        <v>0</v>
      </c>
      <c r="AT485" s="8">
        <v>115000</v>
      </c>
      <c r="AV485" s="8">
        <v>154478</v>
      </c>
      <c r="AX485" s="8">
        <v>0</v>
      </c>
      <c r="AZ485" s="9">
        <f t="shared" si="31"/>
        <v>4561298</v>
      </c>
      <c r="BB485" s="8">
        <v>0</v>
      </c>
      <c r="BH485" s="8">
        <v>0</v>
      </c>
      <c r="BJ485" s="9">
        <f t="shared" si="29"/>
        <v>4561298</v>
      </c>
      <c r="BL485" s="9">
        <f>'Gov Fd Rv'!AQ485-'Gov Fnd Exp'!BJ485</f>
        <v>29135</v>
      </c>
      <c r="BN485" s="8">
        <v>1589695</v>
      </c>
      <c r="BP485" s="8">
        <v>0</v>
      </c>
      <c r="BT485" s="9">
        <f t="shared" si="30"/>
        <v>1618830</v>
      </c>
      <c r="BU485" s="9"/>
      <c r="BV485" s="9">
        <f>BT485-'Gov Fd BS'!AA488</f>
        <v>0</v>
      </c>
    </row>
    <row r="486" spans="1:76">
      <c r="A486" s="12" t="s">
        <v>822</v>
      </c>
      <c r="B486" s="12"/>
      <c r="C486" s="12" t="s">
        <v>114</v>
      </c>
      <c r="D486" s="12"/>
      <c r="E486" s="32"/>
      <c r="G486" s="8">
        <v>7749489</v>
      </c>
      <c r="I486" s="8">
        <v>2572311</v>
      </c>
      <c r="K486" s="8">
        <v>359553</v>
      </c>
      <c r="M486" s="8">
        <f>389630+1874544</f>
        <v>2264174</v>
      </c>
      <c r="O486" s="8">
        <v>830639</v>
      </c>
      <c r="Q486" s="8">
        <v>717575</v>
      </c>
      <c r="S486" s="8">
        <v>30311</v>
      </c>
      <c r="U486" s="8">
        <v>1478259</v>
      </c>
      <c r="W486" s="8">
        <v>597774</v>
      </c>
      <c r="Y486" s="8">
        <v>37119</v>
      </c>
      <c r="AA486" s="8">
        <v>1859336</v>
      </c>
      <c r="AC486" s="8">
        <v>667939</v>
      </c>
      <c r="AE486" s="8">
        <v>266625</v>
      </c>
      <c r="AG486" s="8">
        <v>618073</v>
      </c>
      <c r="AI486" s="8">
        <v>208464</v>
      </c>
      <c r="AJ486" s="13" t="s">
        <v>800</v>
      </c>
      <c r="AK486" s="13"/>
      <c r="AL486" s="13" t="s">
        <v>114</v>
      </c>
      <c r="AN486" s="8">
        <v>592977</v>
      </c>
      <c r="AP486" s="8">
        <v>579644</v>
      </c>
      <c r="AR486" s="8">
        <v>0</v>
      </c>
      <c r="AT486" s="8">
        <v>4434</v>
      </c>
      <c r="AV486" s="8">
        <v>27180</v>
      </c>
      <c r="AX486" s="8">
        <v>0</v>
      </c>
      <c r="AZ486" s="9">
        <f t="shared" ref="AZ486:AZ539" si="32">SUM(G486:AX486)</f>
        <v>21461876</v>
      </c>
      <c r="BB486" s="8">
        <v>0</v>
      </c>
      <c r="BH486" s="8">
        <v>0</v>
      </c>
      <c r="BJ486" s="9">
        <f t="shared" ref="BJ486:BJ539" si="33">AZ486+BB486+BH486</f>
        <v>21461876</v>
      </c>
      <c r="BL486" s="9">
        <f>'Gov Fd Rv'!AQ486-'Gov Fnd Exp'!BJ486</f>
        <v>1545009</v>
      </c>
      <c r="BN486" s="8">
        <v>-276306</v>
      </c>
      <c r="BP486" s="8">
        <v>-2419</v>
      </c>
      <c r="BT486" s="9">
        <f t="shared" ref="BT486:BT539" si="34">BL486+BN486+BP486+BR486</f>
        <v>1266284</v>
      </c>
      <c r="BU486" s="9"/>
      <c r="BV486" s="9">
        <f>BT486-'Gov Fd BS'!AA489</f>
        <v>0</v>
      </c>
    </row>
    <row r="487" spans="1:76">
      <c r="A487" s="13" t="s">
        <v>341</v>
      </c>
      <c r="B487" s="13"/>
      <c r="C487" s="13" t="s">
        <v>24</v>
      </c>
      <c r="D487" s="13"/>
      <c r="E487" s="13">
        <v>44743</v>
      </c>
      <c r="G487" s="8">
        <v>18782983</v>
      </c>
      <c r="I487" s="8">
        <v>8324110</v>
      </c>
      <c r="K487" s="8">
        <v>1658973</v>
      </c>
      <c r="M487" s="8">
        <f>1313638+511302</f>
        <v>1824940</v>
      </c>
      <c r="O487" s="8">
        <v>1807144</v>
      </c>
      <c r="Q487" s="8">
        <v>1957169</v>
      </c>
      <c r="S487" s="8">
        <v>219506</v>
      </c>
      <c r="U487" s="8">
        <v>3120041</v>
      </c>
      <c r="W487" s="8">
        <v>795071</v>
      </c>
      <c r="Y487" s="8">
        <v>164658</v>
      </c>
      <c r="AA487" s="8">
        <v>3744485</v>
      </c>
      <c r="AC487" s="8">
        <v>1556544</v>
      </c>
      <c r="AE487" s="8">
        <v>942876</v>
      </c>
      <c r="AG487" s="8">
        <v>1864054</v>
      </c>
      <c r="AI487" s="8">
        <v>1148452</v>
      </c>
      <c r="AJ487" s="13" t="s">
        <v>341</v>
      </c>
      <c r="AK487" s="13"/>
      <c r="AL487" s="13" t="s">
        <v>24</v>
      </c>
      <c r="AN487" s="8">
        <v>1048179</v>
      </c>
      <c r="AP487" s="8">
        <v>783844</v>
      </c>
      <c r="AR487" s="8">
        <v>0</v>
      </c>
      <c r="AT487" s="8">
        <v>386275</v>
      </c>
      <c r="AV487" s="8">
        <v>27431</v>
      </c>
      <c r="AX487" s="8">
        <v>0</v>
      </c>
      <c r="AZ487" s="9">
        <f t="shared" si="32"/>
        <v>50156735</v>
      </c>
      <c r="BB487" s="8">
        <v>26</v>
      </c>
      <c r="BH487" s="8">
        <v>0</v>
      </c>
      <c r="BJ487" s="9">
        <f t="shared" si="33"/>
        <v>50156761</v>
      </c>
      <c r="BL487" s="9">
        <f>'Gov Fd Rv'!AQ487-'Gov Fnd Exp'!BJ487</f>
        <v>470288</v>
      </c>
      <c r="BN487" s="8">
        <v>2486083</v>
      </c>
      <c r="BP487" s="8">
        <v>25982</v>
      </c>
      <c r="BT487" s="9">
        <f t="shared" si="34"/>
        <v>2982353</v>
      </c>
      <c r="BU487" s="9"/>
      <c r="BV487" s="9">
        <f>BT487-'Gov Fd BS'!AA490</f>
        <v>0</v>
      </c>
    </row>
    <row r="488" spans="1:76">
      <c r="A488" s="13" t="s">
        <v>660</v>
      </c>
      <c r="B488" s="13"/>
      <c r="C488" s="13" t="s">
        <v>62</v>
      </c>
      <c r="D488" s="13"/>
      <c r="E488" s="32">
        <v>49940</v>
      </c>
      <c r="G488" s="8">
        <v>5643271</v>
      </c>
      <c r="I488" s="8">
        <v>2018727</v>
      </c>
      <c r="K488" s="8">
        <v>349896</v>
      </c>
      <c r="M488" s="8">
        <f>8504+348199</f>
        <v>356703</v>
      </c>
      <c r="O488" s="8">
        <v>1114756</v>
      </c>
      <c r="Q488" s="8">
        <v>174517</v>
      </c>
      <c r="S488" s="8">
        <v>12159</v>
      </c>
      <c r="U488" s="8">
        <v>1288858</v>
      </c>
      <c r="W488" s="8">
        <v>380183</v>
      </c>
      <c r="Y488" s="8">
        <v>62995</v>
      </c>
      <c r="AA488" s="8">
        <v>1028049</v>
      </c>
      <c r="AC488" s="8">
        <v>928539</v>
      </c>
      <c r="AE488" s="8">
        <v>27184</v>
      </c>
      <c r="AG488" s="8">
        <v>536793</v>
      </c>
      <c r="AI488" s="8">
        <v>62741</v>
      </c>
      <c r="AJ488" s="13" t="s">
        <v>660</v>
      </c>
      <c r="AK488" s="13"/>
      <c r="AL488" s="13" t="s">
        <v>62</v>
      </c>
      <c r="AN488" s="8">
        <v>451144</v>
      </c>
      <c r="AP488" s="8">
        <v>11999800</v>
      </c>
      <c r="AR488" s="8">
        <v>0</v>
      </c>
      <c r="AT488" s="8">
        <v>325858</v>
      </c>
      <c r="AV488" s="8">
        <v>511259</v>
      </c>
      <c r="AX488" s="8">
        <v>0</v>
      </c>
      <c r="AZ488" s="9">
        <f t="shared" si="32"/>
        <v>27273432</v>
      </c>
      <c r="BB488" s="8">
        <v>750000</v>
      </c>
      <c r="BH488" s="8">
        <v>0</v>
      </c>
      <c r="BJ488" s="9">
        <f t="shared" si="33"/>
        <v>28023432</v>
      </c>
      <c r="BL488" s="9">
        <f>'Gov Fd Rv'!AQ488-'Gov Fnd Exp'!BJ488</f>
        <v>-10022898</v>
      </c>
      <c r="BN488" s="8">
        <v>14391238</v>
      </c>
      <c r="BP488" s="8">
        <v>-4499</v>
      </c>
      <c r="BT488" s="9">
        <f t="shared" si="34"/>
        <v>4363841</v>
      </c>
      <c r="BU488" s="9"/>
      <c r="BV488" s="9">
        <f>BT488-'Gov Fd BS'!AA491</f>
        <v>0</v>
      </c>
    </row>
    <row r="489" spans="1:76">
      <c r="A489" s="13" t="s">
        <v>585</v>
      </c>
      <c r="B489" s="13"/>
      <c r="C489" s="13" t="s">
        <v>55</v>
      </c>
      <c r="D489" s="13"/>
      <c r="E489" s="32">
        <v>49130</v>
      </c>
      <c r="G489" s="8">
        <v>6272571</v>
      </c>
      <c r="I489" s="8">
        <v>1991421</v>
      </c>
      <c r="K489" s="8">
        <v>0</v>
      </c>
      <c r="M489" s="8">
        <v>89769</v>
      </c>
      <c r="O489" s="8">
        <v>628656</v>
      </c>
      <c r="Q489" s="8">
        <v>938981</v>
      </c>
      <c r="S489" s="8">
        <v>18503</v>
      </c>
      <c r="U489" s="8">
        <v>1694519</v>
      </c>
      <c r="W489" s="8">
        <v>299245</v>
      </c>
      <c r="Y489" s="8">
        <v>0</v>
      </c>
      <c r="AA489" s="8">
        <v>2021004</v>
      </c>
      <c r="AC489" s="8">
        <v>1173439</v>
      </c>
      <c r="AE489" s="8">
        <v>126579</v>
      </c>
      <c r="AG489" s="8">
        <v>0</v>
      </c>
      <c r="AI489" s="8">
        <v>664972</v>
      </c>
      <c r="AJ489" s="13" t="s">
        <v>585</v>
      </c>
      <c r="AK489" s="13"/>
      <c r="AL489" s="13" t="s">
        <v>55</v>
      </c>
      <c r="AN489" s="8">
        <v>352548</v>
      </c>
      <c r="AP489" s="8">
        <v>166022</v>
      </c>
      <c r="AR489" s="8">
        <v>65911</v>
      </c>
      <c r="AT489" s="8">
        <v>45000</v>
      </c>
      <c r="AV489" s="8">
        <v>35169</v>
      </c>
      <c r="AX489" s="8">
        <v>0</v>
      </c>
      <c r="AZ489" s="9">
        <f t="shared" si="32"/>
        <v>16584309</v>
      </c>
      <c r="BB489" s="8">
        <v>129389</v>
      </c>
      <c r="BH489" s="8">
        <v>0</v>
      </c>
      <c r="BJ489" s="9">
        <f t="shared" si="33"/>
        <v>16713698</v>
      </c>
      <c r="BL489" s="9">
        <f>'Gov Fd Rv'!AQ489-'Gov Fnd Exp'!BJ489</f>
        <v>-637339</v>
      </c>
      <c r="BN489" s="8">
        <v>7946724</v>
      </c>
      <c r="BP489" s="8">
        <v>0</v>
      </c>
      <c r="BT489" s="9">
        <f t="shared" si="34"/>
        <v>7309385</v>
      </c>
      <c r="BU489" s="9"/>
      <c r="BV489" s="9">
        <f>BT489-'Gov Fd BS'!AA492</f>
        <v>0</v>
      </c>
    </row>
    <row r="490" spans="1:76">
      <c r="A490" s="13" t="s">
        <v>515</v>
      </c>
      <c r="B490" s="13"/>
      <c r="C490" s="13" t="s">
        <v>45</v>
      </c>
      <c r="D490" s="13"/>
      <c r="E490" s="32">
        <v>48355</v>
      </c>
      <c r="G490" s="8">
        <v>2834189</v>
      </c>
      <c r="I490" s="8">
        <v>1873485</v>
      </c>
      <c r="K490" s="8">
        <v>0</v>
      </c>
      <c r="M490" s="8">
        <v>0</v>
      </c>
      <c r="O490" s="8">
        <v>191084</v>
      </c>
      <c r="Q490" s="8">
        <v>252608</v>
      </c>
      <c r="S490" s="8">
        <v>11818</v>
      </c>
      <c r="U490" s="8">
        <v>701807</v>
      </c>
      <c r="W490" s="8">
        <v>245326</v>
      </c>
      <c r="Y490" s="8">
        <v>0</v>
      </c>
      <c r="AA490" s="8">
        <v>821834</v>
      </c>
      <c r="AC490" s="8">
        <v>131728</v>
      </c>
      <c r="AE490" s="8">
        <v>1987</v>
      </c>
      <c r="AG490" s="8">
        <v>290733</v>
      </c>
      <c r="AI490" s="8">
        <v>0</v>
      </c>
      <c r="AJ490" s="13" t="s">
        <v>515</v>
      </c>
      <c r="AK490" s="13"/>
      <c r="AL490" s="13" t="s">
        <v>45</v>
      </c>
      <c r="AN490" s="8">
        <v>271488</v>
      </c>
      <c r="AP490" s="8">
        <v>58274</v>
      </c>
      <c r="AR490" s="8">
        <v>0</v>
      </c>
      <c r="AT490" s="8">
        <v>65000</v>
      </c>
      <c r="AV490" s="8">
        <v>79638</v>
      </c>
      <c r="AX490" s="8">
        <v>0</v>
      </c>
      <c r="AZ490" s="9">
        <f t="shared" si="32"/>
        <v>7830999</v>
      </c>
      <c r="BB490" s="8">
        <v>27000</v>
      </c>
      <c r="BH490" s="8">
        <v>0</v>
      </c>
      <c r="BJ490" s="9">
        <f t="shared" si="33"/>
        <v>7857999</v>
      </c>
      <c r="BL490" s="9">
        <f>'Gov Fd Rv'!AQ490-'Gov Fnd Exp'!BJ490</f>
        <v>-425535</v>
      </c>
      <c r="BN490" s="8">
        <v>1249929</v>
      </c>
      <c r="BP490" s="8">
        <v>0</v>
      </c>
      <c r="BT490" s="9">
        <f t="shared" si="34"/>
        <v>824394</v>
      </c>
      <c r="BU490" s="9"/>
      <c r="BV490" s="9">
        <f>BT490-'Gov Fd BS'!AA493</f>
        <v>0</v>
      </c>
    </row>
    <row r="491" spans="1:76">
      <c r="A491" s="13" t="s">
        <v>639</v>
      </c>
      <c r="B491" s="13"/>
      <c r="C491" s="13" t="s">
        <v>60</v>
      </c>
      <c r="D491" s="13"/>
      <c r="E491" s="32">
        <v>49684</v>
      </c>
      <c r="G491" s="8">
        <v>4347166</v>
      </c>
      <c r="I491" s="8">
        <v>1087707</v>
      </c>
      <c r="K491" s="8">
        <v>185892</v>
      </c>
      <c r="M491" s="8">
        <v>0</v>
      </c>
      <c r="O491" s="8">
        <v>111453</v>
      </c>
      <c r="Q491" s="8">
        <v>316980</v>
      </c>
      <c r="S491" s="8">
        <v>31829</v>
      </c>
      <c r="U491" s="8">
        <v>559393</v>
      </c>
      <c r="W491" s="8">
        <v>252507</v>
      </c>
      <c r="Y491" s="8">
        <v>0</v>
      </c>
      <c r="AA491" s="8">
        <v>815780</v>
      </c>
      <c r="AC491" s="8">
        <v>678062</v>
      </c>
      <c r="AE491" s="8">
        <v>0</v>
      </c>
      <c r="AG491" s="8">
        <v>422444</v>
      </c>
      <c r="AI491" s="8">
        <v>2126</v>
      </c>
      <c r="AJ491" s="13" t="s">
        <v>639</v>
      </c>
      <c r="AK491" s="13"/>
      <c r="AL491" s="13" t="s">
        <v>60</v>
      </c>
      <c r="AN491" s="8">
        <v>333401</v>
      </c>
      <c r="AP491" s="8">
        <v>1111385</v>
      </c>
      <c r="AR491" s="8">
        <v>0</v>
      </c>
      <c r="AT491" s="8">
        <v>325824</v>
      </c>
      <c r="AV491" s="8">
        <v>484068</v>
      </c>
      <c r="AX491" s="8">
        <v>0</v>
      </c>
      <c r="AZ491" s="9">
        <f t="shared" si="32"/>
        <v>11066017</v>
      </c>
      <c r="BB491" s="8">
        <v>1352915</v>
      </c>
      <c r="BH491" s="8">
        <v>0</v>
      </c>
      <c r="BJ491" s="9">
        <f t="shared" si="33"/>
        <v>12418932</v>
      </c>
      <c r="BL491" s="9">
        <f>'Gov Fd Rv'!AQ491-'Gov Fnd Exp'!BJ491</f>
        <v>-1068158</v>
      </c>
      <c r="BN491" s="8">
        <v>2969942</v>
      </c>
      <c r="BP491" s="8">
        <v>0</v>
      </c>
      <c r="BT491" s="9">
        <f t="shared" si="34"/>
        <v>1901784</v>
      </c>
      <c r="BU491" s="9"/>
      <c r="BV491" s="9">
        <f>BT491-'Gov Fd BS'!AA494</f>
        <v>0</v>
      </c>
    </row>
    <row r="492" spans="1:76">
      <c r="A492" s="13" t="s">
        <v>234</v>
      </c>
      <c r="B492" s="13"/>
      <c r="C492" s="13" t="s">
        <v>15</v>
      </c>
      <c r="D492" s="13"/>
      <c r="E492" s="32">
        <v>46003</v>
      </c>
      <c r="G492" s="8">
        <v>3991287</v>
      </c>
      <c r="I492" s="8">
        <v>758072</v>
      </c>
      <c r="K492" s="8">
        <v>27083</v>
      </c>
      <c r="M492" s="8">
        <v>11212</v>
      </c>
      <c r="O492" s="8">
        <v>269787</v>
      </c>
      <c r="Q492" s="8">
        <v>157409</v>
      </c>
      <c r="S492" s="8">
        <v>24612</v>
      </c>
      <c r="U492" s="8">
        <v>648377</v>
      </c>
      <c r="W492" s="8">
        <v>271912</v>
      </c>
      <c r="Y492" s="8">
        <v>0</v>
      </c>
      <c r="AA492" s="8">
        <v>863900</v>
      </c>
      <c r="AC492" s="8">
        <v>286665</v>
      </c>
      <c r="AE492" s="8">
        <v>0</v>
      </c>
      <c r="AG492" s="8">
        <v>172710</v>
      </c>
      <c r="AI492" s="8">
        <v>0</v>
      </c>
      <c r="AJ492" s="13" t="s">
        <v>234</v>
      </c>
      <c r="AK492" s="13"/>
      <c r="AL492" s="13" t="s">
        <v>15</v>
      </c>
      <c r="AN492" s="8">
        <v>177302</v>
      </c>
      <c r="AP492" s="8">
        <v>0</v>
      </c>
      <c r="AR492" s="8">
        <v>0</v>
      </c>
      <c r="AT492" s="8">
        <v>25294</v>
      </c>
      <c r="AV492" s="8">
        <v>3976</v>
      </c>
      <c r="AX492" s="8">
        <v>0</v>
      </c>
      <c r="AZ492" s="9">
        <f t="shared" si="32"/>
        <v>7689598</v>
      </c>
      <c r="BB492" s="8">
        <v>117744</v>
      </c>
      <c r="BH492" s="8">
        <v>0</v>
      </c>
      <c r="BJ492" s="9">
        <f t="shared" si="33"/>
        <v>7807342</v>
      </c>
      <c r="BL492" s="9">
        <f>'Gov Fd Rv'!AQ492-'Gov Fnd Exp'!BJ492</f>
        <v>437558</v>
      </c>
      <c r="BN492" s="8">
        <v>1149545</v>
      </c>
      <c r="BP492" s="8">
        <v>0</v>
      </c>
      <c r="BT492" s="9">
        <f t="shared" si="34"/>
        <v>1587103</v>
      </c>
      <c r="BU492" s="9"/>
      <c r="BV492" s="9">
        <f>BT492-'Gov Fd BS'!AA495</f>
        <v>0</v>
      </c>
    </row>
    <row r="493" spans="1:76">
      <c r="A493" s="12" t="s">
        <v>320</v>
      </c>
      <c r="B493" s="13"/>
      <c r="C493" s="13" t="s">
        <v>20</v>
      </c>
      <c r="D493" s="13"/>
      <c r="E493" s="32">
        <v>44750</v>
      </c>
      <c r="G493" s="8">
        <v>34473074</v>
      </c>
      <c r="I493" s="8">
        <v>11725813</v>
      </c>
      <c r="K493" s="8">
        <v>238210</v>
      </c>
      <c r="M493" s="8">
        <v>0</v>
      </c>
      <c r="O493" s="8">
        <v>5467430</v>
      </c>
      <c r="Q493" s="8">
        <v>6606883</v>
      </c>
      <c r="S493" s="8">
        <v>18690</v>
      </c>
      <c r="U493" s="8">
        <v>5920108</v>
      </c>
      <c r="W493" s="8">
        <v>2181027</v>
      </c>
      <c r="Y493" s="8">
        <v>903256</v>
      </c>
      <c r="AA493" s="8">
        <v>12124552</v>
      </c>
      <c r="AC493" s="8">
        <v>4191598</v>
      </c>
      <c r="AE493" s="8">
        <v>1357533</v>
      </c>
      <c r="AG493" s="8">
        <v>1725336</v>
      </c>
      <c r="AI493" s="8">
        <v>1090029</v>
      </c>
      <c r="AJ493" s="13" t="s">
        <v>320</v>
      </c>
      <c r="AK493" s="13"/>
      <c r="AL493" s="13" t="s">
        <v>20</v>
      </c>
      <c r="AN493" s="8">
        <v>1156763</v>
      </c>
      <c r="AP493" s="8">
        <v>3463331</v>
      </c>
      <c r="AR493" s="8">
        <v>0</v>
      </c>
      <c r="AT493" s="8">
        <v>7185976</v>
      </c>
      <c r="AV493" s="8">
        <f>1187020+94024+107962</f>
        <v>1389006</v>
      </c>
      <c r="AX493" s="8">
        <v>0</v>
      </c>
      <c r="AZ493" s="9">
        <f t="shared" si="32"/>
        <v>101218615</v>
      </c>
      <c r="BB493" s="8">
        <v>475000</v>
      </c>
      <c r="BH493" s="8">
        <v>500000</v>
      </c>
      <c r="BJ493" s="9">
        <f t="shared" si="33"/>
        <v>102193615</v>
      </c>
      <c r="BL493" s="9">
        <f>'Gov Fd Rv'!AQ493-'Gov Fnd Exp'!BJ493</f>
        <v>1245919</v>
      </c>
      <c r="BN493" s="8">
        <v>34628862</v>
      </c>
      <c r="BP493" s="8">
        <v>0</v>
      </c>
      <c r="BT493" s="9">
        <f>BL493+BN493+BP493+BR493</f>
        <v>35874781</v>
      </c>
      <c r="BU493" s="9"/>
      <c r="BV493" s="9">
        <f>BT493-'Gov Fd BS'!AA496</f>
        <v>0</v>
      </c>
      <c r="BX493" s="15" t="s">
        <v>905</v>
      </c>
    </row>
    <row r="494" spans="1:76" hidden="1">
      <c r="A494" s="12" t="s">
        <v>1034</v>
      </c>
      <c r="B494" s="12"/>
      <c r="C494" s="12" t="s">
        <v>10</v>
      </c>
      <c r="D494" s="13"/>
      <c r="E494" s="32"/>
      <c r="G494" s="8">
        <v>8938328</v>
      </c>
      <c r="I494" s="8">
        <v>2300750</v>
      </c>
      <c r="M494" s="8">
        <f>138635+909865</f>
        <v>1048500</v>
      </c>
      <c r="O494" s="8">
        <v>796456</v>
      </c>
      <c r="Q494" s="8">
        <v>854152</v>
      </c>
      <c r="S494" s="8">
        <v>59861</v>
      </c>
      <c r="U494" s="8">
        <v>1670263</v>
      </c>
      <c r="W494" s="8">
        <v>680100</v>
      </c>
      <c r="AA494" s="8">
        <v>2921776</v>
      </c>
      <c r="AC494" s="8">
        <v>1452239</v>
      </c>
      <c r="AE494" s="8">
        <v>41485</v>
      </c>
      <c r="AG494" s="8">
        <v>926084</v>
      </c>
      <c r="AI494" s="8">
        <v>240692</v>
      </c>
      <c r="AJ494" s="12" t="s">
        <v>1034</v>
      </c>
      <c r="AK494" s="12"/>
      <c r="AL494" s="12" t="s">
        <v>10</v>
      </c>
      <c r="AN494" s="8">
        <v>911687</v>
      </c>
      <c r="AP494" s="8">
        <v>2140914</v>
      </c>
      <c r="AT494" s="8">
        <v>284281</v>
      </c>
      <c r="AV494" s="8">
        <v>91494</v>
      </c>
      <c r="AZ494" s="9">
        <f t="shared" si="32"/>
        <v>25359062</v>
      </c>
      <c r="BH494" s="8">
        <f>-6616-30088</f>
        <v>-36704</v>
      </c>
      <c r="BJ494" s="9">
        <f t="shared" si="33"/>
        <v>25322358</v>
      </c>
      <c r="BL494" s="9">
        <f>'Gov Fd Rv'!AQ494-'Gov Fnd Exp'!BJ494</f>
        <v>2772018</v>
      </c>
      <c r="BN494" s="8">
        <v>15609544</v>
      </c>
      <c r="BT494" s="9">
        <f>BL494+BN494+BP494+BR494</f>
        <v>18381562</v>
      </c>
      <c r="BU494" s="9"/>
      <c r="BV494" s="9">
        <f>BT494-'Gov Fd BS'!AA497</f>
        <v>0</v>
      </c>
      <c r="BX494" s="15"/>
    </row>
    <row r="495" spans="1:76">
      <c r="A495" s="13" t="s">
        <v>494</v>
      </c>
      <c r="B495" s="13"/>
      <c r="C495" s="13" t="s">
        <v>44</v>
      </c>
      <c r="D495" s="13"/>
      <c r="E495" s="32">
        <v>44768</v>
      </c>
      <c r="G495" s="8">
        <v>8446164</v>
      </c>
      <c r="I495" s="8">
        <v>1159181</v>
      </c>
      <c r="K495" s="8">
        <v>173507</v>
      </c>
      <c r="M495" s="8">
        <v>1193471</v>
      </c>
      <c r="O495" s="8">
        <v>1161549</v>
      </c>
      <c r="Q495" s="8">
        <v>754369</v>
      </c>
      <c r="S495" s="8">
        <v>44243</v>
      </c>
      <c r="U495" s="8">
        <v>1334694</v>
      </c>
      <c r="W495" s="8">
        <v>532389</v>
      </c>
      <c r="Y495" s="8">
        <v>189058</v>
      </c>
      <c r="AA495" s="8">
        <v>2247702</v>
      </c>
      <c r="AC495" s="8">
        <v>987686</v>
      </c>
      <c r="AE495" s="8">
        <v>365398</v>
      </c>
      <c r="AG495" s="8">
        <v>583041</v>
      </c>
      <c r="AI495" s="8">
        <v>18935</v>
      </c>
      <c r="AJ495" s="13" t="s">
        <v>494</v>
      </c>
      <c r="AK495" s="13"/>
      <c r="AL495" s="13" t="s">
        <v>44</v>
      </c>
      <c r="AN495" s="8">
        <v>392390</v>
      </c>
      <c r="AP495" s="8">
        <v>9407</v>
      </c>
      <c r="AR495" s="8">
        <v>0</v>
      </c>
      <c r="AT495" s="8">
        <v>0</v>
      </c>
      <c r="AV495" s="8">
        <v>0</v>
      </c>
      <c r="AX495" s="8">
        <v>0</v>
      </c>
      <c r="AZ495" s="9">
        <f t="shared" si="32"/>
        <v>19593184</v>
      </c>
      <c r="BB495" s="8">
        <v>119654</v>
      </c>
      <c r="BH495" s="8">
        <v>0</v>
      </c>
      <c r="BJ495" s="9">
        <f t="shared" si="33"/>
        <v>19712838</v>
      </c>
      <c r="BL495" s="9">
        <f>'Gov Fd Rv'!AQ495-'Gov Fnd Exp'!BJ495</f>
        <v>1037334</v>
      </c>
      <c r="BN495" s="8">
        <v>8331746</v>
      </c>
      <c r="BP495" s="8">
        <v>0</v>
      </c>
      <c r="BT495" s="9">
        <f t="shared" si="34"/>
        <v>9369080</v>
      </c>
      <c r="BU495" s="9"/>
      <c r="BV495" s="9">
        <f>BT495-'Gov Fd BS'!AA498</f>
        <v>0</v>
      </c>
    </row>
    <row r="496" spans="1:76">
      <c r="A496" s="13" t="s">
        <v>615</v>
      </c>
      <c r="B496" s="13"/>
      <c r="C496" s="13" t="s">
        <v>112</v>
      </c>
      <c r="D496" s="13"/>
      <c r="E496" s="32">
        <v>44776</v>
      </c>
      <c r="G496" s="8">
        <v>8484880</v>
      </c>
      <c r="I496" s="8">
        <v>2249405</v>
      </c>
      <c r="K496" s="8">
        <v>227240</v>
      </c>
      <c r="M496" s="8">
        <v>5374</v>
      </c>
      <c r="O496" s="8">
        <v>751772</v>
      </c>
      <c r="Q496" s="8">
        <v>1505786</v>
      </c>
      <c r="S496" s="8">
        <v>76215</v>
      </c>
      <c r="U496" s="8">
        <v>1336282</v>
      </c>
      <c r="W496" s="8">
        <v>776179</v>
      </c>
      <c r="Y496" s="8">
        <v>0</v>
      </c>
      <c r="AA496" s="8">
        <v>1935623</v>
      </c>
      <c r="AC496" s="8">
        <v>953539</v>
      </c>
      <c r="AE496" s="8">
        <v>59295</v>
      </c>
      <c r="AG496" s="8">
        <v>1000063</v>
      </c>
      <c r="AI496" s="8">
        <v>177755</v>
      </c>
      <c r="AJ496" s="13" t="s">
        <v>615</v>
      </c>
      <c r="AK496" s="13"/>
      <c r="AL496" s="13" t="s">
        <v>112</v>
      </c>
      <c r="AN496" s="8">
        <v>563818</v>
      </c>
      <c r="AP496" s="8">
        <f>77064+222829</f>
        <v>299893</v>
      </c>
      <c r="AR496" s="8">
        <v>0</v>
      </c>
      <c r="AT496" s="8">
        <v>212282</v>
      </c>
      <c r="AV496" s="8">
        <v>66044</v>
      </c>
      <c r="AX496" s="8">
        <v>0</v>
      </c>
      <c r="AZ496" s="9">
        <f t="shared" si="32"/>
        <v>20681445</v>
      </c>
      <c r="BB496" s="8">
        <v>0</v>
      </c>
      <c r="BH496" s="8">
        <v>0</v>
      </c>
      <c r="BJ496" s="9">
        <f t="shared" si="33"/>
        <v>20681445</v>
      </c>
      <c r="BL496" s="9">
        <f>'Gov Fd Rv'!AQ496-'Gov Fnd Exp'!BJ496</f>
        <v>1258669</v>
      </c>
      <c r="BN496" s="8">
        <v>3148181</v>
      </c>
      <c r="BP496" s="8">
        <v>0</v>
      </c>
      <c r="BT496" s="9">
        <f t="shared" si="34"/>
        <v>4406850</v>
      </c>
      <c r="BU496" s="9"/>
      <c r="BV496" s="9">
        <f>BT496-'Gov Fd BS'!AA499</f>
        <v>0</v>
      </c>
    </row>
    <row r="497" spans="1:74">
      <c r="A497" s="12" t="s">
        <v>647</v>
      </c>
      <c r="B497" s="13"/>
      <c r="C497" s="13" t="s">
        <v>61</v>
      </c>
      <c r="D497" s="13"/>
      <c r="E497" s="32">
        <v>44784</v>
      </c>
      <c r="G497" s="8">
        <v>17875690</v>
      </c>
      <c r="I497" s="8">
        <v>4518081</v>
      </c>
      <c r="K497" s="8">
        <v>85207</v>
      </c>
      <c r="M497" s="8">
        <v>0</v>
      </c>
      <c r="O497" s="8">
        <v>2012068</v>
      </c>
      <c r="Q497" s="8">
        <v>2203423</v>
      </c>
      <c r="S497" s="8">
        <v>19896</v>
      </c>
      <c r="U497" s="8">
        <v>2776030</v>
      </c>
      <c r="W497" s="8">
        <v>798084</v>
      </c>
      <c r="Y497" s="8">
        <v>118176</v>
      </c>
      <c r="AA497" s="8">
        <v>3140656</v>
      </c>
      <c r="AC497" s="8">
        <v>1303751</v>
      </c>
      <c r="AE497" s="8">
        <v>775517</v>
      </c>
      <c r="AG497" s="8">
        <v>0</v>
      </c>
      <c r="AI497" s="8">
        <f>2077920+262164</f>
        <v>2340084</v>
      </c>
      <c r="AJ497" s="13" t="s">
        <v>647</v>
      </c>
      <c r="AK497" s="13"/>
      <c r="AL497" s="13" t="s">
        <v>61</v>
      </c>
      <c r="AN497" s="8">
        <v>698538</v>
      </c>
      <c r="AP497" s="8">
        <v>324925</v>
      </c>
      <c r="AR497" s="8">
        <v>0</v>
      </c>
      <c r="AT497" s="8">
        <v>3369425</v>
      </c>
      <c r="AV497" s="8">
        <v>1008618</v>
      </c>
      <c r="AX497" s="8">
        <v>0</v>
      </c>
      <c r="AZ497" s="9">
        <f t="shared" si="32"/>
        <v>43368169</v>
      </c>
      <c r="BB497" s="8">
        <v>487826</v>
      </c>
      <c r="BH497" s="8">
        <v>0</v>
      </c>
      <c r="BJ497" s="9">
        <f t="shared" si="33"/>
        <v>43855995</v>
      </c>
      <c r="BL497" s="9">
        <f>'Gov Fd Rv'!AQ497-'Gov Fnd Exp'!BJ497</f>
        <v>-2078582</v>
      </c>
      <c r="BN497" s="8">
        <v>2881692</v>
      </c>
      <c r="BP497" s="8">
        <v>0</v>
      </c>
      <c r="BT497" s="9">
        <f t="shared" si="34"/>
        <v>803110</v>
      </c>
      <c r="BU497" s="9"/>
      <c r="BV497" s="9">
        <f>BT497-'Gov Fd BS'!AA500</f>
        <v>0</v>
      </c>
    </row>
    <row r="498" spans="1:74">
      <c r="A498" s="13" t="s">
        <v>321</v>
      </c>
      <c r="B498" s="13"/>
      <c r="C498" s="13" t="s">
        <v>20</v>
      </c>
      <c r="D498" s="13"/>
      <c r="E498" s="32">
        <v>46607</v>
      </c>
      <c r="G498" s="8">
        <v>32858007</v>
      </c>
      <c r="I498" s="8">
        <v>7594588</v>
      </c>
      <c r="K498" s="8">
        <v>703533</v>
      </c>
      <c r="M498" s="8">
        <v>418361</v>
      </c>
      <c r="O498" s="8">
        <v>4145114</v>
      </c>
      <c r="Q498" s="8">
        <v>1795636</v>
      </c>
      <c r="S498" s="8">
        <v>43196</v>
      </c>
      <c r="U498" s="8">
        <v>3612543</v>
      </c>
      <c r="W498" s="8">
        <v>1474867</v>
      </c>
      <c r="Y498" s="8">
        <v>1125589</v>
      </c>
      <c r="AA498" s="8">
        <v>7195820</v>
      </c>
      <c r="AC498" s="8">
        <v>3137964</v>
      </c>
      <c r="AE498" s="8">
        <v>1034066</v>
      </c>
      <c r="AG498" s="8">
        <v>0</v>
      </c>
      <c r="AI498" s="8">
        <v>368352</v>
      </c>
      <c r="AJ498" s="13" t="s">
        <v>321</v>
      </c>
      <c r="AK498" s="13"/>
      <c r="AL498" s="13" t="s">
        <v>20</v>
      </c>
      <c r="AN498" s="8">
        <v>1647185</v>
      </c>
      <c r="AP498" s="8">
        <v>2164892</v>
      </c>
      <c r="AR498" s="8">
        <v>0</v>
      </c>
      <c r="AT498" s="8">
        <v>1503765</v>
      </c>
      <c r="AV498" s="8">
        <v>1915254</v>
      </c>
      <c r="AX498" s="8">
        <v>0</v>
      </c>
      <c r="AZ498" s="9">
        <f t="shared" si="32"/>
        <v>72738732</v>
      </c>
      <c r="BB498" s="8">
        <v>138219</v>
      </c>
      <c r="BH498" s="8">
        <v>0</v>
      </c>
      <c r="BJ498" s="9">
        <f t="shared" si="33"/>
        <v>72876951</v>
      </c>
      <c r="BL498" s="9">
        <f>'Gov Fd Rv'!AQ498-'Gov Fnd Exp'!BJ498</f>
        <v>-2039752</v>
      </c>
      <c r="BN498" s="8">
        <v>23289803</v>
      </c>
      <c r="BP498" s="8">
        <v>0</v>
      </c>
      <c r="BT498" s="9">
        <f t="shared" si="34"/>
        <v>21250051</v>
      </c>
      <c r="BU498" s="9"/>
      <c r="BV498" s="9">
        <f>BT498-'Gov Fd BS'!AA501</f>
        <v>0</v>
      </c>
    </row>
    <row r="499" spans="1:74">
      <c r="A499" s="13" t="s">
        <v>868</v>
      </c>
      <c r="B499" s="13"/>
      <c r="C499" s="13" t="s">
        <v>37</v>
      </c>
      <c r="D499" s="13"/>
      <c r="E499" s="13"/>
      <c r="G499" s="8">
        <v>4211077</v>
      </c>
      <c r="I499" s="8">
        <v>480455</v>
      </c>
      <c r="K499" s="8">
        <v>215315</v>
      </c>
      <c r="M499" s="8">
        <v>610879</v>
      </c>
      <c r="O499" s="8">
        <v>81693</v>
      </c>
      <c r="Q499" s="8">
        <v>120255</v>
      </c>
      <c r="S499" s="8">
        <v>38667</v>
      </c>
      <c r="U499" s="8">
        <v>926154</v>
      </c>
      <c r="W499" s="8">
        <v>256651</v>
      </c>
      <c r="Y499" s="8">
        <v>0</v>
      </c>
      <c r="AA499" s="8">
        <v>1267388</v>
      </c>
      <c r="AC499" s="8">
        <v>506339</v>
      </c>
      <c r="AE499" s="8">
        <v>0</v>
      </c>
      <c r="AG499" s="8">
        <v>383385</v>
      </c>
      <c r="AI499" s="8">
        <v>9001</v>
      </c>
      <c r="AJ499" s="13" t="s">
        <v>823</v>
      </c>
      <c r="AK499" s="13"/>
      <c r="AL499" s="13" t="s">
        <v>37</v>
      </c>
      <c r="AN499" s="8">
        <v>284018</v>
      </c>
      <c r="AP499" s="8">
        <v>12020</v>
      </c>
      <c r="AR499" s="8">
        <v>0</v>
      </c>
      <c r="AT499" s="8">
        <v>115538</v>
      </c>
      <c r="AV499" s="8">
        <v>38838</v>
      </c>
      <c r="AX499" s="8">
        <v>47068</v>
      </c>
      <c r="AZ499" s="9">
        <f t="shared" si="32"/>
        <v>9604741</v>
      </c>
      <c r="BB499" s="8">
        <v>11780</v>
      </c>
      <c r="BH499" s="8">
        <v>1030947</v>
      </c>
      <c r="BJ499" s="9">
        <f t="shared" si="33"/>
        <v>10647468</v>
      </c>
      <c r="BL499" s="9">
        <f>'Gov Fd Rv'!AQ499-'Gov Fnd Exp'!BJ499</f>
        <v>-731628</v>
      </c>
      <c r="BN499" s="8">
        <v>4521673</v>
      </c>
      <c r="BP499" s="8">
        <v>0</v>
      </c>
      <c r="BT499" s="9">
        <f t="shared" si="34"/>
        <v>3790045</v>
      </c>
      <c r="BU499" s="9"/>
      <c r="BV499" s="9">
        <f>BT499-'Gov Fd BS'!AA505</f>
        <v>0</v>
      </c>
    </row>
    <row r="500" spans="1:74">
      <c r="A500" s="13" t="s">
        <v>322</v>
      </c>
      <c r="B500" s="13"/>
      <c r="C500" s="13" t="s">
        <v>20</v>
      </c>
      <c r="D500" s="13"/>
      <c r="E500" s="32">
        <v>44792</v>
      </c>
      <c r="G500" s="8">
        <v>22480511</v>
      </c>
      <c r="I500" s="8">
        <v>7480826</v>
      </c>
      <c r="K500" s="8">
        <v>2148240</v>
      </c>
      <c r="M500" s="8">
        <v>0</v>
      </c>
      <c r="O500" s="8">
        <v>3678653</v>
      </c>
      <c r="Q500" s="8">
        <v>1418393</v>
      </c>
      <c r="S500" s="8">
        <v>210337</v>
      </c>
      <c r="U500" s="8">
        <v>3324295</v>
      </c>
      <c r="W500" s="8">
        <v>1646551</v>
      </c>
      <c r="Y500" s="8">
        <v>311289</v>
      </c>
      <c r="AA500" s="8">
        <v>6962328</v>
      </c>
      <c r="AC500" s="8">
        <v>2600704</v>
      </c>
      <c r="AE500" s="8">
        <v>1197842</v>
      </c>
      <c r="AG500" s="8">
        <v>1588019</v>
      </c>
      <c r="AI500" s="8">
        <v>1093870</v>
      </c>
      <c r="AJ500" s="13" t="s">
        <v>322</v>
      </c>
      <c r="AK500" s="13"/>
      <c r="AL500" s="13" t="s">
        <v>20</v>
      </c>
      <c r="AN500" s="8">
        <v>1148621</v>
      </c>
      <c r="AP500" s="8">
        <v>1600017</v>
      </c>
      <c r="AR500" s="8">
        <v>0</v>
      </c>
      <c r="AT500" s="8">
        <f>670000+500000</f>
        <v>1170000</v>
      </c>
      <c r="AV500" s="8">
        <v>753716</v>
      </c>
      <c r="AX500" s="8">
        <v>0</v>
      </c>
      <c r="AZ500" s="9">
        <f t="shared" si="32"/>
        <v>60814212</v>
      </c>
      <c r="BB500" s="8">
        <v>680000</v>
      </c>
      <c r="BH500" s="8">
        <v>250000</v>
      </c>
      <c r="BJ500" s="9">
        <f t="shared" si="33"/>
        <v>61744212</v>
      </c>
      <c r="BL500" s="9">
        <f>'Gov Fd Rv'!AQ500-'Gov Fnd Exp'!BJ500</f>
        <v>6847367</v>
      </c>
      <c r="BN500" s="8">
        <v>-3685065</v>
      </c>
      <c r="BP500" s="8">
        <v>0</v>
      </c>
      <c r="BT500" s="9">
        <f t="shared" si="34"/>
        <v>3162302</v>
      </c>
      <c r="BU500" s="9"/>
      <c r="BV500" s="9">
        <f>BT500-'Gov Fd BS'!AA506</f>
        <v>0</v>
      </c>
    </row>
    <row r="501" spans="1:74">
      <c r="A501" s="13" t="s">
        <v>471</v>
      </c>
      <c r="B501" s="13"/>
      <c r="C501" s="13" t="s">
        <v>466</v>
      </c>
      <c r="D501" s="13"/>
      <c r="E501" s="32">
        <v>47951</v>
      </c>
      <c r="G501" s="8">
        <v>7727330</v>
      </c>
      <c r="I501" s="8">
        <v>2072817</v>
      </c>
      <c r="K501" s="8">
        <v>248341</v>
      </c>
      <c r="M501" s="8">
        <f>177412+13197</f>
        <v>190609</v>
      </c>
      <c r="O501" s="8">
        <v>564066</v>
      </c>
      <c r="Q501" s="8">
        <v>962058</v>
      </c>
      <c r="S501" s="8">
        <v>63713</v>
      </c>
      <c r="U501" s="8">
        <v>1329275</v>
      </c>
      <c r="W501" s="8">
        <v>230325</v>
      </c>
      <c r="Y501" s="8">
        <v>0</v>
      </c>
      <c r="AA501" s="8">
        <v>1533612</v>
      </c>
      <c r="AC501" s="8">
        <v>905885</v>
      </c>
      <c r="AE501" s="8">
        <v>68960</v>
      </c>
      <c r="AG501" s="8">
        <v>803764</v>
      </c>
      <c r="AI501" s="8">
        <v>0</v>
      </c>
      <c r="AJ501" s="13" t="s">
        <v>471</v>
      </c>
      <c r="AK501" s="13"/>
      <c r="AL501" s="13" t="s">
        <v>466</v>
      </c>
      <c r="AN501" s="8">
        <v>279746</v>
      </c>
      <c r="AP501" s="8">
        <v>17651385</v>
      </c>
      <c r="AR501" s="8">
        <v>0</v>
      </c>
      <c r="AT501" s="8">
        <v>533916</v>
      </c>
      <c r="AV501" s="8">
        <v>485170</v>
      </c>
      <c r="AX501" s="8">
        <v>0</v>
      </c>
      <c r="AZ501" s="9">
        <f t="shared" si="32"/>
        <v>35650972</v>
      </c>
      <c r="BB501" s="8">
        <v>534141</v>
      </c>
      <c r="BH501" s="8">
        <v>0</v>
      </c>
      <c r="BJ501" s="9">
        <f t="shared" si="33"/>
        <v>36185113</v>
      </c>
      <c r="BL501" s="9">
        <f>'Gov Fd Rv'!AQ501-'Gov Fnd Exp'!BJ501</f>
        <v>-9597785</v>
      </c>
      <c r="BN501" s="8">
        <v>18015655</v>
      </c>
      <c r="BP501" s="8">
        <v>0</v>
      </c>
      <c r="BT501" s="9">
        <f t="shared" si="34"/>
        <v>8417870</v>
      </c>
      <c r="BU501" s="9"/>
      <c r="BV501" s="9">
        <f>BT501-'Gov Fd BS'!AA507</f>
        <v>0</v>
      </c>
    </row>
    <row r="502" spans="1:74">
      <c r="A502" s="13" t="s">
        <v>516</v>
      </c>
      <c r="B502" s="13"/>
      <c r="C502" s="13" t="s">
        <v>45</v>
      </c>
      <c r="D502" s="13"/>
      <c r="E502" s="32">
        <v>48363</v>
      </c>
      <c r="G502" s="8">
        <v>5469438</v>
      </c>
      <c r="I502" s="8">
        <v>1370523</v>
      </c>
      <c r="K502" s="8">
        <v>162842</v>
      </c>
      <c r="M502" s="8">
        <v>204947</v>
      </c>
      <c r="O502" s="8">
        <v>277070</v>
      </c>
      <c r="Q502" s="8">
        <v>628589</v>
      </c>
      <c r="S502" s="8">
        <v>50250</v>
      </c>
      <c r="U502" s="8">
        <v>999794</v>
      </c>
      <c r="W502" s="8">
        <v>407909</v>
      </c>
      <c r="Y502" s="8">
        <v>3080</v>
      </c>
      <c r="AA502" s="8">
        <v>1016744</v>
      </c>
      <c r="AC502" s="8">
        <v>887451</v>
      </c>
      <c r="AE502" s="8">
        <v>77218</v>
      </c>
      <c r="AG502" s="8">
        <v>379638</v>
      </c>
      <c r="AI502" s="8">
        <v>2431</v>
      </c>
      <c r="AJ502" s="13" t="s">
        <v>516</v>
      </c>
      <c r="AK502" s="13"/>
      <c r="AL502" s="13" t="s">
        <v>45</v>
      </c>
      <c r="AN502" s="8">
        <v>449508</v>
      </c>
      <c r="AP502" s="8">
        <v>5418014</v>
      </c>
      <c r="AR502" s="8">
        <v>0</v>
      </c>
      <c r="AT502" s="8">
        <v>300000</v>
      </c>
      <c r="AV502" s="8">
        <v>846124</v>
      </c>
      <c r="AX502" s="8">
        <v>0</v>
      </c>
      <c r="AZ502" s="9">
        <f t="shared" si="32"/>
        <v>18951570</v>
      </c>
      <c r="BB502" s="8">
        <v>22444</v>
      </c>
      <c r="BH502" s="8">
        <v>0</v>
      </c>
      <c r="BJ502" s="9">
        <f t="shared" si="33"/>
        <v>18974014</v>
      </c>
      <c r="BL502" s="9">
        <f>'Gov Fd Rv'!AQ502-'Gov Fnd Exp'!BJ502</f>
        <v>9586680</v>
      </c>
      <c r="BN502" s="8">
        <v>24474138</v>
      </c>
      <c r="BP502" s="8">
        <v>0</v>
      </c>
      <c r="BT502" s="9">
        <f t="shared" si="34"/>
        <v>34060818</v>
      </c>
      <c r="BU502" s="9"/>
      <c r="BV502" s="9">
        <f>BT502-'Gov Fd BS'!AA508</f>
        <v>0</v>
      </c>
    </row>
    <row r="503" spans="1:74">
      <c r="A503" s="13" t="s">
        <v>594</v>
      </c>
      <c r="B503" s="13"/>
      <c r="C503" s="13" t="s">
        <v>56</v>
      </c>
      <c r="D503" s="13"/>
      <c r="E503" s="32">
        <v>49221</v>
      </c>
      <c r="G503" s="8">
        <v>7145574</v>
      </c>
      <c r="I503" s="8">
        <v>2072243</v>
      </c>
      <c r="K503" s="8">
        <v>152534</v>
      </c>
      <c r="M503" s="8">
        <f>26535+839823</f>
        <v>866358</v>
      </c>
      <c r="O503" s="8">
        <v>1548000</v>
      </c>
      <c r="Q503" s="8">
        <v>507946</v>
      </c>
      <c r="S503" s="8">
        <v>25347</v>
      </c>
      <c r="U503" s="8">
        <v>1374128</v>
      </c>
      <c r="W503" s="8">
        <v>466328</v>
      </c>
      <c r="Y503" s="8">
        <v>146717</v>
      </c>
      <c r="AA503" s="8">
        <v>1542539</v>
      </c>
      <c r="AC503" s="8">
        <v>1568541</v>
      </c>
      <c r="AE503" s="8">
        <v>59574</v>
      </c>
      <c r="AG503" s="8">
        <v>650039</v>
      </c>
      <c r="AI503" s="8">
        <v>0</v>
      </c>
      <c r="AJ503" s="13" t="s">
        <v>594</v>
      </c>
      <c r="AK503" s="13"/>
      <c r="AL503" s="13" t="s">
        <v>56</v>
      </c>
      <c r="AN503" s="8">
        <v>516531</v>
      </c>
      <c r="AP503" s="8">
        <v>0</v>
      </c>
      <c r="AR503" s="8">
        <v>0</v>
      </c>
      <c r="AT503" s="8">
        <v>286473</v>
      </c>
      <c r="AV503" s="8">
        <v>265293</v>
      </c>
      <c r="AX503" s="8">
        <v>0</v>
      </c>
      <c r="AZ503" s="9">
        <f t="shared" si="32"/>
        <v>19194165</v>
      </c>
      <c r="BB503" s="8">
        <v>18</v>
      </c>
      <c r="BH503" s="8">
        <v>0</v>
      </c>
      <c r="BJ503" s="9">
        <f t="shared" si="33"/>
        <v>19194183</v>
      </c>
      <c r="BL503" s="9">
        <f>'Gov Fd Rv'!AQ503-'Gov Fnd Exp'!BJ503</f>
        <v>1811425</v>
      </c>
      <c r="BN503" s="8">
        <v>3091785</v>
      </c>
      <c r="BP503" s="8">
        <v>0</v>
      </c>
      <c r="BT503" s="9">
        <f t="shared" si="34"/>
        <v>4903210</v>
      </c>
      <c r="BU503" s="9"/>
      <c r="BV503" s="9">
        <f>BT503-'Gov Fd BS'!AA509</f>
        <v>0</v>
      </c>
    </row>
    <row r="504" spans="1:74" s="35" customFormat="1">
      <c r="A504" s="34" t="s">
        <v>594</v>
      </c>
      <c r="B504" s="34"/>
      <c r="C504" s="34" t="s">
        <v>71</v>
      </c>
      <c r="D504" s="34"/>
      <c r="E504" s="34">
        <v>50583</v>
      </c>
      <c r="G504" s="8">
        <v>6817588</v>
      </c>
      <c r="H504" s="8"/>
      <c r="I504" s="8">
        <v>2245644</v>
      </c>
      <c r="J504" s="8"/>
      <c r="K504" s="8">
        <v>328487</v>
      </c>
      <c r="L504" s="8"/>
      <c r="M504" s="8">
        <v>449935</v>
      </c>
      <c r="N504" s="8"/>
      <c r="O504" s="8">
        <v>738934</v>
      </c>
      <c r="P504" s="8"/>
      <c r="Q504" s="8">
        <v>439888</v>
      </c>
      <c r="R504" s="8"/>
      <c r="S504" s="8">
        <v>40700</v>
      </c>
      <c r="T504" s="8"/>
      <c r="U504" s="8">
        <v>1781753</v>
      </c>
      <c r="V504" s="8"/>
      <c r="W504" s="8">
        <v>354585</v>
      </c>
      <c r="X504" s="8"/>
      <c r="Y504" s="8">
        <v>0</v>
      </c>
      <c r="Z504" s="8"/>
      <c r="AA504" s="8">
        <v>1149469</v>
      </c>
      <c r="AB504" s="8"/>
      <c r="AC504" s="8">
        <v>970347</v>
      </c>
      <c r="AD504" s="8"/>
      <c r="AE504" s="8">
        <v>148088</v>
      </c>
      <c r="AF504" s="8"/>
      <c r="AG504" s="8">
        <v>0</v>
      </c>
      <c r="AH504" s="8"/>
      <c r="AI504" s="8">
        <v>837839</v>
      </c>
      <c r="AJ504" s="34" t="s">
        <v>594</v>
      </c>
      <c r="AK504" s="34"/>
      <c r="AL504" s="34" t="s">
        <v>71</v>
      </c>
      <c r="AN504" s="8">
        <v>459628</v>
      </c>
      <c r="AO504" s="8"/>
      <c r="AP504" s="8">
        <v>372590</v>
      </c>
      <c r="AQ504" s="8"/>
      <c r="AR504" s="8">
        <v>0</v>
      </c>
      <c r="AS504" s="8"/>
      <c r="AT504" s="8">
        <v>49151</v>
      </c>
      <c r="AU504" s="8"/>
      <c r="AV504" s="8">
        <v>11863</v>
      </c>
      <c r="AW504" s="8"/>
      <c r="AX504" s="8">
        <v>0</v>
      </c>
      <c r="AY504" s="8"/>
      <c r="AZ504" s="9">
        <f t="shared" si="32"/>
        <v>17196489</v>
      </c>
      <c r="BA504" s="8"/>
      <c r="BB504" s="8">
        <v>0</v>
      </c>
      <c r="BC504" s="8"/>
      <c r="BD504" s="8"/>
      <c r="BE504" s="8"/>
      <c r="BF504" s="8"/>
      <c r="BG504" s="8"/>
      <c r="BH504" s="8">
        <v>0</v>
      </c>
      <c r="BI504" s="8"/>
      <c r="BJ504" s="9">
        <f t="shared" si="33"/>
        <v>17196489</v>
      </c>
      <c r="BK504" s="8"/>
      <c r="BL504" s="9">
        <f>'Gov Fd Rv'!AQ504-'Gov Fnd Exp'!BJ504</f>
        <v>-887090</v>
      </c>
      <c r="BM504" s="8"/>
      <c r="BN504" s="8">
        <v>1802799</v>
      </c>
      <c r="BO504" s="8"/>
      <c r="BP504" s="8">
        <v>0</v>
      </c>
      <c r="BQ504" s="8"/>
      <c r="BR504" s="8"/>
      <c r="BS504" s="8"/>
      <c r="BT504" s="9">
        <f t="shared" si="34"/>
        <v>915709</v>
      </c>
      <c r="BU504" s="9"/>
      <c r="BV504" s="9">
        <f>BT504-'Gov Fd BS'!AA510</f>
        <v>0</v>
      </c>
    </row>
    <row r="505" spans="1:74">
      <c r="A505" s="13" t="s">
        <v>264</v>
      </c>
      <c r="B505" s="13"/>
      <c r="C505" s="13" t="s">
        <v>17</v>
      </c>
      <c r="D505" s="13"/>
      <c r="E505" s="32">
        <v>46276</v>
      </c>
      <c r="G505" s="8">
        <v>3217380</v>
      </c>
      <c r="I505" s="8">
        <v>953633</v>
      </c>
      <c r="K505" s="8">
        <v>203882</v>
      </c>
      <c r="M505" s="8">
        <v>12402</v>
      </c>
      <c r="O505" s="8">
        <v>361357</v>
      </c>
      <c r="Q505" s="8">
        <v>280232</v>
      </c>
      <c r="S505" s="8">
        <v>23154</v>
      </c>
      <c r="U505" s="8">
        <v>582897</v>
      </c>
      <c r="W505" s="8">
        <v>295094</v>
      </c>
      <c r="Y505" s="8">
        <v>0</v>
      </c>
      <c r="AA505" s="8">
        <v>505821</v>
      </c>
      <c r="AC505" s="8">
        <v>346284</v>
      </c>
      <c r="AE505" s="8">
        <v>37974</v>
      </c>
      <c r="AG505" s="8">
        <v>0</v>
      </c>
      <c r="AI505" s="8">
        <v>319703</v>
      </c>
      <c r="AJ505" s="13" t="s">
        <v>264</v>
      </c>
      <c r="AK505" s="13"/>
      <c r="AL505" s="13" t="s">
        <v>17</v>
      </c>
      <c r="AN505" s="8">
        <v>201449</v>
      </c>
      <c r="AP505" s="8">
        <v>103675</v>
      </c>
      <c r="AR505" s="8">
        <v>0</v>
      </c>
      <c r="AT505" s="8">
        <v>171018</v>
      </c>
      <c r="AV505" s="8">
        <v>25753</v>
      </c>
      <c r="AX505" s="8">
        <v>0</v>
      </c>
      <c r="AZ505" s="9">
        <f t="shared" si="32"/>
        <v>7641708</v>
      </c>
      <c r="BB505" s="8">
        <v>0</v>
      </c>
      <c r="BH505" s="8">
        <v>0</v>
      </c>
      <c r="BJ505" s="9">
        <f t="shared" si="33"/>
        <v>7641708</v>
      </c>
      <c r="BL505" s="9">
        <f>'Gov Fd Rv'!AQ505-'Gov Fnd Exp'!BJ505</f>
        <v>996335</v>
      </c>
      <c r="BN505" s="8">
        <v>5251935</v>
      </c>
      <c r="BP505" s="8">
        <v>0</v>
      </c>
      <c r="BT505" s="9">
        <f t="shared" si="34"/>
        <v>6248270</v>
      </c>
      <c r="BU505" s="9"/>
      <c r="BV505" s="9">
        <f>BT505-'Gov Fd BS'!AA511</f>
        <v>0</v>
      </c>
    </row>
    <row r="506" spans="1:74">
      <c r="A506" s="13" t="s">
        <v>264</v>
      </c>
      <c r="B506" s="13"/>
      <c r="C506" s="13" t="s">
        <v>58</v>
      </c>
      <c r="D506" s="13"/>
      <c r="E506" s="32">
        <v>49528</v>
      </c>
      <c r="G506" s="8">
        <v>4668380</v>
      </c>
      <c r="I506" s="8">
        <v>1348372</v>
      </c>
      <c r="K506" s="8">
        <v>0</v>
      </c>
      <c r="M506" s="8">
        <v>23114</v>
      </c>
      <c r="O506" s="8">
        <v>451418</v>
      </c>
      <c r="Q506" s="8">
        <v>326592</v>
      </c>
      <c r="S506" s="8">
        <v>19571</v>
      </c>
      <c r="U506" s="8">
        <v>583538</v>
      </c>
      <c r="W506" s="8">
        <v>244927</v>
      </c>
      <c r="Y506" s="8">
        <v>179150</v>
      </c>
      <c r="AA506" s="8">
        <v>1107709</v>
      </c>
      <c r="AC506" s="8">
        <v>766897</v>
      </c>
      <c r="AE506" s="8">
        <v>64605</v>
      </c>
      <c r="AG506" s="8">
        <v>0</v>
      </c>
      <c r="AI506" s="8">
        <v>440625</v>
      </c>
      <c r="AJ506" s="13" t="s">
        <v>264</v>
      </c>
      <c r="AK506" s="13"/>
      <c r="AL506" s="13" t="s">
        <v>58</v>
      </c>
      <c r="AN506" s="8">
        <v>324977</v>
      </c>
      <c r="AP506" s="8">
        <v>0</v>
      </c>
      <c r="AR506" s="8">
        <v>0</v>
      </c>
      <c r="AT506" s="8">
        <v>223000</v>
      </c>
      <c r="AV506" s="8">
        <v>192947</v>
      </c>
      <c r="AX506" s="8">
        <v>0</v>
      </c>
      <c r="AZ506" s="9">
        <f t="shared" si="32"/>
        <v>10965822</v>
      </c>
      <c r="BB506" s="8">
        <v>0</v>
      </c>
      <c r="BH506" s="8">
        <v>0</v>
      </c>
      <c r="BJ506" s="9">
        <f t="shared" si="33"/>
        <v>10965822</v>
      </c>
      <c r="BL506" s="9">
        <f>'Gov Fd Rv'!AQ506-'Gov Fnd Exp'!BJ506</f>
        <v>917861</v>
      </c>
      <c r="BN506" s="8">
        <v>5067389</v>
      </c>
      <c r="BP506" s="8">
        <v>0</v>
      </c>
      <c r="BT506" s="9">
        <f t="shared" si="34"/>
        <v>5985250</v>
      </c>
      <c r="BU506" s="9"/>
      <c r="BV506" s="9">
        <f>BT506-'Gov Fd BS'!AA512</f>
        <v>0</v>
      </c>
    </row>
    <row r="507" spans="1:74">
      <c r="A507" s="13" t="s">
        <v>284</v>
      </c>
      <c r="B507" s="13"/>
      <c r="C507" s="13" t="s">
        <v>114</v>
      </c>
      <c r="D507" s="13"/>
      <c r="E507" s="32">
        <v>46441</v>
      </c>
      <c r="G507" s="8">
        <v>3142418</v>
      </c>
      <c r="I507" s="8">
        <v>1089389</v>
      </c>
      <c r="K507" s="8">
        <v>245572</v>
      </c>
      <c r="M507" s="8">
        <v>1336</v>
      </c>
      <c r="O507" s="8">
        <v>345126</v>
      </c>
      <c r="Q507" s="8">
        <v>239576</v>
      </c>
      <c r="S507" s="8">
        <v>1279451</v>
      </c>
      <c r="U507" s="8">
        <v>696636</v>
      </c>
      <c r="W507" s="8">
        <v>223100</v>
      </c>
      <c r="Y507" s="8">
        <v>49972</v>
      </c>
      <c r="AA507" s="8">
        <v>864808</v>
      </c>
      <c r="AC507" s="8">
        <v>920882</v>
      </c>
      <c r="AE507" s="8">
        <v>0</v>
      </c>
      <c r="AG507" s="8">
        <v>436511</v>
      </c>
      <c r="AI507" s="8">
        <v>11465</v>
      </c>
      <c r="AJ507" s="13" t="s">
        <v>284</v>
      </c>
      <c r="AK507" s="13"/>
      <c r="AL507" s="13" t="s">
        <v>114</v>
      </c>
      <c r="AN507" s="8">
        <v>228755</v>
      </c>
      <c r="AP507" s="8">
        <v>0</v>
      </c>
      <c r="AR507" s="8">
        <v>0</v>
      </c>
      <c r="AT507" s="8">
        <v>166644</v>
      </c>
      <c r="AV507" s="8">
        <v>113115</v>
      </c>
      <c r="AX507" s="8">
        <v>0</v>
      </c>
      <c r="AZ507" s="9">
        <f>SUM(G507:AX507)</f>
        <v>10054756</v>
      </c>
      <c r="BB507" s="8">
        <v>180000</v>
      </c>
      <c r="BH507" s="8">
        <v>0</v>
      </c>
      <c r="BJ507" s="9">
        <f>AZ507+BB507+BH507</f>
        <v>10234756</v>
      </c>
      <c r="BL507" s="9">
        <f>'Gov Fd Rv'!AQ507-'Gov Fnd Exp'!BJ507</f>
        <v>-109274</v>
      </c>
      <c r="BN507" s="8">
        <v>1035211</v>
      </c>
      <c r="BP507" s="8">
        <v>0</v>
      </c>
      <c r="BT507" s="9">
        <f>BL507+BN507+BP507+BR507</f>
        <v>925937</v>
      </c>
      <c r="BU507" s="9"/>
      <c r="BV507" s="9">
        <f>BT507-'Gov Fd BS'!AA513</f>
        <v>0</v>
      </c>
    </row>
    <row r="508" spans="1:74">
      <c r="A508" s="13" t="s">
        <v>284</v>
      </c>
      <c r="B508" s="13"/>
      <c r="C508" s="13" t="s">
        <v>531</v>
      </c>
      <c r="D508" s="13"/>
      <c r="E508" s="32">
        <v>46441</v>
      </c>
      <c r="G508" s="8">
        <v>2755096</v>
      </c>
      <c r="I508" s="8">
        <v>941563</v>
      </c>
      <c r="K508" s="8">
        <v>143945</v>
      </c>
      <c r="M508" s="8">
        <f>109+53024</f>
        <v>53133</v>
      </c>
      <c r="O508" s="8">
        <v>346289</v>
      </c>
      <c r="Q508" s="8">
        <v>258999</v>
      </c>
      <c r="S508" s="8">
        <v>14686</v>
      </c>
      <c r="U508" s="8">
        <v>1108247</v>
      </c>
      <c r="W508" s="8">
        <v>317402</v>
      </c>
      <c r="Y508" s="8">
        <v>0</v>
      </c>
      <c r="AA508" s="8">
        <v>646320</v>
      </c>
      <c r="AC508" s="8">
        <v>646082</v>
      </c>
      <c r="AE508" s="8">
        <v>116507</v>
      </c>
      <c r="AG508" s="8">
        <v>0</v>
      </c>
      <c r="AI508" s="8">
        <v>475204</v>
      </c>
      <c r="AJ508" s="13" t="s">
        <v>284</v>
      </c>
      <c r="AK508" s="13"/>
      <c r="AL508" s="13" t="s">
        <v>114</v>
      </c>
      <c r="AN508" s="8">
        <v>171228</v>
      </c>
      <c r="AP508" s="8">
        <v>0</v>
      </c>
      <c r="AR508" s="8">
        <v>0</v>
      </c>
      <c r="AT508" s="8">
        <v>167482</v>
      </c>
      <c r="AV508" s="8">
        <v>143299</v>
      </c>
      <c r="AX508" s="8">
        <v>0</v>
      </c>
      <c r="AZ508" s="9">
        <f t="shared" si="32"/>
        <v>8305482</v>
      </c>
      <c r="BB508" s="8">
        <v>55879</v>
      </c>
      <c r="BH508" s="8">
        <v>0</v>
      </c>
      <c r="BJ508" s="9">
        <f t="shared" si="33"/>
        <v>8361361</v>
      </c>
      <c r="BL508" s="9">
        <f>'Gov Fd Rv'!AQ508-'Gov Fnd Exp'!BJ508</f>
        <v>473769</v>
      </c>
      <c r="BN508" s="8">
        <v>1120808</v>
      </c>
      <c r="BP508" s="8">
        <v>0</v>
      </c>
      <c r="BT508" s="9">
        <f t="shared" si="34"/>
        <v>1594577</v>
      </c>
      <c r="BU508" s="9"/>
      <c r="BV508" s="9">
        <f>BT508-'Gov Fd BS'!AA514</f>
        <v>0</v>
      </c>
    </row>
    <row r="509" spans="1:74" hidden="1">
      <c r="A509" s="13" t="s">
        <v>1035</v>
      </c>
      <c r="B509" s="13"/>
      <c r="C509" s="13" t="s">
        <v>579</v>
      </c>
      <c r="D509" s="13"/>
      <c r="E509" s="32"/>
      <c r="G509" s="8">
        <v>3263823</v>
      </c>
      <c r="I509" s="8">
        <v>1863259</v>
      </c>
      <c r="K509" s="8">
        <v>227207</v>
      </c>
      <c r="O509" s="8">
        <v>406445</v>
      </c>
      <c r="Q509" s="8">
        <v>374192</v>
      </c>
      <c r="S509" s="8">
        <v>69366</v>
      </c>
      <c r="U509" s="8">
        <v>1476746</v>
      </c>
      <c r="W509" s="8">
        <v>648286</v>
      </c>
      <c r="AA509" s="8">
        <v>915938</v>
      </c>
      <c r="AC509" s="8">
        <v>708450</v>
      </c>
      <c r="AE509" s="8">
        <v>62700</v>
      </c>
      <c r="AI509" s="8">
        <v>484204</v>
      </c>
      <c r="AJ509" s="13" t="s">
        <v>1035</v>
      </c>
      <c r="AK509" s="13"/>
      <c r="AL509" s="13" t="s">
        <v>579</v>
      </c>
      <c r="AN509" s="8">
        <v>302081</v>
      </c>
      <c r="AP509" s="8">
        <v>161090</v>
      </c>
      <c r="AT509" s="8">
        <v>72477</v>
      </c>
      <c r="AV509" s="8">
        <v>93008</v>
      </c>
      <c r="AZ509" s="9">
        <f t="shared" si="32"/>
        <v>11129272</v>
      </c>
      <c r="BJ509" s="9">
        <f t="shared" si="33"/>
        <v>11129272</v>
      </c>
      <c r="BL509" s="9">
        <f>'Gov Fd Rv'!AQ509-'Gov Fnd Exp'!BJ509</f>
        <v>-720314</v>
      </c>
      <c r="BN509" s="8">
        <v>1931647</v>
      </c>
      <c r="BT509" s="9">
        <f t="shared" si="34"/>
        <v>1211333</v>
      </c>
      <c r="BU509" s="9"/>
      <c r="BV509" s="9">
        <f>BT509-'Gov Fd BS'!AA515</f>
        <v>0</v>
      </c>
    </row>
    <row r="510" spans="1:74">
      <c r="A510" s="13" t="s">
        <v>691</v>
      </c>
      <c r="B510" s="13"/>
      <c r="C510" s="13" t="s">
        <v>64</v>
      </c>
      <c r="D510" s="13"/>
      <c r="E510" s="32">
        <v>50237</v>
      </c>
      <c r="G510" s="8">
        <v>2689443</v>
      </c>
      <c r="I510" s="8">
        <v>256660</v>
      </c>
      <c r="K510" s="8">
        <v>0</v>
      </c>
      <c r="M510" s="8">
        <v>0</v>
      </c>
      <c r="O510" s="8">
        <v>571956</v>
      </c>
      <c r="Q510" s="8">
        <v>132849</v>
      </c>
      <c r="S510" s="8">
        <v>55318</v>
      </c>
      <c r="U510" s="8">
        <v>447057</v>
      </c>
      <c r="W510" s="8">
        <v>241922</v>
      </c>
      <c r="Y510" s="8">
        <v>31964</v>
      </c>
      <c r="AA510" s="8">
        <v>399723</v>
      </c>
      <c r="AC510" s="8">
        <v>297522</v>
      </c>
      <c r="AE510" s="8">
        <v>11070</v>
      </c>
      <c r="AG510" s="8">
        <v>182320</v>
      </c>
      <c r="AI510" s="8">
        <v>100</v>
      </c>
      <c r="AJ510" s="13" t="s">
        <v>691</v>
      </c>
      <c r="AK510" s="13"/>
      <c r="AL510" s="13" t="s">
        <v>64</v>
      </c>
      <c r="AN510" s="8">
        <v>199422</v>
      </c>
      <c r="AP510" s="8">
        <v>990133</v>
      </c>
      <c r="AR510" s="8">
        <v>0</v>
      </c>
      <c r="AT510" s="8">
        <v>100000</v>
      </c>
      <c r="AV510" s="8">
        <v>336600</v>
      </c>
      <c r="AX510" s="8">
        <v>0</v>
      </c>
      <c r="AZ510" s="9">
        <f t="shared" si="32"/>
        <v>6944059</v>
      </c>
      <c r="BB510" s="8">
        <v>0</v>
      </c>
      <c r="BH510" s="8">
        <v>0</v>
      </c>
      <c r="BJ510" s="9">
        <f t="shared" si="33"/>
        <v>6944059</v>
      </c>
      <c r="BL510" s="9">
        <f>'Gov Fd Rv'!AQ510-'Gov Fnd Exp'!BJ510</f>
        <v>8322980</v>
      </c>
      <c r="BN510" s="8">
        <v>10805316</v>
      </c>
      <c r="BP510" s="8">
        <v>0</v>
      </c>
      <c r="BT510" s="9">
        <f t="shared" si="34"/>
        <v>19128296</v>
      </c>
      <c r="BU510" s="9"/>
      <c r="BV510" s="9">
        <f>BT510-'Gov Fd BS'!AA516</f>
        <v>0</v>
      </c>
    </row>
    <row r="511" spans="1:74">
      <c r="A511" s="13" t="s">
        <v>481</v>
      </c>
      <c r="B511" s="13"/>
      <c r="C511" s="13" t="s">
        <v>42</v>
      </c>
      <c r="D511" s="13"/>
      <c r="E511" s="32">
        <v>48041</v>
      </c>
      <c r="G511" s="8">
        <v>13699480</v>
      </c>
      <c r="I511" s="8">
        <v>3289183</v>
      </c>
      <c r="K511" s="8">
        <v>461122</v>
      </c>
      <c r="M511" s="8">
        <v>2525993</v>
      </c>
      <c r="O511" s="8">
        <v>2022575</v>
      </c>
      <c r="Q511" s="8">
        <v>1552683</v>
      </c>
      <c r="S511" s="8">
        <v>57839</v>
      </c>
      <c r="U511" s="8">
        <v>2920849</v>
      </c>
      <c r="W511" s="8">
        <v>904284</v>
      </c>
      <c r="Y511" s="8">
        <v>134257</v>
      </c>
      <c r="AA511" s="8">
        <v>2626734</v>
      </c>
      <c r="AC511" s="8">
        <v>2233794</v>
      </c>
      <c r="AE511" s="8">
        <v>1180534</v>
      </c>
      <c r="AG511" s="8">
        <v>0</v>
      </c>
      <c r="AI511" s="8">
        <v>1536703</v>
      </c>
      <c r="AJ511" s="13" t="s">
        <v>481</v>
      </c>
      <c r="AK511" s="13"/>
      <c r="AL511" s="13" t="s">
        <v>42</v>
      </c>
      <c r="AN511" s="8">
        <v>894545</v>
      </c>
      <c r="AP511" s="8">
        <v>372740</v>
      </c>
      <c r="AR511" s="8">
        <v>0</v>
      </c>
      <c r="AT511" s="8">
        <v>1301990</v>
      </c>
      <c r="AV511" s="8">
        <v>727828</v>
      </c>
      <c r="AX511" s="8">
        <v>0</v>
      </c>
      <c r="AZ511" s="9">
        <f t="shared" si="32"/>
        <v>38443133</v>
      </c>
      <c r="BB511" s="8">
        <v>0</v>
      </c>
      <c r="BH511" s="8">
        <v>0</v>
      </c>
      <c r="BJ511" s="9">
        <f t="shared" si="33"/>
        <v>38443133</v>
      </c>
      <c r="BL511" s="9">
        <f>'Gov Fd Rv'!AQ511-'Gov Fnd Exp'!BJ511</f>
        <v>-50499</v>
      </c>
      <c r="BN511" s="8">
        <v>8806787</v>
      </c>
      <c r="BP511" s="8">
        <v>0</v>
      </c>
      <c r="BT511" s="9">
        <f t="shared" si="34"/>
        <v>8756288</v>
      </c>
      <c r="BU511" s="9"/>
      <c r="BV511" s="9">
        <f>BT511-'Gov Fd BS'!AA517</f>
        <v>0</v>
      </c>
    </row>
    <row r="512" spans="1:74">
      <c r="A512" s="13" t="s">
        <v>407</v>
      </c>
      <c r="B512" s="13"/>
      <c r="C512" s="13" t="s">
        <v>32</v>
      </c>
      <c r="D512" s="13"/>
      <c r="E512" s="32">
        <v>47381</v>
      </c>
      <c r="G512" s="8">
        <v>16079114</v>
      </c>
      <c r="I512" s="8">
        <v>3992825</v>
      </c>
      <c r="K512" s="8">
        <v>265784</v>
      </c>
      <c r="M512" s="8">
        <v>645000</v>
      </c>
      <c r="O512" s="8">
        <v>1487462</v>
      </c>
      <c r="Q512" s="8">
        <v>1308526</v>
      </c>
      <c r="S512" s="8">
        <v>64044</v>
      </c>
      <c r="U512" s="8">
        <v>2634640</v>
      </c>
      <c r="W512" s="8">
        <v>957721</v>
      </c>
      <c r="Y512" s="8">
        <v>0</v>
      </c>
      <c r="AA512" s="8">
        <v>3962485</v>
      </c>
      <c r="AC512" s="8">
        <v>1966676</v>
      </c>
      <c r="AE512" s="8">
        <v>56008</v>
      </c>
      <c r="AG512" s="8">
        <v>0</v>
      </c>
      <c r="AI512" s="8">
        <v>1843390</v>
      </c>
      <c r="AJ512" s="13" t="s">
        <v>407</v>
      </c>
      <c r="AK512" s="13"/>
      <c r="AL512" s="13" t="s">
        <v>32</v>
      </c>
      <c r="AN512" s="8">
        <v>896883</v>
      </c>
      <c r="AP512" s="8">
        <v>73329</v>
      </c>
      <c r="AR512" s="8">
        <v>0</v>
      </c>
      <c r="AT512" s="8">
        <v>1355000</v>
      </c>
      <c r="AV512" s="8">
        <v>845670</v>
      </c>
      <c r="AX512" s="8">
        <v>0</v>
      </c>
      <c r="AZ512" s="9">
        <f t="shared" si="32"/>
        <v>38434557</v>
      </c>
      <c r="BB512" s="8">
        <v>1000</v>
      </c>
      <c r="BH512" s="8">
        <v>0</v>
      </c>
      <c r="BJ512" s="9">
        <f t="shared" si="33"/>
        <v>38435557</v>
      </c>
      <c r="BL512" s="9">
        <f>'Gov Fd Rv'!AQ512-'Gov Fnd Exp'!BJ512</f>
        <v>-1145197</v>
      </c>
      <c r="BN512" s="8">
        <v>4139228</v>
      </c>
      <c r="BP512" s="8">
        <v>0</v>
      </c>
      <c r="BT512" s="9">
        <f t="shared" si="34"/>
        <v>2994031</v>
      </c>
      <c r="BU512" s="9"/>
      <c r="BV512" s="9">
        <f>BT512-'Gov Fd BS'!AA518</f>
        <v>0</v>
      </c>
    </row>
    <row r="513" spans="1:76">
      <c r="A513" s="13" t="s">
        <v>363</v>
      </c>
      <c r="B513" s="13"/>
      <c r="C513" s="13" t="s">
        <v>27</v>
      </c>
      <c r="D513" s="13"/>
      <c r="E513" s="32">
        <v>44800</v>
      </c>
      <c r="G513" s="8">
        <v>95068111</v>
      </c>
      <c r="I513" s="8">
        <v>26150024</v>
      </c>
      <c r="K513" s="8">
        <v>5595820</v>
      </c>
      <c r="M513" s="8">
        <v>2785526</v>
      </c>
      <c r="O513" s="8">
        <v>9211089</v>
      </c>
      <c r="Q513" s="8">
        <v>14997314</v>
      </c>
      <c r="S513" s="8">
        <v>53816</v>
      </c>
      <c r="U513" s="8">
        <v>15143308</v>
      </c>
      <c r="W513" s="8">
        <v>3458286</v>
      </c>
      <c r="Y513" s="8">
        <v>955910</v>
      </c>
      <c r="AA513" s="8">
        <v>16391490</v>
      </c>
      <c r="AC513" s="8">
        <v>10511656</v>
      </c>
      <c r="AE513" s="8">
        <v>3376369</v>
      </c>
      <c r="AG513" s="8">
        <v>8572735</v>
      </c>
      <c r="AI513" s="8">
        <v>1514605</v>
      </c>
      <c r="AJ513" s="13" t="s">
        <v>363</v>
      </c>
      <c r="AK513" s="13"/>
      <c r="AL513" s="13" t="s">
        <v>27</v>
      </c>
      <c r="AN513" s="8">
        <v>3732287</v>
      </c>
      <c r="AP513" s="8">
        <v>3935133</v>
      </c>
      <c r="AR513" s="8">
        <v>0</v>
      </c>
      <c r="AT513" s="8">
        <v>12976667</v>
      </c>
      <c r="AV513" s="8">
        <v>4509630</v>
      </c>
      <c r="AX513" s="8">
        <v>0</v>
      </c>
      <c r="AZ513" s="9">
        <f t="shared" si="32"/>
        <v>238939776</v>
      </c>
      <c r="BB513" s="8">
        <v>1022766</v>
      </c>
      <c r="BH513" s="8">
        <v>0</v>
      </c>
      <c r="BJ513" s="9">
        <f t="shared" si="33"/>
        <v>239962542</v>
      </c>
      <c r="BL513" s="9">
        <f>'Gov Fd Rv'!AQ513-'Gov Fnd Exp'!BJ513</f>
        <v>7541960</v>
      </c>
      <c r="BN513" s="8">
        <v>45557709</v>
      </c>
      <c r="BP513" s="8">
        <v>0</v>
      </c>
      <c r="BT513" s="9">
        <f t="shared" si="34"/>
        <v>53099669</v>
      </c>
      <c r="BU513" s="9"/>
      <c r="BV513" s="9">
        <f>BT513-'Gov Fd BS'!AA519</f>
        <v>0</v>
      </c>
    </row>
    <row r="514" spans="1:76" hidden="1">
      <c r="A514" s="12" t="s">
        <v>1037</v>
      </c>
      <c r="B514" s="13"/>
      <c r="C514" s="13" t="s">
        <v>10</v>
      </c>
      <c r="D514" s="13"/>
      <c r="E514" s="32">
        <v>45807</v>
      </c>
      <c r="G514" s="8">
        <v>3960394</v>
      </c>
      <c r="I514" s="8">
        <v>729666</v>
      </c>
      <c r="K514" s="8">
        <v>63032</v>
      </c>
      <c r="M514" s="8">
        <f>1672+357881</f>
        <v>359553</v>
      </c>
      <c r="O514" s="8">
        <v>455756</v>
      </c>
      <c r="Q514" s="8">
        <v>197383</v>
      </c>
      <c r="S514" s="8">
        <v>37955</v>
      </c>
      <c r="U514" s="8">
        <v>672379</v>
      </c>
      <c r="W514" s="8">
        <v>349132</v>
      </c>
      <c r="Y514" s="8">
        <v>222</v>
      </c>
      <c r="AA514" s="8">
        <v>883292</v>
      </c>
      <c r="AC514" s="8">
        <v>547601</v>
      </c>
      <c r="AE514" s="8">
        <v>6858</v>
      </c>
      <c r="AG514" s="8">
        <v>393917</v>
      </c>
      <c r="AI514" s="8">
        <v>19100</v>
      </c>
      <c r="AJ514" s="13" t="s">
        <v>212</v>
      </c>
      <c r="AK514" s="13"/>
      <c r="AL514" s="13" t="s">
        <v>10</v>
      </c>
      <c r="AN514" s="8">
        <v>349882</v>
      </c>
      <c r="AP514" s="8">
        <v>285257</v>
      </c>
      <c r="AT514" s="8">
        <v>215925</v>
      </c>
      <c r="AV514" s="8">
        <v>279656</v>
      </c>
      <c r="AZ514" s="9">
        <f t="shared" si="32"/>
        <v>9806960</v>
      </c>
      <c r="BH514" s="8">
        <f>30488-4987-44033-21189</f>
        <v>-39721</v>
      </c>
      <c r="BJ514" s="9">
        <f t="shared" si="33"/>
        <v>9767239</v>
      </c>
      <c r="BL514" s="9">
        <f>'Gov Fd Rv'!AQ514-'Gov Fnd Exp'!BJ514</f>
        <v>-157377</v>
      </c>
      <c r="BN514" s="8">
        <v>4353494</v>
      </c>
      <c r="BT514" s="9">
        <f t="shared" si="34"/>
        <v>4196117</v>
      </c>
      <c r="BU514" s="9"/>
      <c r="BV514" s="9">
        <f>BT514-'Gov Fd BS'!AA520</f>
        <v>0</v>
      </c>
    </row>
    <row r="515" spans="1:76" hidden="1">
      <c r="A515" s="12" t="s">
        <v>1036</v>
      </c>
      <c r="B515" s="13"/>
      <c r="C515" s="13" t="s">
        <v>69</v>
      </c>
      <c r="D515" s="13"/>
      <c r="E515" s="32">
        <v>50427</v>
      </c>
      <c r="G515" s="8">
        <v>19841921</v>
      </c>
      <c r="I515" s="8">
        <v>3270410</v>
      </c>
      <c r="K515" s="8">
        <v>94914</v>
      </c>
      <c r="M515" s="8">
        <v>377070</v>
      </c>
      <c r="O515" s="8">
        <v>3385951</v>
      </c>
      <c r="Q515" s="8">
        <v>3322982</v>
      </c>
      <c r="S515" s="8">
        <v>144248</v>
      </c>
      <c r="U515" s="8">
        <v>2847367</v>
      </c>
      <c r="W515" s="8">
        <v>1103538</v>
      </c>
      <c r="Y515" s="8">
        <v>164848</v>
      </c>
      <c r="AA515" s="8">
        <v>4376334</v>
      </c>
      <c r="AC515" s="8">
        <v>2700861</v>
      </c>
      <c r="AE515" s="8">
        <v>1358519</v>
      </c>
      <c r="AI515" s="8">
        <v>1295484</v>
      </c>
      <c r="AJ515" s="13" t="s">
        <v>713</v>
      </c>
      <c r="AK515" s="13"/>
      <c r="AL515" s="13" t="s">
        <v>69</v>
      </c>
      <c r="AN515" s="8">
        <v>1055838</v>
      </c>
      <c r="AP515" s="8">
        <v>6855285</v>
      </c>
      <c r="AT515" s="8">
        <v>3544144</v>
      </c>
      <c r="AV515" s="8">
        <v>4646344</v>
      </c>
      <c r="AZ515" s="9">
        <f t="shared" si="32"/>
        <v>60386058</v>
      </c>
      <c r="BH515" s="8">
        <f>-500320-712</f>
        <v>-501032</v>
      </c>
      <c r="BJ515" s="9">
        <f t="shared" si="33"/>
        <v>59885026</v>
      </c>
      <c r="BL515" s="9">
        <f>'Gov Fd Rv'!AQ515-'Gov Fnd Exp'!BJ515</f>
        <v>-6221521</v>
      </c>
      <c r="BN515" s="8">
        <v>20181389</v>
      </c>
      <c r="BT515" s="9">
        <f t="shared" si="34"/>
        <v>13959868</v>
      </c>
      <c r="BU515" s="9"/>
      <c r="BV515" s="9">
        <f>BT515-'Gov Fd BS'!AA521</f>
        <v>0</v>
      </c>
    </row>
    <row r="516" spans="1:76">
      <c r="A516" s="12" t="s">
        <v>862</v>
      </c>
      <c r="B516" s="12"/>
      <c r="C516" s="12" t="s">
        <v>17</v>
      </c>
      <c r="D516" s="12"/>
      <c r="E516" s="32"/>
      <c r="G516" s="8">
        <v>40154588</v>
      </c>
      <c r="I516" s="8">
        <v>10152738</v>
      </c>
      <c r="K516" s="8">
        <v>213312</v>
      </c>
      <c r="M516" s="8">
        <f>141456+1882924</f>
        <v>2024380</v>
      </c>
      <c r="O516" s="8">
        <v>5687337</v>
      </c>
      <c r="Q516" s="8">
        <v>6677472</v>
      </c>
      <c r="S516" s="8">
        <v>202439</v>
      </c>
      <c r="U516" s="8">
        <v>6438872</v>
      </c>
      <c r="W516" s="8">
        <v>1530193</v>
      </c>
      <c r="Y516" s="8">
        <v>362042</v>
      </c>
      <c r="AA516" s="8">
        <v>8026038</v>
      </c>
      <c r="AC516" s="8">
        <v>2085567</v>
      </c>
      <c r="AE516" s="8">
        <v>476258</v>
      </c>
      <c r="AG516" s="8">
        <v>0</v>
      </c>
      <c r="AI516" s="8">
        <v>7047588</v>
      </c>
      <c r="AJ516" s="13" t="s">
        <v>801</v>
      </c>
      <c r="AK516" s="13"/>
      <c r="AL516" s="13" t="s">
        <v>17</v>
      </c>
      <c r="AN516" s="8">
        <v>1170683</v>
      </c>
      <c r="AP516" s="8">
        <v>9441964</v>
      </c>
      <c r="AR516" s="8">
        <v>0</v>
      </c>
      <c r="AT516" s="8">
        <v>4054503</v>
      </c>
      <c r="AV516" s="8">
        <v>1661639</v>
      </c>
      <c r="AX516" s="8">
        <v>71586</v>
      </c>
      <c r="AZ516" s="9">
        <f t="shared" si="32"/>
        <v>107479199</v>
      </c>
      <c r="BB516" s="8">
        <v>11000</v>
      </c>
      <c r="BH516" s="8">
        <v>0</v>
      </c>
      <c r="BJ516" s="9">
        <f t="shared" si="33"/>
        <v>107490199</v>
      </c>
      <c r="BL516" s="9">
        <f>'Gov Fd Rv'!AQ516-'Gov Fnd Exp'!BJ516</f>
        <v>1172857</v>
      </c>
      <c r="BN516" s="8">
        <v>23716755</v>
      </c>
      <c r="BP516" s="8">
        <v>0</v>
      </c>
      <c r="BT516" s="9">
        <f t="shared" si="34"/>
        <v>24889612</v>
      </c>
      <c r="BU516" s="9"/>
      <c r="BV516" s="9">
        <f>BT516-'Gov Fd BS'!AA522</f>
        <v>0</v>
      </c>
    </row>
    <row r="517" spans="1:76">
      <c r="A517" s="12" t="s">
        <v>1062</v>
      </c>
      <c r="B517" s="13"/>
      <c r="C517" s="13" t="s">
        <v>117</v>
      </c>
      <c r="D517" s="13"/>
      <c r="E517" s="32">
        <v>48223</v>
      </c>
      <c r="G517" s="8">
        <v>17185523</v>
      </c>
      <c r="I517" s="8">
        <v>4459728</v>
      </c>
      <c r="K517" s="8">
        <v>284909</v>
      </c>
      <c r="M517" s="8">
        <f>1999608+1236834</f>
        <v>3236442</v>
      </c>
      <c r="O517" s="8">
        <v>1799478</v>
      </c>
      <c r="Q517" s="8">
        <v>718377</v>
      </c>
      <c r="S517" s="8">
        <v>52929</v>
      </c>
      <c r="U517" s="8">
        <v>2971708</v>
      </c>
      <c r="W517" s="8">
        <v>733101</v>
      </c>
      <c r="Y517" s="8">
        <v>0</v>
      </c>
      <c r="AA517" s="8">
        <v>3912087</v>
      </c>
      <c r="AC517" s="8">
        <v>2178631</v>
      </c>
      <c r="AE517" s="8">
        <v>176169</v>
      </c>
      <c r="AG517" s="8">
        <v>0</v>
      </c>
      <c r="AI517" s="8">
        <v>2483893</v>
      </c>
      <c r="AJ517" s="13" t="s">
        <v>500</v>
      </c>
      <c r="AK517" s="13"/>
      <c r="AL517" s="13" t="s">
        <v>117</v>
      </c>
      <c r="AN517" s="8">
        <v>1161602</v>
      </c>
      <c r="AP517" s="8">
        <v>6134765</v>
      </c>
      <c r="AR517" s="8">
        <v>0</v>
      </c>
      <c r="AT517" s="8">
        <v>1940000</v>
      </c>
      <c r="AV517" s="8">
        <v>983692</v>
      </c>
      <c r="AX517" s="8">
        <v>0</v>
      </c>
      <c r="AZ517" s="9">
        <f t="shared" si="32"/>
        <v>50413034</v>
      </c>
      <c r="BB517" s="26">
        <v>3699404</v>
      </c>
      <c r="BH517" s="8">
        <v>0</v>
      </c>
      <c r="BJ517" s="9">
        <f t="shared" si="33"/>
        <v>54112438</v>
      </c>
      <c r="BL517" s="9">
        <f>'Gov Fd Rv'!AQ517-'Gov Fnd Exp'!BJ517</f>
        <v>-6416528</v>
      </c>
      <c r="BN517" s="8">
        <v>6382303</v>
      </c>
      <c r="BP517" s="8">
        <v>0</v>
      </c>
      <c r="BT517" s="9">
        <f t="shared" si="34"/>
        <v>-34225</v>
      </c>
      <c r="BU517" s="9"/>
      <c r="BV517" s="9">
        <f>BT517-'Gov Fd BS'!AA523</f>
        <v>0</v>
      </c>
      <c r="BX517" s="15" t="s">
        <v>905</v>
      </c>
    </row>
    <row r="518" spans="1:76">
      <c r="A518" s="13" t="s">
        <v>500</v>
      </c>
      <c r="B518" s="13"/>
      <c r="C518" s="13" t="s">
        <v>45</v>
      </c>
      <c r="D518" s="13"/>
      <c r="E518" s="32">
        <v>48371</v>
      </c>
      <c r="G518" s="8">
        <v>4437906</v>
      </c>
      <c r="I518" s="8">
        <v>893701</v>
      </c>
      <c r="K518" s="8">
        <v>195857</v>
      </c>
      <c r="M518" s="8">
        <v>90651</v>
      </c>
      <c r="O518" s="8">
        <v>431047</v>
      </c>
      <c r="Q518" s="8">
        <v>516485</v>
      </c>
      <c r="S518" s="8">
        <v>20094</v>
      </c>
      <c r="U518" s="8">
        <v>1098481</v>
      </c>
      <c r="W518" s="8">
        <v>293554</v>
      </c>
      <c r="Y518" s="8">
        <v>2432</v>
      </c>
      <c r="AA518" s="8">
        <v>983619</v>
      </c>
      <c r="AC518" s="8">
        <v>609492</v>
      </c>
      <c r="AE518" s="8">
        <v>31074</v>
      </c>
      <c r="AG518" s="8">
        <v>514821</v>
      </c>
      <c r="AI518" s="8">
        <v>19515</v>
      </c>
      <c r="AJ518" s="13" t="s">
        <v>500</v>
      </c>
      <c r="AK518" s="13"/>
      <c r="AL518" s="13" t="s">
        <v>45</v>
      </c>
      <c r="AN518" s="8">
        <v>440676</v>
      </c>
      <c r="AP518" s="8">
        <v>871861</v>
      </c>
      <c r="AR518" s="8">
        <v>4126</v>
      </c>
      <c r="AT518" s="8">
        <v>371968</v>
      </c>
      <c r="AV518" s="8">
        <v>78686</v>
      </c>
      <c r="AX518" s="8">
        <v>0</v>
      </c>
      <c r="AZ518" s="9">
        <f t="shared" si="32"/>
        <v>11906046</v>
      </c>
      <c r="BB518" s="8">
        <v>15000</v>
      </c>
      <c r="BH518" s="8">
        <v>0</v>
      </c>
      <c r="BJ518" s="9">
        <f t="shared" si="33"/>
        <v>11921046</v>
      </c>
      <c r="BL518" s="9">
        <f>'Gov Fd Rv'!AQ518-'Gov Fnd Exp'!BJ518</f>
        <v>-588554</v>
      </c>
      <c r="BN518" s="8">
        <v>3405216</v>
      </c>
      <c r="BP518" s="8">
        <v>0</v>
      </c>
      <c r="BT518" s="9">
        <f t="shared" si="34"/>
        <v>2816662</v>
      </c>
      <c r="BU518" s="9"/>
      <c r="BV518" s="9">
        <f>BT518-'Gov Fd BS'!AA524</f>
        <v>0</v>
      </c>
    </row>
    <row r="519" spans="1:76">
      <c r="A519" s="13" t="s">
        <v>500</v>
      </c>
      <c r="B519" s="13"/>
      <c r="C519" s="13" t="s">
        <v>63</v>
      </c>
      <c r="D519" s="13"/>
      <c r="E519" s="32">
        <v>50062</v>
      </c>
      <c r="G519" s="8">
        <v>11188510</v>
      </c>
      <c r="I519" s="8">
        <v>3385859</v>
      </c>
      <c r="K519" s="8">
        <v>289754</v>
      </c>
      <c r="M519" s="8">
        <v>2834514</v>
      </c>
      <c r="O519" s="8">
        <v>1336282</v>
      </c>
      <c r="Q519" s="8">
        <v>1104932</v>
      </c>
      <c r="S519" s="8">
        <v>42226</v>
      </c>
      <c r="U519" s="8">
        <v>1676150</v>
      </c>
      <c r="W519" s="8">
        <v>664252</v>
      </c>
      <c r="Y519" s="8">
        <v>128334</v>
      </c>
      <c r="AA519" s="8">
        <v>2105616</v>
      </c>
      <c r="AC519" s="8">
        <v>1455495</v>
      </c>
      <c r="AE519" s="8">
        <v>58767</v>
      </c>
      <c r="AG519" s="8">
        <v>947275</v>
      </c>
      <c r="AI519" s="8">
        <f>5984+27460</f>
        <v>33444</v>
      </c>
      <c r="AJ519" s="13" t="s">
        <v>500</v>
      </c>
      <c r="AK519" s="13"/>
      <c r="AL519" s="13" t="s">
        <v>63</v>
      </c>
      <c r="AN519" s="8">
        <v>644384</v>
      </c>
      <c r="AP519" s="8">
        <v>290038</v>
      </c>
      <c r="AR519" s="8">
        <v>0</v>
      </c>
      <c r="AT519" s="8">
        <v>1088011</v>
      </c>
      <c r="AV519" s="8">
        <v>43762</v>
      </c>
      <c r="AX519" s="8">
        <v>0</v>
      </c>
      <c r="AZ519" s="9">
        <f t="shared" si="32"/>
        <v>29317605</v>
      </c>
      <c r="BB519" s="8">
        <v>0</v>
      </c>
      <c r="BH519" s="8">
        <v>0</v>
      </c>
      <c r="BJ519" s="9">
        <f t="shared" si="33"/>
        <v>29317605</v>
      </c>
      <c r="BL519" s="9">
        <f>'Gov Fd Rv'!AQ519-'Gov Fnd Exp'!BJ519</f>
        <v>-408600</v>
      </c>
      <c r="BN519" s="8">
        <v>-1235922</v>
      </c>
      <c r="BP519" s="8">
        <v>0</v>
      </c>
      <c r="BT519" s="9">
        <f t="shared" si="34"/>
        <v>-1644522</v>
      </c>
      <c r="BU519" s="9"/>
      <c r="BV519" s="9">
        <f>BT519-'Gov Fd BS'!AA525</f>
        <v>0</v>
      </c>
    </row>
    <row r="520" spans="1:76">
      <c r="A520" s="13" t="s">
        <v>871</v>
      </c>
      <c r="B520" s="13"/>
      <c r="C520" s="13" t="s">
        <v>32</v>
      </c>
      <c r="D520" s="13"/>
      <c r="E520" s="32">
        <v>44719</v>
      </c>
      <c r="G520" s="8">
        <v>5576027</v>
      </c>
      <c r="I520" s="8">
        <v>1253385</v>
      </c>
      <c r="K520" s="8">
        <v>0</v>
      </c>
      <c r="M520" s="8">
        <v>92359</v>
      </c>
      <c r="O520" s="8">
        <v>935503</v>
      </c>
      <c r="Q520" s="8">
        <v>917811</v>
      </c>
      <c r="S520" s="8">
        <v>18797</v>
      </c>
      <c r="U520" s="8">
        <v>1058586</v>
      </c>
      <c r="W520" s="8">
        <v>454151</v>
      </c>
      <c r="Y520" s="8">
        <v>0</v>
      </c>
      <c r="AA520" s="8">
        <v>1185230</v>
      </c>
      <c r="AC520" s="8">
        <v>402435</v>
      </c>
      <c r="AE520" s="8">
        <v>165810</v>
      </c>
      <c r="AG520" s="8">
        <v>0</v>
      </c>
      <c r="AI520" s="8">
        <v>1130695</v>
      </c>
      <c r="AJ520" s="13" t="s">
        <v>408</v>
      </c>
      <c r="AK520" s="13"/>
      <c r="AL520" s="13" t="s">
        <v>32</v>
      </c>
      <c r="AN520" s="8">
        <v>174855</v>
      </c>
      <c r="AP520" s="8">
        <v>0</v>
      </c>
      <c r="AR520" s="8">
        <v>0</v>
      </c>
      <c r="AT520" s="8">
        <v>103000</v>
      </c>
      <c r="AV520" s="8">
        <v>90237</v>
      </c>
      <c r="AX520" s="8">
        <v>0</v>
      </c>
      <c r="AZ520" s="9">
        <f t="shared" si="32"/>
        <v>13558881</v>
      </c>
      <c r="BB520" s="8">
        <v>856129</v>
      </c>
      <c r="BH520" s="8">
        <v>0</v>
      </c>
      <c r="BJ520" s="9">
        <f t="shared" si="33"/>
        <v>14415010</v>
      </c>
      <c r="BL520" s="9">
        <f>'Gov Fd Rv'!AQ520-'Gov Fnd Exp'!BJ520</f>
        <v>156576</v>
      </c>
      <c r="BN520" s="8">
        <v>4152212</v>
      </c>
      <c r="BP520" s="8">
        <v>0</v>
      </c>
      <c r="BT520" s="9">
        <f t="shared" si="34"/>
        <v>4308788</v>
      </c>
      <c r="BU520" s="9"/>
      <c r="BV520" s="9">
        <f>BT520-'Gov Fd BS'!AA526</f>
        <v>0</v>
      </c>
    </row>
    <row r="521" spans="1:76">
      <c r="A521" s="13" t="s">
        <v>870</v>
      </c>
      <c r="B521" s="13"/>
      <c r="C521" s="13" t="s">
        <v>15</v>
      </c>
      <c r="D521" s="13"/>
      <c r="E521" s="32">
        <v>45997</v>
      </c>
      <c r="G521" s="8">
        <v>6514414</v>
      </c>
      <c r="I521" s="8">
        <v>1569652</v>
      </c>
      <c r="K521" s="8">
        <v>11257</v>
      </c>
      <c r="M521" s="8">
        <v>0</v>
      </c>
      <c r="O521" s="8">
        <v>688860</v>
      </c>
      <c r="Q521" s="8">
        <v>627058</v>
      </c>
      <c r="S521" s="8">
        <v>22138</v>
      </c>
      <c r="U521" s="8">
        <v>1047835</v>
      </c>
      <c r="W521" s="8">
        <v>468829</v>
      </c>
      <c r="Y521" s="8">
        <v>0</v>
      </c>
      <c r="AA521" s="8">
        <v>1321665</v>
      </c>
      <c r="AC521" s="8">
        <v>732681</v>
      </c>
      <c r="AE521" s="8">
        <v>254351</v>
      </c>
      <c r="AG521" s="8">
        <v>455935</v>
      </c>
      <c r="AI521" s="8">
        <v>161069</v>
      </c>
      <c r="AJ521" s="13" t="s">
        <v>235</v>
      </c>
      <c r="AK521" s="13"/>
      <c r="AL521" s="13" t="s">
        <v>15</v>
      </c>
      <c r="AN521" s="8">
        <v>557551</v>
      </c>
      <c r="AP521" s="8">
        <v>148691</v>
      </c>
      <c r="AR521" s="8">
        <v>0</v>
      </c>
      <c r="AT521" s="8">
        <v>764162</v>
      </c>
      <c r="AV521" s="8">
        <v>166477</v>
      </c>
      <c r="AX521" s="8">
        <v>0</v>
      </c>
      <c r="AZ521" s="9">
        <f t="shared" si="32"/>
        <v>15512625</v>
      </c>
      <c r="BB521" s="8">
        <v>0</v>
      </c>
      <c r="BH521" s="8">
        <v>0</v>
      </c>
      <c r="BJ521" s="9">
        <f t="shared" si="33"/>
        <v>15512625</v>
      </c>
      <c r="BL521" s="9">
        <f>'Gov Fd Rv'!AQ521-'Gov Fnd Exp'!BJ521</f>
        <v>-364420</v>
      </c>
      <c r="BN521" s="8">
        <v>4124211</v>
      </c>
      <c r="BP521" s="8">
        <v>0</v>
      </c>
      <c r="BT521" s="9">
        <f t="shared" si="34"/>
        <v>3759791</v>
      </c>
      <c r="BU521" s="9"/>
      <c r="BV521" s="9">
        <f>BT521-'Gov Fd BS'!AA527</f>
        <v>0</v>
      </c>
    </row>
    <row r="522" spans="1:76" hidden="1">
      <c r="A522" s="12" t="s">
        <v>1038</v>
      </c>
      <c r="B522" s="13"/>
      <c r="C522" s="13" t="s">
        <v>534</v>
      </c>
      <c r="D522" s="13"/>
      <c r="E522" s="32">
        <v>48587</v>
      </c>
      <c r="G522" s="8">
        <v>4637409</v>
      </c>
      <c r="I522" s="8">
        <v>1314776</v>
      </c>
      <c r="K522" s="8">
        <v>260874</v>
      </c>
      <c r="M522" s="8">
        <v>11395</v>
      </c>
      <c r="O522" s="8">
        <v>276262</v>
      </c>
      <c r="Q522" s="8">
        <v>348251</v>
      </c>
      <c r="S522" s="8">
        <v>28664</v>
      </c>
      <c r="U522" s="8">
        <v>700532</v>
      </c>
      <c r="W522" s="8">
        <v>222685</v>
      </c>
      <c r="AA522" s="8">
        <v>653531</v>
      </c>
      <c r="AC522" s="8">
        <v>349617</v>
      </c>
      <c r="AE522" s="8">
        <v>1748</v>
      </c>
      <c r="AG522" s="8">
        <v>343652</v>
      </c>
      <c r="AI522" s="8">
        <v>184</v>
      </c>
      <c r="AJ522" s="12" t="s">
        <v>1038</v>
      </c>
      <c r="AK522" s="13"/>
      <c r="AL522" s="13" t="s">
        <v>534</v>
      </c>
      <c r="AN522" s="8">
        <v>569890</v>
      </c>
      <c r="AP522" s="8">
        <v>59414</v>
      </c>
      <c r="AT522" s="8">
        <v>230000</v>
      </c>
      <c r="AV522" s="8">
        <v>141353</v>
      </c>
      <c r="AZ522" s="9">
        <f t="shared" si="32"/>
        <v>10150237</v>
      </c>
      <c r="BH522" s="8">
        <f>88000-87000</f>
        <v>1000</v>
      </c>
      <c r="BJ522" s="9">
        <f t="shared" si="33"/>
        <v>10151237</v>
      </c>
      <c r="BL522" s="9">
        <f>'Gov Fd Rv'!AQ522-'Gov Fnd Exp'!BJ522</f>
        <v>-37829</v>
      </c>
      <c r="BN522" s="8">
        <v>4604947</v>
      </c>
      <c r="BT522" s="9">
        <f t="shared" si="34"/>
        <v>4567118</v>
      </c>
      <c r="BU522" s="9"/>
      <c r="BV522" s="9">
        <f>BT522-'Gov Fd BS'!AA528</f>
        <v>0</v>
      </c>
    </row>
    <row r="523" spans="1:76" hidden="1">
      <c r="A523" s="12" t="s">
        <v>1039</v>
      </c>
      <c r="B523" s="13"/>
      <c r="C523" s="13" t="s">
        <v>14</v>
      </c>
      <c r="D523" s="13"/>
      <c r="E523" s="32">
        <v>44727</v>
      </c>
      <c r="G523" s="8">
        <v>10078663</v>
      </c>
      <c r="I523" s="8">
        <v>2470989</v>
      </c>
      <c r="K523" s="8">
        <v>1504838</v>
      </c>
      <c r="M523" s="8">
        <v>58589</v>
      </c>
      <c r="O523" s="8">
        <v>1523990</v>
      </c>
      <c r="Q523" s="8">
        <v>1072848</v>
      </c>
      <c r="S523" s="8">
        <v>106927</v>
      </c>
      <c r="U523" s="8">
        <v>1454651</v>
      </c>
      <c r="W523" s="8">
        <v>445304</v>
      </c>
      <c r="Y523" s="8">
        <v>237622</v>
      </c>
      <c r="AA523" s="8">
        <v>1578756</v>
      </c>
      <c r="AC523" s="8">
        <v>822710</v>
      </c>
      <c r="AE523" s="8">
        <v>8725</v>
      </c>
      <c r="AI523" s="8">
        <v>837865</v>
      </c>
      <c r="AJ523" s="12" t="s">
        <v>1039</v>
      </c>
      <c r="AK523" s="13"/>
      <c r="AL523" s="13" t="s">
        <v>14</v>
      </c>
      <c r="AN523" s="8">
        <v>617137</v>
      </c>
      <c r="AP523" s="8">
        <v>5945642</v>
      </c>
      <c r="AT523" s="8">
        <v>490376</v>
      </c>
      <c r="AV523" s="8">
        <v>1225994</v>
      </c>
      <c r="AZ523" s="9">
        <f t="shared" si="32"/>
        <v>30481626</v>
      </c>
      <c r="BJ523" s="9">
        <f t="shared" si="33"/>
        <v>30481626</v>
      </c>
      <c r="BL523" s="9">
        <f>'Gov Fd Rv'!AQ523-'Gov Fnd Exp'!BJ523</f>
        <v>12400734</v>
      </c>
      <c r="BN523" s="8">
        <v>37360957</v>
      </c>
      <c r="BT523" s="9">
        <f t="shared" si="34"/>
        <v>49761691</v>
      </c>
      <c r="BU523" s="9"/>
      <c r="BV523" s="9">
        <f>BT523-'Gov Fd BS'!AA529</f>
        <v>0</v>
      </c>
    </row>
    <row r="524" spans="1:76">
      <c r="A524" s="12"/>
      <c r="B524" s="13"/>
      <c r="C524" s="13"/>
      <c r="D524" s="13"/>
      <c r="E524" s="32"/>
      <c r="AJ524" s="12"/>
      <c r="AK524" s="13"/>
      <c r="AL524" s="13"/>
      <c r="AZ524" s="9"/>
      <c r="BJ524" s="9"/>
      <c r="BL524" s="9"/>
      <c r="BT524" s="9"/>
      <c r="BU524" s="9"/>
      <c r="BV524" s="9"/>
    </row>
    <row r="525" spans="1:76">
      <c r="A525" s="12"/>
      <c r="B525" s="13"/>
      <c r="C525" s="13"/>
      <c r="D525" s="13"/>
      <c r="E525" s="32"/>
      <c r="AI525" s="125" t="s">
        <v>805</v>
      </c>
      <c r="AJ525" s="12"/>
      <c r="AK525" s="13"/>
      <c r="AL525" s="13"/>
      <c r="AZ525" s="9"/>
      <c r="BJ525" s="9"/>
      <c r="BL525" s="9"/>
      <c r="BT525" s="125" t="s">
        <v>805</v>
      </c>
      <c r="BU525" s="9"/>
      <c r="BV525" s="9"/>
    </row>
    <row r="526" spans="1:76">
      <c r="A526" s="12"/>
      <c r="B526" s="13"/>
      <c r="C526" s="13"/>
      <c r="D526" s="13"/>
      <c r="E526" s="32"/>
      <c r="AJ526" s="12"/>
      <c r="AK526" s="13"/>
      <c r="AL526" s="13"/>
      <c r="AZ526" s="9"/>
      <c r="BJ526" s="9"/>
      <c r="BL526" s="9"/>
      <c r="BT526" s="9"/>
      <c r="BU526" s="9"/>
      <c r="BV526" s="9"/>
    </row>
    <row r="527" spans="1:76">
      <c r="A527" s="13" t="s">
        <v>452</v>
      </c>
      <c r="B527" s="13"/>
      <c r="C527" s="13" t="s">
        <v>39</v>
      </c>
      <c r="D527" s="13"/>
      <c r="E527" s="32">
        <v>44826</v>
      </c>
      <c r="G527" s="35">
        <v>8654315</v>
      </c>
      <c r="H527" s="35"/>
      <c r="I527" s="35">
        <v>3344252</v>
      </c>
      <c r="J527" s="35"/>
      <c r="K527" s="35">
        <v>823898</v>
      </c>
      <c r="L527" s="35"/>
      <c r="M527" s="35">
        <v>660437</v>
      </c>
      <c r="N527" s="35"/>
      <c r="O527" s="35">
        <v>880200</v>
      </c>
      <c r="P527" s="35"/>
      <c r="Q527" s="35">
        <v>619454</v>
      </c>
      <c r="R527" s="35"/>
      <c r="S527" s="35">
        <v>37889</v>
      </c>
      <c r="T527" s="35"/>
      <c r="U527" s="35">
        <v>1961071</v>
      </c>
      <c r="V527" s="35"/>
      <c r="W527" s="35">
        <v>390460</v>
      </c>
      <c r="X527" s="35"/>
      <c r="Y527" s="35">
        <v>202595</v>
      </c>
      <c r="Z527" s="35"/>
      <c r="AA527" s="35">
        <v>2487335</v>
      </c>
      <c r="AB527" s="35"/>
      <c r="AC527" s="35">
        <v>510089</v>
      </c>
      <c r="AD527" s="35"/>
      <c r="AE527" s="35">
        <v>16264</v>
      </c>
      <c r="AF527" s="35"/>
      <c r="AG527" s="35">
        <v>934840</v>
      </c>
      <c r="AH527" s="35"/>
      <c r="AI527" s="35">
        <v>590575</v>
      </c>
      <c r="AJ527" s="13" t="s">
        <v>452</v>
      </c>
      <c r="AK527" s="13"/>
      <c r="AL527" s="13" t="s">
        <v>39</v>
      </c>
      <c r="AN527" s="35">
        <v>811766</v>
      </c>
      <c r="AO527" s="35"/>
      <c r="AP527" s="35">
        <v>6754159</v>
      </c>
      <c r="AQ527" s="35"/>
      <c r="AR527" s="35">
        <v>0</v>
      </c>
      <c r="AS527" s="35"/>
      <c r="AT527" s="35">
        <v>339623</v>
      </c>
      <c r="AU527" s="35"/>
      <c r="AV527" s="35">
        <v>315418</v>
      </c>
      <c r="AW527" s="35"/>
      <c r="AX527" s="35">
        <v>440377</v>
      </c>
      <c r="AY527" s="35"/>
      <c r="AZ527" s="44">
        <f t="shared" si="32"/>
        <v>30775017</v>
      </c>
      <c r="BA527" s="35"/>
      <c r="BB527" s="35">
        <v>978706</v>
      </c>
      <c r="BC527" s="35"/>
      <c r="BD527" s="35"/>
      <c r="BE527" s="35"/>
      <c r="BF527" s="35"/>
      <c r="BG527" s="35"/>
      <c r="BH527" s="35">
        <v>0</v>
      </c>
      <c r="BI527" s="35"/>
      <c r="BJ527" s="44">
        <f t="shared" si="33"/>
        <v>31753723</v>
      </c>
      <c r="BK527" s="35"/>
      <c r="BL527" s="44">
        <f>'Gov Fd Rv'!AQ527-'Gov Fnd Exp'!BJ527</f>
        <v>-3355061</v>
      </c>
      <c r="BM527" s="35"/>
      <c r="BN527" s="35">
        <v>15202661</v>
      </c>
      <c r="BO527" s="35"/>
      <c r="BP527" s="35">
        <v>0</v>
      </c>
      <c r="BQ527" s="35"/>
      <c r="BR527" s="35"/>
      <c r="BS527" s="35"/>
      <c r="BT527" s="44">
        <f t="shared" si="34"/>
        <v>11847600</v>
      </c>
      <c r="BU527" s="9"/>
      <c r="BV527" s="9">
        <f>BT527-'Gov Fd BS'!AA530</f>
        <v>0</v>
      </c>
    </row>
    <row r="528" spans="1:76">
      <c r="A528" s="13" t="s">
        <v>671</v>
      </c>
      <c r="B528" s="13"/>
      <c r="C528" s="13" t="s">
        <v>63</v>
      </c>
      <c r="D528" s="13"/>
      <c r="E528" s="32">
        <v>44834</v>
      </c>
      <c r="G528" s="8">
        <v>24432390</v>
      </c>
      <c r="I528" s="8">
        <v>4776526</v>
      </c>
      <c r="K528" s="8">
        <v>1635991</v>
      </c>
      <c r="M528" s="8">
        <f>4031+326512</f>
        <v>330543</v>
      </c>
      <c r="O528" s="8">
        <v>3036197</v>
      </c>
      <c r="Q528" s="8">
        <v>2490848</v>
      </c>
      <c r="S528" s="8">
        <v>422215</v>
      </c>
      <c r="U528" s="8">
        <v>2781284</v>
      </c>
      <c r="W528" s="8">
        <v>1297887</v>
      </c>
      <c r="Y528" s="8">
        <v>489492</v>
      </c>
      <c r="AA528" s="8">
        <v>5135214</v>
      </c>
      <c r="AC528" s="8">
        <v>3100653</v>
      </c>
      <c r="AE528" s="8">
        <v>593674</v>
      </c>
      <c r="AG528" s="8">
        <v>1229437</v>
      </c>
      <c r="AI528" s="8">
        <v>423566</v>
      </c>
      <c r="AJ528" s="13" t="s">
        <v>671</v>
      </c>
      <c r="AK528" s="13"/>
      <c r="AL528" s="13" t="s">
        <v>63</v>
      </c>
      <c r="AN528" s="8">
        <v>1114396</v>
      </c>
      <c r="AP528" s="8">
        <v>335075</v>
      </c>
      <c r="AR528" s="8">
        <v>0</v>
      </c>
      <c r="AT528" s="8">
        <v>650000</v>
      </c>
      <c r="AV528" s="8">
        <v>162210</v>
      </c>
      <c r="AX528" s="8">
        <v>0</v>
      </c>
      <c r="AZ528" s="9">
        <f t="shared" si="32"/>
        <v>54437598</v>
      </c>
      <c r="BB528" s="8">
        <v>16575</v>
      </c>
      <c r="BH528" s="8">
        <v>0</v>
      </c>
      <c r="BJ528" s="9">
        <f t="shared" si="33"/>
        <v>54454173</v>
      </c>
      <c r="BL528" s="9">
        <f>'Gov Fd Rv'!AQ528-'Gov Fnd Exp'!BJ528</f>
        <v>2767467</v>
      </c>
      <c r="BN528" s="8">
        <v>7043334</v>
      </c>
      <c r="BP528" s="8">
        <v>0</v>
      </c>
      <c r="BT528" s="9">
        <f t="shared" si="34"/>
        <v>9810801</v>
      </c>
      <c r="BU528" s="9"/>
      <c r="BV528" s="9">
        <f>BT528-'Gov Fd BS'!AA531</f>
        <v>0</v>
      </c>
    </row>
    <row r="529" spans="1:76" hidden="1">
      <c r="A529" s="13" t="s">
        <v>1040</v>
      </c>
      <c r="B529" s="13"/>
      <c r="C529" s="13" t="s">
        <v>65</v>
      </c>
      <c r="D529" s="13"/>
      <c r="E529" s="32">
        <v>50294</v>
      </c>
      <c r="AJ529" s="13" t="s">
        <v>700</v>
      </c>
      <c r="AK529" s="13"/>
      <c r="AL529" s="13" t="s">
        <v>65</v>
      </c>
      <c r="AZ529" s="9">
        <f t="shared" si="32"/>
        <v>0</v>
      </c>
      <c r="BJ529" s="9">
        <f t="shared" si="33"/>
        <v>0</v>
      </c>
      <c r="BL529" s="9">
        <f>'Gov Fd Rv'!AQ529-'Gov Fnd Exp'!BJ529</f>
        <v>0</v>
      </c>
      <c r="BT529" s="9">
        <f t="shared" si="34"/>
        <v>0</v>
      </c>
      <c r="BU529" s="9"/>
      <c r="BV529" s="9">
        <f>BT529-'Gov Fd BS'!AA532</f>
        <v>0</v>
      </c>
      <c r="BX529" s="8" t="s">
        <v>967</v>
      </c>
    </row>
    <row r="530" spans="1:76">
      <c r="A530" s="13" t="s">
        <v>595</v>
      </c>
      <c r="B530" s="13"/>
      <c r="C530" s="13" t="s">
        <v>56</v>
      </c>
      <c r="D530" s="13"/>
      <c r="E530" s="32">
        <v>49239</v>
      </c>
      <c r="G530" s="8">
        <v>10235568</v>
      </c>
      <c r="I530" s="8">
        <v>1352358</v>
      </c>
      <c r="K530" s="8">
        <v>85134</v>
      </c>
      <c r="M530" s="8">
        <f>11900+368499+820332</f>
        <v>1200731</v>
      </c>
      <c r="O530" s="8">
        <v>1420581</v>
      </c>
      <c r="Q530" s="8">
        <v>1385047</v>
      </c>
      <c r="S530" s="8">
        <v>274856</v>
      </c>
      <c r="U530" s="8">
        <v>1610833</v>
      </c>
      <c r="W530" s="8">
        <v>732816</v>
      </c>
      <c r="Y530" s="8">
        <v>106366</v>
      </c>
      <c r="AA530" s="8">
        <v>1990270</v>
      </c>
      <c r="AC530" s="8">
        <v>1414519</v>
      </c>
      <c r="AE530" s="8">
        <v>134109</v>
      </c>
      <c r="AG530" s="8">
        <v>709267</v>
      </c>
      <c r="AI530" s="8">
        <v>143292</v>
      </c>
      <c r="AJ530" s="13" t="s">
        <v>595</v>
      </c>
      <c r="AK530" s="13"/>
      <c r="AL530" s="13" t="s">
        <v>56</v>
      </c>
      <c r="AN530" s="8">
        <v>549556</v>
      </c>
      <c r="AP530" s="8">
        <v>451410</v>
      </c>
      <c r="AR530" s="8">
        <v>0</v>
      </c>
      <c r="AT530" s="8">
        <v>890000</v>
      </c>
      <c r="AV530" s="8">
        <v>573819</v>
      </c>
      <c r="AX530" s="8">
        <v>0</v>
      </c>
      <c r="AZ530" s="9">
        <f t="shared" si="32"/>
        <v>25260532</v>
      </c>
      <c r="BB530" s="8">
        <v>38345</v>
      </c>
      <c r="BH530" s="8">
        <v>0</v>
      </c>
      <c r="BJ530" s="9">
        <f t="shared" si="33"/>
        <v>25298877</v>
      </c>
      <c r="BL530" s="9">
        <f>'Gov Fd Rv'!AQ530-'Gov Fnd Exp'!BJ530</f>
        <v>214810</v>
      </c>
      <c r="BN530" s="8">
        <v>321363</v>
      </c>
      <c r="BP530" s="8">
        <v>0</v>
      </c>
      <c r="BT530" s="9">
        <f t="shared" si="34"/>
        <v>536173</v>
      </c>
      <c r="BU530" s="9"/>
      <c r="BV530" s="9">
        <f>BT530-'Gov Fd BS'!AA533</f>
        <v>0</v>
      </c>
    </row>
    <row r="531" spans="1:76">
      <c r="A531" s="13" t="s">
        <v>323</v>
      </c>
      <c r="B531" s="13"/>
      <c r="C531" s="13" t="s">
        <v>20</v>
      </c>
      <c r="D531" s="13"/>
      <c r="E531" s="32">
        <v>44842</v>
      </c>
      <c r="G531" s="8">
        <v>44797466</v>
      </c>
      <c r="I531" s="8">
        <v>5314804</v>
      </c>
      <c r="K531" s="8">
        <v>307286</v>
      </c>
      <c r="M531" s="8">
        <f>31990+27203</f>
        <v>59193</v>
      </c>
      <c r="O531" s="8">
        <v>3207331</v>
      </c>
      <c r="Q531" s="8">
        <v>3723893</v>
      </c>
      <c r="S531" s="8">
        <v>120053</v>
      </c>
      <c r="U531" s="8">
        <v>3439117</v>
      </c>
      <c r="W531" s="8">
        <v>6076735</v>
      </c>
      <c r="Y531" s="8">
        <v>522928</v>
      </c>
      <c r="AA531" s="8">
        <v>12352910</v>
      </c>
      <c r="AC531" s="8">
        <v>3911559</v>
      </c>
      <c r="AE531" s="8">
        <v>678140</v>
      </c>
      <c r="AG531" s="8">
        <v>2082924</v>
      </c>
      <c r="AI531" s="8">
        <v>648633</v>
      </c>
      <c r="AJ531" s="13" t="s">
        <v>323</v>
      </c>
      <c r="AK531" s="13"/>
      <c r="AL531" s="13" t="s">
        <v>20</v>
      </c>
      <c r="AN531" s="8">
        <v>542462</v>
      </c>
      <c r="AP531" s="8">
        <v>55843</v>
      </c>
      <c r="AR531" s="8">
        <v>0</v>
      </c>
      <c r="AT531" s="8">
        <v>3049491</v>
      </c>
      <c r="AV531" s="8">
        <v>1208149</v>
      </c>
      <c r="AX531" s="8">
        <v>0</v>
      </c>
      <c r="AZ531" s="9">
        <f t="shared" si="32"/>
        <v>92098917</v>
      </c>
      <c r="BB531" s="8">
        <v>41032</v>
      </c>
      <c r="BH531" s="8">
        <v>0</v>
      </c>
      <c r="BJ531" s="9">
        <f t="shared" si="33"/>
        <v>92139949</v>
      </c>
      <c r="BL531" s="9">
        <f>'Gov Fd Rv'!AQ531-'Gov Fnd Exp'!BJ531</f>
        <v>-2015465</v>
      </c>
      <c r="BN531" s="8">
        <v>4755226</v>
      </c>
      <c r="BP531" s="8">
        <v>0</v>
      </c>
      <c r="BT531" s="9">
        <f t="shared" si="34"/>
        <v>2739761</v>
      </c>
      <c r="BU531" s="9"/>
      <c r="BV531" s="9">
        <f>BT531-'Gov Fd BS'!AA534</f>
        <v>0</v>
      </c>
    </row>
    <row r="532" spans="1:76">
      <c r="A532" s="13" t="s">
        <v>517</v>
      </c>
      <c r="B532" s="13"/>
      <c r="C532" s="13" t="s">
        <v>45</v>
      </c>
      <c r="D532" s="13"/>
      <c r="E532" s="32">
        <v>44859</v>
      </c>
      <c r="G532" s="8">
        <v>7860962</v>
      </c>
      <c r="I532" s="8">
        <v>2423868</v>
      </c>
      <c r="K532" s="8">
        <v>455614</v>
      </c>
      <c r="M532" s="8">
        <v>896085</v>
      </c>
      <c r="O532" s="8">
        <v>635887</v>
      </c>
      <c r="Q532" s="8">
        <v>134052</v>
      </c>
      <c r="S532" s="8">
        <v>58477</v>
      </c>
      <c r="U532" s="8">
        <v>1086019</v>
      </c>
      <c r="W532" s="8">
        <v>466628</v>
      </c>
      <c r="Y532" s="8">
        <v>42837</v>
      </c>
      <c r="AA532" s="8">
        <v>1991223</v>
      </c>
      <c r="AC532" s="8">
        <v>404435</v>
      </c>
      <c r="AE532" s="8">
        <v>43938</v>
      </c>
      <c r="AG532" s="8">
        <v>725790</v>
      </c>
      <c r="AI532" s="8">
        <v>112914</v>
      </c>
      <c r="AJ532" s="13" t="s">
        <v>517</v>
      </c>
      <c r="AK532" s="13"/>
      <c r="AL532" s="13" t="s">
        <v>45</v>
      </c>
      <c r="AN532" s="8">
        <v>471428</v>
      </c>
      <c r="AP532" s="8">
        <v>1184733</v>
      </c>
      <c r="AR532" s="8">
        <v>0</v>
      </c>
      <c r="AT532" s="8">
        <v>476183</v>
      </c>
      <c r="AV532" s="8">
        <v>198738</v>
      </c>
      <c r="AX532" s="8">
        <v>0</v>
      </c>
      <c r="AZ532" s="9">
        <f t="shared" si="32"/>
        <v>19669811</v>
      </c>
      <c r="BB532" s="8">
        <v>5000</v>
      </c>
      <c r="BH532" s="8">
        <v>0</v>
      </c>
      <c r="BJ532" s="9">
        <f t="shared" si="33"/>
        <v>19674811</v>
      </c>
      <c r="BL532" s="9">
        <f>'Gov Fd Rv'!AQ532-'Gov Fnd Exp'!BJ532</f>
        <v>446291</v>
      </c>
      <c r="BN532" s="8">
        <v>4856371</v>
      </c>
      <c r="BP532" s="8">
        <v>0</v>
      </c>
      <c r="BT532" s="9">
        <f t="shared" si="34"/>
        <v>5302662</v>
      </c>
      <c r="BU532" s="9"/>
      <c r="BV532" s="9">
        <f>BT532-'Gov Fd BS'!AA535</f>
        <v>0</v>
      </c>
    </row>
    <row r="533" spans="1:76">
      <c r="A533" s="13" t="s">
        <v>732</v>
      </c>
      <c r="B533" s="13"/>
      <c r="C533" s="13" t="s">
        <v>727</v>
      </c>
      <c r="D533" s="13"/>
      <c r="E533" s="32">
        <v>50658</v>
      </c>
      <c r="G533" s="8">
        <v>1983239</v>
      </c>
      <c r="I533" s="8">
        <v>371900</v>
      </c>
      <c r="K533" s="8">
        <v>54614</v>
      </c>
      <c r="M533" s="8">
        <f>8750+359168+210</f>
        <v>368128</v>
      </c>
      <c r="O533" s="8">
        <v>311877</v>
      </c>
      <c r="Q533" s="8">
        <v>278678</v>
      </c>
      <c r="S533" s="8">
        <v>24728</v>
      </c>
      <c r="U533" s="8">
        <v>345855</v>
      </c>
      <c r="W533" s="8">
        <v>197382</v>
      </c>
      <c r="Y533" s="8">
        <v>8177</v>
      </c>
      <c r="AA533" s="8">
        <v>343536</v>
      </c>
      <c r="AC533" s="8">
        <v>216633</v>
      </c>
      <c r="AE533" s="8">
        <v>26773</v>
      </c>
      <c r="AG533" s="8">
        <v>0</v>
      </c>
      <c r="AI533" s="8">
        <v>182223</v>
      </c>
      <c r="AJ533" s="13" t="s">
        <v>732</v>
      </c>
      <c r="AK533" s="13"/>
      <c r="AL533" s="13" t="s">
        <v>727</v>
      </c>
      <c r="AN533" s="8">
        <v>216087</v>
      </c>
      <c r="AP533" s="8">
        <v>4844883</v>
      </c>
      <c r="AR533" s="8">
        <v>0</v>
      </c>
      <c r="AT533" s="8">
        <v>205014</v>
      </c>
      <c r="AV533" s="8">
        <v>233997</v>
      </c>
      <c r="AX533" s="8">
        <v>0</v>
      </c>
      <c r="AZ533" s="9">
        <f t="shared" si="32"/>
        <v>10213724</v>
      </c>
      <c r="BB533" s="8">
        <v>134308</v>
      </c>
      <c r="BH533" s="8">
        <v>0</v>
      </c>
      <c r="BJ533" s="9">
        <f t="shared" si="33"/>
        <v>10348032</v>
      </c>
      <c r="BL533" s="9">
        <f>'Gov Fd Rv'!AQ533-'Gov Fnd Exp'!BJ533</f>
        <v>-4405555</v>
      </c>
      <c r="BN533" s="8">
        <v>5645547</v>
      </c>
      <c r="BP533" s="8">
        <v>0</v>
      </c>
      <c r="BT533" s="9">
        <f t="shared" si="34"/>
        <v>1239992</v>
      </c>
      <c r="BU533" s="9"/>
      <c r="BV533" s="9">
        <f>BT533-'Gov Fd BS'!AA536</f>
        <v>0</v>
      </c>
    </row>
    <row r="534" spans="1:76">
      <c r="A534" s="13" t="s">
        <v>387</v>
      </c>
      <c r="B534" s="13"/>
      <c r="C534" s="13" t="s">
        <v>116</v>
      </c>
      <c r="D534" s="13"/>
      <c r="E534" s="32">
        <v>47274</v>
      </c>
      <c r="G534" s="8">
        <v>10893822</v>
      </c>
      <c r="I534" s="8">
        <v>1773018</v>
      </c>
      <c r="K534" s="8">
        <v>0</v>
      </c>
      <c r="M534" s="8">
        <v>0</v>
      </c>
      <c r="O534" s="8">
        <v>2539238</v>
      </c>
      <c r="Q534" s="8">
        <v>1085910</v>
      </c>
      <c r="S534" s="8">
        <v>30796</v>
      </c>
      <c r="U534" s="8">
        <v>1837892</v>
      </c>
      <c r="W534" s="8">
        <v>667606</v>
      </c>
      <c r="Y534" s="8">
        <v>115192</v>
      </c>
      <c r="AA534" s="8">
        <v>2696583</v>
      </c>
      <c r="AC534" s="8">
        <v>1464086</v>
      </c>
      <c r="AE534" s="8">
        <v>82262</v>
      </c>
      <c r="AG534" s="8">
        <v>0</v>
      </c>
      <c r="AI534" s="8">
        <v>711453</v>
      </c>
      <c r="AJ534" s="13" t="s">
        <v>387</v>
      </c>
      <c r="AK534" s="13"/>
      <c r="AL534" s="13" t="s">
        <v>116</v>
      </c>
      <c r="AN534" s="8">
        <v>1198067</v>
      </c>
      <c r="AP534" s="8">
        <v>1832052</v>
      </c>
      <c r="AR534" s="8">
        <v>0</v>
      </c>
      <c r="AT534" s="8">
        <v>2191974</v>
      </c>
      <c r="AV534" s="8">
        <v>2085232</v>
      </c>
      <c r="AX534" s="8">
        <v>0</v>
      </c>
      <c r="AZ534" s="9">
        <f t="shared" si="32"/>
        <v>31205183</v>
      </c>
      <c r="BB534" s="8">
        <v>365490</v>
      </c>
      <c r="BH534" s="8">
        <v>0</v>
      </c>
      <c r="BJ534" s="9">
        <f t="shared" si="33"/>
        <v>31570673</v>
      </c>
      <c r="BL534" s="9">
        <f>'Gov Fd Rv'!AQ534-'Gov Fnd Exp'!BJ534</f>
        <v>-2717584</v>
      </c>
      <c r="BN534" s="8">
        <v>1905551</v>
      </c>
      <c r="BP534" s="8">
        <v>0</v>
      </c>
      <c r="BT534" s="9">
        <f t="shared" si="34"/>
        <v>-812033</v>
      </c>
      <c r="BU534" s="9"/>
      <c r="BV534" s="9">
        <f>BT534-'Gov Fd BS'!AA537</f>
        <v>0</v>
      </c>
    </row>
    <row r="535" spans="1:76">
      <c r="A535" s="13" t="s">
        <v>373</v>
      </c>
      <c r="B535" s="13"/>
      <c r="C535" s="13" t="s">
        <v>28</v>
      </c>
      <c r="D535" s="13"/>
      <c r="E535" s="32">
        <v>47092</v>
      </c>
      <c r="G535" s="8">
        <v>5879005</v>
      </c>
      <c r="I535" s="8">
        <v>1768913</v>
      </c>
      <c r="K535" s="8">
        <v>0</v>
      </c>
      <c r="M535" s="8">
        <v>0</v>
      </c>
      <c r="O535" s="8">
        <v>600006</v>
      </c>
      <c r="Q535" s="8">
        <v>677998</v>
      </c>
      <c r="S535" s="8">
        <v>15911</v>
      </c>
      <c r="U535" s="8">
        <v>1167517</v>
      </c>
      <c r="W535" s="8">
        <v>464864</v>
      </c>
      <c r="Y535" s="8">
        <v>2176</v>
      </c>
      <c r="AA535" s="8">
        <v>1340044</v>
      </c>
      <c r="AC535" s="8">
        <v>727086</v>
      </c>
      <c r="AE535" s="8">
        <v>33298</v>
      </c>
      <c r="AG535" s="8">
        <v>0</v>
      </c>
      <c r="AI535" s="8">
        <v>678631</v>
      </c>
      <c r="AJ535" s="13" t="s">
        <v>373</v>
      </c>
      <c r="AK535" s="13"/>
      <c r="AL535" s="13" t="s">
        <v>28</v>
      </c>
      <c r="AN535" s="8">
        <v>453788</v>
      </c>
      <c r="AP535" s="8">
        <v>479682</v>
      </c>
      <c r="AR535" s="8">
        <v>0</v>
      </c>
      <c r="AT535" s="8">
        <v>975000</v>
      </c>
      <c r="AV535" s="8">
        <v>507918</v>
      </c>
      <c r="AX535" s="8">
        <v>0</v>
      </c>
      <c r="AZ535" s="9">
        <f t="shared" si="32"/>
        <v>15771837</v>
      </c>
      <c r="BB535" s="8">
        <v>614154</v>
      </c>
      <c r="BH535" s="8">
        <v>0</v>
      </c>
      <c r="BJ535" s="9">
        <f t="shared" si="33"/>
        <v>16385991</v>
      </c>
      <c r="BL535" s="9">
        <f>'Gov Fd Rv'!AQ535-'Gov Fnd Exp'!BJ535</f>
        <v>1426863</v>
      </c>
      <c r="BN535" s="8">
        <v>10513802</v>
      </c>
      <c r="BP535" s="8">
        <v>0</v>
      </c>
      <c r="BT535" s="9">
        <f t="shared" si="34"/>
        <v>11940665</v>
      </c>
      <c r="BU535" s="9"/>
      <c r="BV535" s="9">
        <f>BT535-'Gov Fd BS'!AA538</f>
        <v>0</v>
      </c>
    </row>
    <row r="536" spans="1:76">
      <c r="A536" s="13" t="s">
        <v>861</v>
      </c>
      <c r="B536" s="13"/>
      <c r="C536" s="13" t="s">
        <v>49</v>
      </c>
      <c r="D536" s="13"/>
      <c r="E536" s="32">
        <v>48652</v>
      </c>
      <c r="G536" s="8">
        <v>10809527</v>
      </c>
      <c r="I536" s="8">
        <v>3063466</v>
      </c>
      <c r="K536" s="8">
        <v>1933078</v>
      </c>
      <c r="M536" s="8">
        <f>28092+60049</f>
        <v>88141</v>
      </c>
      <c r="O536" s="8">
        <v>1015873</v>
      </c>
      <c r="Q536" s="8">
        <v>899538</v>
      </c>
      <c r="S536" s="8">
        <v>25490</v>
      </c>
      <c r="U536" s="8">
        <v>2037932</v>
      </c>
      <c r="W536" s="8">
        <v>726155</v>
      </c>
      <c r="Y536" s="8">
        <v>0</v>
      </c>
      <c r="AA536" s="8">
        <v>2180124</v>
      </c>
      <c r="AC536" s="8">
        <v>2511618</v>
      </c>
      <c r="AE536" s="8">
        <v>111704</v>
      </c>
      <c r="AG536" s="8">
        <v>1360351</v>
      </c>
      <c r="AI536" s="8">
        <v>59443</v>
      </c>
      <c r="AJ536" s="13" t="s">
        <v>543</v>
      </c>
      <c r="AK536" s="13"/>
      <c r="AL536" s="13" t="s">
        <v>49</v>
      </c>
      <c r="AN536" s="8">
        <v>635191</v>
      </c>
      <c r="AP536" s="8">
        <v>421782</v>
      </c>
      <c r="AR536" s="8">
        <v>0</v>
      </c>
      <c r="AT536" s="8">
        <v>0</v>
      </c>
      <c r="AV536" s="8">
        <v>0</v>
      </c>
      <c r="AX536" s="8">
        <v>0</v>
      </c>
      <c r="AZ536" s="9">
        <f t="shared" si="32"/>
        <v>27879413</v>
      </c>
      <c r="BB536" s="8">
        <v>79318</v>
      </c>
      <c r="BH536" s="8">
        <v>0</v>
      </c>
      <c r="BJ536" s="9">
        <f t="shared" si="33"/>
        <v>27958731</v>
      </c>
      <c r="BL536" s="9">
        <f>'Gov Fd Rv'!AQ536-'Gov Fnd Exp'!BJ536</f>
        <v>23998289</v>
      </c>
      <c r="BN536" s="8">
        <v>-407880</v>
      </c>
      <c r="BP536" s="8">
        <v>0</v>
      </c>
      <c r="BT536" s="9">
        <f t="shared" si="34"/>
        <v>23590409</v>
      </c>
      <c r="BU536" s="9"/>
      <c r="BV536" s="9">
        <f>BT536-'Gov Fd BS'!AA539</f>
        <v>0</v>
      </c>
    </row>
    <row r="537" spans="1:76">
      <c r="A537" s="13" t="s">
        <v>409</v>
      </c>
      <c r="B537" s="13"/>
      <c r="C537" s="13" t="s">
        <v>32</v>
      </c>
      <c r="D537" s="13"/>
      <c r="E537" s="32">
        <v>44867</v>
      </c>
      <c r="G537" s="8">
        <v>33591426</v>
      </c>
      <c r="I537" s="8">
        <v>7650568</v>
      </c>
      <c r="K537" s="8">
        <v>2281</v>
      </c>
      <c r="M537" s="8">
        <v>248186</v>
      </c>
      <c r="O537" s="8">
        <v>4431844</v>
      </c>
      <c r="Q537" s="8">
        <v>5405968</v>
      </c>
      <c r="S537" s="8">
        <v>44637</v>
      </c>
      <c r="U537" s="8">
        <v>5181272</v>
      </c>
      <c r="W537" s="8">
        <v>1651618</v>
      </c>
      <c r="Y537" s="8">
        <v>78149</v>
      </c>
      <c r="AA537" s="8">
        <v>7450519</v>
      </c>
      <c r="AC537" s="8">
        <v>4038741</v>
      </c>
      <c r="AE537" s="8">
        <v>1779512</v>
      </c>
      <c r="AG537" s="8">
        <v>0</v>
      </c>
      <c r="AI537" s="8">
        <v>4220426</v>
      </c>
      <c r="AJ537" s="13" t="s">
        <v>409</v>
      </c>
      <c r="AK537" s="13"/>
      <c r="AL537" s="13" t="s">
        <v>32</v>
      </c>
      <c r="AN537" s="8">
        <v>1550238</v>
      </c>
      <c r="AP537" s="8">
        <v>587430</v>
      </c>
      <c r="AR537" s="8">
        <v>0</v>
      </c>
      <c r="AT537" s="8">
        <v>2358922</v>
      </c>
      <c r="AV537" s="8">
        <v>2097185</v>
      </c>
      <c r="AX537" s="8">
        <v>0</v>
      </c>
      <c r="AZ537" s="9">
        <f t="shared" si="32"/>
        <v>82368922</v>
      </c>
      <c r="BB537" s="8">
        <v>1312425</v>
      </c>
      <c r="BH537" s="8">
        <v>0</v>
      </c>
      <c r="BJ537" s="9">
        <f t="shared" si="33"/>
        <v>83681347</v>
      </c>
      <c r="BL537" s="9">
        <f>'Gov Fd Rv'!AQ537-'Gov Fnd Exp'!BJ537</f>
        <v>4577551</v>
      </c>
      <c r="BN537" s="8">
        <v>57348045</v>
      </c>
      <c r="BP537" s="8">
        <v>0</v>
      </c>
      <c r="BT537" s="9">
        <f t="shared" si="34"/>
        <v>61925596</v>
      </c>
      <c r="BU537" s="9"/>
      <c r="BV537" s="9">
        <f>BT537-'Gov Fd BS'!AA540</f>
        <v>0</v>
      </c>
    </row>
    <row r="538" spans="1:76">
      <c r="A538" s="13" t="s">
        <v>501</v>
      </c>
      <c r="B538" s="13"/>
      <c r="C538" s="13" t="s">
        <v>117</v>
      </c>
      <c r="D538" s="13"/>
      <c r="E538" s="32">
        <v>44875</v>
      </c>
      <c r="G538" s="8">
        <v>35263158</v>
      </c>
      <c r="I538" s="8">
        <v>8198587</v>
      </c>
      <c r="K538" s="8">
        <v>2297048</v>
      </c>
      <c r="M538" s="8">
        <f>93991+1688636</f>
        <v>1782627</v>
      </c>
      <c r="O538" s="8">
        <v>5934009</v>
      </c>
      <c r="Q538" s="8">
        <v>4800929</v>
      </c>
      <c r="S538" s="8">
        <v>18684</v>
      </c>
      <c r="U538" s="8">
        <v>7534408</v>
      </c>
      <c r="W538" s="8">
        <v>1600507</v>
      </c>
      <c r="Y538" s="8">
        <v>122173</v>
      </c>
      <c r="AA538" s="8">
        <v>9981168</v>
      </c>
      <c r="AC538" s="8">
        <v>5484889</v>
      </c>
      <c r="AE538" s="8">
        <v>1164865</v>
      </c>
      <c r="AG538" s="8">
        <v>1864424</v>
      </c>
      <c r="AI538" s="8">
        <v>1364505</v>
      </c>
      <c r="AJ538" s="13" t="s">
        <v>501</v>
      </c>
      <c r="AK538" s="13"/>
      <c r="AL538" s="13" t="s">
        <v>117</v>
      </c>
      <c r="AN538" s="8">
        <v>2192606</v>
      </c>
      <c r="AP538" s="8">
        <f>1251259+90637</f>
        <v>1341896</v>
      </c>
      <c r="AR538" s="8">
        <v>0</v>
      </c>
      <c r="AT538" s="8">
        <v>3207843</v>
      </c>
      <c r="AV538" s="8">
        <f>1059486+1070065</f>
        <v>2129551</v>
      </c>
      <c r="AX538" s="8">
        <v>0</v>
      </c>
      <c r="AZ538" s="9">
        <f t="shared" si="32"/>
        <v>96283877</v>
      </c>
      <c r="BB538" s="8">
        <v>363311</v>
      </c>
      <c r="BH538" s="8">
        <v>0</v>
      </c>
      <c r="BJ538" s="9">
        <f t="shared" si="33"/>
        <v>96647188</v>
      </c>
      <c r="BL538" s="9">
        <f>'Gov Fd Rv'!AQ538-'Gov Fnd Exp'!BJ538</f>
        <v>89004484</v>
      </c>
      <c r="BN538" s="8">
        <v>12805394</v>
      </c>
      <c r="BP538" s="8">
        <v>-5518</v>
      </c>
      <c r="BT538" s="9">
        <f t="shared" si="34"/>
        <v>101804360</v>
      </c>
      <c r="BU538" s="9"/>
      <c r="BV538" s="9">
        <f>BT538-'Gov Fd BS'!AA541</f>
        <v>0</v>
      </c>
    </row>
    <row r="539" spans="1:76">
      <c r="A539" s="13" t="s">
        <v>472</v>
      </c>
      <c r="B539" s="13"/>
      <c r="C539" s="13" t="s">
        <v>466</v>
      </c>
      <c r="D539" s="13"/>
      <c r="E539" s="32">
        <v>47969</v>
      </c>
      <c r="G539" s="8">
        <v>4383634</v>
      </c>
      <c r="I539" s="8">
        <v>992544</v>
      </c>
      <c r="K539" s="8">
        <v>150089</v>
      </c>
      <c r="M539" s="8">
        <v>0</v>
      </c>
      <c r="O539" s="8">
        <v>309962</v>
      </c>
      <c r="Q539" s="8">
        <v>234371</v>
      </c>
      <c r="S539" s="8">
        <v>57521</v>
      </c>
      <c r="U539" s="8">
        <v>585938</v>
      </c>
      <c r="W539" s="8">
        <v>344201</v>
      </c>
      <c r="Y539" s="8">
        <v>0</v>
      </c>
      <c r="AA539" s="8">
        <v>889435</v>
      </c>
      <c r="AC539" s="8">
        <v>874364</v>
      </c>
      <c r="AE539" s="8">
        <v>93128</v>
      </c>
      <c r="AG539" s="8">
        <v>407037</v>
      </c>
      <c r="AI539" s="8">
        <v>0</v>
      </c>
      <c r="AJ539" s="13" t="s">
        <v>472</v>
      </c>
      <c r="AK539" s="13"/>
      <c r="AL539" s="13" t="s">
        <v>466</v>
      </c>
      <c r="AN539" s="8">
        <v>197794</v>
      </c>
      <c r="AP539" s="8">
        <v>0</v>
      </c>
      <c r="AR539" s="8">
        <v>0</v>
      </c>
      <c r="AT539" s="8">
        <v>65400</v>
      </c>
      <c r="AV539" s="8">
        <v>89600</v>
      </c>
      <c r="AX539" s="8">
        <v>0</v>
      </c>
      <c r="AZ539" s="9">
        <f t="shared" si="32"/>
        <v>9675018</v>
      </c>
      <c r="BB539" s="8">
        <v>27850</v>
      </c>
      <c r="BH539" s="8">
        <v>0</v>
      </c>
      <c r="BJ539" s="9">
        <f t="shared" si="33"/>
        <v>9702868</v>
      </c>
      <c r="BL539" s="9">
        <f>'Gov Fd Rv'!AQ539-'Gov Fnd Exp'!BJ539</f>
        <v>-721683</v>
      </c>
      <c r="BN539" s="8">
        <v>5679365</v>
      </c>
      <c r="BP539" s="8">
        <v>0</v>
      </c>
      <c r="BT539" s="9">
        <f t="shared" si="34"/>
        <v>4957682</v>
      </c>
      <c r="BU539" s="9"/>
      <c r="BV539" s="9">
        <f>BT539-'Gov Fd BS'!AA542</f>
        <v>0</v>
      </c>
      <c r="BX539" s="8" t="s">
        <v>956</v>
      </c>
    </row>
    <row r="540" spans="1:76">
      <c r="A540" s="12" t="s">
        <v>1063</v>
      </c>
      <c r="B540" s="13"/>
      <c r="C540" s="13" t="s">
        <v>242</v>
      </c>
      <c r="D540" s="13"/>
      <c r="E540" s="32">
        <v>46151</v>
      </c>
      <c r="G540" s="8">
        <v>13972641</v>
      </c>
      <c r="I540" s="8">
        <v>2742790</v>
      </c>
      <c r="K540" s="8">
        <v>0</v>
      </c>
      <c r="M540" s="8">
        <v>1066944</v>
      </c>
      <c r="O540" s="8">
        <v>1849839</v>
      </c>
      <c r="Q540" s="8">
        <v>1920354</v>
      </c>
      <c r="S540" s="8">
        <v>62513</v>
      </c>
      <c r="U540" s="8">
        <v>2078509</v>
      </c>
      <c r="W540" s="8">
        <v>1188084</v>
      </c>
      <c r="Y540" s="8">
        <v>4663</v>
      </c>
      <c r="AA540" s="8">
        <v>2784840</v>
      </c>
      <c r="AC540" s="8">
        <v>2034126</v>
      </c>
      <c r="AE540" s="8">
        <v>116155</v>
      </c>
      <c r="AG540" s="8">
        <v>1069312</v>
      </c>
      <c r="AI540" s="8">
        <v>44316</v>
      </c>
      <c r="AJ540" s="13" t="s">
        <v>251</v>
      </c>
      <c r="AK540" s="13"/>
      <c r="AL540" s="13" t="s">
        <v>242</v>
      </c>
      <c r="AN540" s="8">
        <v>771888</v>
      </c>
      <c r="AP540" s="8">
        <v>3224145</v>
      </c>
      <c r="AR540" s="8">
        <v>0</v>
      </c>
      <c r="AT540" s="8">
        <v>398000</v>
      </c>
      <c r="AV540" s="8">
        <v>483896</v>
      </c>
      <c r="AX540" s="8">
        <v>0</v>
      </c>
      <c r="AZ540" s="9">
        <f t="shared" ref="AZ540:AZ567" si="35">SUM(G540:AX540)</f>
        <v>35813015</v>
      </c>
      <c r="BB540" s="8">
        <v>0</v>
      </c>
      <c r="BH540" s="8">
        <v>0</v>
      </c>
      <c r="BJ540" s="9">
        <f t="shared" ref="BJ540:BJ567" si="36">AZ540+BB540+BH540</f>
        <v>35813015</v>
      </c>
      <c r="BL540" s="9">
        <f>'Gov Fd Rv'!AQ540-'Gov Fnd Exp'!BJ540</f>
        <v>1173198</v>
      </c>
      <c r="BN540" s="8">
        <v>13141551</v>
      </c>
      <c r="BP540" s="8">
        <v>0</v>
      </c>
      <c r="BT540" s="9">
        <f t="shared" ref="BT540:BT569" si="37">BL540+BN540+BP540+BR540</f>
        <v>14314749</v>
      </c>
      <c r="BU540" s="9"/>
      <c r="BV540" s="9">
        <f>BT540-'Gov Fd BS'!AA543</f>
        <v>0</v>
      </c>
      <c r="BX540" s="15" t="s">
        <v>905</v>
      </c>
    </row>
    <row r="541" spans="1:76">
      <c r="A541" s="13" t="s">
        <v>672</v>
      </c>
      <c r="B541" s="13"/>
      <c r="C541" s="13" t="s">
        <v>63</v>
      </c>
      <c r="D541" s="13"/>
      <c r="E541" s="32">
        <v>44883</v>
      </c>
      <c r="G541" s="8">
        <v>12045061</v>
      </c>
      <c r="I541" s="8">
        <v>2511472</v>
      </c>
      <c r="K541" s="8">
        <v>872308</v>
      </c>
      <c r="M541" s="8">
        <v>53620</v>
      </c>
      <c r="O541" s="8">
        <v>1528318</v>
      </c>
      <c r="Q541" s="8">
        <v>498238</v>
      </c>
      <c r="S541" s="8">
        <v>24881</v>
      </c>
      <c r="U541" s="8">
        <v>2560581</v>
      </c>
      <c r="W541" s="8">
        <v>990746</v>
      </c>
      <c r="Y541" s="8">
        <v>204243</v>
      </c>
      <c r="AA541" s="8">
        <v>2725083</v>
      </c>
      <c r="AC541" s="8">
        <v>1076577</v>
      </c>
      <c r="AE541" s="8">
        <v>244038</v>
      </c>
      <c r="AG541" s="8">
        <v>0</v>
      </c>
      <c r="AI541" s="8">
        <v>618067</v>
      </c>
      <c r="AJ541" s="13" t="s">
        <v>672</v>
      </c>
      <c r="AK541" s="13"/>
      <c r="AL541" s="13" t="s">
        <v>63</v>
      </c>
      <c r="AN541" s="8">
        <v>1036577</v>
      </c>
      <c r="AP541" s="8">
        <v>3499690</v>
      </c>
      <c r="AR541" s="8">
        <v>0</v>
      </c>
      <c r="AT541" s="8">
        <v>660000</v>
      </c>
      <c r="AV541" s="8">
        <v>1305165</v>
      </c>
      <c r="AX541" s="8">
        <v>0</v>
      </c>
      <c r="AZ541" s="9">
        <f t="shared" si="35"/>
        <v>32454665</v>
      </c>
      <c r="BB541" s="8">
        <v>500000</v>
      </c>
      <c r="BH541" s="8">
        <v>0</v>
      </c>
      <c r="BJ541" s="9">
        <f t="shared" si="36"/>
        <v>32954665</v>
      </c>
      <c r="BL541" s="9">
        <f>'Gov Fd Rv'!AQ541-'Gov Fnd Exp'!BJ541</f>
        <v>-4522546</v>
      </c>
      <c r="BN541" s="8">
        <v>9106031</v>
      </c>
      <c r="BP541" s="8">
        <v>0</v>
      </c>
      <c r="BT541" s="9">
        <f t="shared" si="37"/>
        <v>4583485</v>
      </c>
      <c r="BU541" s="9"/>
      <c r="BV541" s="9">
        <f>BT541-'Gov Fd BS'!AA544</f>
        <v>0</v>
      </c>
    </row>
    <row r="542" spans="1:76">
      <c r="A542" s="13" t="s">
        <v>583</v>
      </c>
      <c r="B542" s="13"/>
      <c r="C542" s="13" t="s">
        <v>54</v>
      </c>
      <c r="D542" s="13"/>
      <c r="E542" s="32">
        <v>49098</v>
      </c>
      <c r="G542" s="8">
        <v>14307499</v>
      </c>
      <c r="I542" s="8">
        <v>3068153</v>
      </c>
      <c r="K542" s="8">
        <v>735025</v>
      </c>
      <c r="M542" s="8">
        <v>245995</v>
      </c>
      <c r="O542" s="8">
        <v>1163704</v>
      </c>
      <c r="Q542" s="8">
        <v>1658752</v>
      </c>
      <c r="S542" s="8">
        <v>138455</v>
      </c>
      <c r="U542" s="8">
        <v>3011498</v>
      </c>
      <c r="W542" s="8">
        <v>679256</v>
      </c>
      <c r="Y542" s="8">
        <v>476450</v>
      </c>
      <c r="AA542" s="8">
        <v>2658496</v>
      </c>
      <c r="AC542" s="8">
        <v>1526017</v>
      </c>
      <c r="AE542" s="8">
        <v>143803</v>
      </c>
      <c r="AG542" s="8">
        <v>1082368</v>
      </c>
      <c r="AI542" s="8">
        <v>19877</v>
      </c>
      <c r="AJ542" s="13" t="s">
        <v>583</v>
      </c>
      <c r="AK542" s="13"/>
      <c r="AL542" s="13" t="s">
        <v>54</v>
      </c>
      <c r="AN542" s="8">
        <v>744195</v>
      </c>
      <c r="AP542" s="8">
        <v>42265576</v>
      </c>
      <c r="AR542" s="8">
        <v>18912</v>
      </c>
      <c r="AT542" s="8">
        <v>1205675</v>
      </c>
      <c r="AV542" s="8">
        <v>1696823</v>
      </c>
      <c r="AX542" s="8">
        <v>0</v>
      </c>
      <c r="AZ542" s="9">
        <f t="shared" si="35"/>
        <v>76846529</v>
      </c>
      <c r="BB542" s="8">
        <v>446637</v>
      </c>
      <c r="BH542" s="8">
        <v>0</v>
      </c>
      <c r="BJ542" s="9">
        <f t="shared" si="36"/>
        <v>77293166</v>
      </c>
      <c r="BL542" s="9">
        <f>'Gov Fd Rv'!AQ542-'Gov Fnd Exp'!BJ542</f>
        <v>-8329593</v>
      </c>
      <c r="BN542" s="8">
        <v>40941788</v>
      </c>
      <c r="BP542" s="8">
        <v>82431</v>
      </c>
      <c r="BT542" s="9">
        <f t="shared" si="37"/>
        <v>32694626</v>
      </c>
      <c r="BU542" s="9"/>
      <c r="BV542" s="9">
        <f>BT542-'Gov Fd BS'!AA545</f>
        <v>0</v>
      </c>
    </row>
    <row r="543" spans="1:76">
      <c r="A543" s="13" t="s">
        <v>265</v>
      </c>
      <c r="B543" s="13"/>
      <c r="C543" s="13" t="s">
        <v>17</v>
      </c>
      <c r="D543" s="13"/>
      <c r="E543" s="32">
        <v>46243</v>
      </c>
      <c r="G543" s="8">
        <v>12601738</v>
      </c>
      <c r="I543" s="8">
        <v>3239329</v>
      </c>
      <c r="K543" s="8">
        <v>558822</v>
      </c>
      <c r="M543" s="8">
        <f>56555+800672</f>
        <v>857227</v>
      </c>
      <c r="O543" s="8">
        <v>1926428</v>
      </c>
      <c r="Q543" s="8">
        <v>1375058</v>
      </c>
      <c r="S543" s="8">
        <v>87818</v>
      </c>
      <c r="U543" s="8">
        <v>2901118</v>
      </c>
      <c r="W543" s="8">
        <v>585972</v>
      </c>
      <c r="Y543" s="8">
        <v>83530</v>
      </c>
      <c r="AA543" s="8">
        <v>3729290</v>
      </c>
      <c r="AC543" s="8">
        <v>1349133</v>
      </c>
      <c r="AE543" s="8">
        <v>148356</v>
      </c>
      <c r="AG543" s="8">
        <v>0</v>
      </c>
      <c r="AI543" s="8">
        <v>1606936</v>
      </c>
      <c r="AJ543" s="13" t="s">
        <v>265</v>
      </c>
      <c r="AK543" s="13"/>
      <c r="AL543" s="13" t="s">
        <v>17</v>
      </c>
      <c r="AN543" s="8">
        <v>541120</v>
      </c>
      <c r="AP543" s="8">
        <v>273848</v>
      </c>
      <c r="AR543" s="8">
        <v>0</v>
      </c>
      <c r="AT543" s="8">
        <v>445000</v>
      </c>
      <c r="AV543" s="8">
        <v>848772</v>
      </c>
      <c r="AX543" s="8">
        <v>0</v>
      </c>
      <c r="AZ543" s="9">
        <f t="shared" si="35"/>
        <v>33159495</v>
      </c>
      <c r="BB543" s="8">
        <v>322047</v>
      </c>
      <c r="BH543" s="8">
        <v>0</v>
      </c>
      <c r="BJ543" s="9">
        <f t="shared" si="36"/>
        <v>33481542</v>
      </c>
      <c r="BL543" s="9">
        <f>'Gov Fd Rv'!AQ543-'Gov Fnd Exp'!BJ543</f>
        <v>699514</v>
      </c>
      <c r="BN543" s="8">
        <v>6651032</v>
      </c>
      <c r="BP543" s="8">
        <v>0</v>
      </c>
      <c r="BT543" s="9">
        <f t="shared" si="37"/>
        <v>7350546</v>
      </c>
      <c r="BU543" s="9"/>
      <c r="BV543" s="9">
        <f>BT543-'Gov Fd BS'!AA546</f>
        <v>0</v>
      </c>
    </row>
    <row r="544" spans="1:76">
      <c r="A544" s="13" t="s">
        <v>1073</v>
      </c>
      <c r="B544" s="13"/>
      <c r="C544" s="13" t="s">
        <v>32</v>
      </c>
      <c r="D544" s="13"/>
      <c r="E544" s="32">
        <v>47399</v>
      </c>
      <c r="G544" s="8">
        <v>9977198</v>
      </c>
      <c r="I544" s="8">
        <v>2230890</v>
      </c>
      <c r="K544" s="8">
        <v>3720</v>
      </c>
      <c r="M544" s="8">
        <v>13558</v>
      </c>
      <c r="O544" s="8">
        <v>1138718</v>
      </c>
      <c r="Q544" s="8">
        <v>1429356</v>
      </c>
      <c r="S544" s="8">
        <v>46436</v>
      </c>
      <c r="U544" s="8">
        <v>1419554</v>
      </c>
      <c r="W544" s="8">
        <v>762750</v>
      </c>
      <c r="Y544" s="8">
        <v>17335</v>
      </c>
      <c r="AA544" s="8">
        <v>1367982</v>
      </c>
      <c r="AC544" s="8">
        <v>1068732</v>
      </c>
      <c r="AE544" s="8">
        <v>535629</v>
      </c>
      <c r="AG544" s="8">
        <v>0</v>
      </c>
      <c r="AI544" s="8">
        <v>778172</v>
      </c>
      <c r="AJ544" s="13" t="s">
        <v>410</v>
      </c>
      <c r="AK544" s="13"/>
      <c r="AL544" s="13" t="s">
        <v>32</v>
      </c>
      <c r="AN544" s="8">
        <v>453049</v>
      </c>
      <c r="AP544" s="8">
        <v>674680</v>
      </c>
      <c r="AR544" s="8">
        <v>0</v>
      </c>
      <c r="AT544" s="8">
        <v>0</v>
      </c>
      <c r="AV544" s="8">
        <v>0</v>
      </c>
      <c r="AX544" s="8">
        <v>0</v>
      </c>
      <c r="AZ544" s="9">
        <f t="shared" si="35"/>
        <v>21917759</v>
      </c>
      <c r="BB544" s="8">
        <v>1043825</v>
      </c>
      <c r="BH544" s="8">
        <v>0</v>
      </c>
      <c r="BJ544" s="9">
        <f t="shared" si="36"/>
        <v>22961584</v>
      </c>
      <c r="BL544" s="9">
        <f>'Gov Fd Rv'!AQ544-'Gov Fnd Exp'!BJ544</f>
        <v>-343015</v>
      </c>
      <c r="BN544" s="8">
        <v>9426265</v>
      </c>
      <c r="BP544" s="8">
        <v>0</v>
      </c>
      <c r="BT544" s="9">
        <f t="shared" si="37"/>
        <v>9083250</v>
      </c>
      <c r="BU544" s="9"/>
      <c r="BV544" s="9">
        <f>BT544-'Gov Fd BS'!AA547</f>
        <v>0</v>
      </c>
      <c r="BX544" s="15" t="s">
        <v>905</v>
      </c>
    </row>
    <row r="545" spans="1:76">
      <c r="A545" s="13" t="s">
        <v>640</v>
      </c>
      <c r="B545" s="13"/>
      <c r="C545" s="13" t="s">
        <v>60</v>
      </c>
      <c r="D545" s="13"/>
      <c r="E545" s="32">
        <v>44891</v>
      </c>
      <c r="G545" s="8">
        <v>9942154</v>
      </c>
      <c r="I545" s="8">
        <v>3545055</v>
      </c>
      <c r="K545" s="8">
        <v>218221</v>
      </c>
      <c r="M545" s="8">
        <v>1952629</v>
      </c>
      <c r="O545" s="8">
        <v>1292586</v>
      </c>
      <c r="Q545" s="8">
        <v>1356580</v>
      </c>
      <c r="S545" s="8">
        <v>44888</v>
      </c>
      <c r="U545" s="8">
        <v>1749316</v>
      </c>
      <c r="W545" s="8">
        <v>583235</v>
      </c>
      <c r="Y545" s="8">
        <v>34414</v>
      </c>
      <c r="AA545" s="8">
        <v>2305217</v>
      </c>
      <c r="AC545" s="8">
        <v>796359</v>
      </c>
      <c r="AE545" s="8">
        <v>55164</v>
      </c>
      <c r="AG545" s="8">
        <v>751387</v>
      </c>
      <c r="AI545" s="8">
        <v>283740</v>
      </c>
      <c r="AJ545" s="13" t="s">
        <v>640</v>
      </c>
      <c r="AK545" s="13"/>
      <c r="AL545" s="13" t="s">
        <v>60</v>
      </c>
      <c r="AN545" s="8">
        <v>674269</v>
      </c>
      <c r="AP545" s="8">
        <v>221350</v>
      </c>
      <c r="AR545" s="8">
        <v>0</v>
      </c>
      <c r="AT545" s="8">
        <v>679358</v>
      </c>
      <c r="AV545" s="8">
        <v>404573</v>
      </c>
      <c r="AX545" s="8">
        <v>0</v>
      </c>
      <c r="AZ545" s="9">
        <f t="shared" si="35"/>
        <v>26890495</v>
      </c>
      <c r="BB545" s="8">
        <v>337397</v>
      </c>
      <c r="BH545" s="8">
        <v>0</v>
      </c>
      <c r="BJ545" s="9">
        <f t="shared" si="36"/>
        <v>27227892</v>
      </c>
      <c r="BL545" s="9">
        <f>'Gov Fd Rv'!AQ545-'Gov Fnd Exp'!BJ545</f>
        <v>-16771</v>
      </c>
      <c r="BN545" s="8">
        <v>4362414</v>
      </c>
      <c r="BP545" s="8">
        <v>0</v>
      </c>
      <c r="BT545" s="9">
        <f t="shared" si="37"/>
        <v>4345643</v>
      </c>
      <c r="BU545" s="9"/>
      <c r="BV545" s="9">
        <f>BT545-'Gov Fd BS'!AA548</f>
        <v>0</v>
      </c>
    </row>
    <row r="546" spans="1:76">
      <c r="A546" s="13" t="s">
        <v>541</v>
      </c>
      <c r="B546" s="13"/>
      <c r="C546" s="13" t="s">
        <v>48</v>
      </c>
      <c r="D546" s="13"/>
      <c r="E546" s="32">
        <v>45617</v>
      </c>
      <c r="G546" s="8">
        <v>13496690</v>
      </c>
      <c r="I546" s="8">
        <v>0</v>
      </c>
      <c r="K546" s="8">
        <v>0</v>
      </c>
      <c r="M546" s="8">
        <v>0</v>
      </c>
      <c r="O546" s="8">
        <v>898832</v>
      </c>
      <c r="Q546" s="8">
        <v>1128586</v>
      </c>
      <c r="S546" s="8">
        <v>37801</v>
      </c>
      <c r="U546" s="8">
        <v>1574600</v>
      </c>
      <c r="W546" s="8">
        <v>538037</v>
      </c>
      <c r="Y546" s="8">
        <v>0</v>
      </c>
      <c r="AA546" s="8">
        <v>2062658</v>
      </c>
      <c r="AC546" s="8">
        <v>876515</v>
      </c>
      <c r="AE546" s="8">
        <v>539140</v>
      </c>
      <c r="AG546" s="8">
        <v>0</v>
      </c>
      <c r="AI546" s="8">
        <f>8031+873218</f>
        <v>881249</v>
      </c>
      <c r="AJ546" s="13" t="s">
        <v>541</v>
      </c>
      <c r="AK546" s="13"/>
      <c r="AL546" s="13" t="s">
        <v>48</v>
      </c>
      <c r="AN546" s="8">
        <v>1120178</v>
      </c>
      <c r="AP546" s="8">
        <v>310595</v>
      </c>
      <c r="AR546" s="8">
        <v>0</v>
      </c>
      <c r="AT546" s="8">
        <v>963245</v>
      </c>
      <c r="AV546" s="8">
        <v>780044</v>
      </c>
      <c r="AX546" s="8">
        <v>0</v>
      </c>
      <c r="AZ546" s="9">
        <f t="shared" si="35"/>
        <v>25208170</v>
      </c>
      <c r="BB546" s="8">
        <v>35300</v>
      </c>
      <c r="BH546" s="8">
        <v>0</v>
      </c>
      <c r="BJ546" s="9">
        <f t="shared" si="36"/>
        <v>25243470</v>
      </c>
      <c r="BL546" s="9">
        <f>'Gov Fd Rv'!AQ546-'Gov Fnd Exp'!BJ546</f>
        <v>260533</v>
      </c>
      <c r="BN546" s="8">
        <v>1368800</v>
      </c>
      <c r="BP546" s="8">
        <v>4376</v>
      </c>
      <c r="BT546" s="9">
        <f t="shared" si="37"/>
        <v>1633709</v>
      </c>
      <c r="BU546" s="9"/>
      <c r="BV546" s="9">
        <f>BT546-'Gov Fd BS'!AA549</f>
        <v>0</v>
      </c>
      <c r="BX546" s="8" t="s">
        <v>1009</v>
      </c>
    </row>
    <row r="547" spans="1:76">
      <c r="A547" s="13" t="s">
        <v>502</v>
      </c>
      <c r="B547" s="13"/>
      <c r="C547" s="13" t="s">
        <v>117</v>
      </c>
      <c r="D547" s="13"/>
      <c r="E547" s="32">
        <v>44909</v>
      </c>
      <c r="G547" s="8">
        <v>252993864</v>
      </c>
      <c r="I547" s="8">
        <v>0</v>
      </c>
      <c r="K547" s="8">
        <v>0</v>
      </c>
      <c r="M547" s="8">
        <v>0</v>
      </c>
      <c r="O547" s="8">
        <v>143794427</v>
      </c>
      <c r="Q547" s="8">
        <v>0</v>
      </c>
      <c r="S547" s="8">
        <v>0</v>
      </c>
      <c r="U547" s="8">
        <v>0</v>
      </c>
      <c r="W547" s="8">
        <v>0</v>
      </c>
      <c r="Y547" s="8">
        <v>0</v>
      </c>
      <c r="AA547" s="8">
        <v>0</v>
      </c>
      <c r="AC547" s="8">
        <v>0</v>
      </c>
      <c r="AE547" s="8">
        <v>0</v>
      </c>
      <c r="AG547" s="8">
        <v>23917955</v>
      </c>
      <c r="AI547" s="8">
        <v>0</v>
      </c>
      <c r="AJ547" s="13" t="s">
        <v>502</v>
      </c>
      <c r="AK547" s="13"/>
      <c r="AL547" s="13" t="s">
        <v>117</v>
      </c>
      <c r="AN547" s="8">
        <v>5282257</v>
      </c>
      <c r="AP547" s="8">
        <v>64251427</v>
      </c>
      <c r="AR547" s="8">
        <v>0</v>
      </c>
      <c r="AT547" s="8">
        <v>3415000</v>
      </c>
      <c r="AV547" s="8">
        <v>7229513</v>
      </c>
      <c r="AX547" s="8">
        <v>0</v>
      </c>
      <c r="AZ547" s="9">
        <f t="shared" si="35"/>
        <v>500884443</v>
      </c>
      <c r="BB547" s="8">
        <v>10417146</v>
      </c>
      <c r="BH547" s="8">
        <v>0</v>
      </c>
      <c r="BJ547" s="9">
        <f t="shared" si="36"/>
        <v>511301589</v>
      </c>
      <c r="BL547" s="9">
        <f>'Gov Fd Rv'!AQ547-'Gov Fnd Exp'!BJ547</f>
        <v>14849794</v>
      </c>
      <c r="BN547" s="8">
        <v>105264679</v>
      </c>
      <c r="BP547" s="8">
        <v>0</v>
      </c>
      <c r="BT547" s="9">
        <f t="shared" si="37"/>
        <v>120114473</v>
      </c>
      <c r="BU547" s="9"/>
      <c r="BV547" s="9">
        <f>BT547-'Gov Fd BS'!AA550</f>
        <v>0</v>
      </c>
      <c r="BX547" s="10" t="s">
        <v>1017</v>
      </c>
    </row>
    <row r="548" spans="1:76">
      <c r="A548" s="13" t="s">
        <v>1024</v>
      </c>
      <c r="B548" s="13"/>
      <c r="C548" s="13" t="s">
        <v>117</v>
      </c>
      <c r="D548" s="13"/>
      <c r="E548" s="32"/>
      <c r="G548" s="8">
        <f>2040477+713084</f>
        <v>2753561</v>
      </c>
      <c r="I548" s="8">
        <v>0</v>
      </c>
      <c r="K548" s="8">
        <v>0</v>
      </c>
      <c r="M548" s="8">
        <v>0</v>
      </c>
      <c r="O548" s="8">
        <v>0</v>
      </c>
      <c r="Q548" s="8">
        <v>0</v>
      </c>
      <c r="S548" s="8">
        <v>0</v>
      </c>
      <c r="U548" s="8">
        <v>0</v>
      </c>
      <c r="W548" s="8">
        <v>0</v>
      </c>
      <c r="Y548" s="8">
        <v>0</v>
      </c>
      <c r="AA548" s="8">
        <v>0</v>
      </c>
      <c r="AC548" s="8">
        <v>0</v>
      </c>
      <c r="AE548" s="8">
        <v>0</v>
      </c>
      <c r="AG548" s="8">
        <v>0</v>
      </c>
      <c r="AI548" s="8">
        <f>664854+234487</f>
        <v>899341</v>
      </c>
      <c r="AJ548" s="13" t="s">
        <v>1024</v>
      </c>
      <c r="AK548" s="13"/>
      <c r="AL548" s="13" t="s">
        <v>117</v>
      </c>
      <c r="AN548" s="8">
        <v>0</v>
      </c>
      <c r="AP548" s="8">
        <v>0</v>
      </c>
      <c r="AR548" s="8">
        <v>0</v>
      </c>
      <c r="AT548" s="8">
        <v>0</v>
      </c>
      <c r="AV548" s="8">
        <v>254111</v>
      </c>
      <c r="AX548" s="8">
        <f>121920+209740</f>
        <v>331660</v>
      </c>
      <c r="AZ548" s="9">
        <f t="shared" si="35"/>
        <v>4238673</v>
      </c>
      <c r="BB548" s="8">
        <v>0</v>
      </c>
      <c r="BH548" s="8">
        <v>0</v>
      </c>
      <c r="BJ548" s="9">
        <f t="shared" si="36"/>
        <v>4238673</v>
      </c>
      <c r="BL548" s="9">
        <f>'Gov Fd Rv'!AQ548-'Gov Fnd Exp'!BJ548</f>
        <v>412009</v>
      </c>
      <c r="BN548" s="8">
        <v>145724</v>
      </c>
      <c r="BP548" s="8">
        <v>0</v>
      </c>
      <c r="BT548" s="9">
        <f t="shared" si="37"/>
        <v>557733</v>
      </c>
      <c r="BU548" s="9"/>
      <c r="BV548" s="9">
        <f>BT548-'Gov Fd BS'!AA551</f>
        <v>0</v>
      </c>
      <c r="BX548" s="10"/>
    </row>
    <row r="549" spans="1:76">
      <c r="A549" s="13" t="s">
        <v>1065</v>
      </c>
      <c r="B549" s="13"/>
      <c r="C549" s="13" t="s">
        <v>39</v>
      </c>
      <c r="D549" s="13"/>
      <c r="E549" s="32">
        <v>44917</v>
      </c>
      <c r="G549" s="8">
        <v>3112473</v>
      </c>
      <c r="I549" s="8">
        <v>942072</v>
      </c>
      <c r="K549" s="8">
        <v>127972</v>
      </c>
      <c r="M549" s="8">
        <f>99376+29856</f>
        <v>129232</v>
      </c>
      <c r="O549" s="8">
        <v>253212</v>
      </c>
      <c r="Q549" s="8">
        <v>259786</v>
      </c>
      <c r="S549" s="8">
        <v>10316</v>
      </c>
      <c r="U549" s="8">
        <v>902959</v>
      </c>
      <c r="W549" s="8">
        <v>302050</v>
      </c>
      <c r="Y549" s="8">
        <v>42930</v>
      </c>
      <c r="AA549" s="8">
        <v>834467</v>
      </c>
      <c r="AC549" s="8">
        <v>213332</v>
      </c>
      <c r="AE549" s="8">
        <v>0</v>
      </c>
      <c r="AG549" s="8">
        <v>0</v>
      </c>
      <c r="AI549" s="8">
        <v>397832</v>
      </c>
      <c r="AJ549" s="13" t="s">
        <v>453</v>
      </c>
      <c r="AK549" s="13"/>
      <c r="AL549" s="13" t="s">
        <v>39</v>
      </c>
      <c r="AN549" s="8">
        <v>259131</v>
      </c>
      <c r="AP549" s="8">
        <v>0</v>
      </c>
      <c r="AR549" s="8">
        <v>0</v>
      </c>
      <c r="AT549" s="8">
        <v>22301</v>
      </c>
      <c r="AV549" s="8">
        <v>699</v>
      </c>
      <c r="AX549" s="8">
        <v>0</v>
      </c>
      <c r="AZ549" s="9">
        <f t="shared" si="35"/>
        <v>7810764</v>
      </c>
      <c r="BB549" s="8">
        <v>43795</v>
      </c>
      <c r="BH549" s="8">
        <v>0</v>
      </c>
      <c r="BJ549" s="9">
        <f t="shared" si="36"/>
        <v>7854559</v>
      </c>
      <c r="BL549" s="9">
        <f>'Gov Fd Rv'!AQ549-'Gov Fnd Exp'!BJ549</f>
        <v>-415028</v>
      </c>
      <c r="BN549" s="8">
        <v>3130889</v>
      </c>
      <c r="BP549" s="8">
        <v>0</v>
      </c>
      <c r="BT549" s="9">
        <f t="shared" si="37"/>
        <v>2715861</v>
      </c>
      <c r="BU549" s="9"/>
      <c r="BV549" s="9">
        <f>BT549-'Gov Fd BS'!AA552</f>
        <v>0</v>
      </c>
      <c r="BX549" s="15" t="s">
        <v>905</v>
      </c>
    </row>
    <row r="550" spans="1:76">
      <c r="A550" s="13" t="s">
        <v>257</v>
      </c>
      <c r="B550" s="13"/>
      <c r="C550" s="13" t="s">
        <v>255</v>
      </c>
      <c r="D550" s="13"/>
      <c r="E550" s="32">
        <v>46201</v>
      </c>
      <c r="G550" s="8">
        <v>4379048</v>
      </c>
      <c r="I550" s="8">
        <v>972753</v>
      </c>
      <c r="K550" s="8">
        <v>201711</v>
      </c>
      <c r="M550" s="8">
        <v>0</v>
      </c>
      <c r="O550" s="8">
        <v>549031</v>
      </c>
      <c r="Q550" s="8">
        <v>239975</v>
      </c>
      <c r="S550" s="8">
        <v>68783</v>
      </c>
      <c r="U550" s="8">
        <v>821750</v>
      </c>
      <c r="W550" s="8">
        <v>274282</v>
      </c>
      <c r="Y550" s="8">
        <v>8074</v>
      </c>
      <c r="AA550" s="8">
        <v>1221660</v>
      </c>
      <c r="AC550" s="8">
        <v>629047</v>
      </c>
      <c r="AE550" s="8">
        <v>234301</v>
      </c>
      <c r="AG550" s="8">
        <v>387856</v>
      </c>
      <c r="AI550" s="8">
        <v>0</v>
      </c>
      <c r="AJ550" s="13" t="s">
        <v>257</v>
      </c>
      <c r="AK550" s="13"/>
      <c r="AL550" s="13" t="s">
        <v>255</v>
      </c>
      <c r="AN550" s="8">
        <v>463826</v>
      </c>
      <c r="AP550" s="8">
        <v>82221</v>
      </c>
      <c r="AR550" s="8">
        <v>0</v>
      </c>
      <c r="AT550" s="8">
        <v>203000</v>
      </c>
      <c r="AV550" s="8">
        <v>208694</v>
      </c>
      <c r="AX550" s="8">
        <v>0</v>
      </c>
      <c r="AZ550" s="9">
        <f t="shared" si="35"/>
        <v>10946012</v>
      </c>
      <c r="BB550" s="8">
        <v>295274</v>
      </c>
      <c r="BH550" s="8">
        <v>0</v>
      </c>
      <c r="BJ550" s="9">
        <f t="shared" si="36"/>
        <v>11241286</v>
      </c>
      <c r="BL550" s="9">
        <f>'Gov Fd Rv'!AQ550-'Gov Fnd Exp'!BJ550</f>
        <v>-324469</v>
      </c>
      <c r="BN550" s="8">
        <v>2088784</v>
      </c>
      <c r="BP550" s="8">
        <v>0</v>
      </c>
      <c r="BT550" s="9">
        <f t="shared" si="37"/>
        <v>1764315</v>
      </c>
      <c r="BU550" s="9"/>
      <c r="BV550" s="9">
        <f>BT550-'Gov Fd BS'!AA553</f>
        <v>0</v>
      </c>
    </row>
    <row r="551" spans="1:76">
      <c r="A551" s="13" t="s">
        <v>600</v>
      </c>
      <c r="B551" s="13"/>
      <c r="C551" s="13" t="s">
        <v>57</v>
      </c>
      <c r="D551" s="13"/>
      <c r="E551" s="32">
        <v>91397</v>
      </c>
      <c r="G551" s="8">
        <v>4906615</v>
      </c>
      <c r="I551" s="8">
        <v>853996</v>
      </c>
      <c r="K551" s="8">
        <v>127022</v>
      </c>
      <c r="M551" s="8">
        <v>0</v>
      </c>
      <c r="O551" s="8">
        <v>529887</v>
      </c>
      <c r="Q551" s="8">
        <v>446095</v>
      </c>
      <c r="S551" s="8">
        <v>20313</v>
      </c>
      <c r="U551" s="8">
        <v>1071085</v>
      </c>
      <c r="W551" s="8">
        <v>218256</v>
      </c>
      <c r="Y551" s="8">
        <v>0</v>
      </c>
      <c r="AA551" s="8">
        <v>844459</v>
      </c>
      <c r="AC551" s="8">
        <v>558321</v>
      </c>
      <c r="AE551" s="8">
        <v>29592</v>
      </c>
      <c r="AG551" s="8">
        <v>0</v>
      </c>
      <c r="AI551" s="8">
        <v>485140</v>
      </c>
      <c r="AJ551" s="13" t="s">
        <v>600</v>
      </c>
      <c r="AK551" s="13"/>
      <c r="AL551" s="13" t="s">
        <v>57</v>
      </c>
      <c r="AN551" s="8">
        <v>340509</v>
      </c>
      <c r="AP551" s="8">
        <v>0</v>
      </c>
      <c r="AR551" s="8">
        <v>0</v>
      </c>
      <c r="AT551" s="8">
        <v>310000</v>
      </c>
      <c r="AV551" s="8">
        <v>28058</v>
      </c>
      <c r="AX551" s="8">
        <v>0</v>
      </c>
      <c r="AZ551" s="9">
        <f t="shared" si="35"/>
        <v>10769348</v>
      </c>
      <c r="BB551" s="8">
        <v>120655</v>
      </c>
      <c r="BH551" s="8">
        <v>0</v>
      </c>
      <c r="BJ551" s="9">
        <f t="shared" si="36"/>
        <v>10890003</v>
      </c>
      <c r="BL551" s="9">
        <f>'Gov Fd Rv'!AQ551-'Gov Fnd Exp'!BJ551</f>
        <v>-687033</v>
      </c>
      <c r="BN551" s="8">
        <v>4856399</v>
      </c>
      <c r="BP551" s="8">
        <v>0</v>
      </c>
      <c r="BT551" s="9">
        <f t="shared" si="37"/>
        <v>4169366</v>
      </c>
      <c r="BU551" s="9"/>
      <c r="BV551" s="9">
        <f>BT551-'Gov Fd BS'!AA554</f>
        <v>0</v>
      </c>
    </row>
    <row r="552" spans="1:76">
      <c r="A552" s="13" t="s">
        <v>225</v>
      </c>
      <c r="B552" s="13"/>
      <c r="C552" s="13" t="s">
        <v>13</v>
      </c>
      <c r="D552" s="13"/>
      <c r="E552" s="32">
        <v>45922</v>
      </c>
      <c r="G552" s="8">
        <v>3447042</v>
      </c>
      <c r="I552" s="8">
        <v>1500353</v>
      </c>
      <c r="K552" s="8">
        <v>78239</v>
      </c>
      <c r="M552" s="8">
        <f>250431+584686</f>
        <v>835117</v>
      </c>
      <c r="O552" s="8">
        <v>628682</v>
      </c>
      <c r="Q552" s="8">
        <v>452300</v>
      </c>
      <c r="S552" s="8">
        <v>95100</v>
      </c>
      <c r="U552" s="8">
        <v>705407</v>
      </c>
      <c r="W552" s="8">
        <v>292443</v>
      </c>
      <c r="Y552" s="8">
        <v>0</v>
      </c>
      <c r="AA552" s="8">
        <v>910832</v>
      </c>
      <c r="AC552" s="8">
        <v>482605</v>
      </c>
      <c r="AE552" s="8">
        <v>14892</v>
      </c>
      <c r="AG552" s="8">
        <v>0</v>
      </c>
      <c r="AI552" s="8">
        <v>404716</v>
      </c>
      <c r="AJ552" s="13" t="s">
        <v>225</v>
      </c>
      <c r="AK552" s="13"/>
      <c r="AL552" s="13" t="s">
        <v>13</v>
      </c>
      <c r="AN552" s="8">
        <v>158218</v>
      </c>
      <c r="AP552" s="8">
        <v>0</v>
      </c>
      <c r="AR552" s="8">
        <v>0</v>
      </c>
      <c r="AT552" s="8">
        <v>152465</v>
      </c>
      <c r="AV552" s="8">
        <v>40049</v>
      </c>
      <c r="AX552" s="8">
        <v>0</v>
      </c>
      <c r="AZ552" s="9">
        <f t="shared" si="35"/>
        <v>10198460</v>
      </c>
      <c r="BB552" s="8">
        <v>24000</v>
      </c>
      <c r="BH552" s="8">
        <v>0</v>
      </c>
      <c r="BJ552" s="9">
        <f t="shared" si="36"/>
        <v>10222460</v>
      </c>
      <c r="BL552" s="9">
        <f>'Gov Fd Rv'!AQ552-'Gov Fnd Exp'!BJ552</f>
        <v>280729</v>
      </c>
      <c r="BN552" s="8">
        <v>-164333</v>
      </c>
      <c r="BP552" s="8">
        <v>0</v>
      </c>
      <c r="BT552" s="9">
        <f t="shared" si="37"/>
        <v>116396</v>
      </c>
      <c r="BU552" s="9"/>
      <c r="BV552" s="9">
        <f>BT552-'Gov Fd BS'!AA555</f>
        <v>0</v>
      </c>
    </row>
    <row r="553" spans="1:76">
      <c r="A553" s="13" t="s">
        <v>566</v>
      </c>
      <c r="B553" s="13"/>
      <c r="C553" s="13" t="s">
        <v>51</v>
      </c>
      <c r="D553" s="13"/>
      <c r="E553" s="32">
        <v>48876</v>
      </c>
      <c r="G553" s="8">
        <v>11992624</v>
      </c>
      <c r="I553" s="8">
        <v>3134760</v>
      </c>
      <c r="K553" s="8">
        <v>431599</v>
      </c>
      <c r="M553" s="8">
        <v>9513</v>
      </c>
      <c r="O553" s="8">
        <v>737814</v>
      </c>
      <c r="Q553" s="8">
        <v>1224835</v>
      </c>
      <c r="S553" s="8">
        <v>1583236</v>
      </c>
      <c r="U553" s="8">
        <v>2328326</v>
      </c>
      <c r="W553" s="8">
        <v>522598</v>
      </c>
      <c r="Y553" s="8">
        <v>0</v>
      </c>
      <c r="AA553" s="8">
        <v>2620571</v>
      </c>
      <c r="AC553" s="8">
        <v>1914273</v>
      </c>
      <c r="AE553" s="8">
        <v>241941</v>
      </c>
      <c r="AG553" s="8">
        <v>1228897</v>
      </c>
      <c r="AI553" s="8">
        <v>2140</v>
      </c>
      <c r="AJ553" s="13" t="s">
        <v>566</v>
      </c>
      <c r="AK553" s="13"/>
      <c r="AL553" s="13" t="s">
        <v>51</v>
      </c>
      <c r="AN553" s="8">
        <v>183688</v>
      </c>
      <c r="AP553" s="8">
        <v>3145904</v>
      </c>
      <c r="AR553" s="8">
        <v>0</v>
      </c>
      <c r="AT553" s="8">
        <v>346047</v>
      </c>
      <c r="AV553" s="8">
        <f>719781+34159</f>
        <v>753940</v>
      </c>
      <c r="AX553" s="8">
        <v>0</v>
      </c>
      <c r="AZ553" s="9">
        <f t="shared" si="35"/>
        <v>32402706</v>
      </c>
      <c r="BB553" s="8">
        <v>0</v>
      </c>
      <c r="BH553" s="8">
        <v>0</v>
      </c>
      <c r="BJ553" s="9">
        <f t="shared" si="36"/>
        <v>32402706</v>
      </c>
      <c r="BL553" s="9">
        <f>'Gov Fd Rv'!AQ553-'Gov Fnd Exp'!BJ553</f>
        <v>-2836638</v>
      </c>
      <c r="BN553" s="8">
        <v>7480514</v>
      </c>
      <c r="BP553" s="8">
        <v>0</v>
      </c>
      <c r="BT553" s="9">
        <f t="shared" si="37"/>
        <v>4643876</v>
      </c>
      <c r="BU553" s="9"/>
      <c r="BV553" s="9">
        <f>BT553-'Gov Fd BS'!AA556</f>
        <v>0</v>
      </c>
    </row>
    <row r="554" spans="1:76" hidden="1">
      <c r="A554" s="12" t="s">
        <v>1018</v>
      </c>
      <c r="B554" s="13"/>
      <c r="C554" s="13" t="s">
        <v>21</v>
      </c>
      <c r="D554" s="13"/>
      <c r="E554" s="32">
        <v>46680</v>
      </c>
      <c r="G554" s="8">
        <v>3283925</v>
      </c>
      <c r="I554" s="8">
        <v>607530</v>
      </c>
      <c r="M554" s="8">
        <v>17782</v>
      </c>
      <c r="O554" s="8">
        <v>356522</v>
      </c>
      <c r="Q554" s="8">
        <v>310260</v>
      </c>
      <c r="S554" s="8">
        <v>17320</v>
      </c>
      <c r="U554" s="8">
        <v>533840</v>
      </c>
      <c r="W554" s="8">
        <v>236150</v>
      </c>
      <c r="AA554" s="8">
        <v>591505</v>
      </c>
      <c r="AC554" s="8">
        <v>531075</v>
      </c>
      <c r="AE554" s="8">
        <v>27240</v>
      </c>
      <c r="AI554" s="8">
        <v>316793</v>
      </c>
      <c r="AJ554" s="13" t="s">
        <v>329</v>
      </c>
      <c r="AK554" s="13"/>
      <c r="AL554" s="13" t="s">
        <v>21</v>
      </c>
      <c r="AN554" s="8">
        <v>276737</v>
      </c>
      <c r="AT554" s="8">
        <v>277000</v>
      </c>
      <c r="AV554" s="8">
        <v>327004</v>
      </c>
      <c r="AZ554" s="9">
        <f t="shared" si="35"/>
        <v>7710683</v>
      </c>
      <c r="BH554" s="8">
        <f>-5794-24468+5524</f>
        <v>-24738</v>
      </c>
      <c r="BJ554" s="9">
        <f t="shared" si="36"/>
        <v>7685945</v>
      </c>
      <c r="BL554" s="9">
        <f>'Gov Fd Rv'!AQ554-'Gov Fnd Exp'!BJ554</f>
        <v>228739</v>
      </c>
      <c r="BN554" s="8">
        <v>2061440</v>
      </c>
      <c r="BT554" s="9">
        <f t="shared" si="37"/>
        <v>2290179</v>
      </c>
      <c r="BU554" s="9"/>
      <c r="BV554" s="9">
        <f>BT554-'Gov Fd BS'!AA557</f>
        <v>0</v>
      </c>
    </row>
    <row r="555" spans="1:76">
      <c r="A555" s="13" t="s">
        <v>725</v>
      </c>
      <c r="B555" s="13"/>
      <c r="C555" s="13" t="s">
        <v>71</v>
      </c>
      <c r="D555" s="13"/>
      <c r="E555" s="32">
        <v>50591</v>
      </c>
      <c r="G555" s="8">
        <v>8791093</v>
      </c>
      <c r="I555" s="8">
        <v>1882209</v>
      </c>
      <c r="K555" s="8">
        <v>402070</v>
      </c>
      <c r="M555" s="8">
        <v>79089</v>
      </c>
      <c r="O555" s="8">
        <v>552223</v>
      </c>
      <c r="Q555" s="8">
        <v>683811</v>
      </c>
      <c r="S555" s="8">
        <v>49474</v>
      </c>
      <c r="U555" s="8">
        <v>1371994</v>
      </c>
      <c r="W555" s="8">
        <v>365174</v>
      </c>
      <c r="Y555" s="8">
        <v>42939</v>
      </c>
      <c r="AA555" s="8">
        <v>1606373</v>
      </c>
      <c r="AC555" s="8">
        <v>1220761</v>
      </c>
      <c r="AE555" s="8">
        <v>345889</v>
      </c>
      <c r="AG555" s="8">
        <v>777719</v>
      </c>
      <c r="AI555" s="8">
        <v>182789</v>
      </c>
      <c r="AJ555" s="13" t="s">
        <v>725</v>
      </c>
      <c r="AK555" s="13"/>
      <c r="AL555" s="13" t="s">
        <v>71</v>
      </c>
      <c r="AN555" s="8">
        <v>652905</v>
      </c>
      <c r="AP555" s="8">
        <v>73797</v>
      </c>
      <c r="AR555" s="8">
        <v>0</v>
      </c>
      <c r="AT555" s="8">
        <v>322649</v>
      </c>
      <c r="AV555" s="8">
        <v>54466</v>
      </c>
      <c r="AX555" s="8">
        <v>0</v>
      </c>
      <c r="AZ555" s="9">
        <f t="shared" si="35"/>
        <v>19457424</v>
      </c>
      <c r="BB555" s="8">
        <v>377115</v>
      </c>
      <c r="BH555" s="8">
        <v>0</v>
      </c>
      <c r="BJ555" s="9">
        <f t="shared" si="36"/>
        <v>19834539</v>
      </c>
      <c r="BL555" s="9">
        <f>'Gov Fd Rv'!AQ555-'Gov Fnd Exp'!BJ555</f>
        <v>-170911</v>
      </c>
      <c r="BN555" s="8">
        <v>1750432</v>
      </c>
      <c r="BP555" s="8">
        <v>-7640</v>
      </c>
      <c r="BT555" s="9">
        <f t="shared" si="37"/>
        <v>1571881</v>
      </c>
      <c r="BU555" s="9"/>
      <c r="BV555" s="9">
        <f>BT555-'Gov Fd BS'!AA558</f>
        <v>0</v>
      </c>
    </row>
    <row r="556" spans="1:76">
      <c r="A556" s="13" t="s">
        <v>555</v>
      </c>
      <c r="B556" s="13"/>
      <c r="C556" s="13" t="s">
        <v>50</v>
      </c>
      <c r="D556" s="13"/>
      <c r="E556" s="32">
        <v>48694</v>
      </c>
      <c r="G556" s="8">
        <v>16037204</v>
      </c>
      <c r="I556" s="8">
        <v>4585705</v>
      </c>
      <c r="K556" s="8">
        <v>0</v>
      </c>
      <c r="M556" s="8">
        <v>465724</v>
      </c>
      <c r="O556" s="8">
        <v>2267017</v>
      </c>
      <c r="Q556" s="8">
        <v>1970368</v>
      </c>
      <c r="S556" s="8">
        <v>43159</v>
      </c>
      <c r="U556" s="8">
        <v>2596684</v>
      </c>
      <c r="W556" s="8">
        <v>801436</v>
      </c>
      <c r="Y556" s="8">
        <v>436387</v>
      </c>
      <c r="AA556" s="8">
        <v>3260090</v>
      </c>
      <c r="AC556" s="8">
        <v>1498248</v>
      </c>
      <c r="AE556" s="8">
        <v>1452270</v>
      </c>
      <c r="AG556" s="8">
        <v>0</v>
      </c>
      <c r="AI556" s="8">
        <v>1942921</v>
      </c>
      <c r="AJ556" s="13" t="s">
        <v>555</v>
      </c>
      <c r="AK556" s="13"/>
      <c r="AL556" s="13" t="s">
        <v>50</v>
      </c>
      <c r="AN556" s="8">
        <v>523823</v>
      </c>
      <c r="AP556" s="8">
        <v>1638343</v>
      </c>
      <c r="AR556" s="8">
        <v>0</v>
      </c>
      <c r="AT556" s="8">
        <v>665000</v>
      </c>
      <c r="AV556" s="8">
        <v>1754000</v>
      </c>
      <c r="AX556" s="8">
        <v>0</v>
      </c>
      <c r="AZ556" s="9">
        <f t="shared" si="35"/>
        <v>41938379</v>
      </c>
      <c r="BB556" s="8">
        <v>332573</v>
      </c>
      <c r="BH556" s="8">
        <v>0</v>
      </c>
      <c r="BJ556" s="9">
        <f t="shared" si="36"/>
        <v>42270952</v>
      </c>
      <c r="BL556" s="9">
        <f>'Gov Fd Rv'!AQ556-'Gov Fnd Exp'!BJ556</f>
        <v>395755</v>
      </c>
      <c r="BN556" s="8">
        <v>17658294</v>
      </c>
      <c r="BP556" s="8">
        <v>0</v>
      </c>
      <c r="BT556" s="9">
        <f t="shared" si="37"/>
        <v>18054049</v>
      </c>
      <c r="BU556" s="9"/>
      <c r="BV556" s="9">
        <f>BT556-'Gov Fd BS'!AA559</f>
        <v>0</v>
      </c>
    </row>
    <row r="557" spans="1:76">
      <c r="A557" s="13" t="s">
        <v>542</v>
      </c>
      <c r="B557" s="13"/>
      <c r="C557" s="13" t="s">
        <v>48</v>
      </c>
      <c r="D557" s="13"/>
      <c r="E557" s="32">
        <v>44925</v>
      </c>
      <c r="G557" s="8">
        <v>22672330</v>
      </c>
      <c r="I557" s="8">
        <v>5867673</v>
      </c>
      <c r="K557" s="8">
        <v>0</v>
      </c>
      <c r="M557" s="8">
        <v>2181140</v>
      </c>
      <c r="O557" s="8">
        <v>2008083</v>
      </c>
      <c r="Q557" s="8">
        <v>1173391</v>
      </c>
      <c r="S557" s="8">
        <v>650911</v>
      </c>
      <c r="U557" s="8">
        <v>3260817</v>
      </c>
      <c r="W557" s="8">
        <v>487371</v>
      </c>
      <c r="Y557" s="8">
        <v>635562</v>
      </c>
      <c r="AA557" s="8">
        <v>3554627</v>
      </c>
      <c r="AC557" s="8">
        <v>1661505</v>
      </c>
      <c r="AE557" s="8">
        <v>64007</v>
      </c>
      <c r="AG557" s="8">
        <v>0</v>
      </c>
      <c r="AI557" s="8">
        <v>2454844</v>
      </c>
      <c r="AJ557" s="13" t="s">
        <v>542</v>
      </c>
      <c r="AK557" s="13"/>
      <c r="AL557" s="13" t="s">
        <v>48</v>
      </c>
      <c r="AN557" s="8">
        <v>175304</v>
      </c>
      <c r="AP557" s="8">
        <v>1699338</v>
      </c>
      <c r="AR557" s="8">
        <v>0</v>
      </c>
      <c r="AT557" s="8">
        <v>657733</v>
      </c>
      <c r="AV557" s="8">
        <v>866721</v>
      </c>
      <c r="AX557" s="8">
        <v>0</v>
      </c>
      <c r="AZ557" s="9">
        <f t="shared" si="35"/>
        <v>50071357</v>
      </c>
      <c r="BB557" s="8">
        <v>147084</v>
      </c>
      <c r="BH557" s="8">
        <v>0</v>
      </c>
      <c r="BJ557" s="9">
        <f t="shared" si="36"/>
        <v>50218441</v>
      </c>
      <c r="BL557" s="9">
        <f>'Gov Fd Rv'!AQ557-'Gov Fnd Exp'!BJ557</f>
        <v>277455</v>
      </c>
      <c r="BN557" s="8">
        <v>12523062</v>
      </c>
      <c r="BP557" s="8">
        <v>0</v>
      </c>
      <c r="BT557" s="9">
        <f t="shared" si="37"/>
        <v>12800517</v>
      </c>
      <c r="BU557" s="9"/>
      <c r="BV557" s="9">
        <f>BT557-'Gov Fd BS'!AA560</f>
        <v>0</v>
      </c>
    </row>
    <row r="558" spans="1:76">
      <c r="A558" s="13" t="s">
        <v>701</v>
      </c>
      <c r="B558" s="13"/>
      <c r="C558" s="13" t="s">
        <v>65</v>
      </c>
      <c r="D558" s="13"/>
      <c r="E558" s="32">
        <v>50302</v>
      </c>
      <c r="G558" s="8">
        <v>5721808</v>
      </c>
      <c r="I558" s="8">
        <v>781697</v>
      </c>
      <c r="K558" s="8">
        <v>132145</v>
      </c>
      <c r="M558" s="8">
        <v>936541</v>
      </c>
      <c r="O558" s="8">
        <v>501231</v>
      </c>
      <c r="Q558" s="8">
        <v>769589</v>
      </c>
      <c r="S558" s="8">
        <v>15787</v>
      </c>
      <c r="U558" s="8">
        <v>960292</v>
      </c>
      <c r="W558" s="8">
        <v>341596</v>
      </c>
      <c r="Y558" s="8">
        <v>0</v>
      </c>
      <c r="AA558" s="8">
        <v>983656</v>
      </c>
      <c r="AC558" s="8">
        <v>910228</v>
      </c>
      <c r="AE558" s="8">
        <v>69571</v>
      </c>
      <c r="AG558" s="8">
        <v>507840</v>
      </c>
      <c r="AI558" s="8">
        <v>0</v>
      </c>
      <c r="AJ558" s="13" t="s">
        <v>701</v>
      </c>
      <c r="AK558" s="13"/>
      <c r="AL558" s="13" t="s">
        <v>65</v>
      </c>
      <c r="AN558" s="8">
        <v>425966</v>
      </c>
      <c r="AP558" s="8">
        <v>88171</v>
      </c>
      <c r="AR558" s="8">
        <v>0</v>
      </c>
      <c r="AT558" s="8">
        <v>544667</v>
      </c>
      <c r="AV558" s="8">
        <v>116080</v>
      </c>
      <c r="AX558" s="8">
        <v>0</v>
      </c>
      <c r="AZ558" s="9">
        <f t="shared" si="35"/>
        <v>13806865</v>
      </c>
      <c r="BB558" s="8">
        <v>80</v>
      </c>
      <c r="BH558" s="8">
        <v>0</v>
      </c>
      <c r="BJ558" s="9">
        <f t="shared" si="36"/>
        <v>13806945</v>
      </c>
      <c r="BL558" s="9">
        <f>'Gov Fd Rv'!AQ558-'Gov Fnd Exp'!BJ558</f>
        <v>359846</v>
      </c>
      <c r="BN558" s="8">
        <v>1963208</v>
      </c>
      <c r="BP558" s="8">
        <v>-7116</v>
      </c>
      <c r="BT558" s="9">
        <f t="shared" si="37"/>
        <v>2315938</v>
      </c>
      <c r="BU558" s="9"/>
      <c r="BV558" s="9">
        <f>BT558-'Gov Fd BS'!AA561</f>
        <v>0</v>
      </c>
    </row>
    <row r="559" spans="1:76">
      <c r="A559" s="13" t="s">
        <v>661</v>
      </c>
      <c r="B559" s="13"/>
      <c r="C559" s="13" t="s">
        <v>62</v>
      </c>
      <c r="D559" s="13"/>
      <c r="E559" s="32">
        <v>49957</v>
      </c>
      <c r="G559" s="8">
        <v>5197226</v>
      </c>
      <c r="I559" s="8">
        <v>1561883</v>
      </c>
      <c r="K559" s="8">
        <v>189574</v>
      </c>
      <c r="M559" s="8">
        <v>10227</v>
      </c>
      <c r="O559" s="8">
        <v>607098</v>
      </c>
      <c r="Q559" s="8">
        <v>332430</v>
      </c>
      <c r="S559" s="8">
        <v>13547</v>
      </c>
      <c r="U559" s="8">
        <v>1014099</v>
      </c>
      <c r="W559" s="8">
        <v>339958</v>
      </c>
      <c r="Y559" s="8">
        <v>45109</v>
      </c>
      <c r="AA559" s="8">
        <v>1134037</v>
      </c>
      <c r="AC559" s="8">
        <v>821913</v>
      </c>
      <c r="AE559" s="8">
        <v>52953</v>
      </c>
      <c r="AG559" s="8">
        <v>0</v>
      </c>
      <c r="AI559" s="8">
        <v>466796</v>
      </c>
      <c r="AJ559" s="13" t="s">
        <v>661</v>
      </c>
      <c r="AK559" s="13"/>
      <c r="AL559" s="13" t="s">
        <v>62</v>
      </c>
      <c r="AN559" s="8">
        <v>682654</v>
      </c>
      <c r="AP559" s="8">
        <v>321344</v>
      </c>
      <c r="AR559" s="8">
        <v>0</v>
      </c>
      <c r="AT559" s="8">
        <v>444753</v>
      </c>
      <c r="AV559" s="8">
        <v>560292</v>
      </c>
      <c r="AX559" s="8">
        <v>0</v>
      </c>
      <c r="AZ559" s="9">
        <f t="shared" si="35"/>
        <v>13795893</v>
      </c>
      <c r="BB559" s="8">
        <v>358610</v>
      </c>
      <c r="BH559" s="8">
        <v>0</v>
      </c>
      <c r="BJ559" s="9">
        <f t="shared" si="36"/>
        <v>14154503</v>
      </c>
      <c r="BL559" s="9">
        <f>'Gov Fd Rv'!AQ559-'Gov Fnd Exp'!BJ559</f>
        <v>1478258</v>
      </c>
      <c r="BN559" s="8">
        <v>2009631</v>
      </c>
      <c r="BP559" s="8">
        <v>0</v>
      </c>
      <c r="BT559" s="9">
        <f t="shared" si="37"/>
        <v>3487889</v>
      </c>
      <c r="BU559" s="9"/>
      <c r="BV559" s="9">
        <f>BT559-'Gov Fd BS'!AA562</f>
        <v>0</v>
      </c>
    </row>
    <row r="560" spans="1:76" hidden="1">
      <c r="A560" s="12" t="s">
        <v>1025</v>
      </c>
      <c r="B560" s="13"/>
      <c r="C560" s="13" t="s">
        <v>57</v>
      </c>
      <c r="D560" s="13"/>
      <c r="E560" s="32">
        <v>49296</v>
      </c>
      <c r="G560" s="8">
        <v>3504594</v>
      </c>
      <c r="I560" s="8">
        <v>801679</v>
      </c>
      <c r="K560" s="8">
        <v>156027</v>
      </c>
      <c r="M560" s="8">
        <v>14180</v>
      </c>
      <c r="O560" s="8">
        <v>214285</v>
      </c>
      <c r="Q560" s="8">
        <v>297430</v>
      </c>
      <c r="S560" s="8">
        <v>117217</v>
      </c>
      <c r="U560" s="8">
        <v>1066889</v>
      </c>
      <c r="W560" s="8">
        <v>228394</v>
      </c>
      <c r="AA560" s="8">
        <v>996121</v>
      </c>
      <c r="AC560" s="8">
        <v>408536</v>
      </c>
      <c r="AE560" s="8">
        <v>84299</v>
      </c>
      <c r="AI560" s="8">
        <v>531293</v>
      </c>
      <c r="AJ560" s="13" t="s">
        <v>601</v>
      </c>
      <c r="AK560" s="13"/>
      <c r="AL560" s="13" t="s">
        <v>57</v>
      </c>
      <c r="AN560" s="8">
        <v>321281</v>
      </c>
      <c r="AP560" s="8">
        <v>2119</v>
      </c>
      <c r="AT560" s="8">
        <v>215000</v>
      </c>
      <c r="AV560" s="8">
        <v>139434</v>
      </c>
      <c r="AZ560" s="9">
        <f t="shared" si="35"/>
        <v>9098778</v>
      </c>
      <c r="BJ560" s="9">
        <f t="shared" si="36"/>
        <v>9098778</v>
      </c>
      <c r="BL560" s="9">
        <f>'Gov Fd Rv'!AQ560-'Gov Fnd Exp'!BJ560</f>
        <v>518950</v>
      </c>
      <c r="BN560" s="8">
        <v>1541498</v>
      </c>
      <c r="BT560" s="9">
        <f t="shared" si="37"/>
        <v>2060448</v>
      </c>
      <c r="BU560" s="9"/>
      <c r="BV560" s="9">
        <f>BT560-'Gov Fd BS'!AA563</f>
        <v>0</v>
      </c>
    </row>
    <row r="561" spans="1:76">
      <c r="A561" s="13" t="s">
        <v>673</v>
      </c>
      <c r="B561" s="13"/>
      <c r="C561" s="13" t="s">
        <v>63</v>
      </c>
      <c r="D561" s="13"/>
      <c r="E561" s="32">
        <v>50070</v>
      </c>
      <c r="G561" s="8">
        <v>20129068</v>
      </c>
      <c r="I561" s="8">
        <v>3149042</v>
      </c>
      <c r="K561" s="8">
        <v>313378</v>
      </c>
      <c r="M561" s="8">
        <v>51478</v>
      </c>
      <c r="O561" s="8">
        <v>3338526</v>
      </c>
      <c r="Q561" s="8">
        <v>840196</v>
      </c>
      <c r="S561" s="8">
        <v>260220</v>
      </c>
      <c r="U561" s="8">
        <v>3005223</v>
      </c>
      <c r="W561" s="8">
        <v>1139227</v>
      </c>
      <c r="Y561" s="8">
        <v>100642</v>
      </c>
      <c r="AA561" s="8">
        <v>4523910</v>
      </c>
      <c r="AC561" s="8">
        <v>2576379</v>
      </c>
      <c r="AE561" s="8">
        <v>744582</v>
      </c>
      <c r="AG561" s="8">
        <v>1352871</v>
      </c>
      <c r="AI561" s="8">
        <v>0</v>
      </c>
      <c r="AJ561" s="13" t="s">
        <v>673</v>
      </c>
      <c r="AK561" s="13"/>
      <c r="AL561" s="13" t="s">
        <v>63</v>
      </c>
      <c r="AN561" s="8">
        <v>1201269</v>
      </c>
      <c r="AP561" s="8">
        <v>820729</v>
      </c>
      <c r="AR561" s="8">
        <v>0</v>
      </c>
      <c r="AT561" s="8">
        <v>3399993</v>
      </c>
      <c r="AV561" s="8">
        <v>1129913</v>
      </c>
      <c r="AX561" s="8">
        <v>0</v>
      </c>
      <c r="AZ561" s="9">
        <f t="shared" si="35"/>
        <v>48076646</v>
      </c>
      <c r="BB561" s="8">
        <v>0</v>
      </c>
      <c r="BH561" s="8">
        <v>0</v>
      </c>
      <c r="BJ561" s="9">
        <f t="shared" si="36"/>
        <v>48076646</v>
      </c>
      <c r="BL561" s="9">
        <f>'Gov Fd Rv'!AQ561-'Gov Fnd Exp'!BJ561</f>
        <v>9714566</v>
      </c>
      <c r="BN561" s="8">
        <v>25103363</v>
      </c>
      <c r="BP561" s="8">
        <v>0</v>
      </c>
      <c r="BT561" s="9">
        <f t="shared" si="37"/>
        <v>34817929</v>
      </c>
      <c r="BU561" s="9"/>
      <c r="BV561" s="9">
        <f>BT561-'Gov Fd BS'!AA564</f>
        <v>0</v>
      </c>
    </row>
    <row r="562" spans="1:76">
      <c r="A562" s="13" t="s">
        <v>236</v>
      </c>
      <c r="B562" s="13"/>
      <c r="C562" s="13" t="s">
        <v>15</v>
      </c>
      <c r="D562" s="13"/>
      <c r="E562" s="32">
        <v>46011</v>
      </c>
      <c r="G562" s="8">
        <v>6423340</v>
      </c>
      <c r="I562" s="8">
        <v>1670818</v>
      </c>
      <c r="K562" s="8">
        <v>400429</v>
      </c>
      <c r="M562" s="8">
        <f>235383+9112</f>
        <v>244495</v>
      </c>
      <c r="O562" s="8">
        <v>631315</v>
      </c>
      <c r="Q562" s="8">
        <v>616982</v>
      </c>
      <c r="S562" s="8">
        <v>53298</v>
      </c>
      <c r="U562" s="8">
        <v>908774</v>
      </c>
      <c r="W562" s="8">
        <v>334989</v>
      </c>
      <c r="Y562" s="8">
        <v>0</v>
      </c>
      <c r="AA562" s="8">
        <v>1202068</v>
      </c>
      <c r="AC562" s="8">
        <v>699898</v>
      </c>
      <c r="AE562" s="8">
        <v>18534</v>
      </c>
      <c r="AG562" s="8">
        <v>578372</v>
      </c>
      <c r="AI562" s="8">
        <v>1479</v>
      </c>
      <c r="AJ562" s="13" t="s">
        <v>236</v>
      </c>
      <c r="AK562" s="13"/>
      <c r="AL562" s="13" t="s">
        <v>15</v>
      </c>
      <c r="AN562" s="8">
        <v>378968</v>
      </c>
      <c r="AP562" s="8">
        <v>411167</v>
      </c>
      <c r="AR562" s="8">
        <v>0</v>
      </c>
      <c r="AT562" s="8">
        <v>189668</v>
      </c>
      <c r="AV562" s="8">
        <v>111393</v>
      </c>
      <c r="AX562" s="8">
        <v>2768</v>
      </c>
      <c r="AZ562" s="9">
        <f t="shared" si="35"/>
        <v>14878755</v>
      </c>
      <c r="BB562" s="8">
        <v>118446</v>
      </c>
      <c r="BH562" s="8">
        <v>0</v>
      </c>
      <c r="BJ562" s="9">
        <f t="shared" si="36"/>
        <v>14997201</v>
      </c>
      <c r="BL562" s="9">
        <f>'Gov Fd Rv'!AQ562-'Gov Fnd Exp'!BJ562</f>
        <v>1930367</v>
      </c>
      <c r="BN562" s="8">
        <v>566534</v>
      </c>
      <c r="BP562" s="8">
        <v>0</v>
      </c>
      <c r="BT562" s="9">
        <f t="shared" si="37"/>
        <v>2496901</v>
      </c>
      <c r="BU562" s="9"/>
      <c r="BV562" s="9">
        <f>BT562-'Gov Fd BS'!AA565</f>
        <v>0</v>
      </c>
    </row>
    <row r="563" spans="1:76">
      <c r="A563" s="13" t="s">
        <v>620</v>
      </c>
      <c r="B563" s="13"/>
      <c r="C563" s="13" t="s">
        <v>58</v>
      </c>
      <c r="D563" s="13"/>
      <c r="E563" s="32">
        <v>49536</v>
      </c>
      <c r="G563" s="8">
        <v>8034964</v>
      </c>
      <c r="I563" s="8">
        <v>1216625</v>
      </c>
      <c r="K563" s="8">
        <v>8831</v>
      </c>
      <c r="M563" s="8">
        <v>0</v>
      </c>
      <c r="O563" s="8">
        <v>884336</v>
      </c>
      <c r="Q563" s="8">
        <v>672742</v>
      </c>
      <c r="S563" s="8">
        <v>1574527</v>
      </c>
      <c r="U563" s="8">
        <v>1090477</v>
      </c>
      <c r="W563" s="8">
        <v>394874</v>
      </c>
      <c r="Y563" s="8">
        <v>36182</v>
      </c>
      <c r="AA563" s="8">
        <v>1610763</v>
      </c>
      <c r="AC563" s="8">
        <v>736771</v>
      </c>
      <c r="AE563" s="8">
        <v>9000</v>
      </c>
      <c r="AG563" s="8">
        <v>835078</v>
      </c>
      <c r="AI563" s="8">
        <v>0</v>
      </c>
      <c r="AJ563" s="13" t="s">
        <v>620</v>
      </c>
      <c r="AK563" s="13"/>
      <c r="AL563" s="13" t="s">
        <v>58</v>
      </c>
      <c r="AN563" s="8">
        <v>196734</v>
      </c>
      <c r="AP563" s="8">
        <v>812720</v>
      </c>
      <c r="AR563" s="8">
        <v>0</v>
      </c>
      <c r="AT563" s="8">
        <v>322802</v>
      </c>
      <c r="AV563" s="8">
        <v>160829</v>
      </c>
      <c r="AX563" s="8">
        <v>10100</v>
      </c>
      <c r="AZ563" s="9">
        <f t="shared" si="35"/>
        <v>18608355</v>
      </c>
      <c r="BB563" s="8">
        <v>10259</v>
      </c>
      <c r="BH563" s="8">
        <v>0</v>
      </c>
      <c r="BJ563" s="9">
        <f t="shared" si="36"/>
        <v>18618614</v>
      </c>
      <c r="BL563" s="9">
        <f>'Gov Fd Rv'!AQ563-'Gov Fnd Exp'!BJ563</f>
        <v>1915921</v>
      </c>
      <c r="BN563" s="8">
        <v>7753166</v>
      </c>
      <c r="BP563" s="8">
        <v>0</v>
      </c>
      <c r="BT563" s="9">
        <f t="shared" si="37"/>
        <v>9669087</v>
      </c>
      <c r="BU563" s="9"/>
      <c r="BV563" s="9">
        <f>BT563-'Gov Fd BS'!AA566</f>
        <v>0</v>
      </c>
    </row>
    <row r="564" spans="1:76">
      <c r="A564" s="13" t="s">
        <v>285</v>
      </c>
      <c r="B564" s="13"/>
      <c r="C564" s="13" t="s">
        <v>114</v>
      </c>
      <c r="D564" s="13"/>
      <c r="E564" s="32">
        <v>46458</v>
      </c>
      <c r="G564" s="8">
        <v>5707160</v>
      </c>
      <c r="I564" s="8">
        <v>1769738</v>
      </c>
      <c r="K564" s="8">
        <v>197470</v>
      </c>
      <c r="M564" s="8">
        <f>12573+14195</f>
        <v>26768</v>
      </c>
      <c r="O564" s="8">
        <v>320629</v>
      </c>
      <c r="Q564" s="8">
        <v>496173</v>
      </c>
      <c r="S564" s="8">
        <v>60541</v>
      </c>
      <c r="U564" s="8">
        <v>841363</v>
      </c>
      <c r="W564" s="8">
        <v>277944</v>
      </c>
      <c r="Y564" s="8">
        <v>73404</v>
      </c>
      <c r="AA564" s="8">
        <v>1068787</v>
      </c>
      <c r="AC564" s="8">
        <v>774727</v>
      </c>
      <c r="AE564" s="8">
        <v>33291</v>
      </c>
      <c r="AG564" s="8">
        <v>585622</v>
      </c>
      <c r="AI564" s="8">
        <v>1197</v>
      </c>
      <c r="AJ564" s="13" t="s">
        <v>285</v>
      </c>
      <c r="AK564" s="13"/>
      <c r="AL564" s="13" t="s">
        <v>114</v>
      </c>
      <c r="AN564" s="8">
        <v>469391</v>
      </c>
      <c r="AP564" s="8">
        <v>114861</v>
      </c>
      <c r="AR564" s="8">
        <v>0</v>
      </c>
      <c r="AT564" s="8">
        <v>20359</v>
      </c>
      <c r="AV564" s="8">
        <v>5754</v>
      </c>
      <c r="AX564" s="8">
        <v>0</v>
      </c>
      <c r="AZ564" s="9">
        <f t="shared" si="35"/>
        <v>12845179</v>
      </c>
      <c r="BB564" s="8">
        <v>17768</v>
      </c>
      <c r="BH564" s="8">
        <v>0</v>
      </c>
      <c r="BJ564" s="9">
        <f t="shared" si="36"/>
        <v>12862947</v>
      </c>
      <c r="BL564" s="9">
        <f>'Gov Fd Rv'!AQ564-'Gov Fnd Exp'!BJ564</f>
        <v>-162230</v>
      </c>
      <c r="BN564" s="8">
        <v>3960035</v>
      </c>
      <c r="BP564" s="8">
        <v>0</v>
      </c>
      <c r="BT564" s="9">
        <f t="shared" si="37"/>
        <v>3797805</v>
      </c>
      <c r="BU564" s="9"/>
      <c r="BV564" s="9">
        <f>BT564-'Gov Fd BS'!AA567</f>
        <v>0</v>
      </c>
    </row>
    <row r="565" spans="1:76">
      <c r="A565" s="13" t="s">
        <v>364</v>
      </c>
      <c r="B565" s="13"/>
      <c r="C565" s="13" t="s">
        <v>27</v>
      </c>
      <c r="D565" s="13"/>
      <c r="E565" s="32">
        <v>44933</v>
      </c>
      <c r="G565" s="8">
        <v>37671242</v>
      </c>
      <c r="I565" s="8">
        <v>8098773</v>
      </c>
      <c r="K565" s="8">
        <v>149739</v>
      </c>
      <c r="M565" s="8">
        <v>0</v>
      </c>
      <c r="O565" s="8">
        <v>4162210</v>
      </c>
      <c r="Q565" s="8">
        <v>6069882</v>
      </c>
      <c r="S565" s="8">
        <v>42522</v>
      </c>
      <c r="U565" s="8">
        <v>4699607</v>
      </c>
      <c r="W565" s="8">
        <v>1351377</v>
      </c>
      <c r="Y565" s="8">
        <v>593514</v>
      </c>
      <c r="AA565" s="8">
        <v>6492674</v>
      </c>
      <c r="AC565" s="8">
        <v>1612760</v>
      </c>
      <c r="AE565" s="8">
        <v>1976440</v>
      </c>
      <c r="AG565" s="8">
        <v>1385382</v>
      </c>
      <c r="AI565" s="8">
        <v>3211263</v>
      </c>
      <c r="AJ565" s="13" t="s">
        <v>364</v>
      </c>
      <c r="AK565" s="13"/>
      <c r="AL565" s="13" t="s">
        <v>27</v>
      </c>
      <c r="AN565" s="8">
        <v>2659152</v>
      </c>
      <c r="AP565" s="8">
        <v>4703332</v>
      </c>
      <c r="AR565" s="8">
        <v>0</v>
      </c>
      <c r="AT565" s="8">
        <v>1705000</v>
      </c>
      <c r="AV565" s="8">
        <v>1281394</v>
      </c>
      <c r="AX565" s="8">
        <v>0</v>
      </c>
      <c r="AZ565" s="9">
        <f t="shared" si="35"/>
        <v>87866263</v>
      </c>
      <c r="BB565" s="8">
        <v>97550</v>
      </c>
      <c r="BH565" s="8">
        <v>0</v>
      </c>
      <c r="BJ565" s="9">
        <f t="shared" si="36"/>
        <v>87963813</v>
      </c>
      <c r="BL565" s="9">
        <f>'Gov Fd Rv'!AQ565-'Gov Fnd Exp'!BJ565</f>
        <v>8621376</v>
      </c>
      <c r="BN565" s="8">
        <v>47294508</v>
      </c>
      <c r="BP565" s="8">
        <v>0</v>
      </c>
      <c r="BT565" s="9">
        <f t="shared" si="37"/>
        <v>55915884</v>
      </c>
      <c r="BU565" s="9"/>
      <c r="BV565" s="9">
        <f>BT565-'Gov Fd BS'!AA568</f>
        <v>0</v>
      </c>
    </row>
    <row r="566" spans="1:76" hidden="1">
      <c r="A566" s="12" t="s">
        <v>1026</v>
      </c>
      <c r="B566" s="13"/>
      <c r="C566" s="13" t="s">
        <v>740</v>
      </c>
      <c r="D566" s="13"/>
      <c r="E566" s="32">
        <v>45625</v>
      </c>
      <c r="G566" s="8">
        <v>6150215</v>
      </c>
      <c r="I566" s="8">
        <v>1284642</v>
      </c>
      <c r="K566" s="8">
        <v>80333</v>
      </c>
      <c r="M566" s="8">
        <f>25623+1122216</f>
        <v>1147839</v>
      </c>
      <c r="O566" s="8">
        <v>891866</v>
      </c>
      <c r="Q566" s="8">
        <v>585848</v>
      </c>
      <c r="S566" s="8">
        <v>52460</v>
      </c>
      <c r="U566" s="8">
        <v>1317453</v>
      </c>
      <c r="W566" s="8">
        <v>828126</v>
      </c>
      <c r="AA566" s="8">
        <v>1456839</v>
      </c>
      <c r="AC566" s="8">
        <v>976053</v>
      </c>
      <c r="AE566" s="8">
        <v>38373</v>
      </c>
      <c r="AI566" s="8">
        <v>702105</v>
      </c>
      <c r="AJ566" s="13" t="s">
        <v>742</v>
      </c>
      <c r="AK566" s="13"/>
      <c r="AL566" s="13" t="s">
        <v>740</v>
      </c>
      <c r="AN566" s="8">
        <v>601832</v>
      </c>
      <c r="AT566" s="8">
        <v>490577</v>
      </c>
      <c r="AV566" s="8">
        <v>45331</v>
      </c>
      <c r="AZ566" s="9">
        <f t="shared" si="35"/>
        <v>16649892</v>
      </c>
      <c r="BH566" s="8">
        <v>-357000</v>
      </c>
      <c r="BJ566" s="9">
        <f t="shared" si="36"/>
        <v>16292892</v>
      </c>
      <c r="BL566" s="9">
        <f>'Gov Fd Rv'!AQ566-'Gov Fnd Exp'!BJ566</f>
        <v>303993</v>
      </c>
      <c r="BN566" s="8">
        <v>4678515</v>
      </c>
      <c r="BT566" s="9">
        <f t="shared" si="37"/>
        <v>4982508</v>
      </c>
      <c r="BU566" s="9"/>
      <c r="BV566" s="9">
        <f>BT566-'Gov Fd BS'!AA569</f>
        <v>0</v>
      </c>
    </row>
    <row r="567" spans="1:76" hidden="1">
      <c r="A567" s="12" t="s">
        <v>1027</v>
      </c>
      <c r="B567" s="13"/>
      <c r="C567" s="13" t="s">
        <v>421</v>
      </c>
      <c r="D567" s="13"/>
      <c r="E567" s="32">
        <v>47522</v>
      </c>
      <c r="G567" s="8">
        <v>2204864</v>
      </c>
      <c r="I567" s="8">
        <v>822104</v>
      </c>
      <c r="K567" s="8">
        <v>2110</v>
      </c>
      <c r="M567" s="8">
        <v>740750</v>
      </c>
      <c r="O567" s="8">
        <v>112394</v>
      </c>
      <c r="Q567" s="8">
        <v>157589</v>
      </c>
      <c r="S567" s="8">
        <v>60875</v>
      </c>
      <c r="U567" s="8">
        <v>636244</v>
      </c>
      <c r="W567" s="8">
        <v>267785</v>
      </c>
      <c r="AA567" s="8">
        <v>774201</v>
      </c>
      <c r="AC567" s="8">
        <v>339215</v>
      </c>
      <c r="AE567" s="8">
        <v>270648</v>
      </c>
      <c r="AG567" s="8">
        <v>253391</v>
      </c>
      <c r="AI567" s="8">
        <v>147</v>
      </c>
      <c r="AJ567" s="13" t="s">
        <v>426</v>
      </c>
      <c r="AK567" s="13"/>
      <c r="AL567" s="13" t="s">
        <v>421</v>
      </c>
      <c r="AN567" s="8">
        <v>186771</v>
      </c>
      <c r="AP567" s="8">
        <v>116886</v>
      </c>
      <c r="AT567" s="8">
        <v>85000</v>
      </c>
      <c r="AV567" s="8">
        <v>88629</v>
      </c>
      <c r="AZ567" s="9">
        <f t="shared" si="35"/>
        <v>7119603</v>
      </c>
      <c r="BH567" s="8">
        <f>-395-284000-576000</f>
        <v>-860395</v>
      </c>
      <c r="BJ567" s="9">
        <f t="shared" si="36"/>
        <v>6259208</v>
      </c>
      <c r="BL567" s="9">
        <f>'Gov Fd Rv'!AQ567-'Gov Fnd Exp'!BJ567</f>
        <v>1125691</v>
      </c>
      <c r="BN567" s="8">
        <v>3759497</v>
      </c>
      <c r="BT567" s="9">
        <f t="shared" si="37"/>
        <v>4885188</v>
      </c>
      <c r="BU567" s="9"/>
      <c r="BV567" s="9">
        <f>BT567-'Gov Fd BS'!AA570</f>
        <v>0</v>
      </c>
    </row>
    <row r="568" spans="1:76">
      <c r="A568" s="13" t="s">
        <v>258</v>
      </c>
      <c r="B568" s="13"/>
      <c r="C568" s="13" t="s">
        <v>255</v>
      </c>
      <c r="D568" s="13"/>
      <c r="E568" s="32">
        <v>44941</v>
      </c>
      <c r="G568" s="8">
        <v>10731625</v>
      </c>
      <c r="I568" s="8">
        <v>4221880</v>
      </c>
      <c r="K568" s="8">
        <v>324324</v>
      </c>
      <c r="M568" s="8">
        <v>83019</v>
      </c>
      <c r="O568" s="8">
        <v>1199978</v>
      </c>
      <c r="Q568" s="8">
        <v>554249</v>
      </c>
      <c r="S568" s="8">
        <v>22258</v>
      </c>
      <c r="U568" s="8">
        <v>1855005</v>
      </c>
      <c r="W568" s="8">
        <v>329871</v>
      </c>
      <c r="Y568" s="8">
        <v>319694</v>
      </c>
      <c r="AA568" s="8">
        <v>1601113</v>
      </c>
      <c r="AC568" s="8">
        <v>773672</v>
      </c>
      <c r="AE568" s="8">
        <v>185400</v>
      </c>
      <c r="AG568" s="8">
        <v>935538</v>
      </c>
      <c r="AI568" s="8">
        <v>82081</v>
      </c>
      <c r="AJ568" s="13" t="s">
        <v>258</v>
      </c>
      <c r="AK568" s="13"/>
      <c r="AL568" s="13" t="s">
        <v>255</v>
      </c>
      <c r="AN568" s="8">
        <v>764084</v>
      </c>
      <c r="AP568" s="8">
        <v>363606</v>
      </c>
      <c r="AR568" s="8">
        <v>0</v>
      </c>
      <c r="AT568" s="8">
        <v>276562</v>
      </c>
      <c r="AV568" s="8">
        <v>90193</v>
      </c>
      <c r="AX568" s="8">
        <v>0</v>
      </c>
      <c r="AZ568" s="9">
        <f t="shared" ref="AZ568:AZ631" si="38">SUM(G568:AX568)</f>
        <v>24714152</v>
      </c>
      <c r="BB568" s="8">
        <v>0</v>
      </c>
      <c r="BH568" s="8">
        <v>0</v>
      </c>
      <c r="BJ568" s="9">
        <f t="shared" ref="BJ568:BJ631" si="39">AZ568+BB568+BH568</f>
        <v>24714152</v>
      </c>
      <c r="BL568" s="9">
        <f>'Gov Fd Rv'!AQ568-'Gov Fnd Exp'!BJ568</f>
        <v>1566480</v>
      </c>
      <c r="BN568" s="8">
        <v>3724491</v>
      </c>
      <c r="BP568" s="8">
        <v>-162</v>
      </c>
      <c r="BT568" s="9">
        <f t="shared" si="37"/>
        <v>5290809</v>
      </c>
      <c r="BU568" s="9"/>
      <c r="BV568" s="9">
        <f>BT568-'Gov Fd BS'!AA571</f>
        <v>0</v>
      </c>
    </row>
    <row r="569" spans="1:76" hidden="1">
      <c r="A569" s="12" t="s">
        <v>1028</v>
      </c>
      <c r="B569" s="13"/>
      <c r="C569" s="13" t="s">
        <v>59</v>
      </c>
      <c r="D569" s="13"/>
      <c r="E569" s="32">
        <v>49643</v>
      </c>
      <c r="G569" s="8">
        <v>5311421</v>
      </c>
      <c r="I569" s="8">
        <v>1217099</v>
      </c>
      <c r="K569" s="8">
        <v>168855</v>
      </c>
      <c r="M569" s="8">
        <v>211211</v>
      </c>
      <c r="O569" s="8">
        <v>498735</v>
      </c>
      <c r="Q569" s="8">
        <v>767606</v>
      </c>
      <c r="S569" s="8">
        <v>46585</v>
      </c>
      <c r="U569" s="8">
        <v>791109</v>
      </c>
      <c r="W569" s="8">
        <v>222864</v>
      </c>
      <c r="AA569" s="8">
        <v>1127923</v>
      </c>
      <c r="AC569" s="8">
        <v>697445</v>
      </c>
      <c r="AE569" s="8">
        <v>343307</v>
      </c>
      <c r="AI569" s="8">
        <v>455319</v>
      </c>
      <c r="AJ569" s="13" t="s">
        <v>632</v>
      </c>
      <c r="AK569" s="13"/>
      <c r="AL569" s="13" t="s">
        <v>59</v>
      </c>
      <c r="AN569" s="8">
        <v>275687</v>
      </c>
      <c r="AP569" s="8">
        <v>23828</v>
      </c>
      <c r="AT569" s="8">
        <v>185000</v>
      </c>
      <c r="AV569" s="8">
        <v>38708</v>
      </c>
      <c r="AZ569" s="9">
        <f t="shared" si="38"/>
        <v>12382702</v>
      </c>
      <c r="BH569" s="8">
        <v>-3255</v>
      </c>
      <c r="BJ569" s="9">
        <f t="shared" si="39"/>
        <v>12379447</v>
      </c>
      <c r="BL569" s="9">
        <f>'Gov Fd Rv'!AQ569-'Gov Fnd Exp'!BJ569</f>
        <v>-511589</v>
      </c>
      <c r="BN569" s="8">
        <v>3635604</v>
      </c>
      <c r="BT569" s="9">
        <f t="shared" si="37"/>
        <v>3124015</v>
      </c>
      <c r="BU569" s="9"/>
      <c r="BV569" s="9">
        <f>BT569-'Gov Fd BS'!AA572</f>
        <v>0</v>
      </c>
    </row>
    <row r="570" spans="1:76">
      <c r="A570" s="13" t="s">
        <v>556</v>
      </c>
      <c r="B570" s="13"/>
      <c r="C570" s="13" t="s">
        <v>50</v>
      </c>
      <c r="D570" s="13"/>
      <c r="E570" s="32">
        <v>48744</v>
      </c>
      <c r="G570" s="8">
        <v>8258402</v>
      </c>
      <c r="I570" s="8">
        <v>1580760</v>
      </c>
      <c r="K570" s="8">
        <v>372192</v>
      </c>
      <c r="M570" s="8">
        <v>434813</v>
      </c>
      <c r="O570" s="8">
        <v>1009314</v>
      </c>
      <c r="Q570" s="8">
        <v>1290660</v>
      </c>
      <c r="S570" s="8">
        <v>25976</v>
      </c>
      <c r="U570" s="8">
        <v>1417534</v>
      </c>
      <c r="W570" s="8">
        <v>319064</v>
      </c>
      <c r="Y570" s="8">
        <v>13261</v>
      </c>
      <c r="AA570" s="8">
        <v>1881160</v>
      </c>
      <c r="AC570" s="8">
        <v>1239407</v>
      </c>
      <c r="AE570" s="8">
        <v>387430</v>
      </c>
      <c r="AG570" s="8">
        <v>696749</v>
      </c>
      <c r="AI570" s="8">
        <v>91061</v>
      </c>
      <c r="AJ570" s="13" t="s">
        <v>556</v>
      </c>
      <c r="AK570" s="13"/>
      <c r="AL570" s="13" t="s">
        <v>50</v>
      </c>
      <c r="AN570" s="8">
        <v>682873</v>
      </c>
      <c r="AP570" s="8">
        <f>410+4629</f>
        <v>5039</v>
      </c>
      <c r="AR570" s="8">
        <v>0</v>
      </c>
      <c r="AT570" s="8">
        <v>124871</v>
      </c>
      <c r="AV570" s="8">
        <v>60493</v>
      </c>
      <c r="AX570" s="8">
        <v>0</v>
      </c>
      <c r="AZ570" s="9">
        <f t="shared" si="38"/>
        <v>19891059</v>
      </c>
      <c r="BB570" s="8">
        <v>53200</v>
      </c>
      <c r="BH570" s="8">
        <v>0</v>
      </c>
      <c r="BJ570" s="9">
        <f t="shared" si="39"/>
        <v>19944259</v>
      </c>
      <c r="BL570" s="9">
        <f>'Gov Fd Rv'!AQ570-'Gov Fnd Exp'!BJ570</f>
        <v>-492610</v>
      </c>
      <c r="BN570" s="8">
        <v>6593118</v>
      </c>
      <c r="BP570" s="8">
        <v>-1996</v>
      </c>
      <c r="BT570" s="9">
        <f t="shared" ref="BT570:BT631" si="40">BL570+BN570+BP570+BR570</f>
        <v>6098512</v>
      </c>
      <c r="BU570" s="9"/>
      <c r="BV570" s="9">
        <f>BT570-'Gov Fd BS'!AA573</f>
        <v>0</v>
      </c>
    </row>
    <row r="571" spans="1:76">
      <c r="A571" s="13" t="s">
        <v>419</v>
      </c>
      <c r="B571" s="13"/>
      <c r="C571" s="13" t="s">
        <v>33</v>
      </c>
      <c r="D571" s="13"/>
      <c r="E571" s="32">
        <v>47464</v>
      </c>
      <c r="G571" s="8">
        <v>4462527</v>
      </c>
      <c r="I571" s="8">
        <v>968918</v>
      </c>
      <c r="K571" s="8">
        <v>203148</v>
      </c>
      <c r="M571" s="8">
        <v>0</v>
      </c>
      <c r="O571" s="8">
        <v>307483</v>
      </c>
      <c r="Q571" s="8">
        <v>327447</v>
      </c>
      <c r="S571" s="8">
        <v>65411</v>
      </c>
      <c r="U571" s="8">
        <v>742318</v>
      </c>
      <c r="W571" s="8">
        <v>431166</v>
      </c>
      <c r="Y571" s="8">
        <v>0</v>
      </c>
      <c r="AA571" s="8">
        <v>1039244</v>
      </c>
      <c r="AC571" s="8">
        <v>422367</v>
      </c>
      <c r="AE571" s="8">
        <v>29681</v>
      </c>
      <c r="AG571" s="8">
        <v>0</v>
      </c>
      <c r="AI571" s="8">
        <v>268515</v>
      </c>
      <c r="AJ571" s="13" t="s">
        <v>419</v>
      </c>
      <c r="AK571" s="13"/>
      <c r="AL571" s="13" t="s">
        <v>33</v>
      </c>
      <c r="AN571" s="8">
        <v>404056</v>
      </c>
      <c r="AP571" s="8">
        <v>778512</v>
      </c>
      <c r="AR571" s="8">
        <v>0</v>
      </c>
      <c r="AT571" s="8">
        <v>540000</v>
      </c>
      <c r="AV571" s="8">
        <v>415300</v>
      </c>
      <c r="AX571" s="8">
        <v>0</v>
      </c>
      <c r="AZ571" s="9">
        <f t="shared" si="38"/>
        <v>11406093</v>
      </c>
      <c r="BB571" s="8">
        <v>42296</v>
      </c>
      <c r="BH571" s="8">
        <v>0</v>
      </c>
      <c r="BJ571" s="9">
        <f t="shared" si="39"/>
        <v>11448389</v>
      </c>
      <c r="BL571" s="9">
        <f>'Gov Fd Rv'!AQ571-'Gov Fnd Exp'!BJ571</f>
        <v>705420</v>
      </c>
      <c r="BN571" s="8">
        <v>6134530</v>
      </c>
      <c r="BP571" s="8">
        <v>0</v>
      </c>
      <c r="BT571" s="9">
        <f t="shared" si="40"/>
        <v>6839950</v>
      </c>
      <c r="BU571" s="9"/>
      <c r="BV571" s="9">
        <f>BT571-'Gov Fd BS'!AA577</f>
        <v>0</v>
      </c>
    </row>
    <row r="572" spans="1:76">
      <c r="A572" s="13" t="s">
        <v>706</v>
      </c>
      <c r="B572" s="13"/>
      <c r="C572" s="13" t="s">
        <v>67</v>
      </c>
      <c r="D572" s="13"/>
      <c r="E572" s="32">
        <v>44966</v>
      </c>
      <c r="G572" s="8">
        <v>10380796</v>
      </c>
      <c r="I572" s="8">
        <v>2698355</v>
      </c>
      <c r="K572" s="8">
        <v>16099</v>
      </c>
      <c r="M572" s="8">
        <v>0</v>
      </c>
      <c r="O572" s="8">
        <v>871764</v>
      </c>
      <c r="Q572" s="8">
        <v>1103915</v>
      </c>
      <c r="S572" s="8">
        <v>36534</v>
      </c>
      <c r="U572" s="8">
        <v>1519372</v>
      </c>
      <c r="W572" s="8">
        <v>547004</v>
      </c>
      <c r="Y572" s="8">
        <v>0</v>
      </c>
      <c r="AA572" s="8">
        <v>1894692</v>
      </c>
      <c r="AC572" s="8">
        <v>410946</v>
      </c>
      <c r="AE572" s="8">
        <v>275281</v>
      </c>
      <c r="AG572" s="8">
        <v>0</v>
      </c>
      <c r="AI572" s="8">
        <v>994354</v>
      </c>
      <c r="AJ572" s="13" t="s">
        <v>706</v>
      </c>
      <c r="AK572" s="13"/>
      <c r="AL572" s="13" t="s">
        <v>67</v>
      </c>
      <c r="AN572" s="8">
        <v>493971</v>
      </c>
      <c r="AP572" s="8">
        <v>14312</v>
      </c>
      <c r="AR572" s="8">
        <v>0</v>
      </c>
      <c r="AT572" s="8">
        <v>367212</v>
      </c>
      <c r="AV572" s="8">
        <v>1462692</v>
      </c>
      <c r="AX572" s="8">
        <v>0</v>
      </c>
      <c r="AZ572" s="9">
        <f t="shared" si="38"/>
        <v>23087299</v>
      </c>
      <c r="BB572" s="8">
        <v>0</v>
      </c>
      <c r="BH572" s="8">
        <v>0</v>
      </c>
      <c r="BJ572" s="9">
        <f t="shared" si="39"/>
        <v>23087299</v>
      </c>
      <c r="BL572" s="9">
        <f>'Gov Fd Rv'!AQ572-'Gov Fnd Exp'!BJ572</f>
        <v>899600</v>
      </c>
      <c r="BN572" s="8">
        <v>6150353</v>
      </c>
      <c r="BP572" s="8">
        <v>0</v>
      </c>
      <c r="BT572" s="9">
        <f t="shared" si="40"/>
        <v>7049953</v>
      </c>
      <c r="BU572" s="9"/>
      <c r="BV572" s="9">
        <f>BT572-'Gov Fd BS'!AA578</f>
        <v>0</v>
      </c>
    </row>
    <row r="573" spans="1:76">
      <c r="A573" s="13" t="s">
        <v>557</v>
      </c>
      <c r="B573" s="13"/>
      <c r="C573" s="13" t="s">
        <v>50</v>
      </c>
      <c r="D573" s="13"/>
      <c r="E573" s="32">
        <v>44958</v>
      </c>
      <c r="G573" s="8">
        <v>15620976</v>
      </c>
      <c r="I573" s="8">
        <v>3855994</v>
      </c>
      <c r="K573" s="8">
        <v>325696</v>
      </c>
      <c r="M573" s="8">
        <v>2426088</v>
      </c>
      <c r="O573" s="8">
        <v>2377913</v>
      </c>
      <c r="Q573" s="8">
        <v>2144165</v>
      </c>
      <c r="S573" s="8">
        <v>81358</v>
      </c>
      <c r="U573" s="8">
        <v>2232250</v>
      </c>
      <c r="W573" s="8">
        <v>1247597</v>
      </c>
      <c r="Y573" s="8">
        <v>0</v>
      </c>
      <c r="AA573" s="8">
        <v>2716408</v>
      </c>
      <c r="AC573" s="8">
        <v>1430948</v>
      </c>
      <c r="AE573" s="8">
        <v>602677</v>
      </c>
      <c r="AG573" s="8">
        <v>0</v>
      </c>
      <c r="AI573" s="8">
        <v>1552635</v>
      </c>
      <c r="AJ573" s="13" t="s">
        <v>557</v>
      </c>
      <c r="AK573" s="13"/>
      <c r="AL573" s="13" t="s">
        <v>50</v>
      </c>
      <c r="AN573" s="8">
        <v>539360</v>
      </c>
      <c r="AP573" s="8">
        <v>805946</v>
      </c>
      <c r="AR573" s="8">
        <v>0</v>
      </c>
      <c r="AT573" s="8">
        <v>51954</v>
      </c>
      <c r="AV573" s="8">
        <v>467481</v>
      </c>
      <c r="AX573" s="8">
        <v>295700</v>
      </c>
      <c r="AZ573" s="9">
        <f t="shared" si="38"/>
        <v>38775146</v>
      </c>
      <c r="BB573" s="8">
        <v>0</v>
      </c>
      <c r="BH573" s="8">
        <v>0</v>
      </c>
      <c r="BJ573" s="9">
        <f t="shared" si="39"/>
        <v>38775146</v>
      </c>
      <c r="BL573" s="9">
        <f>'Gov Fd Rv'!AQ573-'Gov Fnd Exp'!BJ573</f>
        <v>26590332</v>
      </c>
      <c r="BN573" s="8">
        <v>13572390</v>
      </c>
      <c r="BP573" s="8">
        <v>0</v>
      </c>
      <c r="BT573" s="9">
        <f t="shared" si="40"/>
        <v>40162722</v>
      </c>
      <c r="BU573" s="9"/>
      <c r="BV573" s="9">
        <f>BT573-'Gov Fd BS'!AA579</f>
        <v>0</v>
      </c>
    </row>
    <row r="574" spans="1:76" hidden="1">
      <c r="A574" s="12" t="s">
        <v>1031</v>
      </c>
      <c r="B574" s="13"/>
      <c r="C574" s="13" t="s">
        <v>33</v>
      </c>
      <c r="D574" s="13"/>
      <c r="E574" s="32">
        <v>47472</v>
      </c>
      <c r="G574" s="8">
        <v>1268076</v>
      </c>
      <c r="I574" s="8">
        <v>353264</v>
      </c>
      <c r="K574" s="8">
        <v>95710</v>
      </c>
      <c r="O574" s="8">
        <v>98774</v>
      </c>
      <c r="Q574" s="8">
        <v>89171</v>
      </c>
      <c r="S574" s="8">
        <v>35127</v>
      </c>
      <c r="U574" s="8">
        <v>267379</v>
      </c>
      <c r="W574" s="8">
        <v>128638</v>
      </c>
      <c r="AA574" s="8">
        <v>287123</v>
      </c>
      <c r="AC574" s="8">
        <v>137556</v>
      </c>
      <c r="AE574" s="8">
        <v>39485</v>
      </c>
      <c r="AG574" s="8">
        <v>94971</v>
      </c>
      <c r="AJ574" s="13" t="s">
        <v>420</v>
      </c>
      <c r="AK574" s="13"/>
      <c r="AL574" s="13" t="s">
        <v>33</v>
      </c>
      <c r="AN574" s="8">
        <v>116468</v>
      </c>
      <c r="AT574" s="8">
        <v>14206</v>
      </c>
      <c r="AV574" s="8">
        <v>249</v>
      </c>
      <c r="AZ574" s="9">
        <f t="shared" si="38"/>
        <v>3026197</v>
      </c>
      <c r="BH574" s="8">
        <f>90-840-1000</f>
        <v>-1750</v>
      </c>
      <c r="BJ574" s="9">
        <f t="shared" si="39"/>
        <v>3024447</v>
      </c>
      <c r="BL574" s="9">
        <f>'Gov Fd Rv'!AQ574-'Gov Fnd Exp'!BJ574</f>
        <v>551971</v>
      </c>
      <c r="BN574" s="8">
        <v>1311041</v>
      </c>
      <c r="BT574" s="9">
        <f t="shared" si="40"/>
        <v>1863012</v>
      </c>
      <c r="BU574" s="9"/>
      <c r="BV574" s="9">
        <f>BT574-'Gov Fd BS'!AA580</f>
        <v>0</v>
      </c>
    </row>
    <row r="575" spans="1:76">
      <c r="A575" s="13" t="s">
        <v>342</v>
      </c>
      <c r="B575" s="13"/>
      <c r="C575" s="13" t="s">
        <v>24</v>
      </c>
      <c r="D575" s="13"/>
      <c r="E575" s="32">
        <v>46821</v>
      </c>
      <c r="G575" s="8">
        <v>9374179</v>
      </c>
      <c r="I575" s="8">
        <v>2134841</v>
      </c>
      <c r="K575" s="8">
        <v>349851</v>
      </c>
      <c r="M575" s="8">
        <v>1409337</v>
      </c>
      <c r="O575" s="8">
        <v>1429786</v>
      </c>
      <c r="Q575" s="8">
        <v>1478871</v>
      </c>
      <c r="S575" s="8">
        <v>300521</v>
      </c>
      <c r="U575" s="8">
        <v>1846674</v>
      </c>
      <c r="W575" s="8">
        <v>566235</v>
      </c>
      <c r="Y575" s="8">
        <v>122706</v>
      </c>
      <c r="AA575" s="8">
        <v>2654158</v>
      </c>
      <c r="AC575" s="8">
        <v>1448005</v>
      </c>
      <c r="AE575" s="8">
        <v>61394</v>
      </c>
      <c r="AG575" s="8">
        <v>778873</v>
      </c>
      <c r="AI575" s="8">
        <v>111682</v>
      </c>
      <c r="AJ575" s="13" t="s">
        <v>342</v>
      </c>
      <c r="AK575" s="13"/>
      <c r="AL575" s="13" t="s">
        <v>24</v>
      </c>
      <c r="AN575" s="8">
        <v>766038</v>
      </c>
      <c r="AP575" s="8">
        <f>2630+69615</f>
        <v>72245</v>
      </c>
      <c r="AR575" s="8">
        <v>0</v>
      </c>
      <c r="AT575" s="8">
        <v>4072526</v>
      </c>
      <c r="AV575" s="8">
        <v>323238</v>
      </c>
      <c r="AX575" s="8">
        <v>104815</v>
      </c>
      <c r="AZ575" s="9">
        <f t="shared" si="38"/>
        <v>29405975</v>
      </c>
      <c r="BB575" s="8">
        <v>0</v>
      </c>
      <c r="BH575" s="8">
        <v>0</v>
      </c>
      <c r="BJ575" s="9">
        <f t="shared" si="39"/>
        <v>29405975</v>
      </c>
      <c r="BL575" s="9">
        <f>'Gov Fd Rv'!AQ575-'Gov Fnd Exp'!BJ575</f>
        <v>784483</v>
      </c>
      <c r="BN575" s="8">
        <v>11342897</v>
      </c>
      <c r="BP575" s="8">
        <v>-2409</v>
      </c>
      <c r="BT575" s="9">
        <f t="shared" si="40"/>
        <v>12124971</v>
      </c>
      <c r="BU575" s="9"/>
      <c r="BV575" s="9">
        <f>BT575-'Gov Fd BS'!AA581</f>
        <v>0</v>
      </c>
    </row>
    <row r="576" spans="1:76" hidden="1">
      <c r="A576" s="12" t="s">
        <v>1032</v>
      </c>
      <c r="B576" s="12"/>
      <c r="C576" s="12" t="s">
        <v>21</v>
      </c>
      <c r="D576" s="13"/>
      <c r="E576" s="32"/>
      <c r="AJ576" s="12" t="s">
        <v>1032</v>
      </c>
      <c r="AK576" s="12"/>
      <c r="AL576" s="12" t="s">
        <v>21</v>
      </c>
      <c r="AZ576" s="9"/>
      <c r="BJ576" s="9"/>
      <c r="BL576" s="9"/>
      <c r="BT576" s="9"/>
      <c r="BU576" s="9"/>
      <c r="BV576" s="9"/>
      <c r="BX576" s="8" t="s">
        <v>967</v>
      </c>
    </row>
    <row r="577" spans="1:74">
      <c r="A577" s="13" t="s">
        <v>707</v>
      </c>
      <c r="B577" s="13"/>
      <c r="C577" s="13" t="s">
        <v>68</v>
      </c>
      <c r="D577" s="13"/>
      <c r="E577" s="32">
        <v>50393</v>
      </c>
      <c r="G577" s="8">
        <v>8925475</v>
      </c>
      <c r="I577" s="8">
        <v>2534220</v>
      </c>
      <c r="K577" s="8">
        <v>284650</v>
      </c>
      <c r="M577" s="8">
        <f>278450+1090404</f>
        <v>1368854</v>
      </c>
      <c r="O577" s="8">
        <v>2248578</v>
      </c>
      <c r="Q577" s="8">
        <v>1288171</v>
      </c>
      <c r="S577" s="8">
        <v>333594</v>
      </c>
      <c r="U577" s="8">
        <v>1890168</v>
      </c>
      <c r="W577" s="8">
        <v>334462</v>
      </c>
      <c r="Y577" s="8">
        <v>0</v>
      </c>
      <c r="AA577" s="8">
        <v>2404081</v>
      </c>
      <c r="AC577" s="8">
        <v>1683513</v>
      </c>
      <c r="AE577" s="8">
        <v>1122720</v>
      </c>
      <c r="AG577" s="8">
        <v>0</v>
      </c>
      <c r="AI577" s="8">
        <v>1146872</v>
      </c>
      <c r="AJ577" s="13" t="s">
        <v>707</v>
      </c>
      <c r="AK577" s="13"/>
      <c r="AL577" s="13" t="s">
        <v>68</v>
      </c>
      <c r="AN577" s="8">
        <v>250585</v>
      </c>
      <c r="AP577" s="8">
        <v>2972489</v>
      </c>
      <c r="AR577" s="8">
        <v>0</v>
      </c>
      <c r="AT577" s="8">
        <v>387999</v>
      </c>
      <c r="AV577" s="8">
        <v>361895</v>
      </c>
      <c r="AX577" s="8">
        <v>0</v>
      </c>
      <c r="AZ577" s="9">
        <f t="shared" si="38"/>
        <v>29538326</v>
      </c>
      <c r="BB577" s="8">
        <v>6700</v>
      </c>
      <c r="BH577" s="8">
        <v>0</v>
      </c>
      <c r="BJ577" s="9">
        <f t="shared" si="39"/>
        <v>29545026</v>
      </c>
      <c r="BL577" s="9">
        <f>'Gov Fd Rv'!AQ577-'Gov Fnd Exp'!BJ577</f>
        <v>-2012545</v>
      </c>
      <c r="BN577" s="8">
        <v>16097957</v>
      </c>
      <c r="BP577" s="8">
        <v>0</v>
      </c>
      <c r="BT577" s="9">
        <f t="shared" si="40"/>
        <v>14085412</v>
      </c>
      <c r="BU577" s="9"/>
      <c r="BV577" s="9">
        <f>BT577-'Gov Fd BS'!AA583</f>
        <v>0</v>
      </c>
    </row>
    <row r="578" spans="1:74">
      <c r="A578" s="13" t="s">
        <v>530</v>
      </c>
      <c r="B578" s="13"/>
      <c r="C578" s="13" t="s">
        <v>47</v>
      </c>
      <c r="D578" s="13"/>
      <c r="E578" s="32">
        <v>44974</v>
      </c>
      <c r="G578" s="8">
        <v>17956386</v>
      </c>
      <c r="I578" s="8">
        <v>2950722</v>
      </c>
      <c r="K578" s="8">
        <v>1760881</v>
      </c>
      <c r="M578" s="8">
        <f>33522+1020269</f>
        <v>1053791</v>
      </c>
      <c r="O578" s="8">
        <v>2549163</v>
      </c>
      <c r="Q578" s="8">
        <v>1272472</v>
      </c>
      <c r="S578" s="8">
        <v>326454</v>
      </c>
      <c r="U578" s="8">
        <v>3366026</v>
      </c>
      <c r="W578" s="8">
        <v>754965</v>
      </c>
      <c r="Y578" s="8">
        <v>972</v>
      </c>
      <c r="AA578" s="8">
        <v>5129562</v>
      </c>
      <c r="AC578" s="8">
        <v>1860941</v>
      </c>
      <c r="AE578" s="8">
        <v>1180481</v>
      </c>
      <c r="AG578" s="8">
        <v>1342310</v>
      </c>
      <c r="AI578" s="8">
        <f>357523+143052+63558</f>
        <v>564133</v>
      </c>
      <c r="AJ578" s="13" t="s">
        <v>530</v>
      </c>
      <c r="AK578" s="13"/>
      <c r="AL578" s="13" t="s">
        <v>47</v>
      </c>
      <c r="AN578" s="8">
        <v>1002933</v>
      </c>
      <c r="AP578" s="8">
        <v>2746388</v>
      </c>
      <c r="AR578" s="8">
        <v>0</v>
      </c>
      <c r="AT578" s="8">
        <v>1356854</v>
      </c>
      <c r="AV578" s="8">
        <v>1859063</v>
      </c>
      <c r="AX578" s="8">
        <v>0</v>
      </c>
      <c r="AZ578" s="9">
        <f t="shared" ref="AZ578:AZ596" si="41">SUM(G578:AX578)</f>
        <v>49034497</v>
      </c>
      <c r="BB578" s="8">
        <v>255449</v>
      </c>
      <c r="BH578" s="8">
        <v>0</v>
      </c>
      <c r="BJ578" s="9">
        <f t="shared" si="39"/>
        <v>49289946</v>
      </c>
      <c r="BL578" s="9">
        <f>'Gov Fd Rv'!AQ578-'Gov Fnd Exp'!BJ578</f>
        <v>8978070</v>
      </c>
      <c r="BN578" s="8">
        <v>9871380</v>
      </c>
      <c r="BP578" s="8">
        <v>0</v>
      </c>
      <c r="BT578" s="9">
        <f>BL578+BN578+BP578+BR578</f>
        <v>18849450</v>
      </c>
      <c r="BU578" s="9"/>
      <c r="BV578" s="9">
        <f>BT578-'Gov Fd BS'!AA584</f>
        <v>0</v>
      </c>
    </row>
    <row r="579" spans="1:74">
      <c r="A579" s="13" t="s">
        <v>692</v>
      </c>
      <c r="B579" s="13"/>
      <c r="C579" s="13" t="s">
        <v>64</v>
      </c>
      <c r="D579" s="13"/>
      <c r="E579" s="32">
        <v>44990</v>
      </c>
      <c r="G579" s="8">
        <v>27784858</v>
      </c>
      <c r="I579" s="8">
        <v>9916275</v>
      </c>
      <c r="K579" s="8">
        <v>240427</v>
      </c>
      <c r="M579" s="8">
        <v>3791951</v>
      </c>
      <c r="O579" s="8">
        <v>3397438</v>
      </c>
      <c r="Q579" s="8">
        <v>5064926</v>
      </c>
      <c r="S579" s="8">
        <v>37800</v>
      </c>
      <c r="U579" s="8">
        <v>4638026</v>
      </c>
      <c r="W579" s="8">
        <v>1099510</v>
      </c>
      <c r="Y579" s="8">
        <v>667623</v>
      </c>
      <c r="AA579" s="8">
        <v>7493832</v>
      </c>
      <c r="AC579" s="8">
        <v>2794842</v>
      </c>
      <c r="AE579" s="8">
        <v>1278777</v>
      </c>
      <c r="AG579" s="8">
        <v>2867427</v>
      </c>
      <c r="AI579" s="8">
        <v>584528</v>
      </c>
      <c r="AJ579" s="13" t="s">
        <v>692</v>
      </c>
      <c r="AK579" s="13"/>
      <c r="AL579" s="13" t="s">
        <v>64</v>
      </c>
      <c r="AN579" s="8">
        <v>1165590</v>
      </c>
      <c r="AP579" s="8">
        <v>19431089</v>
      </c>
      <c r="AR579" s="8">
        <v>0</v>
      </c>
      <c r="AT579" s="8">
        <v>595000</v>
      </c>
      <c r="AV579" s="8">
        <v>1689171</v>
      </c>
      <c r="AX579" s="8">
        <v>0</v>
      </c>
      <c r="AZ579" s="9">
        <f t="shared" si="41"/>
        <v>94539090</v>
      </c>
      <c r="BB579" s="8">
        <v>129200</v>
      </c>
      <c r="BH579" s="8">
        <v>0</v>
      </c>
      <c r="BJ579" s="9">
        <f t="shared" si="39"/>
        <v>94668290</v>
      </c>
      <c r="BL579" s="9">
        <f>'Gov Fd Rv'!AQ579-'Gov Fnd Exp'!BJ579</f>
        <v>-4994816</v>
      </c>
      <c r="BN579" s="8">
        <v>69092802</v>
      </c>
      <c r="BP579" s="8">
        <v>-428</v>
      </c>
      <c r="BT579" s="9">
        <f t="shared" si="40"/>
        <v>64097558</v>
      </c>
      <c r="BU579" s="9"/>
      <c r="BV579" s="9">
        <f>BT579-'Gov Fd BS'!AA585</f>
        <v>0</v>
      </c>
    </row>
    <row r="580" spans="1:74">
      <c r="A580" s="13" t="s">
        <v>719</v>
      </c>
      <c r="B580" s="13"/>
      <c r="C580" s="13" t="s">
        <v>70</v>
      </c>
      <c r="D580" s="13"/>
      <c r="E580" s="32">
        <v>50500</v>
      </c>
      <c r="G580" s="8">
        <v>10814742</v>
      </c>
      <c r="I580" s="8">
        <v>2056063</v>
      </c>
      <c r="K580" s="8">
        <v>125638</v>
      </c>
      <c r="M580" s="8">
        <v>27555</v>
      </c>
      <c r="O580" s="8">
        <v>825963</v>
      </c>
      <c r="Q580" s="8">
        <v>721954</v>
      </c>
      <c r="S580" s="8">
        <v>278359</v>
      </c>
      <c r="U580" s="8">
        <v>1353315</v>
      </c>
      <c r="W580" s="8">
        <v>847439</v>
      </c>
      <c r="Y580" s="8">
        <v>5222</v>
      </c>
      <c r="AA580" s="8">
        <v>1798968</v>
      </c>
      <c r="AC580" s="8">
        <v>1870558</v>
      </c>
      <c r="AE580" s="8">
        <v>16486</v>
      </c>
      <c r="AG580" s="8">
        <v>0</v>
      </c>
      <c r="AI580" s="8">
        <v>16169</v>
      </c>
      <c r="AJ580" s="13" t="s">
        <v>719</v>
      </c>
      <c r="AK580" s="13"/>
      <c r="AL580" s="13" t="s">
        <v>70</v>
      </c>
      <c r="AN580" s="8">
        <v>543277</v>
      </c>
      <c r="AP580" s="8">
        <v>246884</v>
      </c>
      <c r="AR580" s="8">
        <v>0</v>
      </c>
      <c r="AT580" s="8">
        <v>0</v>
      </c>
      <c r="AV580" s="8">
        <v>0</v>
      </c>
      <c r="AX580" s="8">
        <v>0</v>
      </c>
      <c r="AZ580" s="9">
        <f t="shared" si="41"/>
        <v>21548592</v>
      </c>
      <c r="BB580" s="8">
        <v>321166</v>
      </c>
      <c r="BH580" s="8">
        <v>0</v>
      </c>
      <c r="BJ580" s="9">
        <f t="shared" si="39"/>
        <v>21869758</v>
      </c>
      <c r="BL580" s="9">
        <f>'Gov Fd Rv'!AQ580-'Gov Fnd Exp'!BJ580</f>
        <v>1281931</v>
      </c>
      <c r="BN580" s="8">
        <v>940674</v>
      </c>
      <c r="BP580" s="8">
        <v>0</v>
      </c>
      <c r="BT580" s="9">
        <f t="shared" si="40"/>
        <v>2222605</v>
      </c>
      <c r="BU580" s="9"/>
      <c r="BV580" s="9">
        <f>BT580-'Gov Fd BS'!AA586</f>
        <v>0</v>
      </c>
    </row>
    <row r="581" spans="1:74">
      <c r="A581" s="13" t="s">
        <v>324</v>
      </c>
      <c r="B581" s="13"/>
      <c r="C581" s="13" t="s">
        <v>20</v>
      </c>
      <c r="D581" s="13"/>
      <c r="E581" s="13">
        <v>45005</v>
      </c>
      <c r="G581" s="8">
        <v>16096140</v>
      </c>
      <c r="I581" s="8">
        <v>3666246</v>
      </c>
      <c r="K581" s="8">
        <v>200523</v>
      </c>
      <c r="M581" s="8">
        <v>0</v>
      </c>
      <c r="O581" s="8">
        <v>1223719</v>
      </c>
      <c r="Q581" s="8">
        <v>1600041</v>
      </c>
      <c r="S581" s="8">
        <v>117068</v>
      </c>
      <c r="U581" s="8">
        <v>3855576</v>
      </c>
      <c r="W581" s="8">
        <v>1059445</v>
      </c>
      <c r="Y581" s="8">
        <v>1026401</v>
      </c>
      <c r="AA581" s="8">
        <v>3837605</v>
      </c>
      <c r="AC581" s="8">
        <v>1108706</v>
      </c>
      <c r="AE581" s="8">
        <v>263965</v>
      </c>
      <c r="AG581" s="8">
        <v>1001227</v>
      </c>
      <c r="AI581" s="8">
        <v>111277</v>
      </c>
      <c r="AJ581" s="13" t="s">
        <v>324</v>
      </c>
      <c r="AK581" s="13"/>
      <c r="AL581" s="13" t="s">
        <v>20</v>
      </c>
      <c r="AN581" s="8">
        <v>243281</v>
      </c>
      <c r="AP581" s="8">
        <v>273914</v>
      </c>
      <c r="AR581" s="8">
        <v>0</v>
      </c>
      <c r="AT581" s="8">
        <v>1267765</v>
      </c>
      <c r="AV581" s="8">
        <v>1048193</v>
      </c>
      <c r="AX581" s="8">
        <v>0</v>
      </c>
      <c r="AZ581" s="9">
        <f t="shared" si="41"/>
        <v>38001092</v>
      </c>
      <c r="BB581" s="8">
        <v>0</v>
      </c>
      <c r="BH581" s="8">
        <v>0</v>
      </c>
      <c r="BJ581" s="9">
        <f t="shared" si="39"/>
        <v>38001092</v>
      </c>
      <c r="BL581" s="9">
        <f>'Gov Fd Rv'!AQ581-'Gov Fnd Exp'!BJ581</f>
        <v>433430</v>
      </c>
      <c r="BN581" s="8">
        <v>4339029</v>
      </c>
      <c r="BP581" s="8">
        <v>0</v>
      </c>
      <c r="BT581" s="9">
        <f t="shared" si="40"/>
        <v>4772459</v>
      </c>
      <c r="BU581" s="9"/>
      <c r="BV581" s="9">
        <f>BT581-'Gov Fd BS'!AA587</f>
        <v>0</v>
      </c>
    </row>
    <row r="582" spans="1:74">
      <c r="A582" s="13" t="s">
        <v>351</v>
      </c>
      <c r="B582" s="13"/>
      <c r="C582" s="13" t="s">
        <v>26</v>
      </c>
      <c r="D582" s="13"/>
      <c r="E582" s="32">
        <v>45013</v>
      </c>
      <c r="G582" s="8">
        <v>8879317</v>
      </c>
      <c r="I582" s="8">
        <v>2927656</v>
      </c>
      <c r="K582" s="8">
        <v>123614</v>
      </c>
      <c r="M582" s="8">
        <v>20319</v>
      </c>
      <c r="O582" s="8">
        <v>941737</v>
      </c>
      <c r="Q582" s="8">
        <v>828368</v>
      </c>
      <c r="S582" s="8">
        <v>34514</v>
      </c>
      <c r="U582" s="8">
        <v>1688978</v>
      </c>
      <c r="W582" s="8">
        <v>583048</v>
      </c>
      <c r="Y582" s="8">
        <v>0</v>
      </c>
      <c r="AA582" s="8">
        <v>1626768</v>
      </c>
      <c r="AC582" s="8">
        <v>613141</v>
      </c>
      <c r="AE582" s="8">
        <v>46294</v>
      </c>
      <c r="AG582" s="8">
        <v>872194</v>
      </c>
      <c r="AI582" s="8">
        <v>0</v>
      </c>
      <c r="AJ582" s="13" t="s">
        <v>351</v>
      </c>
      <c r="AK582" s="13"/>
      <c r="AL582" s="13" t="s">
        <v>26</v>
      </c>
      <c r="AN582" s="8">
        <v>548517</v>
      </c>
      <c r="AP582" s="8">
        <v>29185400</v>
      </c>
      <c r="AR582" s="8">
        <v>0</v>
      </c>
      <c r="AT582" s="8">
        <v>427542</v>
      </c>
      <c r="AV582" s="8">
        <v>909494</v>
      </c>
      <c r="AX582" s="8">
        <v>0</v>
      </c>
      <c r="AZ582" s="9">
        <f t="shared" si="41"/>
        <v>50256901</v>
      </c>
      <c r="BB582" s="8">
        <v>0</v>
      </c>
      <c r="BH582" s="8">
        <v>0</v>
      </c>
      <c r="BJ582" s="9">
        <f t="shared" si="39"/>
        <v>50256901</v>
      </c>
      <c r="BL582" s="9">
        <f>'Gov Fd Rv'!AQ582-'Gov Fnd Exp'!BJ582</f>
        <v>-15716732</v>
      </c>
      <c r="BN582" s="8">
        <v>20853499</v>
      </c>
      <c r="BP582" s="8">
        <v>0</v>
      </c>
      <c r="BT582" s="9">
        <f t="shared" si="40"/>
        <v>5136767</v>
      </c>
      <c r="BU582" s="9"/>
      <c r="BV582" s="9">
        <f>BT582-'Gov Fd BS'!AA588</f>
        <v>0</v>
      </c>
    </row>
    <row r="583" spans="1:74">
      <c r="A583" s="13" t="s">
        <v>503</v>
      </c>
      <c r="B583" s="13"/>
      <c r="C583" s="13" t="s">
        <v>117</v>
      </c>
      <c r="D583" s="13"/>
      <c r="E583" s="32">
        <v>48231</v>
      </c>
      <c r="G583" s="8">
        <v>29430580</v>
      </c>
      <c r="I583" s="8">
        <v>9207258</v>
      </c>
      <c r="K583" s="8">
        <v>2694523</v>
      </c>
      <c r="M583" s="8">
        <f>147645+3607980</f>
        <v>3755625</v>
      </c>
      <c r="O583" s="8">
        <v>3894872</v>
      </c>
      <c r="Q583" s="8">
        <v>3754567</v>
      </c>
      <c r="S583" s="8">
        <v>116574</v>
      </c>
      <c r="U583" s="8">
        <v>5033036</v>
      </c>
      <c r="W583" s="8">
        <v>1379130</v>
      </c>
      <c r="Y583" s="8">
        <v>581829</v>
      </c>
      <c r="AA583" s="8">
        <v>9378429</v>
      </c>
      <c r="AC583" s="8">
        <v>3325904</v>
      </c>
      <c r="AE583" s="8">
        <v>1393005</v>
      </c>
      <c r="AG583" s="8">
        <v>2323771</v>
      </c>
      <c r="AI583" s="8">
        <v>1060817</v>
      </c>
      <c r="AJ583" s="13" t="s">
        <v>503</v>
      </c>
      <c r="AK583" s="13"/>
      <c r="AL583" s="13" t="s">
        <v>117</v>
      </c>
      <c r="AN583" s="8">
        <v>1160010</v>
      </c>
      <c r="AP583" s="8">
        <v>2704800</v>
      </c>
      <c r="AR583" s="8">
        <v>0</v>
      </c>
      <c r="AT583" s="8">
        <v>85000</v>
      </c>
      <c r="AV583" s="8">
        <v>123471</v>
      </c>
      <c r="AX583" s="8">
        <v>0</v>
      </c>
      <c r="AZ583" s="9">
        <f t="shared" si="41"/>
        <v>81403201</v>
      </c>
      <c r="BB583" s="8">
        <v>771809</v>
      </c>
      <c r="BH583" s="8">
        <v>0</v>
      </c>
      <c r="BJ583" s="9">
        <f t="shared" si="39"/>
        <v>82175010</v>
      </c>
      <c r="BL583" s="9">
        <f>'Gov Fd Rv'!AQ583-'Gov Fnd Exp'!BJ583</f>
        <v>441220</v>
      </c>
      <c r="BN583" s="8">
        <v>30552256</v>
      </c>
      <c r="BP583" s="8">
        <v>0</v>
      </c>
      <c r="BT583" s="9">
        <f t="shared" si="40"/>
        <v>30993476</v>
      </c>
      <c r="BU583" s="9"/>
      <c r="BV583" s="9">
        <f>BT583-'Gov Fd BS'!AA589</f>
        <v>0</v>
      </c>
    </row>
    <row r="584" spans="1:74">
      <c r="A584" s="13" t="s">
        <v>633</v>
      </c>
      <c r="B584" s="13"/>
      <c r="C584" s="13" t="s">
        <v>59</v>
      </c>
      <c r="D584" s="13"/>
      <c r="E584" s="32">
        <v>49650</v>
      </c>
      <c r="G584" s="8">
        <v>6476236</v>
      </c>
      <c r="I584" s="8">
        <v>2079023</v>
      </c>
      <c r="K584" s="8">
        <v>92732</v>
      </c>
      <c r="M584" s="8">
        <v>113953</v>
      </c>
      <c r="O584" s="8">
        <v>785352</v>
      </c>
      <c r="Q584" s="8">
        <v>874957</v>
      </c>
      <c r="S584" s="8">
        <v>79160</v>
      </c>
      <c r="U584" s="8">
        <v>1050856</v>
      </c>
      <c r="W584" s="8">
        <v>268056</v>
      </c>
      <c r="Y584" s="8">
        <v>0</v>
      </c>
      <c r="AA584" s="8">
        <v>2041485</v>
      </c>
      <c r="AC584" s="8">
        <v>1041061</v>
      </c>
      <c r="AE584" s="8">
        <v>0</v>
      </c>
      <c r="AG584" s="8">
        <v>722612</v>
      </c>
      <c r="AI584" s="8">
        <v>0</v>
      </c>
      <c r="AJ584" s="13" t="s">
        <v>633</v>
      </c>
      <c r="AK584" s="13"/>
      <c r="AL584" s="13" t="s">
        <v>59</v>
      </c>
      <c r="AN584" s="8">
        <v>404886</v>
      </c>
      <c r="AP584" s="8">
        <v>1179154</v>
      </c>
      <c r="AR584" s="8">
        <v>0</v>
      </c>
      <c r="AT584" s="8">
        <v>302187</v>
      </c>
      <c r="AV584" s="8">
        <v>52937</v>
      </c>
      <c r="AX584" s="8">
        <v>0</v>
      </c>
      <c r="AZ584" s="9">
        <f t="shared" si="41"/>
        <v>17564647</v>
      </c>
      <c r="BB584" s="8">
        <v>819168</v>
      </c>
      <c r="BH584" s="8">
        <v>0</v>
      </c>
      <c r="BJ584" s="9">
        <f t="shared" si="39"/>
        <v>18383815</v>
      </c>
      <c r="BL584" s="9">
        <f>'Gov Fd Rv'!AQ584-'Gov Fnd Exp'!BJ584</f>
        <v>905717</v>
      </c>
      <c r="BN584" s="8">
        <v>3627038</v>
      </c>
      <c r="BP584" s="8">
        <v>0</v>
      </c>
      <c r="BT584" s="9">
        <f t="shared" si="40"/>
        <v>4532755</v>
      </c>
      <c r="BU584" s="9"/>
      <c r="BV584" s="9">
        <f>BT584-'Gov Fd BS'!AA590</f>
        <v>0</v>
      </c>
    </row>
    <row r="585" spans="1:74">
      <c r="A585" s="13" t="s">
        <v>596</v>
      </c>
      <c r="B585" s="13"/>
      <c r="C585" s="13" t="s">
        <v>56</v>
      </c>
      <c r="D585" s="13"/>
      <c r="E585" s="32">
        <v>49247</v>
      </c>
      <c r="G585" s="8">
        <v>5285598</v>
      </c>
      <c r="I585" s="8">
        <v>1318444</v>
      </c>
      <c r="K585" s="8">
        <v>57007</v>
      </c>
      <c r="M585" s="8">
        <v>88081</v>
      </c>
      <c r="O585" s="8">
        <v>423695</v>
      </c>
      <c r="Q585" s="8">
        <v>467413</v>
      </c>
      <c r="S585" s="8">
        <v>25636</v>
      </c>
      <c r="U585" s="8">
        <v>841438</v>
      </c>
      <c r="W585" s="8">
        <v>335095</v>
      </c>
      <c r="Y585" s="8">
        <v>25853</v>
      </c>
      <c r="AA585" s="8">
        <v>1168093</v>
      </c>
      <c r="AC585" s="8">
        <v>1066805</v>
      </c>
      <c r="AE585" s="8">
        <v>16280</v>
      </c>
      <c r="AG585" s="8">
        <v>326963</v>
      </c>
      <c r="AI585" s="8">
        <v>85368</v>
      </c>
      <c r="AJ585" s="13" t="s">
        <v>596</v>
      </c>
      <c r="AK585" s="13"/>
      <c r="AL585" s="13" t="s">
        <v>56</v>
      </c>
      <c r="AN585" s="8">
        <v>312673</v>
      </c>
      <c r="AP585" s="8">
        <v>1034</v>
      </c>
      <c r="AR585" s="8">
        <v>0</v>
      </c>
      <c r="AT585" s="8">
        <v>436144</v>
      </c>
      <c r="AV585" s="8">
        <v>344370</v>
      </c>
      <c r="AX585" s="8">
        <v>0</v>
      </c>
      <c r="AZ585" s="9">
        <f t="shared" si="41"/>
        <v>12625990</v>
      </c>
      <c r="BB585" s="8">
        <v>1009718</v>
      </c>
      <c r="BH585" s="8">
        <v>0</v>
      </c>
      <c r="BJ585" s="9">
        <f t="shared" si="39"/>
        <v>13635708</v>
      </c>
      <c r="BL585" s="9">
        <f>'Gov Fd Rv'!AQ585-'Gov Fnd Exp'!BJ585</f>
        <v>-69775</v>
      </c>
      <c r="BN585" s="8">
        <v>3450539</v>
      </c>
      <c r="BP585" s="8">
        <v>-2140</v>
      </c>
      <c r="BT585" s="9">
        <f t="shared" si="40"/>
        <v>3378624</v>
      </c>
      <c r="BU585" s="9"/>
      <c r="BV585" s="9">
        <f>BT585-'Gov Fd BS'!AA591</f>
        <v>0</v>
      </c>
    </row>
    <row r="586" spans="1:74">
      <c r="A586" s="13" t="s">
        <v>374</v>
      </c>
      <c r="B586" s="13"/>
      <c r="C586" s="13" t="s">
        <v>28</v>
      </c>
      <c r="D586" s="13"/>
      <c r="E586" s="32">
        <v>45641</v>
      </c>
      <c r="G586" s="8">
        <v>7497000</v>
      </c>
      <c r="I586" s="8">
        <v>1896692</v>
      </c>
      <c r="K586" s="8">
        <v>318168</v>
      </c>
      <c r="M586" s="8">
        <v>787269</v>
      </c>
      <c r="O586" s="8">
        <v>614071</v>
      </c>
      <c r="Q586" s="8">
        <v>696015</v>
      </c>
      <c r="S586" s="8">
        <v>39844</v>
      </c>
      <c r="U586" s="8">
        <v>1233443</v>
      </c>
      <c r="W586" s="8">
        <v>416230</v>
      </c>
      <c r="Y586" s="8">
        <v>65230</v>
      </c>
      <c r="AA586" s="8">
        <v>1354962</v>
      </c>
      <c r="AC586" s="8">
        <v>720760</v>
      </c>
      <c r="AE586" s="8">
        <v>60309</v>
      </c>
      <c r="AG586" s="8">
        <v>737434</v>
      </c>
      <c r="AI586" s="8">
        <v>0</v>
      </c>
      <c r="AJ586" s="13" t="s">
        <v>374</v>
      </c>
      <c r="AK586" s="13"/>
      <c r="AL586" s="13" t="s">
        <v>28</v>
      </c>
      <c r="AN586" s="8">
        <v>589425</v>
      </c>
      <c r="AP586" s="8">
        <v>22318260</v>
      </c>
      <c r="AR586" s="8">
        <v>0</v>
      </c>
      <c r="AT586" s="8">
        <v>1025000</v>
      </c>
      <c r="AV586" s="8">
        <v>1138505</v>
      </c>
      <c r="AX586" s="8">
        <v>0</v>
      </c>
      <c r="AZ586" s="9">
        <f t="shared" si="41"/>
        <v>41508617</v>
      </c>
      <c r="BB586" s="8">
        <v>34055</v>
      </c>
      <c r="BH586" s="8">
        <v>0</v>
      </c>
      <c r="BJ586" s="9">
        <f t="shared" si="39"/>
        <v>41542672</v>
      </c>
      <c r="BL586" s="9">
        <f>'Gov Fd Rv'!AQ586-'Gov Fnd Exp'!BJ586</f>
        <v>-13353432</v>
      </c>
      <c r="BN586" s="8">
        <v>35579400</v>
      </c>
      <c r="BP586" s="8">
        <v>0</v>
      </c>
      <c r="BT586" s="9">
        <f t="shared" si="40"/>
        <v>22225968</v>
      </c>
      <c r="BU586" s="9"/>
      <c r="BV586" s="9">
        <f>BT586-'Gov Fd BS'!AA592</f>
        <v>0</v>
      </c>
    </row>
    <row r="587" spans="1:74">
      <c r="A587" s="13" t="s">
        <v>586</v>
      </c>
      <c r="B587" s="13"/>
      <c r="C587" s="13" t="s">
        <v>55</v>
      </c>
      <c r="D587" s="13"/>
      <c r="E587" s="32">
        <v>49148</v>
      </c>
      <c r="G587" s="8">
        <v>8249427</v>
      </c>
      <c r="I587" s="8">
        <v>1779415</v>
      </c>
      <c r="K587" s="8">
        <v>168036</v>
      </c>
      <c r="M587" s="8">
        <v>263756</v>
      </c>
      <c r="O587" s="8">
        <v>920958</v>
      </c>
      <c r="Q587" s="8">
        <v>1102341</v>
      </c>
      <c r="S587" s="8">
        <v>48071</v>
      </c>
      <c r="U587" s="8">
        <v>1102277</v>
      </c>
      <c r="W587" s="8">
        <v>445056</v>
      </c>
      <c r="Y587" s="8">
        <v>0</v>
      </c>
      <c r="AA587" s="8">
        <v>2311291</v>
      </c>
      <c r="AC587" s="8">
        <v>976408</v>
      </c>
      <c r="AE587" s="8">
        <v>2171</v>
      </c>
      <c r="AG587" s="8">
        <v>947120</v>
      </c>
      <c r="AI587" s="8">
        <v>49532</v>
      </c>
      <c r="AJ587" s="13" t="s">
        <v>586</v>
      </c>
      <c r="AK587" s="13"/>
      <c r="AL587" s="13" t="s">
        <v>55</v>
      </c>
      <c r="AN587" s="8">
        <v>466476</v>
      </c>
      <c r="AP587" s="8">
        <v>16713</v>
      </c>
      <c r="AR587" s="8">
        <v>0</v>
      </c>
      <c r="AT587" s="8">
        <v>477376</v>
      </c>
      <c r="AV587" s="8">
        <v>335425</v>
      </c>
      <c r="AX587" s="8">
        <v>0</v>
      </c>
      <c r="AZ587" s="9">
        <f t="shared" si="41"/>
        <v>19661849</v>
      </c>
      <c r="BB587" s="8">
        <v>296226</v>
      </c>
      <c r="BH587" s="8">
        <v>0</v>
      </c>
      <c r="BJ587" s="9">
        <f t="shared" si="39"/>
        <v>19958075</v>
      </c>
      <c r="BL587" s="9">
        <f>'Gov Fd Rv'!AQ587-'Gov Fnd Exp'!BJ587</f>
        <v>-910372</v>
      </c>
      <c r="BN587" s="8">
        <v>4181994</v>
      </c>
      <c r="BP587" s="8">
        <v>0</v>
      </c>
      <c r="BT587" s="9">
        <f t="shared" si="40"/>
        <v>3271622</v>
      </c>
      <c r="BU587" s="9"/>
      <c r="BV587" s="9">
        <f>BT587-'Gov Fd BS'!AA593</f>
        <v>0</v>
      </c>
    </row>
    <row r="588" spans="1:74" hidden="1">
      <c r="A588" s="12" t="s">
        <v>1043</v>
      </c>
      <c r="B588" s="13"/>
      <c r="C588" s="13" t="s">
        <v>69</v>
      </c>
      <c r="D588" s="13"/>
      <c r="E588" s="32">
        <v>50468</v>
      </c>
      <c r="AJ588" s="13" t="s">
        <v>714</v>
      </c>
      <c r="AK588" s="13"/>
      <c r="AL588" s="13" t="s">
        <v>69</v>
      </c>
      <c r="AZ588" s="9">
        <f t="shared" si="41"/>
        <v>0</v>
      </c>
      <c r="BJ588" s="9">
        <f t="shared" si="39"/>
        <v>0</v>
      </c>
      <c r="BL588" s="9">
        <f>'Gov Fd Rv'!AQ588-'Gov Fnd Exp'!BJ588</f>
        <v>0</v>
      </c>
      <c r="BT588" s="9">
        <f t="shared" si="40"/>
        <v>0</v>
      </c>
      <c r="BU588" s="9"/>
      <c r="BV588" s="9">
        <f>BT588-'Gov Fd BS'!AA594</f>
        <v>0</v>
      </c>
    </row>
    <row r="589" spans="1:74" hidden="1">
      <c r="A589" s="12" t="s">
        <v>846</v>
      </c>
      <c r="B589" s="13"/>
      <c r="C589" s="13" t="s">
        <v>576</v>
      </c>
      <c r="D589" s="13"/>
      <c r="E589" s="32">
        <v>49031</v>
      </c>
      <c r="AJ589" s="13" t="s">
        <v>578</v>
      </c>
      <c r="AK589" s="13"/>
      <c r="AL589" s="13" t="s">
        <v>576</v>
      </c>
      <c r="AZ589" s="9">
        <f t="shared" si="41"/>
        <v>0</v>
      </c>
      <c r="BJ589" s="9">
        <f t="shared" si="39"/>
        <v>0</v>
      </c>
      <c r="BL589" s="9">
        <f>'Gov Fd Rv'!AQ589-'Gov Fnd Exp'!BJ589</f>
        <v>0</v>
      </c>
      <c r="BT589" s="9">
        <f t="shared" si="40"/>
        <v>0</v>
      </c>
      <c r="BU589" s="9"/>
      <c r="BV589" s="9">
        <f>BT589-'Gov Fd BS'!AA595</f>
        <v>0</v>
      </c>
    </row>
    <row r="590" spans="1:74" hidden="1">
      <c r="A590" s="12" t="s">
        <v>891</v>
      </c>
      <c r="B590" s="13"/>
      <c r="C590" s="13" t="s">
        <v>14</v>
      </c>
      <c r="D590" s="13"/>
      <c r="E590" s="32">
        <v>45971</v>
      </c>
      <c r="AJ590" s="13" t="s">
        <v>230</v>
      </c>
      <c r="AK590" s="13"/>
      <c r="AL590" s="13" t="s">
        <v>14</v>
      </c>
      <c r="AZ590" s="9">
        <f t="shared" si="41"/>
        <v>0</v>
      </c>
      <c r="BJ590" s="9">
        <f t="shared" si="39"/>
        <v>0</v>
      </c>
      <c r="BL590" s="9">
        <f>'Gov Fd Rv'!AQ590-'Gov Fnd Exp'!BJ590</f>
        <v>0</v>
      </c>
      <c r="BT590" s="9">
        <f t="shared" si="40"/>
        <v>0</v>
      </c>
      <c r="BU590" s="9"/>
      <c r="BV590" s="9">
        <f>BT590-'Gov Fd BS'!AA596</f>
        <v>0</v>
      </c>
    </row>
    <row r="591" spans="1:74">
      <c r="A591" s="13" t="s">
        <v>693</v>
      </c>
      <c r="B591" s="13"/>
      <c r="C591" s="13" t="s">
        <v>64</v>
      </c>
      <c r="D591" s="13"/>
      <c r="E591" s="32">
        <v>50252</v>
      </c>
      <c r="G591" s="8">
        <v>3995503</v>
      </c>
      <c r="I591" s="8">
        <v>1089598</v>
      </c>
      <c r="K591" s="8">
        <v>0</v>
      </c>
      <c r="M591" s="8">
        <v>361772</v>
      </c>
      <c r="O591" s="8">
        <v>437333</v>
      </c>
      <c r="Q591" s="8">
        <v>207119</v>
      </c>
      <c r="S591" s="8">
        <v>23192</v>
      </c>
      <c r="U591" s="8">
        <v>804742</v>
      </c>
      <c r="W591" s="8">
        <v>300188</v>
      </c>
      <c r="Y591" s="8">
        <v>11880</v>
      </c>
      <c r="AA591" s="8">
        <v>1299989</v>
      </c>
      <c r="AC591" s="8">
        <v>406529</v>
      </c>
      <c r="AE591" s="8">
        <v>9000</v>
      </c>
      <c r="AG591" s="8">
        <v>315215</v>
      </c>
      <c r="AI591" s="8">
        <v>2590</v>
      </c>
      <c r="AJ591" s="13" t="s">
        <v>693</v>
      </c>
      <c r="AK591" s="13"/>
      <c r="AL591" s="13" t="s">
        <v>64</v>
      </c>
      <c r="AN591" s="8">
        <v>371188</v>
      </c>
      <c r="AP591" s="8">
        <v>0</v>
      </c>
      <c r="AR591" s="8">
        <v>0</v>
      </c>
      <c r="AT591" s="8">
        <v>245562</v>
      </c>
      <c r="AV591" s="8">
        <v>120806</v>
      </c>
      <c r="AX591" s="8">
        <v>0</v>
      </c>
      <c r="AZ591" s="9">
        <f t="shared" si="41"/>
        <v>10002206</v>
      </c>
      <c r="BB591" s="8">
        <v>65888</v>
      </c>
      <c r="BH591" s="8">
        <v>0</v>
      </c>
      <c r="BJ591" s="9">
        <f t="shared" si="39"/>
        <v>10068094</v>
      </c>
      <c r="BL591" s="9">
        <f>'Gov Fd Rv'!AQ591-'Gov Fnd Exp'!BJ591</f>
        <v>-183633</v>
      </c>
      <c r="BN591" s="8">
        <v>1819928</v>
      </c>
      <c r="BP591" s="8">
        <v>0</v>
      </c>
      <c r="BT591" s="9">
        <f t="shared" si="40"/>
        <v>1636295</v>
      </c>
      <c r="BU591" s="9"/>
      <c r="BV591" s="9">
        <f>BT591-'Gov Fd BS'!AA597</f>
        <v>0</v>
      </c>
    </row>
    <row r="592" spans="1:74">
      <c r="A592" s="13" t="s">
        <v>495</v>
      </c>
      <c r="B592" s="13"/>
      <c r="C592" s="13" t="s">
        <v>44</v>
      </c>
      <c r="D592" s="13"/>
      <c r="E592" s="32">
        <v>45658</v>
      </c>
      <c r="G592" s="8">
        <v>6488323</v>
      </c>
      <c r="I592" s="8">
        <v>1315546</v>
      </c>
      <c r="K592" s="8">
        <v>90807</v>
      </c>
      <c r="M592" s="8">
        <v>0</v>
      </c>
      <c r="O592" s="8">
        <v>520361</v>
      </c>
      <c r="Q592" s="8">
        <v>700104</v>
      </c>
      <c r="S592" s="8">
        <v>70836</v>
      </c>
      <c r="U592" s="8">
        <v>1177844</v>
      </c>
      <c r="W592" s="8">
        <v>386012</v>
      </c>
      <c r="Y592" s="8">
        <v>0</v>
      </c>
      <c r="AA592" s="8">
        <v>1128479</v>
      </c>
      <c r="AC592" s="8">
        <v>618228</v>
      </c>
      <c r="AE592" s="8">
        <v>139198</v>
      </c>
      <c r="AG592" s="8">
        <v>0</v>
      </c>
      <c r="AI592" s="8">
        <v>602293</v>
      </c>
      <c r="AJ592" s="13" t="s">
        <v>495</v>
      </c>
      <c r="AK592" s="13"/>
      <c r="AL592" s="13" t="s">
        <v>44</v>
      </c>
      <c r="AN592" s="8">
        <v>454588</v>
      </c>
      <c r="AP592" s="8">
        <v>38594</v>
      </c>
      <c r="AR592" s="8">
        <v>0</v>
      </c>
      <c r="AT592" s="8">
        <v>0</v>
      </c>
      <c r="AV592" s="8">
        <v>0</v>
      </c>
      <c r="AX592" s="8">
        <v>0</v>
      </c>
      <c r="AZ592" s="9">
        <f t="shared" si="41"/>
        <v>13731213</v>
      </c>
      <c r="BB592" s="8">
        <v>44739</v>
      </c>
      <c r="BH592" s="8">
        <v>0</v>
      </c>
      <c r="BJ592" s="9">
        <f t="shared" si="39"/>
        <v>13775952</v>
      </c>
      <c r="BL592" s="9">
        <f>'Gov Fd Rv'!AQ592-'Gov Fnd Exp'!BJ592</f>
        <v>197934</v>
      </c>
      <c r="BN592" s="8">
        <v>4601000</v>
      </c>
      <c r="BP592" s="8">
        <v>0</v>
      </c>
      <c r="BT592" s="9">
        <f t="shared" si="40"/>
        <v>4798934</v>
      </c>
      <c r="BU592" s="9"/>
      <c r="BV592" s="9">
        <f>BT592-'Gov Fd BS'!AA598</f>
        <v>0</v>
      </c>
    </row>
    <row r="593" spans="1:76">
      <c r="A593" s="13" t="s">
        <v>449</v>
      </c>
      <c r="B593" s="13"/>
      <c r="C593" s="13" t="s">
        <v>38</v>
      </c>
      <c r="D593" s="13"/>
      <c r="E593" s="32">
        <v>45021</v>
      </c>
      <c r="G593" s="8">
        <v>6537048</v>
      </c>
      <c r="I593" s="8">
        <v>2505300</v>
      </c>
      <c r="K593" s="8">
        <v>154694</v>
      </c>
      <c r="M593" s="8">
        <v>107859</v>
      </c>
      <c r="O593" s="8">
        <v>770201</v>
      </c>
      <c r="Q593" s="8">
        <v>1248965</v>
      </c>
      <c r="S593" s="8">
        <v>167234</v>
      </c>
      <c r="U593" s="8">
        <v>1256577</v>
      </c>
      <c r="W593" s="8">
        <v>425510</v>
      </c>
      <c r="Y593" s="8">
        <v>0</v>
      </c>
      <c r="AA593" s="8">
        <v>1021005</v>
      </c>
      <c r="AC593" s="8">
        <v>853162</v>
      </c>
      <c r="AE593" s="8">
        <v>98283</v>
      </c>
      <c r="AG593" s="8">
        <v>787865</v>
      </c>
      <c r="AI593" s="8">
        <v>91797</v>
      </c>
      <c r="AJ593" s="13" t="s">
        <v>449</v>
      </c>
      <c r="AK593" s="13"/>
      <c r="AL593" s="13" t="s">
        <v>38</v>
      </c>
      <c r="AN593" s="8">
        <v>338754</v>
      </c>
      <c r="AP593" s="8">
        <v>905619</v>
      </c>
      <c r="AR593" s="8">
        <v>0</v>
      </c>
      <c r="AT593" s="8">
        <v>125000</v>
      </c>
      <c r="AV593" s="8">
        <v>142263</v>
      </c>
      <c r="AX593" s="8">
        <v>0</v>
      </c>
      <c r="AZ593" s="9">
        <f t="shared" si="41"/>
        <v>17537136</v>
      </c>
      <c r="BB593" s="8">
        <v>0</v>
      </c>
      <c r="BH593" s="8">
        <v>0</v>
      </c>
      <c r="BJ593" s="9">
        <f t="shared" si="39"/>
        <v>17537136</v>
      </c>
      <c r="BL593" s="9">
        <f>'Gov Fd Rv'!AQ593-'Gov Fnd Exp'!BJ593</f>
        <v>3036455</v>
      </c>
      <c r="BN593" s="8">
        <v>8010862</v>
      </c>
      <c r="BP593" s="8">
        <v>0</v>
      </c>
      <c r="BT593" s="9">
        <f t="shared" si="40"/>
        <v>11047317</v>
      </c>
      <c r="BU593" s="9"/>
      <c r="BV593" s="9">
        <f>BT593-'Gov Fd BS'!AA599</f>
        <v>0</v>
      </c>
    </row>
    <row r="594" spans="1:76">
      <c r="A594" s="13" t="s">
        <v>286</v>
      </c>
      <c r="B594" s="13"/>
      <c r="C594" s="13" t="s">
        <v>114</v>
      </c>
      <c r="D594" s="13"/>
      <c r="E594" s="32">
        <v>45039</v>
      </c>
      <c r="G594" s="8">
        <v>4161378</v>
      </c>
      <c r="I594" s="8">
        <v>1000884</v>
      </c>
      <c r="K594" s="8">
        <v>126771</v>
      </c>
      <c r="M594" s="8">
        <v>61662</v>
      </c>
      <c r="O594" s="8">
        <v>332761</v>
      </c>
      <c r="Q594" s="8">
        <v>422422</v>
      </c>
      <c r="S594" s="8">
        <v>12793</v>
      </c>
      <c r="U594" s="8">
        <v>823370</v>
      </c>
      <c r="W594" s="8">
        <v>241790</v>
      </c>
      <c r="Y594" s="8">
        <v>286</v>
      </c>
      <c r="AA594" s="8">
        <v>931191</v>
      </c>
      <c r="AC594" s="8">
        <v>137988</v>
      </c>
      <c r="AE594" s="8">
        <v>0</v>
      </c>
      <c r="AG594" s="8">
        <v>382547</v>
      </c>
      <c r="AI594" s="8">
        <v>0</v>
      </c>
      <c r="AJ594" s="13" t="s">
        <v>286</v>
      </c>
      <c r="AK594" s="13"/>
      <c r="AL594" s="13" t="s">
        <v>114</v>
      </c>
      <c r="AN594" s="8">
        <v>274091</v>
      </c>
      <c r="AP594" s="8">
        <v>38716</v>
      </c>
      <c r="AR594" s="8">
        <v>0</v>
      </c>
      <c r="AT594" s="8">
        <v>109137</v>
      </c>
      <c r="AV594" s="8">
        <v>63471</v>
      </c>
      <c r="AX594" s="8">
        <v>0</v>
      </c>
      <c r="AZ594" s="9">
        <f t="shared" si="41"/>
        <v>9121258</v>
      </c>
      <c r="BB594" s="8">
        <v>0</v>
      </c>
      <c r="BH594" s="8">
        <v>0</v>
      </c>
      <c r="BJ594" s="9">
        <f t="shared" si="39"/>
        <v>9121258</v>
      </c>
      <c r="BL594" s="9">
        <f>'Gov Fd Rv'!AQ594-'Gov Fnd Exp'!BJ594</f>
        <v>325098</v>
      </c>
      <c r="BN594" s="8">
        <v>2568327</v>
      </c>
      <c r="BP594" s="8">
        <v>0</v>
      </c>
      <c r="BT594" s="9">
        <f t="shared" si="40"/>
        <v>2893425</v>
      </c>
      <c r="BU594" s="9"/>
      <c r="BV594" s="9">
        <f>BT594-'Gov Fd BS'!AA600</f>
        <v>0</v>
      </c>
    </row>
    <row r="595" spans="1:76">
      <c r="A595" s="13" t="s">
        <v>518</v>
      </c>
      <c r="B595" s="13"/>
      <c r="C595" s="13" t="s">
        <v>45</v>
      </c>
      <c r="D595" s="13"/>
      <c r="E595" s="32">
        <v>48389</v>
      </c>
      <c r="G595" s="8">
        <v>8516088</v>
      </c>
      <c r="I595" s="8">
        <v>2315836</v>
      </c>
      <c r="K595" s="8">
        <v>407698</v>
      </c>
      <c r="M595" s="8">
        <v>66842</v>
      </c>
      <c r="O595" s="8">
        <v>1004883</v>
      </c>
      <c r="Q595" s="8">
        <v>1073175</v>
      </c>
      <c r="S595" s="8">
        <v>36734</v>
      </c>
      <c r="U595" s="8">
        <v>1508698</v>
      </c>
      <c r="W595" s="8">
        <v>448898</v>
      </c>
      <c r="Y595" s="8">
        <v>0</v>
      </c>
      <c r="AA595" s="8">
        <v>2292587</v>
      </c>
      <c r="AC595" s="8">
        <v>1396112</v>
      </c>
      <c r="AE595" s="8">
        <v>259862</v>
      </c>
      <c r="AG595" s="8">
        <v>876230</v>
      </c>
      <c r="AI595" s="8">
        <v>57906</v>
      </c>
      <c r="AJ595" s="13" t="s">
        <v>518</v>
      </c>
      <c r="AK595" s="13"/>
      <c r="AL595" s="13" t="s">
        <v>45</v>
      </c>
      <c r="AN595" s="8">
        <v>614965</v>
      </c>
      <c r="AP595" s="8">
        <v>40540</v>
      </c>
      <c r="AR595" s="8">
        <v>0</v>
      </c>
      <c r="AT595" s="8">
        <v>405000</v>
      </c>
      <c r="AV595" s="8">
        <v>244159</v>
      </c>
      <c r="AX595" s="8">
        <v>0</v>
      </c>
      <c r="AZ595" s="9">
        <f t="shared" si="41"/>
        <v>21566213</v>
      </c>
      <c r="BB595" s="8">
        <v>30600</v>
      </c>
      <c r="BH595" s="8">
        <v>0</v>
      </c>
      <c r="BJ595" s="9">
        <f t="shared" si="39"/>
        <v>21596813</v>
      </c>
      <c r="BL595" s="9">
        <f>'Gov Fd Rv'!AQ595-'Gov Fnd Exp'!BJ595</f>
        <v>487516</v>
      </c>
      <c r="BN595" s="8">
        <v>3149146</v>
      </c>
      <c r="BP595" s="8">
        <v>-20641</v>
      </c>
      <c r="BT595" s="9">
        <f t="shared" si="40"/>
        <v>3616021</v>
      </c>
      <c r="BU595" s="9"/>
      <c r="BV595" s="9">
        <f>BT595-'Gov Fd BS'!AA601</f>
        <v>0</v>
      </c>
    </row>
    <row r="596" spans="1:76">
      <c r="A596" s="12" t="s">
        <v>1042</v>
      </c>
      <c r="B596" s="12"/>
      <c r="C596" s="12" t="s">
        <v>50</v>
      </c>
      <c r="D596" s="13"/>
      <c r="E596" s="32"/>
      <c r="G596" s="8">
        <v>14987556</v>
      </c>
      <c r="I596" s="8">
        <v>4506403</v>
      </c>
      <c r="K596" s="8">
        <v>211866</v>
      </c>
      <c r="M596" s="8">
        <v>1853277</v>
      </c>
      <c r="O596" s="8">
        <v>2288020</v>
      </c>
      <c r="Q596" s="8">
        <v>2378029</v>
      </c>
      <c r="S596" s="8">
        <v>30241</v>
      </c>
      <c r="U596" s="8">
        <v>2801632</v>
      </c>
      <c r="W596" s="8">
        <v>716391</v>
      </c>
      <c r="Y596" s="8">
        <v>472382</v>
      </c>
      <c r="AA596" s="8">
        <v>3303534</v>
      </c>
      <c r="AC596" s="8">
        <v>2238622</v>
      </c>
      <c r="AE596" s="8">
        <v>188771</v>
      </c>
      <c r="AG596" s="8">
        <v>1213833</v>
      </c>
      <c r="AI596" s="8">
        <v>88437</v>
      </c>
      <c r="AJ596" s="12" t="s">
        <v>1042</v>
      </c>
      <c r="AK596" s="12"/>
      <c r="AL596" s="12" t="s">
        <v>50</v>
      </c>
      <c r="AN596" s="8">
        <v>599132</v>
      </c>
      <c r="AP596" s="8">
        <v>861748</v>
      </c>
      <c r="AR596" s="8">
        <v>0</v>
      </c>
      <c r="AT596" s="8">
        <v>409974</v>
      </c>
      <c r="AV596" s="8">
        <v>73898</v>
      </c>
      <c r="AX596" s="8">
        <v>0</v>
      </c>
      <c r="AZ596" s="9">
        <f t="shared" si="41"/>
        <v>39223746</v>
      </c>
      <c r="BB596" s="8">
        <v>0</v>
      </c>
      <c r="BH596" s="8">
        <v>0</v>
      </c>
      <c r="BJ596" s="9">
        <f t="shared" si="39"/>
        <v>39223746</v>
      </c>
      <c r="BL596" s="9">
        <f>'Gov Fd Rv'!AQ596-'Gov Fnd Exp'!BJ596</f>
        <v>2573016</v>
      </c>
      <c r="BN596" s="8">
        <v>10538406</v>
      </c>
      <c r="BP596" s="8">
        <v>0</v>
      </c>
      <c r="BT596" s="9">
        <f t="shared" si="40"/>
        <v>13111422</v>
      </c>
      <c r="BU596" s="9"/>
      <c r="BV596" s="9">
        <f>BT596-'Gov Fd BS'!AA602</f>
        <v>0</v>
      </c>
    </row>
    <row r="597" spans="1:76">
      <c r="A597" s="13" t="s">
        <v>272</v>
      </c>
      <c r="B597" s="13"/>
      <c r="C597" s="13" t="s">
        <v>115</v>
      </c>
      <c r="D597" s="13"/>
      <c r="E597" s="32">
        <v>46359</v>
      </c>
      <c r="G597" s="8">
        <v>35994093</v>
      </c>
      <c r="I597" s="8">
        <v>11398543</v>
      </c>
      <c r="K597" s="8">
        <v>134191</v>
      </c>
      <c r="M597" s="8">
        <v>0</v>
      </c>
      <c r="O597" s="8">
        <v>5604181</v>
      </c>
      <c r="Q597" s="8">
        <v>2747686</v>
      </c>
      <c r="S597" s="8">
        <v>51703</v>
      </c>
      <c r="U597" s="8">
        <v>5694673</v>
      </c>
      <c r="W597" s="8">
        <v>1587628</v>
      </c>
      <c r="Y597" s="8">
        <v>50051</v>
      </c>
      <c r="AA597" s="8">
        <v>5700594</v>
      </c>
      <c r="AC597" s="8">
        <v>6880574</v>
      </c>
      <c r="AE597" s="8">
        <v>1100500</v>
      </c>
      <c r="AG597" s="8">
        <v>0</v>
      </c>
      <c r="AI597" s="8">
        <v>2513501</v>
      </c>
      <c r="AJ597" s="13" t="s">
        <v>272</v>
      </c>
      <c r="AK597" s="13"/>
      <c r="AL597" s="13" t="s">
        <v>115</v>
      </c>
      <c r="AN597" s="8">
        <v>1298763</v>
      </c>
      <c r="AP597" s="8">
        <v>6020128</v>
      </c>
      <c r="AR597" s="8">
        <v>0</v>
      </c>
      <c r="AT597" s="8">
        <v>1701414</v>
      </c>
      <c r="AV597" s="8">
        <v>2149675</v>
      </c>
      <c r="AX597" s="8">
        <v>0</v>
      </c>
      <c r="AZ597" s="9">
        <f t="shared" si="38"/>
        <v>90627898</v>
      </c>
      <c r="BB597" s="8">
        <v>0</v>
      </c>
      <c r="BH597" s="8">
        <v>0</v>
      </c>
      <c r="BJ597" s="9">
        <f t="shared" si="39"/>
        <v>90627898</v>
      </c>
      <c r="BL597" s="9">
        <f>'Gov Fd Rv'!AQ597-'Gov Fnd Exp'!BJ597</f>
        <v>-7856404</v>
      </c>
      <c r="BN597" s="8">
        <v>37005534</v>
      </c>
      <c r="BP597" s="8">
        <v>0</v>
      </c>
      <c r="BT597" s="9">
        <f t="shared" si="40"/>
        <v>29149130</v>
      </c>
      <c r="BU597" s="9"/>
      <c r="BV597" s="9">
        <f>BT597-'Gov Fd BS'!AA603</f>
        <v>0</v>
      </c>
    </row>
    <row r="598" spans="1:76">
      <c r="A598" s="13" t="s">
        <v>383</v>
      </c>
      <c r="B598" s="13"/>
      <c r="C598" s="13" t="s">
        <v>30</v>
      </c>
      <c r="D598" s="13"/>
      <c r="E598" s="32">
        <v>47225</v>
      </c>
      <c r="G598" s="8">
        <v>10237068</v>
      </c>
      <c r="I598" s="8">
        <v>3054767</v>
      </c>
      <c r="K598" s="8">
        <v>214889</v>
      </c>
      <c r="M598" s="8">
        <f>15000+425899</f>
        <v>440899</v>
      </c>
      <c r="O598" s="8">
        <v>2260011</v>
      </c>
      <c r="Q598" s="8">
        <v>786011</v>
      </c>
      <c r="S598" s="8">
        <v>58378</v>
      </c>
      <c r="U598" s="8">
        <v>1843252</v>
      </c>
      <c r="W598" s="8">
        <v>582198</v>
      </c>
      <c r="Y598" s="8">
        <v>327419</v>
      </c>
      <c r="AA598" s="8">
        <v>2416580</v>
      </c>
      <c r="AC598" s="8">
        <v>1894539</v>
      </c>
      <c r="AE598" s="8">
        <v>77600</v>
      </c>
      <c r="AG598" s="8">
        <v>0</v>
      </c>
      <c r="AI598" s="8">
        <f>478797+100</f>
        <v>478897</v>
      </c>
      <c r="AJ598" s="13" t="s">
        <v>383</v>
      </c>
      <c r="AK598" s="13"/>
      <c r="AL598" s="13" t="s">
        <v>30</v>
      </c>
      <c r="AN598" s="8">
        <v>865225</v>
      </c>
      <c r="AP598" s="8">
        <v>1097567</v>
      </c>
      <c r="AR598" s="8">
        <v>0</v>
      </c>
      <c r="AT598" s="8">
        <v>2554119</v>
      </c>
      <c r="AV598" s="8">
        <v>532395</v>
      </c>
      <c r="AX598" s="8">
        <v>0</v>
      </c>
      <c r="AZ598" s="9">
        <f t="shared" si="38"/>
        <v>29721814</v>
      </c>
      <c r="BB598" s="8">
        <v>170569</v>
      </c>
      <c r="BH598" s="8">
        <v>0</v>
      </c>
      <c r="BJ598" s="9">
        <f t="shared" si="39"/>
        <v>29892383</v>
      </c>
      <c r="BL598" s="9">
        <f>'Gov Fd Rv'!AQ598-'Gov Fnd Exp'!BJ598</f>
        <v>-489426</v>
      </c>
      <c r="BN598" s="8">
        <v>7315671</v>
      </c>
      <c r="BP598" s="8">
        <v>0</v>
      </c>
      <c r="BT598" s="9">
        <f t="shared" si="40"/>
        <v>6826245</v>
      </c>
      <c r="BU598" s="9"/>
      <c r="BV598" s="9">
        <f>BT598-'Gov Fd BS'!AA604</f>
        <v>0</v>
      </c>
    </row>
    <row r="599" spans="1:76">
      <c r="A599" s="13" t="s">
        <v>442</v>
      </c>
      <c r="B599" s="13"/>
      <c r="C599" s="13" t="s">
        <v>36</v>
      </c>
      <c r="D599" s="13"/>
      <c r="E599" s="32">
        <v>47696</v>
      </c>
      <c r="G599" s="8">
        <v>10626451</v>
      </c>
      <c r="I599" s="8">
        <v>3249798</v>
      </c>
      <c r="K599" s="8">
        <v>293321</v>
      </c>
      <c r="M599" s="8">
        <v>0</v>
      </c>
      <c r="O599" s="8">
        <v>783347</v>
      </c>
      <c r="Q599" s="8">
        <v>632310</v>
      </c>
      <c r="S599" s="8">
        <v>61315</v>
      </c>
      <c r="U599" s="8">
        <v>1873871</v>
      </c>
      <c r="W599" s="8">
        <v>515153</v>
      </c>
      <c r="Y599" s="8">
        <v>1440</v>
      </c>
      <c r="AA599" s="8">
        <v>2030175</v>
      </c>
      <c r="AC599" s="8">
        <v>1697087</v>
      </c>
      <c r="AE599" s="8">
        <v>68260</v>
      </c>
      <c r="AG599" s="8">
        <v>995182</v>
      </c>
      <c r="AI599" s="8">
        <v>43937</v>
      </c>
      <c r="AJ599" s="13" t="s">
        <v>442</v>
      </c>
      <c r="AK599" s="13"/>
      <c r="AL599" s="13" t="s">
        <v>36</v>
      </c>
      <c r="AN599" s="8">
        <v>437918</v>
      </c>
      <c r="AP599" s="8">
        <v>263772</v>
      </c>
      <c r="AR599" s="8">
        <v>0</v>
      </c>
      <c r="AT599" s="8">
        <v>127683</v>
      </c>
      <c r="AV599" s="8">
        <v>1065966</v>
      </c>
      <c r="AX599" s="8">
        <v>0</v>
      </c>
      <c r="AZ599" s="9">
        <f t="shared" si="38"/>
        <v>24766986</v>
      </c>
      <c r="BB599" s="8">
        <v>0</v>
      </c>
      <c r="BH599" s="8">
        <v>0</v>
      </c>
      <c r="BJ599" s="9">
        <f t="shared" si="39"/>
        <v>24766986</v>
      </c>
      <c r="BL599" s="9">
        <f>'Gov Fd Rv'!AQ599-'Gov Fnd Exp'!BJ599</f>
        <v>960556</v>
      </c>
      <c r="BN599" s="8">
        <v>8531838</v>
      </c>
      <c r="BP599" s="8">
        <v>0</v>
      </c>
      <c r="BT599" s="9">
        <f t="shared" si="40"/>
        <v>9492394</v>
      </c>
      <c r="BU599" s="9"/>
      <c r="BV599" s="9">
        <f>BT599-'Gov Fd BS'!AA605</f>
        <v>0</v>
      </c>
    </row>
    <row r="600" spans="1:76">
      <c r="A600" s="13" t="s">
        <v>259</v>
      </c>
      <c r="B600" s="13"/>
      <c r="C600" s="13" t="s">
        <v>255</v>
      </c>
      <c r="D600" s="13"/>
      <c r="E600" s="32">
        <v>46219</v>
      </c>
      <c r="G600" s="8">
        <v>4715780</v>
      </c>
      <c r="I600" s="8">
        <v>1739505</v>
      </c>
      <c r="K600" s="8">
        <v>204774</v>
      </c>
      <c r="M600" s="8">
        <v>422465</v>
      </c>
      <c r="O600" s="8">
        <v>537708</v>
      </c>
      <c r="Q600" s="8">
        <v>618166</v>
      </c>
      <c r="S600" s="8">
        <v>47296</v>
      </c>
      <c r="U600" s="8">
        <v>759122</v>
      </c>
      <c r="W600" s="8">
        <v>390343</v>
      </c>
      <c r="Y600" s="8">
        <v>0</v>
      </c>
      <c r="AA600" s="8">
        <v>1061022</v>
      </c>
      <c r="AC600" s="8">
        <v>784720</v>
      </c>
      <c r="AE600" s="8">
        <v>291160</v>
      </c>
      <c r="AG600" s="8">
        <v>6000</v>
      </c>
      <c r="AI600" s="8">
        <v>505358</v>
      </c>
      <c r="AJ600" s="13" t="s">
        <v>259</v>
      </c>
      <c r="AK600" s="13"/>
      <c r="AL600" s="13" t="s">
        <v>255</v>
      </c>
      <c r="AN600" s="8">
        <v>577869</v>
      </c>
      <c r="AP600" s="8">
        <v>56648</v>
      </c>
      <c r="AR600" s="8">
        <v>0</v>
      </c>
      <c r="AT600" s="8">
        <v>211336</v>
      </c>
      <c r="AV600" s="8">
        <v>28978</v>
      </c>
      <c r="AX600" s="8">
        <v>0</v>
      </c>
      <c r="AZ600" s="9">
        <f t="shared" si="38"/>
        <v>12958250</v>
      </c>
      <c r="BB600" s="8">
        <v>16000</v>
      </c>
      <c r="BH600" s="8">
        <v>0</v>
      </c>
      <c r="BJ600" s="9">
        <f t="shared" si="39"/>
        <v>12974250</v>
      </c>
      <c r="BL600" s="9">
        <f>'Gov Fd Rv'!AQ600-'Gov Fnd Exp'!BJ600</f>
        <v>110628</v>
      </c>
      <c r="BN600" s="8">
        <v>3126043</v>
      </c>
      <c r="BP600" s="8">
        <v>0</v>
      </c>
      <c r="BT600" s="9">
        <f t="shared" si="40"/>
        <v>3236671</v>
      </c>
      <c r="BU600" s="9"/>
      <c r="BV600" s="9">
        <f>BT600-'Gov Fd BS'!AA606</f>
        <v>0</v>
      </c>
    </row>
    <row r="601" spans="1:76">
      <c r="A601" s="13" t="s">
        <v>567</v>
      </c>
      <c r="B601" s="13"/>
      <c r="C601" s="13" t="s">
        <v>51</v>
      </c>
      <c r="D601" s="13"/>
      <c r="E601" s="32">
        <v>48884</v>
      </c>
      <c r="G601" s="8">
        <v>6847805</v>
      </c>
      <c r="I601" s="8">
        <v>2242583</v>
      </c>
      <c r="K601" s="8">
        <v>257246</v>
      </c>
      <c r="M601" s="8">
        <v>182994</v>
      </c>
      <c r="O601" s="8">
        <v>322850</v>
      </c>
      <c r="Q601" s="8">
        <v>884241</v>
      </c>
      <c r="S601" s="8">
        <v>15575</v>
      </c>
      <c r="U601" s="8">
        <v>1314685</v>
      </c>
      <c r="W601" s="8">
        <v>431561</v>
      </c>
      <c r="Y601" s="8">
        <v>0</v>
      </c>
      <c r="AA601" s="8">
        <v>1566856</v>
      </c>
      <c r="AC601" s="8">
        <v>901035</v>
      </c>
      <c r="AE601" s="8">
        <v>77883</v>
      </c>
      <c r="AG601" s="8">
        <v>596201</v>
      </c>
      <c r="AI601" s="8">
        <v>17554</v>
      </c>
      <c r="AJ601" s="13" t="s">
        <v>567</v>
      </c>
      <c r="AK601" s="13"/>
      <c r="AL601" s="13" t="s">
        <v>51</v>
      </c>
      <c r="AN601" s="8">
        <v>219731</v>
      </c>
      <c r="AP601" s="8">
        <v>256885</v>
      </c>
      <c r="AR601" s="8">
        <v>0</v>
      </c>
      <c r="AT601" s="8">
        <v>660507</v>
      </c>
      <c r="AV601" s="8">
        <v>1082848</v>
      </c>
      <c r="AX601" s="8">
        <v>0</v>
      </c>
      <c r="AZ601" s="9">
        <f t="shared" si="38"/>
        <v>17879040</v>
      </c>
      <c r="BB601" s="8">
        <v>570000</v>
      </c>
      <c r="BH601" s="8">
        <v>0</v>
      </c>
      <c r="BJ601" s="9">
        <f t="shared" si="39"/>
        <v>18449040</v>
      </c>
      <c r="BL601" s="9">
        <f>'Gov Fd Rv'!AQ601-'Gov Fnd Exp'!BJ601</f>
        <v>472048</v>
      </c>
      <c r="BN601" s="8">
        <v>2997033</v>
      </c>
      <c r="BP601" s="8">
        <v>0</v>
      </c>
      <c r="BT601" s="9">
        <f t="shared" si="40"/>
        <v>3469081</v>
      </c>
      <c r="BU601" s="9"/>
      <c r="BV601" s="9">
        <f>BT601-'Gov Fd BS'!AA607</f>
        <v>0</v>
      </c>
    </row>
    <row r="602" spans="1:76">
      <c r="A602" s="13" t="s">
        <v>240</v>
      </c>
      <c r="B602" s="13"/>
      <c r="C602" s="13" t="s">
        <v>77</v>
      </c>
      <c r="D602" s="13"/>
      <c r="E602" s="32">
        <v>46060</v>
      </c>
      <c r="G602" s="8">
        <v>14026999</v>
      </c>
      <c r="I602" s="8">
        <v>3615310</v>
      </c>
      <c r="K602" s="8">
        <v>292940</v>
      </c>
      <c r="M602" s="8">
        <v>146996</v>
      </c>
      <c r="O602" s="8">
        <v>888765</v>
      </c>
      <c r="Q602" s="8">
        <v>1059607</v>
      </c>
      <c r="S602" s="8">
        <v>20524</v>
      </c>
      <c r="U602" s="8">
        <v>1956104</v>
      </c>
      <c r="W602" s="8">
        <v>542751</v>
      </c>
      <c r="Y602" s="8">
        <v>0</v>
      </c>
      <c r="AA602" s="8">
        <v>3069098</v>
      </c>
      <c r="AC602" s="8">
        <v>2055205</v>
      </c>
      <c r="AE602" s="8">
        <v>273575</v>
      </c>
      <c r="AG602" s="8">
        <v>0</v>
      </c>
      <c r="AI602" s="8">
        <v>16395</v>
      </c>
      <c r="AJ602" s="13" t="s">
        <v>240</v>
      </c>
      <c r="AK602" s="13"/>
      <c r="AL602" s="13" t="s">
        <v>77</v>
      </c>
      <c r="AN602" s="8">
        <v>611076</v>
      </c>
      <c r="AP602" s="8">
        <v>195584</v>
      </c>
      <c r="AR602" s="8">
        <v>0</v>
      </c>
      <c r="AT602" s="8">
        <v>288000</v>
      </c>
      <c r="AV602" s="8">
        <v>275387</v>
      </c>
      <c r="AX602" s="8">
        <v>0</v>
      </c>
      <c r="AZ602" s="9">
        <f t="shared" si="38"/>
        <v>29334316</v>
      </c>
      <c r="BB602" s="8">
        <v>0</v>
      </c>
      <c r="BH602" s="8">
        <v>0</v>
      </c>
      <c r="BJ602" s="9">
        <f t="shared" si="39"/>
        <v>29334316</v>
      </c>
      <c r="BL602" s="9">
        <f>'Gov Fd Rv'!AQ602-'Gov Fnd Exp'!BJ602</f>
        <v>-358265</v>
      </c>
      <c r="BN602" s="8">
        <v>5134051</v>
      </c>
      <c r="BP602" s="8">
        <v>0</v>
      </c>
      <c r="BT602" s="9">
        <f t="shared" si="40"/>
        <v>4775786</v>
      </c>
      <c r="BU602" s="9"/>
      <c r="BV602" s="9">
        <f>BT602-'Gov Fd BS'!AA608</f>
        <v>0</v>
      </c>
    </row>
    <row r="603" spans="1:76">
      <c r="A603" s="13" t="s">
        <v>587</v>
      </c>
      <c r="B603" s="13"/>
      <c r="C603" s="13" t="s">
        <v>55</v>
      </c>
      <c r="D603" s="13"/>
      <c r="E603" s="32">
        <v>49155</v>
      </c>
      <c r="G603" s="8">
        <v>3019999</v>
      </c>
      <c r="I603" s="8">
        <v>1422195</v>
      </c>
      <c r="K603" s="8">
        <v>0</v>
      </c>
      <c r="M603" s="8">
        <v>527750</v>
      </c>
      <c r="O603" s="8">
        <v>361762</v>
      </c>
      <c r="Q603" s="8">
        <v>455348</v>
      </c>
      <c r="S603" s="8">
        <v>17931</v>
      </c>
      <c r="U603" s="8">
        <v>696489</v>
      </c>
      <c r="W603" s="8">
        <v>274925</v>
      </c>
      <c r="Y603" s="8">
        <v>0</v>
      </c>
      <c r="AA603" s="8">
        <v>994214</v>
      </c>
      <c r="AC603" s="8">
        <v>655868</v>
      </c>
      <c r="AE603" s="8">
        <v>139564</v>
      </c>
      <c r="AG603" s="8">
        <v>0</v>
      </c>
      <c r="AI603" s="8">
        <v>388827</v>
      </c>
      <c r="AJ603" s="13" t="s">
        <v>587</v>
      </c>
      <c r="AK603" s="13"/>
      <c r="AL603" s="13" t="s">
        <v>55</v>
      </c>
      <c r="AN603" s="8">
        <v>165179</v>
      </c>
      <c r="AP603" s="8">
        <v>27309</v>
      </c>
      <c r="AR603" s="8">
        <v>61750</v>
      </c>
      <c r="AT603" s="8">
        <v>40000</v>
      </c>
      <c r="AV603" s="8">
        <v>39720</v>
      </c>
      <c r="AX603" s="8">
        <v>0</v>
      </c>
      <c r="AZ603" s="9">
        <f t="shared" si="38"/>
        <v>9288830</v>
      </c>
      <c r="BB603" s="8">
        <v>225000</v>
      </c>
      <c r="BH603" s="8">
        <v>0</v>
      </c>
      <c r="BJ603" s="9">
        <f t="shared" si="39"/>
        <v>9513830</v>
      </c>
      <c r="BL603" s="9">
        <f>'Gov Fd Rv'!AQ603-'Gov Fnd Exp'!BJ603</f>
        <v>-523275</v>
      </c>
      <c r="BN603" s="8">
        <v>6004522</v>
      </c>
      <c r="BP603" s="8">
        <v>0</v>
      </c>
      <c r="BT603" s="9">
        <f t="shared" si="40"/>
        <v>5481247</v>
      </c>
      <c r="BU603" s="9"/>
      <c r="BV603" s="9">
        <f>BT603-'Gov Fd BS'!AA609</f>
        <v>0</v>
      </c>
    </row>
    <row r="604" spans="1:76" ht="12" customHeight="1">
      <c r="A604" s="13" t="s">
        <v>447</v>
      </c>
      <c r="B604" s="13"/>
      <c r="C604" s="13" t="s">
        <v>37</v>
      </c>
      <c r="D604" s="13"/>
      <c r="E604" s="32">
        <v>47746</v>
      </c>
      <c r="G604" s="8">
        <v>4959980</v>
      </c>
      <c r="I604" s="8">
        <v>1706042</v>
      </c>
      <c r="K604" s="8">
        <v>149858</v>
      </c>
      <c r="M604" s="8">
        <v>286138</v>
      </c>
      <c r="O604" s="8">
        <v>186644</v>
      </c>
      <c r="Q604" s="8">
        <v>574328</v>
      </c>
      <c r="S604" s="8">
        <v>83606</v>
      </c>
      <c r="U604" s="8">
        <v>815594</v>
      </c>
      <c r="W604" s="8">
        <v>439826</v>
      </c>
      <c r="Y604" s="8">
        <v>37397</v>
      </c>
      <c r="AA604" s="8">
        <v>1133196</v>
      </c>
      <c r="AC604" s="8">
        <v>651538</v>
      </c>
      <c r="AE604" s="8">
        <v>45728</v>
      </c>
      <c r="AG604" s="8">
        <v>436809</v>
      </c>
      <c r="AI604" s="8">
        <v>186140</v>
      </c>
      <c r="AJ604" s="13" t="s">
        <v>447</v>
      </c>
      <c r="AK604" s="13"/>
      <c r="AL604" s="13" t="s">
        <v>37</v>
      </c>
      <c r="AN604" s="8">
        <v>409841</v>
      </c>
      <c r="AP604" s="8">
        <v>695</v>
      </c>
      <c r="AR604" s="8">
        <v>0</v>
      </c>
      <c r="AT604" s="8">
        <v>135522</v>
      </c>
      <c r="AV604" s="8">
        <v>155463</v>
      </c>
      <c r="AX604" s="8">
        <v>0</v>
      </c>
      <c r="AZ604" s="9">
        <f t="shared" si="38"/>
        <v>12394345</v>
      </c>
      <c r="BB604" s="8">
        <v>0</v>
      </c>
      <c r="BH604" s="8">
        <v>0</v>
      </c>
      <c r="BJ604" s="9">
        <f t="shared" si="39"/>
        <v>12394345</v>
      </c>
      <c r="BL604" s="9">
        <f>'Gov Fd Rv'!AQ604-'Gov Fnd Exp'!BJ604</f>
        <v>438029</v>
      </c>
      <c r="BN604" s="8">
        <v>1077875</v>
      </c>
      <c r="BP604" s="8">
        <v>0</v>
      </c>
      <c r="BT604" s="9">
        <f t="shared" si="40"/>
        <v>1515904</v>
      </c>
      <c r="BU604" s="9"/>
      <c r="BV604" s="9">
        <f>BT604-'Gov Fd BS'!AA610</f>
        <v>0</v>
      </c>
      <c r="BX604" s="107"/>
    </row>
    <row r="605" spans="1:76">
      <c r="A605" s="13" t="s">
        <v>447</v>
      </c>
      <c r="B605" s="13"/>
      <c r="C605" s="13" t="s">
        <v>45</v>
      </c>
      <c r="D605" s="13"/>
      <c r="E605" s="13">
        <v>48397</v>
      </c>
      <c r="G605" s="8">
        <v>2742108</v>
      </c>
      <c r="I605" s="8">
        <v>732508</v>
      </c>
      <c r="K605" s="8">
        <v>112928</v>
      </c>
      <c r="M605" s="8">
        <f>7200+45605</f>
        <v>52805</v>
      </c>
      <c r="O605" s="8">
        <v>312147</v>
      </c>
      <c r="Q605" s="8">
        <v>336532</v>
      </c>
      <c r="S605" s="8">
        <v>20959</v>
      </c>
      <c r="U605" s="8">
        <v>635741</v>
      </c>
      <c r="W605" s="8">
        <v>247062</v>
      </c>
      <c r="Y605" s="8">
        <v>24534</v>
      </c>
      <c r="AA605" s="8">
        <v>448213</v>
      </c>
      <c r="AC605" s="8">
        <v>386569</v>
      </c>
      <c r="AE605" s="8">
        <v>24379</v>
      </c>
      <c r="AG605" s="8">
        <v>215921</v>
      </c>
      <c r="AI605" s="8">
        <v>0</v>
      </c>
      <c r="AJ605" s="13" t="s">
        <v>447</v>
      </c>
      <c r="AK605" s="13"/>
      <c r="AL605" s="13" t="s">
        <v>45</v>
      </c>
      <c r="AN605" s="8">
        <v>363719</v>
      </c>
      <c r="AP605" s="8">
        <v>391393</v>
      </c>
      <c r="AR605" s="8">
        <v>0</v>
      </c>
      <c r="AT605" s="8">
        <v>0</v>
      </c>
      <c r="AV605" s="8">
        <v>0</v>
      </c>
      <c r="AX605" s="8">
        <v>0</v>
      </c>
      <c r="AZ605" s="9">
        <f t="shared" si="38"/>
        <v>7047518</v>
      </c>
      <c r="BB605" s="8">
        <v>27919</v>
      </c>
      <c r="BH605" s="8">
        <v>0</v>
      </c>
      <c r="BJ605" s="9">
        <f t="shared" si="39"/>
        <v>7075437</v>
      </c>
      <c r="BL605" s="9">
        <f>'Gov Fd Rv'!AQ605-'Gov Fnd Exp'!BJ605</f>
        <v>13566476</v>
      </c>
      <c r="BN605" s="8">
        <v>1438285</v>
      </c>
      <c r="BP605" s="8">
        <v>0</v>
      </c>
      <c r="BT605" s="9">
        <f t="shared" si="40"/>
        <v>15004761</v>
      </c>
      <c r="BU605" s="9"/>
      <c r="BV605" s="9">
        <f>BT605-'Gov Fd BS'!AA611</f>
        <v>0</v>
      </c>
    </row>
    <row r="606" spans="1:76" s="35" customFormat="1">
      <c r="A606" s="34" t="s">
        <v>365</v>
      </c>
      <c r="B606" s="34"/>
      <c r="C606" s="34" t="s">
        <v>27</v>
      </c>
      <c r="D606" s="34"/>
      <c r="E606" s="34">
        <v>45047</v>
      </c>
      <c r="G606" s="8">
        <v>64155120</v>
      </c>
      <c r="H606" s="8"/>
      <c r="I606" s="8">
        <v>20884904</v>
      </c>
      <c r="J606" s="8"/>
      <c r="K606" s="8">
        <v>567680</v>
      </c>
      <c r="L606" s="8"/>
      <c r="M606" s="8">
        <v>4397956</v>
      </c>
      <c r="N606" s="8"/>
      <c r="O606" s="8">
        <v>11175462</v>
      </c>
      <c r="P606" s="8"/>
      <c r="Q606" s="8">
        <v>5528096</v>
      </c>
      <c r="R606" s="8"/>
      <c r="S606" s="8">
        <v>1456641</v>
      </c>
      <c r="T606" s="8"/>
      <c r="U606" s="8">
        <v>10201514</v>
      </c>
      <c r="V606" s="8"/>
      <c r="W606" s="8">
        <v>1629092</v>
      </c>
      <c r="X606" s="8"/>
      <c r="Y606" s="8">
        <v>953696</v>
      </c>
      <c r="Z606" s="8"/>
      <c r="AA606" s="8">
        <v>13414960</v>
      </c>
      <c r="AB606" s="8"/>
      <c r="AC606" s="8">
        <v>7436535</v>
      </c>
      <c r="AD606" s="8"/>
      <c r="AE606" s="8">
        <v>3435033</v>
      </c>
      <c r="AF606" s="8"/>
      <c r="AG606" s="8">
        <v>1500</v>
      </c>
      <c r="AH606" s="8"/>
      <c r="AI606" s="8">
        <v>1175295</v>
      </c>
      <c r="AJ606" s="34" t="s">
        <v>365</v>
      </c>
      <c r="AK606" s="34"/>
      <c r="AL606" s="34" t="s">
        <v>27</v>
      </c>
      <c r="AN606" s="8">
        <v>2819478</v>
      </c>
      <c r="AO606" s="8"/>
      <c r="AP606" s="8">
        <v>2877972</v>
      </c>
      <c r="AQ606" s="8"/>
      <c r="AR606" s="8">
        <v>0</v>
      </c>
      <c r="AS606" s="8"/>
      <c r="AT606" s="8">
        <v>5700000</v>
      </c>
      <c r="AU606" s="8"/>
      <c r="AV606" s="8">
        <v>4674163</v>
      </c>
      <c r="AW606" s="8"/>
      <c r="AX606" s="8">
        <v>0</v>
      </c>
      <c r="AY606" s="8"/>
      <c r="AZ606" s="9">
        <f t="shared" si="38"/>
        <v>162485097</v>
      </c>
      <c r="BA606" s="8"/>
      <c r="BB606" s="8">
        <v>0</v>
      </c>
      <c r="BC606" s="8"/>
      <c r="BD606" s="8"/>
      <c r="BE606" s="8"/>
      <c r="BF606" s="8"/>
      <c r="BG606" s="8"/>
      <c r="BH606" s="8">
        <v>0</v>
      </c>
      <c r="BI606" s="8"/>
      <c r="BJ606" s="9">
        <f t="shared" si="39"/>
        <v>162485097</v>
      </c>
      <c r="BK606" s="8"/>
      <c r="BL606" s="9">
        <f>'Gov Fd Rv'!AQ606-'Gov Fnd Exp'!BJ606</f>
        <v>-6013942</v>
      </c>
      <c r="BM606" s="8"/>
      <c r="BN606" s="8">
        <v>34315748</v>
      </c>
      <c r="BO606" s="8"/>
      <c r="BP606" s="8">
        <v>0</v>
      </c>
      <c r="BQ606" s="8"/>
      <c r="BR606" s="8"/>
      <c r="BS606" s="8"/>
      <c r="BT606" s="9">
        <f t="shared" si="40"/>
        <v>28301806</v>
      </c>
      <c r="BU606" s="9"/>
      <c r="BV606" s="9">
        <f>BT606-'Gov Fd BS'!AA612</f>
        <v>0</v>
      </c>
    </row>
    <row r="607" spans="1:76">
      <c r="A607" s="13" t="s">
        <v>584</v>
      </c>
      <c r="B607" s="13"/>
      <c r="C607" s="13" t="s">
        <v>54</v>
      </c>
      <c r="D607" s="13"/>
      <c r="E607" s="32">
        <v>49106</v>
      </c>
      <c r="G607" s="8">
        <v>6802124</v>
      </c>
      <c r="I607" s="8">
        <v>1714775</v>
      </c>
      <c r="K607" s="8">
        <v>32518</v>
      </c>
      <c r="M607" s="8">
        <v>0</v>
      </c>
      <c r="O607" s="8">
        <v>354681</v>
      </c>
      <c r="Q607" s="8">
        <v>1057699</v>
      </c>
      <c r="S607" s="8">
        <v>221474</v>
      </c>
      <c r="U607" s="8">
        <v>1498703</v>
      </c>
      <c r="W607" s="8">
        <v>398557</v>
      </c>
      <c r="Y607" s="8">
        <v>63965</v>
      </c>
      <c r="AA607" s="8">
        <v>932583</v>
      </c>
      <c r="AC607" s="8">
        <v>1111976</v>
      </c>
      <c r="AE607" s="8">
        <v>64991</v>
      </c>
      <c r="AG607" s="8">
        <v>0</v>
      </c>
      <c r="AI607" s="8">
        <v>582791</v>
      </c>
      <c r="AJ607" s="13" t="s">
        <v>584</v>
      </c>
      <c r="AK607" s="13"/>
      <c r="AL607" s="13" t="s">
        <v>54</v>
      </c>
      <c r="AN607" s="8">
        <v>523302</v>
      </c>
      <c r="AP607" s="8">
        <v>134288</v>
      </c>
      <c r="AR607" s="8">
        <v>0</v>
      </c>
      <c r="AT607" s="8">
        <v>392066</v>
      </c>
      <c r="AV607" s="8">
        <v>206893</v>
      </c>
      <c r="AX607" s="8">
        <v>0</v>
      </c>
      <c r="AZ607" s="9">
        <f t="shared" si="38"/>
        <v>16093386</v>
      </c>
      <c r="BB607" s="8">
        <v>104263</v>
      </c>
      <c r="BH607" s="8">
        <v>0</v>
      </c>
      <c r="BJ607" s="9">
        <f t="shared" si="39"/>
        <v>16197649</v>
      </c>
      <c r="BL607" s="9">
        <f>'Gov Fd Rv'!AQ607-'Gov Fnd Exp'!BJ607</f>
        <v>1418355</v>
      </c>
      <c r="BN607" s="8">
        <v>1677283</v>
      </c>
      <c r="BP607" s="8">
        <v>0</v>
      </c>
      <c r="BT607" s="9">
        <f t="shared" si="40"/>
        <v>3095638</v>
      </c>
      <c r="BU607" s="9"/>
      <c r="BV607" s="9">
        <f>BT607-'Gov Fd BS'!AA613</f>
        <v>0</v>
      </c>
    </row>
    <row r="608" spans="1:76">
      <c r="A608" s="13" t="s">
        <v>325</v>
      </c>
      <c r="B608" s="13"/>
      <c r="C608" s="13" t="s">
        <v>20</v>
      </c>
      <c r="D608" s="13"/>
      <c r="E608" s="32">
        <v>45062</v>
      </c>
      <c r="G608" s="8">
        <v>21540301</v>
      </c>
      <c r="I608" s="8">
        <v>4362750</v>
      </c>
      <c r="K608" s="8">
        <v>433570</v>
      </c>
      <c r="M608" s="8">
        <f>106960+1041855</f>
        <v>1148815</v>
      </c>
      <c r="O608" s="8">
        <v>3332392</v>
      </c>
      <c r="Q608" s="8">
        <v>3243215</v>
      </c>
      <c r="S608" s="8">
        <v>34216</v>
      </c>
      <c r="U608" s="8">
        <v>3046009</v>
      </c>
      <c r="W608" s="8">
        <v>1169785</v>
      </c>
      <c r="Y608" s="8">
        <v>452497</v>
      </c>
      <c r="AA608" s="8">
        <v>4482016</v>
      </c>
      <c r="AC608" s="8">
        <v>4247517</v>
      </c>
      <c r="AE608" s="8">
        <v>141709</v>
      </c>
      <c r="AG608" s="8">
        <v>1167000</v>
      </c>
      <c r="AI608" s="8">
        <v>792378</v>
      </c>
      <c r="AJ608" s="13" t="s">
        <v>325</v>
      </c>
      <c r="AK608" s="13"/>
      <c r="AL608" s="13" t="s">
        <v>20</v>
      </c>
      <c r="AN608" s="8">
        <v>1542829</v>
      </c>
      <c r="AP608" s="8">
        <f>660047+348014</f>
        <v>1008061</v>
      </c>
      <c r="AR608" s="8">
        <v>0</v>
      </c>
      <c r="AT608" s="8">
        <v>1816167</v>
      </c>
      <c r="AV608" s="8">
        <v>872284</v>
      </c>
      <c r="AX608" s="8">
        <v>0</v>
      </c>
      <c r="AZ608" s="9">
        <f t="shared" si="38"/>
        <v>54833511</v>
      </c>
      <c r="BB608" s="8">
        <v>10000</v>
      </c>
      <c r="BH608" s="8">
        <v>0</v>
      </c>
      <c r="BJ608" s="9">
        <f t="shared" si="39"/>
        <v>54843511</v>
      </c>
      <c r="BL608" s="9">
        <f>'Gov Fd Rv'!AQ608-'Gov Fnd Exp'!BJ608</f>
        <v>4944369</v>
      </c>
      <c r="BN608" s="8">
        <v>18720735</v>
      </c>
      <c r="BP608" s="8">
        <v>0</v>
      </c>
      <c r="BT608" s="9">
        <f t="shared" si="40"/>
        <v>23665104</v>
      </c>
      <c r="BU608" s="9"/>
      <c r="BV608" s="9">
        <f>BT608-'Gov Fd BS'!AA614</f>
        <v>0</v>
      </c>
    </row>
    <row r="609" spans="1:74">
      <c r="A609" s="13"/>
      <c r="B609" s="13"/>
      <c r="C609" s="13"/>
      <c r="D609" s="13"/>
      <c r="E609" s="32"/>
      <c r="AJ609" s="13"/>
      <c r="AK609" s="13"/>
      <c r="AL609" s="13"/>
      <c r="AZ609" s="9"/>
      <c r="BJ609" s="9"/>
      <c r="BL609" s="9"/>
      <c r="BT609" s="9"/>
      <c r="BU609" s="9"/>
      <c r="BV609" s="9"/>
    </row>
    <row r="610" spans="1:74">
      <c r="A610" s="13"/>
      <c r="B610" s="13"/>
      <c r="C610" s="13"/>
      <c r="D610" s="13"/>
      <c r="E610" s="32"/>
      <c r="AI610" s="8" t="s">
        <v>805</v>
      </c>
      <c r="AJ610" s="13"/>
      <c r="AK610" s="13"/>
      <c r="AL610" s="13"/>
      <c r="AZ610" s="9"/>
      <c r="BJ610" s="9"/>
      <c r="BL610" s="9"/>
      <c r="BT610" s="8" t="s">
        <v>805</v>
      </c>
      <c r="BU610" s="9"/>
      <c r="BV610" s="9"/>
    </row>
    <row r="611" spans="1:74">
      <c r="A611" s="13"/>
      <c r="B611" s="13"/>
      <c r="C611" s="13"/>
      <c r="D611" s="13"/>
      <c r="E611" s="32"/>
      <c r="AJ611" s="13"/>
      <c r="AK611" s="13"/>
      <c r="AL611" s="13"/>
      <c r="AZ611" s="9"/>
      <c r="BJ611" s="9"/>
      <c r="BL611" s="9"/>
      <c r="BT611" s="9"/>
      <c r="BU611" s="9"/>
      <c r="BV611" s="9"/>
    </row>
    <row r="612" spans="1:74">
      <c r="A612" s="13" t="s">
        <v>634</v>
      </c>
      <c r="B612" s="13"/>
      <c r="C612" s="13" t="s">
        <v>59</v>
      </c>
      <c r="D612" s="13"/>
      <c r="E612" s="32">
        <v>49668</v>
      </c>
      <c r="G612" s="35">
        <v>6593591</v>
      </c>
      <c r="H612" s="35"/>
      <c r="I612" s="35">
        <v>1370558</v>
      </c>
      <c r="J612" s="35"/>
      <c r="K612" s="35">
        <v>5377</v>
      </c>
      <c r="L612" s="35"/>
      <c r="M612" s="35">
        <v>23639</v>
      </c>
      <c r="N612" s="35"/>
      <c r="O612" s="35">
        <v>993428</v>
      </c>
      <c r="P612" s="35"/>
      <c r="Q612" s="35">
        <v>778238</v>
      </c>
      <c r="R612" s="35"/>
      <c r="S612" s="35">
        <v>131700</v>
      </c>
      <c r="T612" s="35"/>
      <c r="U612" s="35">
        <v>865858</v>
      </c>
      <c r="V612" s="35"/>
      <c r="W612" s="35">
        <v>352587</v>
      </c>
      <c r="X612" s="35"/>
      <c r="Y612" s="35">
        <v>0</v>
      </c>
      <c r="Z612" s="35"/>
      <c r="AA612" s="35">
        <v>1364068</v>
      </c>
      <c r="AB612" s="35"/>
      <c r="AC612" s="35">
        <v>587330</v>
      </c>
      <c r="AD612" s="35"/>
      <c r="AE612" s="35">
        <v>115304</v>
      </c>
      <c r="AF612" s="35"/>
      <c r="AG612" s="35">
        <v>596741</v>
      </c>
      <c r="AH612" s="35"/>
      <c r="AI612" s="35">
        <v>95604</v>
      </c>
      <c r="AJ612" s="13" t="s">
        <v>634</v>
      </c>
      <c r="AK612" s="13"/>
      <c r="AL612" s="13" t="s">
        <v>59</v>
      </c>
      <c r="AN612" s="35">
        <v>565598</v>
      </c>
      <c r="AO612" s="35"/>
      <c r="AP612" s="35">
        <v>3393404</v>
      </c>
      <c r="AQ612" s="35"/>
      <c r="AR612" s="35">
        <v>0</v>
      </c>
      <c r="AS612" s="35"/>
      <c r="AT612" s="35">
        <v>267000</v>
      </c>
      <c r="AU612" s="35"/>
      <c r="AV612" s="35">
        <v>449575</v>
      </c>
      <c r="AW612" s="35"/>
      <c r="AX612" s="35">
        <v>0</v>
      </c>
      <c r="AY612" s="35"/>
      <c r="AZ612" s="44">
        <f t="shared" si="38"/>
        <v>18549600</v>
      </c>
      <c r="BA612" s="35"/>
      <c r="BB612" s="35">
        <v>276597</v>
      </c>
      <c r="BC612" s="35"/>
      <c r="BD612" s="35"/>
      <c r="BE612" s="35"/>
      <c r="BF612" s="35"/>
      <c r="BG612" s="35"/>
      <c r="BH612" s="35">
        <v>0</v>
      </c>
      <c r="BI612" s="35"/>
      <c r="BJ612" s="44">
        <f t="shared" si="39"/>
        <v>18826197</v>
      </c>
      <c r="BK612" s="35"/>
      <c r="BL612" s="44">
        <f>'Gov Fd Rv'!AQ612-'Gov Fnd Exp'!BJ612</f>
        <v>-2325054</v>
      </c>
      <c r="BM612" s="35"/>
      <c r="BN612" s="35">
        <v>5582649</v>
      </c>
      <c r="BO612" s="35"/>
      <c r="BP612" s="35">
        <v>0</v>
      </c>
      <c r="BQ612" s="35"/>
      <c r="BR612" s="35"/>
      <c r="BS612" s="35"/>
      <c r="BT612" s="44">
        <f t="shared" si="40"/>
        <v>3257595</v>
      </c>
      <c r="BU612" s="9"/>
      <c r="BV612" s="9">
        <f>BT612-'Gov Fd BS'!AA615</f>
        <v>0</v>
      </c>
    </row>
    <row r="613" spans="1:74">
      <c r="A613" s="13" t="s">
        <v>366</v>
      </c>
      <c r="B613" s="13"/>
      <c r="C613" s="13" t="s">
        <v>27</v>
      </c>
      <c r="D613" s="13"/>
      <c r="E613" s="32">
        <v>45070</v>
      </c>
      <c r="G613" s="8">
        <v>14220107</v>
      </c>
      <c r="I613" s="8">
        <v>6361429</v>
      </c>
      <c r="K613" s="8">
        <v>705432</v>
      </c>
      <c r="M613" s="8">
        <v>617054</v>
      </c>
      <c r="O613" s="8">
        <v>1582252</v>
      </c>
      <c r="Q613" s="8">
        <v>1624568</v>
      </c>
      <c r="S613" s="8">
        <v>138932</v>
      </c>
      <c r="U613" s="8">
        <v>2539501</v>
      </c>
      <c r="W613" s="8">
        <v>0</v>
      </c>
      <c r="Y613" s="8">
        <v>1156239</v>
      </c>
      <c r="AA613" s="8">
        <v>2540328</v>
      </c>
      <c r="AC613" s="8">
        <v>1333492</v>
      </c>
      <c r="AE613" s="8">
        <v>529574</v>
      </c>
      <c r="AG613" s="8">
        <v>0</v>
      </c>
      <c r="AI613" s="8">
        <v>262136</v>
      </c>
      <c r="AJ613" s="13" t="s">
        <v>366</v>
      </c>
      <c r="AK613" s="13"/>
      <c r="AL613" s="13" t="s">
        <v>27</v>
      </c>
      <c r="AN613" s="8">
        <v>651543</v>
      </c>
      <c r="AP613" s="8">
        <v>1069556</v>
      </c>
      <c r="AR613" s="8">
        <v>0</v>
      </c>
      <c r="AT613" s="8">
        <v>388655</v>
      </c>
      <c r="AV613" s="8">
        <v>611033</v>
      </c>
      <c r="AX613" s="8">
        <v>0</v>
      </c>
      <c r="AZ613" s="9">
        <f t="shared" si="38"/>
        <v>36331831</v>
      </c>
      <c r="BB613" s="8">
        <v>500000</v>
      </c>
      <c r="BH613" s="8">
        <v>0</v>
      </c>
      <c r="BJ613" s="9">
        <f t="shared" si="39"/>
        <v>36831831</v>
      </c>
      <c r="BL613" s="9">
        <f>'Gov Fd Rv'!AQ613-'Gov Fnd Exp'!BJ613</f>
        <v>36341007</v>
      </c>
      <c r="BN613" s="8">
        <v>13997547</v>
      </c>
      <c r="BP613" s="8">
        <v>0</v>
      </c>
      <c r="BT613" s="9">
        <f t="shared" si="40"/>
        <v>50338554</v>
      </c>
      <c r="BU613" s="9"/>
      <c r="BV613" s="9">
        <f>BT613-'Gov Fd BS'!AA616</f>
        <v>0</v>
      </c>
    </row>
    <row r="614" spans="1:74" hidden="1">
      <c r="A614" s="12" t="s">
        <v>844</v>
      </c>
      <c r="B614" s="13"/>
      <c r="C614" s="13" t="s">
        <v>41</v>
      </c>
      <c r="D614" s="13"/>
      <c r="E614" s="32">
        <v>45088</v>
      </c>
      <c r="AJ614" s="13" t="s">
        <v>463</v>
      </c>
      <c r="AK614" s="13"/>
      <c r="AL614" s="13" t="s">
        <v>41</v>
      </c>
      <c r="AZ614" s="9">
        <f t="shared" si="38"/>
        <v>0</v>
      </c>
      <c r="BJ614" s="9">
        <f t="shared" si="39"/>
        <v>0</v>
      </c>
      <c r="BL614" s="9">
        <f>'Gov Fd Rv'!AQ614-'Gov Fnd Exp'!BJ614</f>
        <v>0</v>
      </c>
      <c r="BT614" s="9">
        <f t="shared" si="40"/>
        <v>0</v>
      </c>
      <c r="BU614" s="9"/>
      <c r="BV614" s="9">
        <f>BT614-'Gov Fd BS'!AA617</f>
        <v>0</v>
      </c>
    </row>
    <row r="615" spans="1:74">
      <c r="A615" s="13" t="s">
        <v>448</v>
      </c>
      <c r="B615" s="13"/>
      <c r="C615" s="13" t="s">
        <v>37</v>
      </c>
      <c r="D615" s="13"/>
      <c r="E615" s="32">
        <v>45096</v>
      </c>
      <c r="G615" s="8">
        <v>7797130</v>
      </c>
      <c r="I615" s="8">
        <v>1546199</v>
      </c>
      <c r="K615" s="8">
        <v>260736</v>
      </c>
      <c r="M615" s="8">
        <v>2032696</v>
      </c>
      <c r="O615" s="8">
        <v>837062</v>
      </c>
      <c r="Q615" s="8">
        <v>741437</v>
      </c>
      <c r="S615" s="8">
        <v>433389</v>
      </c>
      <c r="U615" s="8">
        <v>1849197</v>
      </c>
      <c r="W615" s="8">
        <v>385974</v>
      </c>
      <c r="Y615" s="8">
        <v>41746</v>
      </c>
      <c r="AA615" s="8">
        <v>1486389</v>
      </c>
      <c r="AC615" s="8">
        <v>901461</v>
      </c>
      <c r="AE615" s="8">
        <v>5095</v>
      </c>
      <c r="AG615" s="8">
        <v>851704</v>
      </c>
      <c r="AI615" s="8">
        <v>212517</v>
      </c>
      <c r="AJ615" s="13" t="s">
        <v>448</v>
      </c>
      <c r="AK615" s="13"/>
      <c r="AL615" s="13" t="s">
        <v>37</v>
      </c>
      <c r="AN615" s="8">
        <v>666253</v>
      </c>
      <c r="AP615" s="8">
        <v>233355</v>
      </c>
      <c r="AR615" s="8">
        <v>0</v>
      </c>
      <c r="AT615" s="8">
        <v>371542</v>
      </c>
      <c r="AV615" s="8">
        <v>169931</v>
      </c>
      <c r="AX615" s="8">
        <v>0</v>
      </c>
      <c r="AZ615" s="9">
        <f t="shared" si="38"/>
        <v>20823813</v>
      </c>
      <c r="BB615" s="8">
        <v>129238</v>
      </c>
      <c r="BH615" s="8">
        <v>0</v>
      </c>
      <c r="BJ615" s="9">
        <f t="shared" si="39"/>
        <v>20953051</v>
      </c>
      <c r="BL615" s="9">
        <f>'Gov Fd Rv'!AQ615-'Gov Fnd Exp'!BJ615</f>
        <v>-1179390</v>
      </c>
      <c r="BN615" s="8">
        <v>4804229</v>
      </c>
      <c r="BP615" s="8">
        <v>0</v>
      </c>
      <c r="BT615" s="9">
        <f t="shared" si="40"/>
        <v>3624839</v>
      </c>
      <c r="BU615" s="9"/>
      <c r="BV615" s="9">
        <f>BT615-'Gov Fd BS'!AA618</f>
        <v>0</v>
      </c>
    </row>
    <row r="616" spans="1:74">
      <c r="A616" s="13" t="s">
        <v>273</v>
      </c>
      <c r="B616" s="13"/>
      <c r="C616" s="13" t="s">
        <v>115</v>
      </c>
      <c r="D616" s="13"/>
      <c r="E616" s="32">
        <v>46367</v>
      </c>
      <c r="G616" s="8">
        <v>4564679</v>
      </c>
      <c r="I616" s="8">
        <v>1187680</v>
      </c>
      <c r="K616" s="8">
        <v>79706</v>
      </c>
      <c r="M616" s="8">
        <v>3120</v>
      </c>
      <c r="O616" s="8">
        <v>388537</v>
      </c>
      <c r="Q616" s="8">
        <v>451380</v>
      </c>
      <c r="S616" s="8">
        <v>27149</v>
      </c>
      <c r="U616" s="8">
        <v>704644</v>
      </c>
      <c r="W616" s="8">
        <v>312974</v>
      </c>
      <c r="Y616" s="8">
        <v>0</v>
      </c>
      <c r="AA616" s="8">
        <v>1099558</v>
      </c>
      <c r="AC616" s="8">
        <v>565803</v>
      </c>
      <c r="AE616" s="8">
        <v>3712</v>
      </c>
      <c r="AG616" s="8">
        <v>494127</v>
      </c>
      <c r="AI616" s="8">
        <v>15634</v>
      </c>
      <c r="AJ616" s="13" t="s">
        <v>273</v>
      </c>
      <c r="AK616" s="13"/>
      <c r="AL616" s="13" t="s">
        <v>115</v>
      </c>
      <c r="AN616" s="8">
        <v>292574</v>
      </c>
      <c r="AP616" s="8">
        <v>0</v>
      </c>
      <c r="AR616" s="8">
        <v>0</v>
      </c>
      <c r="AT616" s="8">
        <v>240377</v>
      </c>
      <c r="AV616" s="8">
        <v>118772</v>
      </c>
      <c r="AX616" s="8">
        <v>0</v>
      </c>
      <c r="AZ616" s="9">
        <f t="shared" si="38"/>
        <v>10550426</v>
      </c>
      <c r="BB616" s="8">
        <v>137130</v>
      </c>
      <c r="BH616" s="8">
        <v>0</v>
      </c>
      <c r="BJ616" s="9">
        <f t="shared" si="39"/>
        <v>10687556</v>
      </c>
      <c r="BL616" s="9">
        <f>'Gov Fd Rv'!AQ616-'Gov Fnd Exp'!BJ616</f>
        <v>-394737</v>
      </c>
      <c r="BN616" s="8">
        <v>3686485</v>
      </c>
      <c r="BP616" s="8">
        <v>0</v>
      </c>
      <c r="BT616" s="9">
        <f t="shared" si="40"/>
        <v>3291748</v>
      </c>
      <c r="BU616" s="9"/>
      <c r="BV616" s="9">
        <f>BT616-'Gov Fd BS'!AA619</f>
        <v>0</v>
      </c>
    </row>
    <row r="617" spans="1:74">
      <c r="A617" s="13" t="s">
        <v>464</v>
      </c>
      <c r="B617" s="13"/>
      <c r="C617" s="13" t="s">
        <v>41</v>
      </c>
      <c r="D617" s="13"/>
      <c r="E617" s="32">
        <v>45104</v>
      </c>
      <c r="G617" s="8">
        <v>39741250</v>
      </c>
      <c r="I617" s="8">
        <v>15339576</v>
      </c>
      <c r="K617" s="8">
        <v>1363151</v>
      </c>
      <c r="M617" s="8">
        <v>458633</v>
      </c>
      <c r="O617" s="8">
        <v>5685904</v>
      </c>
      <c r="Q617" s="8">
        <v>3860185</v>
      </c>
      <c r="S617" s="8">
        <v>336841</v>
      </c>
      <c r="U617" s="8">
        <v>5031624</v>
      </c>
      <c r="W617" s="8">
        <v>1651007</v>
      </c>
      <c r="Y617" s="8">
        <v>421027</v>
      </c>
      <c r="AA617" s="8">
        <v>9078763</v>
      </c>
      <c r="AC617" s="8">
        <v>6513267</v>
      </c>
      <c r="AE617" s="8">
        <v>1275856</v>
      </c>
      <c r="AG617" s="8">
        <v>2439942</v>
      </c>
      <c r="AI617" s="8">
        <v>1442487</v>
      </c>
      <c r="AJ617" s="13" t="s">
        <v>464</v>
      </c>
      <c r="AK617" s="13"/>
      <c r="AL617" s="13" t="s">
        <v>41</v>
      </c>
      <c r="AN617" s="8">
        <v>2297134</v>
      </c>
      <c r="AP617" s="8">
        <v>0</v>
      </c>
      <c r="AR617" s="8">
        <v>0</v>
      </c>
      <c r="AT617" s="8">
        <v>275000</v>
      </c>
      <c r="AV617" s="8">
        <v>58238</v>
      </c>
      <c r="AX617" s="8">
        <v>0</v>
      </c>
      <c r="AZ617" s="9">
        <f t="shared" si="38"/>
        <v>97269885</v>
      </c>
      <c r="BB617" s="8">
        <v>1597890</v>
      </c>
      <c r="BH617" s="8">
        <v>0</v>
      </c>
      <c r="BJ617" s="9">
        <f t="shared" si="39"/>
        <v>98867775</v>
      </c>
      <c r="BL617" s="9">
        <f>'Gov Fd Rv'!AQ617-'Gov Fnd Exp'!BJ617</f>
        <v>-2779008</v>
      </c>
      <c r="BN617" s="8">
        <v>18602248</v>
      </c>
      <c r="BP617" s="8">
        <v>0</v>
      </c>
      <c r="BT617" s="9">
        <f t="shared" si="40"/>
        <v>15823240</v>
      </c>
      <c r="BU617" s="9"/>
      <c r="BV617" s="9">
        <f>BT617-'Gov Fd BS'!AA620</f>
        <v>0</v>
      </c>
    </row>
    <row r="618" spans="1:74">
      <c r="A618" s="13" t="s">
        <v>277</v>
      </c>
      <c r="B618" s="13"/>
      <c r="C618" s="13" t="s">
        <v>18</v>
      </c>
      <c r="D618" s="13"/>
      <c r="E618" s="32">
        <v>45112</v>
      </c>
      <c r="G618" s="8">
        <v>12534624</v>
      </c>
      <c r="I618" s="8">
        <v>3114944</v>
      </c>
      <c r="K618" s="8">
        <v>276571</v>
      </c>
      <c r="M618" s="8">
        <v>462148</v>
      </c>
      <c r="O618" s="8">
        <v>1268901</v>
      </c>
      <c r="Q618" s="8">
        <v>1544436</v>
      </c>
      <c r="S618" s="8">
        <v>235432</v>
      </c>
      <c r="U618" s="8">
        <v>1541210</v>
      </c>
      <c r="W618" s="8">
        <v>719999</v>
      </c>
      <c r="Y618" s="8">
        <v>409298</v>
      </c>
      <c r="AA618" s="8">
        <v>2131334</v>
      </c>
      <c r="AC618" s="8">
        <v>1219454</v>
      </c>
      <c r="AE618" s="8">
        <v>226034</v>
      </c>
      <c r="AG618" s="8">
        <v>0</v>
      </c>
      <c r="AI618" s="8">
        <v>1325691</v>
      </c>
      <c r="AJ618" s="13" t="s">
        <v>277</v>
      </c>
      <c r="AK618" s="13"/>
      <c r="AL618" s="13" t="s">
        <v>18</v>
      </c>
      <c r="AN618" s="8">
        <v>587426</v>
      </c>
      <c r="AP618" s="8">
        <v>1261689</v>
      </c>
      <c r="AR618" s="8">
        <v>0</v>
      </c>
      <c r="AT618" s="8">
        <v>1292000</v>
      </c>
      <c r="AV618" s="8">
        <v>409953</v>
      </c>
      <c r="AX618" s="8">
        <v>0</v>
      </c>
      <c r="AZ618" s="9">
        <f t="shared" si="38"/>
        <v>30561144</v>
      </c>
      <c r="BB618" s="8">
        <v>0</v>
      </c>
      <c r="BH618" s="8">
        <v>0</v>
      </c>
      <c r="BJ618" s="9">
        <f t="shared" si="39"/>
        <v>30561144</v>
      </c>
      <c r="BL618" s="9">
        <f>'Gov Fd Rv'!AQ618-'Gov Fnd Exp'!BJ618</f>
        <v>-1233111</v>
      </c>
      <c r="BN618" s="8">
        <v>9494368</v>
      </c>
      <c r="BP618" s="8">
        <v>0</v>
      </c>
      <c r="BT618" s="9">
        <f t="shared" si="40"/>
        <v>8261257</v>
      </c>
      <c r="BU618" s="9"/>
      <c r="BV618" s="9">
        <f>BT618-'Gov Fd BS'!AA621</f>
        <v>0</v>
      </c>
    </row>
    <row r="619" spans="1:74">
      <c r="A619" s="13" t="s">
        <v>597</v>
      </c>
      <c r="B619" s="13"/>
      <c r="C619" s="13" t="s">
        <v>56</v>
      </c>
      <c r="D619" s="13"/>
      <c r="E619" s="32">
        <v>45666</v>
      </c>
      <c r="G619" s="8">
        <v>3734140</v>
      </c>
      <c r="I619" s="8">
        <v>1456865</v>
      </c>
      <c r="K619" s="8">
        <v>75138</v>
      </c>
      <c r="M619" s="8">
        <f>700+50222</f>
        <v>50922</v>
      </c>
      <c r="O619" s="8">
        <v>389402</v>
      </c>
      <c r="Q619" s="8">
        <v>404128</v>
      </c>
      <c r="S619" s="8">
        <v>32236</v>
      </c>
      <c r="U619" s="8">
        <v>647373</v>
      </c>
      <c r="W619" s="8">
        <v>197830</v>
      </c>
      <c r="Y619" s="8">
        <v>6100</v>
      </c>
      <c r="AA619" s="8">
        <v>914769</v>
      </c>
      <c r="AC619" s="8">
        <v>384504</v>
      </c>
      <c r="AE619" s="8">
        <v>39069</v>
      </c>
      <c r="AG619" s="8">
        <v>332749</v>
      </c>
      <c r="AI619" s="8">
        <v>0</v>
      </c>
      <c r="AJ619" s="13" t="s">
        <v>597</v>
      </c>
      <c r="AK619" s="13"/>
      <c r="AL619" s="13" t="s">
        <v>56</v>
      </c>
      <c r="AN619" s="8">
        <v>204590</v>
      </c>
      <c r="AP619" s="8">
        <v>44051</v>
      </c>
      <c r="AR619" s="8">
        <v>0</v>
      </c>
      <c r="AT619" s="8">
        <v>59435</v>
      </c>
      <c r="AV619" s="8">
        <v>39251</v>
      </c>
      <c r="AX619" s="8">
        <v>0</v>
      </c>
      <c r="AZ619" s="9">
        <f t="shared" si="38"/>
        <v>9012552</v>
      </c>
      <c r="BB619" s="8">
        <v>0</v>
      </c>
      <c r="BH619" s="8">
        <v>0</v>
      </c>
      <c r="BJ619" s="9">
        <f t="shared" si="39"/>
        <v>9012552</v>
      </c>
      <c r="BL619" s="9">
        <f>'Gov Fd Rv'!AQ619-'Gov Fnd Exp'!BJ619</f>
        <v>721872</v>
      </c>
      <c r="BN619" s="8">
        <v>32596</v>
      </c>
      <c r="BP619" s="8">
        <v>2438</v>
      </c>
      <c r="BT619" s="9">
        <f t="shared" si="40"/>
        <v>756906</v>
      </c>
      <c r="BU619" s="9"/>
      <c r="BV619" s="9">
        <f>BT619-'Gov Fd BS'!AA622</f>
        <v>0</v>
      </c>
    </row>
    <row r="620" spans="1:74">
      <c r="A620" s="13" t="s">
        <v>411</v>
      </c>
      <c r="B620" s="13"/>
      <c r="C620" s="13" t="s">
        <v>32</v>
      </c>
      <c r="D620" s="13"/>
      <c r="E620" s="32">
        <v>44081</v>
      </c>
      <c r="G620" s="8">
        <v>17738476</v>
      </c>
      <c r="I620" s="8">
        <v>6232797</v>
      </c>
      <c r="K620" s="8">
        <v>305498</v>
      </c>
      <c r="M620" s="8">
        <v>777110</v>
      </c>
      <c r="O620" s="8">
        <v>2338542</v>
      </c>
      <c r="Q620" s="8">
        <v>3901421</v>
      </c>
      <c r="S620" s="8">
        <v>74545</v>
      </c>
      <c r="U620" s="8">
        <v>3516594</v>
      </c>
      <c r="W620" s="8">
        <v>760342</v>
      </c>
      <c r="Y620" s="8">
        <v>221421</v>
      </c>
      <c r="AA620" s="8">
        <v>3893501</v>
      </c>
      <c r="AC620" s="8">
        <v>1914971</v>
      </c>
      <c r="AE620" s="8">
        <v>899072</v>
      </c>
      <c r="AG620" s="8">
        <v>0</v>
      </c>
      <c r="AI620" s="8">
        <v>1842019</v>
      </c>
      <c r="AJ620" s="13" t="s">
        <v>411</v>
      </c>
      <c r="AK620" s="13"/>
      <c r="AL620" s="13" t="s">
        <v>32</v>
      </c>
      <c r="AN620" s="8">
        <v>758900</v>
      </c>
      <c r="AP620" s="8">
        <v>0</v>
      </c>
      <c r="AR620" s="8">
        <v>0</v>
      </c>
      <c r="AT620" s="8">
        <v>494532</v>
      </c>
      <c r="AV620" s="8">
        <v>211909</v>
      </c>
      <c r="AX620" s="8">
        <v>0</v>
      </c>
      <c r="AZ620" s="9">
        <f t="shared" si="38"/>
        <v>45881650</v>
      </c>
      <c r="BB620" s="8">
        <v>0</v>
      </c>
      <c r="BH620" s="8">
        <v>0</v>
      </c>
      <c r="BJ620" s="9">
        <f t="shared" si="39"/>
        <v>45881650</v>
      </c>
      <c r="BL620" s="9">
        <f>'Gov Fd Rv'!AQ620-'Gov Fnd Exp'!BJ620</f>
        <v>-1419856</v>
      </c>
      <c r="BN620" s="8">
        <v>7666087</v>
      </c>
      <c r="BP620" s="8">
        <v>0</v>
      </c>
      <c r="BT620" s="9">
        <f t="shared" si="40"/>
        <v>6246231</v>
      </c>
      <c r="BU620" s="9"/>
      <c r="BV620" s="9">
        <f>BT620-'Gov Fd BS'!AA623</f>
        <v>0</v>
      </c>
    </row>
    <row r="621" spans="1:74">
      <c r="A621" s="13" t="s">
        <v>720</v>
      </c>
      <c r="B621" s="13"/>
      <c r="C621" s="13" t="s">
        <v>70</v>
      </c>
      <c r="D621" s="13"/>
      <c r="E621" s="32">
        <v>50518</v>
      </c>
      <c r="G621" s="8">
        <v>2830144</v>
      </c>
      <c r="I621" s="8">
        <v>446840</v>
      </c>
      <c r="K621" s="8">
        <v>156927</v>
      </c>
      <c r="M621" s="8">
        <v>0</v>
      </c>
      <c r="O621" s="8">
        <v>205721</v>
      </c>
      <c r="Q621" s="8">
        <v>473479</v>
      </c>
      <c r="S621" s="8">
        <v>13163</v>
      </c>
      <c r="U621" s="8">
        <v>447331</v>
      </c>
      <c r="W621" s="8">
        <v>516356</v>
      </c>
      <c r="Y621" s="8">
        <v>0</v>
      </c>
      <c r="AA621" s="8">
        <v>547202</v>
      </c>
      <c r="AC621" s="8">
        <v>434308</v>
      </c>
      <c r="AE621" s="8">
        <v>41605</v>
      </c>
      <c r="AG621" s="8">
        <v>0</v>
      </c>
      <c r="AI621" s="8">
        <v>241755</v>
      </c>
      <c r="AJ621" s="13" t="s">
        <v>720</v>
      </c>
      <c r="AK621" s="13"/>
      <c r="AL621" s="13" t="s">
        <v>70</v>
      </c>
      <c r="AN621" s="8">
        <v>368897</v>
      </c>
      <c r="AP621" s="8">
        <v>29334</v>
      </c>
      <c r="AR621" s="8">
        <v>0</v>
      </c>
      <c r="AT621" s="8">
        <v>150000</v>
      </c>
      <c r="AV621" s="8">
        <v>265383</v>
      </c>
      <c r="AX621" s="8">
        <v>0</v>
      </c>
      <c r="AZ621" s="9">
        <f t="shared" si="38"/>
        <v>7168445</v>
      </c>
      <c r="BB621" s="8">
        <v>100000</v>
      </c>
      <c r="BH621" s="8">
        <v>0</v>
      </c>
      <c r="BJ621" s="9">
        <f t="shared" si="39"/>
        <v>7268445</v>
      </c>
      <c r="BL621" s="9">
        <f>'Gov Fd Rv'!AQ621-'Gov Fnd Exp'!BJ621</f>
        <v>1439935</v>
      </c>
      <c r="BN621" s="8">
        <v>4593144</v>
      </c>
      <c r="BP621" s="8">
        <v>0</v>
      </c>
      <c r="BT621" s="9">
        <f t="shared" si="40"/>
        <v>6033079</v>
      </c>
      <c r="BU621" s="9"/>
      <c r="BV621" s="9">
        <f>BT621-'Gov Fd BS'!AA624</f>
        <v>0</v>
      </c>
    </row>
    <row r="622" spans="1:74">
      <c r="A622" s="13" t="s">
        <v>625</v>
      </c>
      <c r="B622" s="13"/>
      <c r="C622" s="13" t="s">
        <v>79</v>
      </c>
      <c r="D622" s="13"/>
      <c r="E622" s="32">
        <v>49577</v>
      </c>
      <c r="G622" s="8">
        <v>4957705</v>
      </c>
      <c r="I622" s="8">
        <v>919735</v>
      </c>
      <c r="K622" s="8">
        <v>9549</v>
      </c>
      <c r="M622" s="8">
        <v>1282</v>
      </c>
      <c r="O622" s="8">
        <v>661424</v>
      </c>
      <c r="Q622" s="8">
        <v>183857</v>
      </c>
      <c r="S622" s="8">
        <v>50019</v>
      </c>
      <c r="U622" s="8">
        <v>810125</v>
      </c>
      <c r="W622" s="8">
        <v>334309</v>
      </c>
      <c r="Y622" s="8">
        <v>0</v>
      </c>
      <c r="AA622" s="8">
        <v>903360</v>
      </c>
      <c r="AC622" s="8">
        <v>708505</v>
      </c>
      <c r="AE622" s="8">
        <v>2187</v>
      </c>
      <c r="AG622" s="8">
        <v>382748</v>
      </c>
      <c r="AI622" s="8">
        <v>111728</v>
      </c>
      <c r="AJ622" s="13" t="s">
        <v>625</v>
      </c>
      <c r="AK622" s="13"/>
      <c r="AL622" s="13" t="s">
        <v>79</v>
      </c>
      <c r="AN622" s="8">
        <v>391164</v>
      </c>
      <c r="AP622" s="8">
        <v>256274</v>
      </c>
      <c r="AR622" s="8">
        <v>0</v>
      </c>
      <c r="AT622" s="8">
        <v>509872</v>
      </c>
      <c r="AV622" s="8">
        <v>33671</v>
      </c>
      <c r="AX622" s="8">
        <v>0</v>
      </c>
      <c r="AZ622" s="9">
        <f t="shared" si="38"/>
        <v>11227514</v>
      </c>
      <c r="BB622" s="8">
        <v>76986</v>
      </c>
      <c r="BH622" s="8">
        <v>0</v>
      </c>
      <c r="BJ622" s="9">
        <f t="shared" si="39"/>
        <v>11304500</v>
      </c>
      <c r="BL622" s="9">
        <f>'Gov Fd Rv'!AQ622-'Gov Fnd Exp'!BJ622</f>
        <v>-136252</v>
      </c>
      <c r="BN622" s="8">
        <v>845395</v>
      </c>
      <c r="BP622" s="8">
        <v>0</v>
      </c>
      <c r="BT622" s="9">
        <f t="shared" si="40"/>
        <v>709143</v>
      </c>
      <c r="BU622" s="9"/>
      <c r="BV622" s="9">
        <f>BT622-'Gov Fd BS'!AA625</f>
        <v>0</v>
      </c>
    </row>
    <row r="623" spans="1:74">
      <c r="A623" s="13" t="s">
        <v>674</v>
      </c>
      <c r="B623" s="13"/>
      <c r="C623" s="13" t="s">
        <v>63</v>
      </c>
      <c r="D623" s="13"/>
      <c r="E623" s="13">
        <v>49973</v>
      </c>
      <c r="G623" s="8">
        <v>10083582</v>
      </c>
      <c r="I623" s="8">
        <v>3174289</v>
      </c>
      <c r="K623" s="8">
        <v>289975</v>
      </c>
      <c r="M623" s="8">
        <v>409753</v>
      </c>
      <c r="O623" s="8">
        <v>1309094</v>
      </c>
      <c r="Q623" s="8">
        <v>519834</v>
      </c>
      <c r="S623" s="8">
        <v>31968</v>
      </c>
      <c r="U623" s="8">
        <v>2045869</v>
      </c>
      <c r="W623" s="8">
        <v>596067</v>
      </c>
      <c r="Y623" s="8">
        <v>3795</v>
      </c>
      <c r="AA623" s="8">
        <v>1741702</v>
      </c>
      <c r="AC623" s="8">
        <v>1493779</v>
      </c>
      <c r="AE623" s="8">
        <v>191850</v>
      </c>
      <c r="AG623" s="8">
        <v>730557</v>
      </c>
      <c r="AI623" s="8">
        <v>18784</v>
      </c>
      <c r="AJ623" s="13" t="s">
        <v>674</v>
      </c>
      <c r="AK623" s="13"/>
      <c r="AL623" s="13" t="s">
        <v>63</v>
      </c>
      <c r="AN623" s="8">
        <v>666635</v>
      </c>
      <c r="AP623" s="8">
        <v>664241</v>
      </c>
      <c r="AR623" s="8">
        <v>0</v>
      </c>
      <c r="AT623" s="8">
        <v>943067</v>
      </c>
      <c r="AV623" s="8">
        <v>781882</v>
      </c>
      <c r="AX623" s="8">
        <v>0</v>
      </c>
      <c r="AZ623" s="9">
        <f t="shared" si="38"/>
        <v>25696723</v>
      </c>
      <c r="BB623" s="8">
        <v>84300</v>
      </c>
      <c r="BH623" s="8">
        <v>0</v>
      </c>
      <c r="BJ623" s="9">
        <f t="shared" si="39"/>
        <v>25781023</v>
      </c>
      <c r="BL623" s="9">
        <f>'Gov Fd Rv'!AQ623-'Gov Fnd Exp'!BJ623</f>
        <v>81239</v>
      </c>
      <c r="BN623" s="8">
        <v>10211895</v>
      </c>
      <c r="BP623" s="8">
        <v>0</v>
      </c>
      <c r="BT623" s="9">
        <f t="shared" si="40"/>
        <v>10293134</v>
      </c>
      <c r="BU623" s="9"/>
      <c r="BV623" s="9">
        <f>BT623-'Gov Fd BS'!AA626</f>
        <v>0</v>
      </c>
    </row>
    <row r="624" spans="1:74">
      <c r="A624" s="13" t="s">
        <v>845</v>
      </c>
      <c r="B624" s="13"/>
      <c r="C624" s="13" t="s">
        <v>71</v>
      </c>
      <c r="D624" s="13"/>
      <c r="E624" s="32">
        <v>45138</v>
      </c>
      <c r="G624" s="8">
        <v>16399131</v>
      </c>
      <c r="I624" s="8">
        <v>4899002</v>
      </c>
      <c r="K624" s="8">
        <v>369278</v>
      </c>
      <c r="M624" s="8">
        <f>216828+2550008</f>
        <v>2766836</v>
      </c>
      <c r="O624" s="8">
        <v>2135254</v>
      </c>
      <c r="Q624" s="8">
        <v>2201134</v>
      </c>
      <c r="S624" s="8">
        <v>126063</v>
      </c>
      <c r="U624" s="8">
        <v>3145424</v>
      </c>
      <c r="W624" s="8">
        <v>954375</v>
      </c>
      <c r="Y624" s="8">
        <v>218351</v>
      </c>
      <c r="AA624" s="8">
        <v>4629848</v>
      </c>
      <c r="AC624" s="8">
        <v>1869593</v>
      </c>
      <c r="AE624" s="8">
        <v>470293</v>
      </c>
      <c r="AG624" s="8">
        <v>0</v>
      </c>
      <c r="AI624" s="8">
        <v>497930</v>
      </c>
      <c r="AJ624" s="13" t="s">
        <v>845</v>
      </c>
      <c r="AK624" s="13"/>
      <c r="AL624" s="13" t="s">
        <v>71</v>
      </c>
      <c r="AN624" s="8">
        <v>535994</v>
      </c>
      <c r="AP624" s="8">
        <v>1236666</v>
      </c>
      <c r="AR624" s="8">
        <v>0</v>
      </c>
      <c r="AT624" s="8">
        <v>2605074</v>
      </c>
      <c r="AV624" s="8">
        <v>534368</v>
      </c>
      <c r="AX624" s="8">
        <v>0</v>
      </c>
      <c r="AZ624" s="9">
        <f t="shared" si="38"/>
        <v>45594614</v>
      </c>
      <c r="BB624" s="8">
        <v>492275</v>
      </c>
      <c r="BH624" s="8">
        <v>0</v>
      </c>
      <c r="BJ624" s="9">
        <f t="shared" si="39"/>
        <v>46086889</v>
      </c>
      <c r="BL624" s="9">
        <f>'Gov Fd Rv'!AQ624-'Gov Fnd Exp'!BJ624</f>
        <v>967318</v>
      </c>
      <c r="BN624" s="8">
        <v>18240923</v>
      </c>
      <c r="BP624" s="8">
        <v>0</v>
      </c>
      <c r="BT624" s="9">
        <f t="shared" si="40"/>
        <v>19208241</v>
      </c>
      <c r="BU624" s="9"/>
      <c r="BV624" s="9">
        <f>BT624-'Gov Fd BS'!AA627</f>
        <v>0</v>
      </c>
    </row>
    <row r="625" spans="1:74">
      <c r="A625" s="13" t="s">
        <v>367</v>
      </c>
      <c r="B625" s="13"/>
      <c r="C625" s="13" t="s">
        <v>27</v>
      </c>
      <c r="D625" s="13"/>
      <c r="E625" s="32">
        <v>46524</v>
      </c>
      <c r="G625" s="8">
        <v>58740574</v>
      </c>
      <c r="I625" s="8">
        <v>12741514</v>
      </c>
      <c r="K625" s="8">
        <v>923791</v>
      </c>
      <c r="M625" s="8">
        <v>2508</v>
      </c>
      <c r="O625" s="8">
        <v>6021619</v>
      </c>
      <c r="Q625" s="8">
        <v>9639782</v>
      </c>
      <c r="S625" s="8">
        <v>40799</v>
      </c>
      <c r="U625" s="8">
        <v>9167779</v>
      </c>
      <c r="W625" s="8">
        <v>0</v>
      </c>
      <c r="Y625" s="8">
        <v>2535593</v>
      </c>
      <c r="AA625" s="8">
        <v>12577804</v>
      </c>
      <c r="AC625" s="8">
        <v>3677822</v>
      </c>
      <c r="AE625" s="8">
        <v>897063</v>
      </c>
      <c r="AG625" s="8">
        <v>3392121</v>
      </c>
      <c r="AI625" s="8">
        <v>1777781</v>
      </c>
      <c r="AJ625" s="13" t="s">
        <v>367</v>
      </c>
      <c r="AK625" s="13"/>
      <c r="AL625" s="13" t="s">
        <v>27</v>
      </c>
      <c r="AN625" s="8">
        <v>2171188</v>
      </c>
      <c r="AP625" s="8">
        <v>4495674</v>
      </c>
      <c r="AR625" s="8">
        <v>0</v>
      </c>
      <c r="AT625" s="8">
        <v>5790000</v>
      </c>
      <c r="AV625" s="8">
        <f>2502859+276442</f>
        <v>2779301</v>
      </c>
      <c r="AX625" s="8">
        <v>0</v>
      </c>
      <c r="AZ625" s="9">
        <f t="shared" si="38"/>
        <v>137372713</v>
      </c>
      <c r="BB625" s="8">
        <v>942302</v>
      </c>
      <c r="BH625" s="8">
        <v>5603100</v>
      </c>
      <c r="BJ625" s="9">
        <f t="shared" si="39"/>
        <v>143918115</v>
      </c>
      <c r="BL625" s="9">
        <f>'Gov Fd Rv'!AQ625-'Gov Fnd Exp'!BJ625</f>
        <v>7949518</v>
      </c>
      <c r="BN625" s="8">
        <v>63569047</v>
      </c>
      <c r="BP625" s="8">
        <v>0</v>
      </c>
      <c r="BT625" s="9">
        <f t="shared" si="40"/>
        <v>71518565</v>
      </c>
      <c r="BU625" s="9"/>
      <c r="BV625" s="9">
        <f>BT625-'Gov Fd BS'!AA628</f>
        <v>0</v>
      </c>
    </row>
    <row r="626" spans="1:74">
      <c r="A626" s="13" t="s">
        <v>295</v>
      </c>
      <c r="B626" s="13"/>
      <c r="C626" s="13" t="s">
        <v>113</v>
      </c>
      <c r="D626" s="13"/>
      <c r="E626" s="32">
        <v>45146</v>
      </c>
      <c r="G626" s="8">
        <v>4602121</v>
      </c>
      <c r="I626" s="8">
        <v>1190878</v>
      </c>
      <c r="K626" s="8">
        <v>4573</v>
      </c>
      <c r="M626" s="8">
        <v>542926</v>
      </c>
      <c r="O626" s="8">
        <v>1077017</v>
      </c>
      <c r="Q626" s="8">
        <v>332524</v>
      </c>
      <c r="S626" s="8">
        <v>7147</v>
      </c>
      <c r="U626" s="8">
        <v>767219</v>
      </c>
      <c r="W626" s="8">
        <v>394702</v>
      </c>
      <c r="Y626" s="8">
        <v>13760</v>
      </c>
      <c r="AA626" s="8">
        <v>686983</v>
      </c>
      <c r="AC626" s="8">
        <v>653784</v>
      </c>
      <c r="AE626" s="8">
        <v>42726</v>
      </c>
      <c r="AG626" s="8">
        <v>509349</v>
      </c>
      <c r="AI626" s="8">
        <v>600</v>
      </c>
      <c r="AJ626" s="13" t="s">
        <v>295</v>
      </c>
      <c r="AK626" s="13"/>
      <c r="AL626" s="13" t="s">
        <v>113</v>
      </c>
      <c r="AN626" s="8">
        <v>335994</v>
      </c>
      <c r="AP626" s="8">
        <v>13630</v>
      </c>
      <c r="AR626" s="8">
        <v>0</v>
      </c>
      <c r="AT626" s="8">
        <v>254835</v>
      </c>
      <c r="AV626" s="8">
        <v>269711</v>
      </c>
      <c r="AX626" s="8">
        <v>0</v>
      </c>
      <c r="AZ626" s="9">
        <f t="shared" si="38"/>
        <v>11700479</v>
      </c>
      <c r="BB626" s="8">
        <v>72478</v>
      </c>
      <c r="BH626" s="8">
        <v>0</v>
      </c>
      <c r="BJ626" s="9">
        <f t="shared" si="39"/>
        <v>11772957</v>
      </c>
      <c r="BL626" s="9">
        <f>'Gov Fd Rv'!AQ626-'Gov Fnd Exp'!BJ626</f>
        <v>-291026</v>
      </c>
      <c r="BN626" s="8">
        <v>2804403</v>
      </c>
      <c r="BP626" s="8">
        <v>0</v>
      </c>
      <c r="BT626" s="9">
        <f t="shared" si="40"/>
        <v>2513377</v>
      </c>
      <c r="BU626" s="9"/>
      <c r="BV626" s="9">
        <f>BT626-'Gov Fd BS'!AA629</f>
        <v>0</v>
      </c>
    </row>
    <row r="627" spans="1:74">
      <c r="A627" s="13" t="s">
        <v>412</v>
      </c>
      <c r="B627" s="13"/>
      <c r="C627" s="13" t="s">
        <v>32</v>
      </c>
      <c r="D627" s="13"/>
      <c r="E627" s="32">
        <v>45153</v>
      </c>
      <c r="G627" s="8">
        <v>10678681</v>
      </c>
      <c r="I627" s="8">
        <v>2174201</v>
      </c>
      <c r="K627" s="8">
        <v>111788</v>
      </c>
      <c r="M627" s="8">
        <v>8126</v>
      </c>
      <c r="O627" s="8">
        <v>1689015</v>
      </c>
      <c r="Q627" s="8">
        <v>1125405</v>
      </c>
      <c r="S627" s="8">
        <v>243814</v>
      </c>
      <c r="U627" s="8">
        <v>1488144</v>
      </c>
      <c r="W627" s="8">
        <v>903351</v>
      </c>
      <c r="Y627" s="8">
        <v>1669</v>
      </c>
      <c r="AA627" s="8">
        <v>1974861</v>
      </c>
      <c r="AC627" s="8">
        <v>432430</v>
      </c>
      <c r="AE627" s="8">
        <v>147301</v>
      </c>
      <c r="AG627" s="8">
        <v>0</v>
      </c>
      <c r="AI627" s="8">
        <v>768421</v>
      </c>
      <c r="AJ627" s="13" t="s">
        <v>412</v>
      </c>
      <c r="AK627" s="13"/>
      <c r="AL627" s="13" t="s">
        <v>32</v>
      </c>
      <c r="AN627" s="8">
        <v>746313</v>
      </c>
      <c r="AP627" s="8">
        <v>44814</v>
      </c>
      <c r="AR627" s="8">
        <v>0</v>
      </c>
      <c r="AT627" s="8">
        <v>917800</v>
      </c>
      <c r="AV627" s="8">
        <v>1013703</v>
      </c>
      <c r="AX627" s="8">
        <v>0</v>
      </c>
      <c r="AZ627" s="9">
        <f t="shared" si="38"/>
        <v>24469837</v>
      </c>
      <c r="BB627" s="8">
        <v>261020</v>
      </c>
      <c r="BH627" s="8">
        <v>0</v>
      </c>
      <c r="BJ627" s="9">
        <f t="shared" si="39"/>
        <v>24730857</v>
      </c>
      <c r="BL627" s="9">
        <f>'Gov Fd Rv'!AQ627-'Gov Fnd Exp'!BJ627</f>
        <v>2046246</v>
      </c>
      <c r="BN627" s="8">
        <v>14322306</v>
      </c>
      <c r="BP627" s="8">
        <v>0</v>
      </c>
      <c r="BT627" s="9">
        <f t="shared" si="40"/>
        <v>16368552</v>
      </c>
      <c r="BU627" s="9"/>
      <c r="BV627" s="9">
        <f>BT627-'Gov Fd BS'!AA630</f>
        <v>0</v>
      </c>
    </row>
    <row r="628" spans="1:74">
      <c r="A628" s="13" t="s">
        <v>388</v>
      </c>
      <c r="B628" s="13"/>
      <c r="C628" s="13" t="s">
        <v>116</v>
      </c>
      <c r="D628" s="13"/>
      <c r="E628" s="32">
        <v>45674</v>
      </c>
      <c r="G628" s="8">
        <v>3593518</v>
      </c>
      <c r="I628" s="8">
        <v>658078</v>
      </c>
      <c r="K628" s="8">
        <v>0</v>
      </c>
      <c r="M628" s="8">
        <f>2970+12307+153073</f>
        <v>168350</v>
      </c>
      <c r="O628" s="8">
        <v>536415</v>
      </c>
      <c r="Q628" s="8">
        <v>498177</v>
      </c>
      <c r="S628" s="8">
        <v>28118</v>
      </c>
      <c r="U628" s="8">
        <v>778459</v>
      </c>
      <c r="W628" s="8">
        <v>351805</v>
      </c>
      <c r="Y628" s="8">
        <v>0</v>
      </c>
      <c r="AA628" s="8">
        <v>721895</v>
      </c>
      <c r="AC628" s="8">
        <v>246680</v>
      </c>
      <c r="AE628" s="8">
        <v>36182</v>
      </c>
      <c r="AG628" s="8">
        <v>0</v>
      </c>
      <c r="AI628" s="8">
        <v>147473</v>
      </c>
      <c r="AJ628" s="13" t="s">
        <v>388</v>
      </c>
      <c r="AK628" s="13"/>
      <c r="AL628" s="13" t="s">
        <v>116</v>
      </c>
      <c r="AN628" s="8">
        <v>265146</v>
      </c>
      <c r="AP628" s="8">
        <v>90956</v>
      </c>
      <c r="AR628" s="8">
        <v>0</v>
      </c>
      <c r="AT628" s="8">
        <v>159000</v>
      </c>
      <c r="AV628" s="8">
        <v>171400</v>
      </c>
      <c r="AX628" s="8">
        <v>0</v>
      </c>
      <c r="AZ628" s="9">
        <f t="shared" si="38"/>
        <v>8451652</v>
      </c>
      <c r="BB628" s="8">
        <v>35086</v>
      </c>
      <c r="BH628" s="8">
        <v>0</v>
      </c>
      <c r="BJ628" s="9">
        <f t="shared" si="39"/>
        <v>8486738</v>
      </c>
      <c r="BL628" s="9">
        <f>'Gov Fd Rv'!AQ628-'Gov Fnd Exp'!BJ628</f>
        <v>-38877</v>
      </c>
      <c r="BN628" s="8">
        <v>3579227</v>
      </c>
      <c r="BP628" s="8">
        <v>0</v>
      </c>
      <c r="BT628" s="9">
        <f t="shared" si="40"/>
        <v>3540350</v>
      </c>
      <c r="BU628" s="9"/>
      <c r="BV628" s="9">
        <f>BT628-'Gov Fd BS'!AA631</f>
        <v>0</v>
      </c>
    </row>
    <row r="629" spans="1:74">
      <c r="A629" s="13" t="s">
        <v>519</v>
      </c>
      <c r="B629" s="13"/>
      <c r="C629" s="13" t="s">
        <v>45</v>
      </c>
      <c r="D629" s="13"/>
      <c r="E629" s="32">
        <v>45161</v>
      </c>
      <c r="G629" s="8">
        <v>50364829</v>
      </c>
      <c r="I629" s="8">
        <v>13715531</v>
      </c>
      <c r="K629" s="8">
        <v>3653807</v>
      </c>
      <c r="M629" s="8">
        <f>356331+8536245</f>
        <v>8892576</v>
      </c>
      <c r="O629" s="8">
        <v>5965742</v>
      </c>
      <c r="Q629" s="8">
        <v>8614143</v>
      </c>
      <c r="S629" s="8">
        <v>432768</v>
      </c>
      <c r="U629" s="8">
        <v>7412411</v>
      </c>
      <c r="W629" s="8">
        <v>1446960</v>
      </c>
      <c r="Y629" s="8">
        <v>804919</v>
      </c>
      <c r="AA629" s="8">
        <v>12169111</v>
      </c>
      <c r="AC629" s="8">
        <v>5485386</v>
      </c>
      <c r="AE629" s="8">
        <v>956388</v>
      </c>
      <c r="AG629" s="8">
        <v>3253764</v>
      </c>
      <c r="AI629" s="8">
        <v>1730834</v>
      </c>
      <c r="AJ629" s="13" t="s">
        <v>519</v>
      </c>
      <c r="AK629" s="13"/>
      <c r="AL629" s="13" t="s">
        <v>45</v>
      </c>
      <c r="AN629" s="8">
        <v>662472</v>
      </c>
      <c r="AP629" s="8">
        <v>19559318</v>
      </c>
      <c r="AR629" s="8">
        <v>0</v>
      </c>
      <c r="AT629" s="8">
        <v>1252719</v>
      </c>
      <c r="AV629" s="8">
        <v>1370649</v>
      </c>
      <c r="AX629" s="8">
        <v>0</v>
      </c>
      <c r="AZ629" s="9">
        <f t="shared" si="38"/>
        <v>147744327</v>
      </c>
      <c r="BB629" s="8">
        <v>37196</v>
      </c>
      <c r="BH629" s="8">
        <v>0</v>
      </c>
      <c r="BJ629" s="9">
        <f t="shared" si="39"/>
        <v>147781523</v>
      </c>
      <c r="BL629" s="9">
        <f>'Gov Fd Rv'!AQ629-'Gov Fnd Exp'!BJ629</f>
        <v>-7218517</v>
      </c>
      <c r="BN629" s="8">
        <v>31372161</v>
      </c>
      <c r="BP629" s="8">
        <v>0</v>
      </c>
      <c r="BT629" s="9">
        <f t="shared" si="40"/>
        <v>24153644</v>
      </c>
      <c r="BU629" s="9"/>
      <c r="BV629" s="9">
        <f>BT629-'Gov Fd BS'!AA632</f>
        <v>0</v>
      </c>
    </row>
    <row r="630" spans="1:74">
      <c r="A630" s="13" t="s">
        <v>621</v>
      </c>
      <c r="B630" s="13"/>
      <c r="C630" s="13" t="s">
        <v>58</v>
      </c>
      <c r="D630" s="13"/>
      <c r="E630" s="32">
        <v>49544</v>
      </c>
      <c r="G630" s="8">
        <v>6476186</v>
      </c>
      <c r="I630" s="8">
        <v>1303662</v>
      </c>
      <c r="K630" s="8">
        <v>9989</v>
      </c>
      <c r="M630" s="8">
        <v>140700</v>
      </c>
      <c r="O630" s="8">
        <v>481813</v>
      </c>
      <c r="Q630" s="8">
        <v>469134</v>
      </c>
      <c r="S630" s="8">
        <v>157652</v>
      </c>
      <c r="U630" s="8">
        <v>761394</v>
      </c>
      <c r="W630" s="8">
        <v>422609</v>
      </c>
      <c r="Y630" s="8">
        <v>0</v>
      </c>
      <c r="AA630" s="8">
        <v>1672925</v>
      </c>
      <c r="AC630" s="8">
        <v>922982</v>
      </c>
      <c r="AE630" s="8">
        <v>233116</v>
      </c>
      <c r="AG630" s="8">
        <v>0</v>
      </c>
      <c r="AI630" s="8">
        <v>619964</v>
      </c>
      <c r="AJ630" s="13" t="s">
        <v>621</v>
      </c>
      <c r="AK630" s="13"/>
      <c r="AL630" s="13" t="s">
        <v>58</v>
      </c>
      <c r="AN630" s="8">
        <v>418650</v>
      </c>
      <c r="AP630" s="8">
        <v>193280</v>
      </c>
      <c r="AR630" s="8">
        <v>0</v>
      </c>
      <c r="AT630" s="8">
        <v>346651</v>
      </c>
      <c r="AV630" s="8">
        <v>340495</v>
      </c>
      <c r="AX630" s="8">
        <v>0</v>
      </c>
      <c r="AZ630" s="9">
        <f t="shared" si="38"/>
        <v>14971202</v>
      </c>
      <c r="BB630" s="8">
        <v>94482</v>
      </c>
      <c r="BH630" s="8">
        <v>0</v>
      </c>
      <c r="BJ630" s="9">
        <f t="shared" si="39"/>
        <v>15065684</v>
      </c>
      <c r="BL630" s="9">
        <f>'Gov Fd Rv'!AQ630-'Gov Fnd Exp'!BJ630</f>
        <v>-950638</v>
      </c>
      <c r="BN630" s="8">
        <v>7191485</v>
      </c>
      <c r="BP630" s="8">
        <v>0</v>
      </c>
      <c r="BT630" s="9">
        <f t="shared" si="40"/>
        <v>6240847</v>
      </c>
      <c r="BU630" s="9"/>
      <c r="BV630" s="9">
        <f>BT630-'Gov Fd BS'!AA633</f>
        <v>0</v>
      </c>
    </row>
    <row r="631" spans="1:74">
      <c r="A631" s="13" t="s">
        <v>568</v>
      </c>
      <c r="B631" s="13"/>
      <c r="C631" s="13" t="s">
        <v>51</v>
      </c>
      <c r="D631" s="13"/>
      <c r="E631" s="32">
        <v>45179</v>
      </c>
      <c r="G631" s="8">
        <v>15384809</v>
      </c>
      <c r="I631" s="8">
        <v>5990811</v>
      </c>
      <c r="K631" s="8">
        <v>340225</v>
      </c>
      <c r="M631" s="8">
        <v>1435580</v>
      </c>
      <c r="O631" s="8">
        <v>2499548</v>
      </c>
      <c r="Q631" s="8">
        <v>4092437</v>
      </c>
      <c r="S631" s="8">
        <v>126473</v>
      </c>
      <c r="U631" s="8">
        <v>2366940</v>
      </c>
      <c r="W631" s="8">
        <v>657575</v>
      </c>
      <c r="Y631" s="8">
        <v>0</v>
      </c>
      <c r="AA631" s="8">
        <v>3321576</v>
      </c>
      <c r="AC631" s="8">
        <v>1159025</v>
      </c>
      <c r="AE631" s="8">
        <v>707061</v>
      </c>
      <c r="AG631" s="8">
        <v>1850312</v>
      </c>
      <c r="AI631" s="8">
        <v>392103</v>
      </c>
      <c r="AJ631" s="13" t="s">
        <v>568</v>
      </c>
      <c r="AK631" s="13"/>
      <c r="AL631" s="13" t="s">
        <v>51</v>
      </c>
      <c r="AN631" s="8">
        <v>655438</v>
      </c>
      <c r="AP631" s="8">
        <v>13374382</v>
      </c>
      <c r="AR631" s="8">
        <v>0</v>
      </c>
      <c r="AT631" s="8">
        <v>671803</v>
      </c>
      <c r="AV631" s="8">
        <v>1529481</v>
      </c>
      <c r="AX631" s="8">
        <v>0</v>
      </c>
      <c r="AZ631" s="9">
        <f t="shared" si="38"/>
        <v>56555579</v>
      </c>
      <c r="BB631" s="8">
        <v>33106</v>
      </c>
      <c r="BH631" s="8">
        <v>0</v>
      </c>
      <c r="BJ631" s="9">
        <f t="shared" si="39"/>
        <v>56588685</v>
      </c>
      <c r="BL631" s="9">
        <f>'Gov Fd Rv'!AQ631-'Gov Fnd Exp'!BJ631</f>
        <v>13056814</v>
      </c>
      <c r="BN631" s="8">
        <v>8705377</v>
      </c>
      <c r="BP631" s="8">
        <v>0</v>
      </c>
      <c r="BT631" s="9">
        <f t="shared" si="40"/>
        <v>21762191</v>
      </c>
      <c r="BU631" s="9"/>
      <c r="BV631" s="9">
        <f>BT631-'Gov Fd BS'!AA634</f>
        <v>0</v>
      </c>
    </row>
    <row r="632" spans="1:74">
      <c r="A632" s="13"/>
      <c r="B632" s="13"/>
      <c r="C632" s="13"/>
      <c r="D632" s="13"/>
      <c r="AI632" s="9"/>
    </row>
    <row r="633" spans="1:74">
      <c r="A633" s="13"/>
      <c r="B633" s="13"/>
      <c r="C633" s="13"/>
      <c r="D633" s="13"/>
    </row>
    <row r="634" spans="1:74">
      <c r="A634" s="13"/>
      <c r="B634" s="13"/>
      <c r="C634" s="13"/>
      <c r="D634" s="13"/>
    </row>
    <row r="637" spans="1:74">
      <c r="E637" s="8"/>
    </row>
    <row r="638" spans="1:74">
      <c r="B638" s="10"/>
      <c r="C638" s="10"/>
      <c r="D638" s="10"/>
      <c r="F638" s="10"/>
    </row>
  </sheetData>
  <mergeCells count="1">
    <mergeCell ref="AT6:AV6"/>
  </mergeCells>
  <pageMargins left="0.7" right="0.7" top="0.5" bottom="0.75" header="0.3" footer="0.3"/>
  <pageSetup scale="72" firstPageNumber="180" pageOrder="overThenDown" orientation="portrait" useFirstPageNumber="1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St of Net Assets - GA</vt:lpstr>
      <vt:lpstr>St of Activites - GA Rev</vt:lpstr>
      <vt:lpstr>St of Activities - GA Exp</vt:lpstr>
      <vt:lpstr>Gen Fd BS</vt:lpstr>
      <vt:lpstr>GenRev</vt:lpstr>
      <vt:lpstr>GenExp</vt:lpstr>
      <vt:lpstr>Gov Fd BS</vt:lpstr>
      <vt:lpstr>Gov Fd Rv</vt:lpstr>
      <vt:lpstr>Gov Fnd Exp</vt:lpstr>
      <vt:lpstr>LT _Lia - GA</vt:lpstr>
      <vt:lpstr>Sheet1</vt:lpstr>
      <vt:lpstr>Sheet2</vt:lpstr>
      <vt:lpstr>'St of Activites - GA Rev'!Print_Area</vt:lpstr>
      <vt:lpstr>'St of Activities - GA Exp'!Print_Area</vt:lpstr>
      <vt:lpstr>'St of Net Assets - GA'!Print_Area</vt:lpstr>
      <vt:lpstr>'Gen Fd BS'!Print_Titles</vt:lpstr>
      <vt:lpstr>GenExp!Print_Titles</vt:lpstr>
      <vt:lpstr>GenRev!Print_Titles</vt:lpstr>
      <vt:lpstr>'Gov Fd BS'!Print_Titles</vt:lpstr>
      <vt:lpstr>'Gov Fd Rv'!Print_Titles</vt:lpstr>
      <vt:lpstr>'Gov Fnd Exp'!Print_Titles</vt:lpstr>
      <vt:lpstr>'LT _Lia - GA'!Print_Titles</vt:lpstr>
      <vt:lpstr>'St of Activites - GA Rev'!Print_Titles</vt:lpstr>
      <vt:lpstr>'St of Activities - GA Exp'!Print_Titles</vt:lpstr>
      <vt:lpstr>'St of Net Assets - GA'!Print_Titles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Jeffrey G .Wilcheck</cp:lastModifiedBy>
  <cp:lastPrinted>2012-01-29T17:21:56Z</cp:lastPrinted>
  <dcterms:created xsi:type="dcterms:W3CDTF">2002-06-04T12:17:39Z</dcterms:created>
  <dcterms:modified xsi:type="dcterms:W3CDTF">2012-01-29T17:22:11Z</dcterms:modified>
</cp:coreProperties>
</file>